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mc:AlternateContent xmlns:mc="http://schemas.openxmlformats.org/markup-compatibility/2006">
    <mc:Choice Requires="x15">
      <x15ac:absPath xmlns:x15ac="http://schemas.microsoft.com/office/spreadsheetml/2010/11/ac" url="https://vlaamseoverheid-my.sharepoint.com/personal/michael_vantilborg_vlaanderen_be/Documents/Parlementaire Vragen/SV/2022-2023/38/"/>
    </mc:Choice>
  </mc:AlternateContent>
  <xr:revisionPtr revIDLastSave="4" documentId="8_{B321FD81-01BE-4AEB-8535-B1E279D3BAAB}" xr6:coauthVersionLast="47" xr6:coauthVersionMax="47" xr10:uidLastSave="{16BBD216-171F-4130-B6E8-D180001D5BEB}"/>
  <bookViews>
    <workbookView xWindow="-110" yWindow="-110" windowWidth="19420" windowHeight="10420" tabRatio="755" firstSheet="5" activeTab="5" xr2:uid="{00000000-000D-0000-FFFF-FFFF00000000}"/>
  </bookViews>
  <sheets>
    <sheet name="bedragen KIM (budgettering &amp; pl" sheetId="3" state="hidden" r:id="rId1"/>
    <sheet name="bedragen KIM pivot" sheetId="4" state="hidden" r:id="rId2"/>
    <sheet name="bedragen BOD pivot" sheetId="6" state="hidden" r:id="rId3"/>
    <sheet name="export kabinetdashboard 1210202" sheetId="7" state="hidden" r:id="rId4"/>
    <sheet name="Alles samen" sheetId="8" state="hidden" r:id="rId5"/>
    <sheet name="2023-0038.2a" sheetId="10" r:id="rId6"/>
  </sheets>
  <definedNames>
    <definedName name="_xlnm._FilterDatabase" localSheetId="0" hidden="1">'bedragen KIM (budgettering &amp; pl'!$A$1:$Z$3009</definedName>
    <definedName name="_xlnm._FilterDatabase" localSheetId="3" hidden="1">'export kabinetdashboard 1210202'!$A$1:$Z$1000</definedName>
  </definedNames>
  <calcPr calcId="191029"/>
  <pivotCaches>
    <pivotCache cacheId="0" r:id="rId7"/>
    <pivotCache cacheId="1"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75" i="8" l="1"/>
  <c r="D774" i="8"/>
  <c r="F773" i="8"/>
  <c r="B771" i="8"/>
  <c r="D770" i="8"/>
  <c r="F769" i="8"/>
  <c r="B767" i="8"/>
  <c r="B766" i="8"/>
  <c r="D765" i="8"/>
  <c r="D764" i="8"/>
  <c r="F763" i="8"/>
  <c r="B761" i="8"/>
  <c r="B760" i="8"/>
  <c r="D759" i="8"/>
  <c r="F758" i="8"/>
  <c r="B756" i="8"/>
  <c r="D755" i="8"/>
  <c r="D754" i="8"/>
  <c r="F753" i="8"/>
  <c r="B750" i="8"/>
  <c r="D749" i="8"/>
  <c r="F748" i="8"/>
  <c r="B746" i="8"/>
  <c r="D745" i="8"/>
  <c r="F744" i="8"/>
  <c r="B742" i="8"/>
  <c r="D741" i="8"/>
  <c r="F740" i="8"/>
  <c r="B738" i="8"/>
  <c r="D737" i="8"/>
  <c r="D736" i="8"/>
  <c r="F735" i="8"/>
  <c r="B732" i="8"/>
  <c r="D731" i="8"/>
  <c r="F730" i="8"/>
  <c r="B728" i="8"/>
  <c r="D727" i="8"/>
  <c r="F726" i="8"/>
  <c r="B724" i="8"/>
  <c r="D723" i="8"/>
  <c r="F722" i="8"/>
  <c r="B720" i="8"/>
  <c r="D719" i="8"/>
  <c r="F718" i="8"/>
  <c r="B715" i="8"/>
  <c r="D714" i="8"/>
  <c r="F713" i="8"/>
  <c r="B711" i="8"/>
  <c r="D710" i="8"/>
  <c r="F709" i="8"/>
  <c r="B707" i="8"/>
  <c r="D706" i="8"/>
  <c r="F705" i="8"/>
  <c r="B703" i="8"/>
  <c r="D702" i="8"/>
  <c r="F701" i="8"/>
  <c r="B699" i="8"/>
  <c r="D698" i="8"/>
  <c r="F697" i="8"/>
  <c r="B695" i="8"/>
  <c r="D694" i="8"/>
  <c r="F693" i="8"/>
  <c r="A775" i="8"/>
  <c r="C774" i="8"/>
  <c r="E773" i="8"/>
  <c r="G772" i="8"/>
  <c r="A771" i="8"/>
  <c r="C770" i="8"/>
  <c r="E769" i="8"/>
  <c r="G768" i="8"/>
  <c r="A767" i="8"/>
  <c r="A766" i="8"/>
  <c r="C765" i="8"/>
  <c r="C764" i="8"/>
  <c r="E763" i="8"/>
  <c r="G762" i="8"/>
  <c r="A761" i="8"/>
  <c r="A760" i="8"/>
  <c r="C759" i="8"/>
  <c r="E758" i="8"/>
  <c r="G757" i="8"/>
  <c r="A756" i="8"/>
  <c r="C755" i="8"/>
  <c r="C754" i="8"/>
  <c r="E753" i="8"/>
  <c r="E752" i="8"/>
  <c r="G751" i="8"/>
  <c r="A750" i="8"/>
  <c r="C749" i="8"/>
  <c r="E748" i="8"/>
  <c r="G747" i="8"/>
  <c r="A746" i="8"/>
  <c r="C745" i="8"/>
  <c r="E744" i="8"/>
  <c r="G743" i="8"/>
  <c r="A742" i="8"/>
  <c r="C741" i="8"/>
  <c r="E740" i="8"/>
  <c r="G739" i="8"/>
  <c r="A738" i="8"/>
  <c r="C737" i="8"/>
  <c r="C736" i="8"/>
  <c r="E735" i="8"/>
  <c r="E734" i="8"/>
  <c r="G733" i="8"/>
  <c r="A732" i="8"/>
  <c r="C731" i="8"/>
  <c r="E730" i="8"/>
  <c r="G729" i="8"/>
  <c r="A728" i="8"/>
  <c r="C727" i="8"/>
  <c r="E726" i="8"/>
  <c r="G725" i="8"/>
  <c r="A724" i="8"/>
  <c r="C723" i="8"/>
  <c r="E722" i="8"/>
  <c r="G721" i="8"/>
  <c r="A720" i="8"/>
  <c r="C719" i="8"/>
  <c r="E718" i="8"/>
  <c r="E717" i="8"/>
  <c r="G716" i="8"/>
  <c r="A715" i="8"/>
  <c r="C714" i="8"/>
  <c r="E713" i="8"/>
  <c r="G712" i="8"/>
  <c r="A711" i="8"/>
  <c r="C710" i="8"/>
  <c r="E709" i="8"/>
  <c r="G708" i="8"/>
  <c r="A707" i="8"/>
  <c r="C706" i="8"/>
  <c r="E705" i="8"/>
  <c r="G704" i="8"/>
  <c r="A703" i="8"/>
  <c r="C702" i="8"/>
  <c r="E701" i="8"/>
  <c r="G700" i="8"/>
  <c r="A699" i="8"/>
  <c r="B774" i="8"/>
  <c r="D773" i="8"/>
  <c r="F772" i="8"/>
  <c r="B770" i="8"/>
  <c r="D769" i="8"/>
  <c r="F768" i="8"/>
  <c r="B765" i="8"/>
  <c r="B764" i="8"/>
  <c r="D763" i="8"/>
  <c r="F762" i="8"/>
  <c r="B759" i="8"/>
  <c r="D758" i="8"/>
  <c r="F757" i="8"/>
  <c r="B755" i="8"/>
  <c r="B754" i="8"/>
  <c r="D753" i="8"/>
  <c r="D752" i="8"/>
  <c r="F751" i="8"/>
  <c r="B749" i="8"/>
  <c r="D748" i="8"/>
  <c r="F747" i="8"/>
  <c r="B745" i="8"/>
  <c r="D744" i="8"/>
  <c r="F743" i="8"/>
  <c r="B741" i="8"/>
  <c r="D740" i="8"/>
  <c r="F739" i="8"/>
  <c r="B737" i="8"/>
  <c r="B736" i="8"/>
  <c r="D735" i="8"/>
  <c r="D734" i="8"/>
  <c r="F733" i="8"/>
  <c r="B731" i="8"/>
  <c r="D730" i="8"/>
  <c r="F729" i="8"/>
  <c r="B727" i="8"/>
  <c r="D726" i="8"/>
  <c r="F725" i="8"/>
  <c r="B723" i="8"/>
  <c r="D722" i="8"/>
  <c r="F721" i="8"/>
  <c r="B719" i="8"/>
  <c r="D718" i="8"/>
  <c r="D717" i="8"/>
  <c r="F716" i="8"/>
  <c r="B714" i="8"/>
  <c r="D713" i="8"/>
  <c r="F712" i="8"/>
  <c r="B710" i="8"/>
  <c r="D709" i="8"/>
  <c r="F708" i="8"/>
  <c r="B706" i="8"/>
  <c r="D705" i="8"/>
  <c r="F704" i="8"/>
  <c r="B702" i="8"/>
  <c r="D701" i="8"/>
  <c r="F700" i="8"/>
  <c r="B698" i="8"/>
  <c r="D697" i="8"/>
  <c r="F696" i="8"/>
  <c r="B694" i="8"/>
  <c r="D693" i="8"/>
  <c r="F692" i="8"/>
  <c r="G775" i="8"/>
  <c r="A774" i="8"/>
  <c r="C773" i="8"/>
  <c r="E772" i="8"/>
  <c r="G771" i="8"/>
  <c r="A770" i="8"/>
  <c r="C769" i="8"/>
  <c r="E768" i="8"/>
  <c r="G767" i="8"/>
  <c r="A765" i="8"/>
  <c r="A764" i="8"/>
  <c r="C763" i="8"/>
  <c r="E762" i="8"/>
  <c r="G761" i="8"/>
  <c r="A759" i="8"/>
  <c r="C758" i="8"/>
  <c r="E757" i="8"/>
  <c r="G756" i="8"/>
  <c r="A755" i="8"/>
  <c r="A754" i="8"/>
  <c r="C753" i="8"/>
  <c r="C752" i="8"/>
  <c r="E751" i="8"/>
  <c r="G750" i="8"/>
  <c r="A749" i="8"/>
  <c r="C748" i="8"/>
  <c r="E747" i="8"/>
  <c r="G746" i="8"/>
  <c r="A745" i="8"/>
  <c r="C744" i="8"/>
  <c r="E743" i="8"/>
  <c r="G742" i="8"/>
  <c r="A741" i="8"/>
  <c r="C740" i="8"/>
  <c r="E739" i="8"/>
  <c r="G738" i="8"/>
  <c r="A737" i="8"/>
  <c r="A736" i="8"/>
  <c r="C735" i="8"/>
  <c r="C734" i="8"/>
  <c r="E733" i="8"/>
  <c r="G732" i="8"/>
  <c r="A731" i="8"/>
  <c r="C730" i="8"/>
  <c r="E729" i="8"/>
  <c r="G728" i="8"/>
  <c r="A727" i="8"/>
  <c r="C726" i="8"/>
  <c r="E725" i="8"/>
  <c r="G724" i="8"/>
  <c r="A723" i="8"/>
  <c r="C722" i="8"/>
  <c r="E721" i="8"/>
  <c r="G720" i="8"/>
  <c r="A719" i="8"/>
  <c r="C718" i="8"/>
  <c r="C717" i="8"/>
  <c r="E716" i="8"/>
  <c r="G715" i="8"/>
  <c r="A714" i="8"/>
  <c r="C713" i="8"/>
  <c r="E712" i="8"/>
  <c r="G711" i="8"/>
  <c r="A710" i="8"/>
  <c r="C709" i="8"/>
  <c r="E708" i="8"/>
  <c r="G707" i="8"/>
  <c r="A706" i="8"/>
  <c r="C705" i="8"/>
  <c r="E704" i="8"/>
  <c r="G703" i="8"/>
  <c r="A702" i="8"/>
  <c r="C701" i="8"/>
  <c r="E700" i="8"/>
  <c r="G699" i="8"/>
  <c r="A698" i="8"/>
  <c r="C697" i="8"/>
  <c r="F775" i="8"/>
  <c r="B773" i="8"/>
  <c r="D772" i="8"/>
  <c r="F771" i="8"/>
  <c r="B769" i="8"/>
  <c r="D768" i="8"/>
  <c r="F767" i="8"/>
  <c r="B763" i="8"/>
  <c r="D762" i="8"/>
  <c r="F761" i="8"/>
  <c r="B758" i="8"/>
  <c r="D757" i="8"/>
  <c r="F756" i="8"/>
  <c r="B753" i="8"/>
  <c r="B752" i="8"/>
  <c r="D751" i="8"/>
  <c r="F750" i="8"/>
  <c r="B748" i="8"/>
  <c r="D747" i="8"/>
  <c r="F746" i="8"/>
  <c r="B744" i="8"/>
  <c r="D743" i="8"/>
  <c r="F742" i="8"/>
  <c r="B740" i="8"/>
  <c r="D739" i="8"/>
  <c r="F738" i="8"/>
  <c r="B735" i="8"/>
  <c r="B734" i="8"/>
  <c r="D733" i="8"/>
  <c r="F732" i="8"/>
  <c r="B730" i="8"/>
  <c r="D729" i="8"/>
  <c r="F728" i="8"/>
  <c r="B726" i="8"/>
  <c r="D725" i="8"/>
  <c r="F724" i="8"/>
  <c r="B722" i="8"/>
  <c r="D721" i="8"/>
  <c r="F720" i="8"/>
  <c r="B718" i="8"/>
  <c r="B717" i="8"/>
  <c r="D716" i="8"/>
  <c r="F715" i="8"/>
  <c r="B713" i="8"/>
  <c r="D712" i="8"/>
  <c r="F711" i="8"/>
  <c r="B709" i="8"/>
  <c r="D708" i="8"/>
  <c r="F707" i="8"/>
  <c r="B705" i="8"/>
  <c r="D704" i="8"/>
  <c r="F703" i="8"/>
  <c r="B701" i="8"/>
  <c r="D700" i="8"/>
  <c r="F699" i="8"/>
  <c r="E775" i="8"/>
  <c r="G774" i="8"/>
  <c r="A773" i="8"/>
  <c r="C772" i="8"/>
  <c r="E771" i="8"/>
  <c r="G770" i="8"/>
  <c r="A769" i="8"/>
  <c r="C768" i="8"/>
  <c r="E767" i="8"/>
  <c r="E766" i="8"/>
  <c r="G765" i="8"/>
  <c r="A763" i="8"/>
  <c r="C762" i="8"/>
  <c r="E761" i="8"/>
  <c r="E760" i="8"/>
  <c r="G759" i="8"/>
  <c r="A758" i="8"/>
  <c r="C757" i="8"/>
  <c r="E756" i="8"/>
  <c r="G755" i="8"/>
  <c r="A753" i="8"/>
  <c r="A752" i="8"/>
  <c r="C751" i="8"/>
  <c r="E750" i="8"/>
  <c r="G749" i="8"/>
  <c r="A748" i="8"/>
  <c r="C747" i="8"/>
  <c r="E746" i="8"/>
  <c r="G745" i="8"/>
  <c r="A744" i="8"/>
  <c r="C743" i="8"/>
  <c r="E742" i="8"/>
  <c r="G741" i="8"/>
  <c r="A740" i="8"/>
  <c r="C739" i="8"/>
  <c r="E738" i="8"/>
  <c r="G737" i="8"/>
  <c r="A735" i="8"/>
  <c r="A734" i="8"/>
  <c r="C733" i="8"/>
  <c r="E732" i="8"/>
  <c r="G731" i="8"/>
  <c r="A730" i="8"/>
  <c r="C729" i="8"/>
  <c r="E728" i="8"/>
  <c r="G727" i="8"/>
  <c r="A726" i="8"/>
  <c r="C725" i="8"/>
  <c r="E724" i="8"/>
  <c r="G723" i="8"/>
  <c r="A722" i="8"/>
  <c r="C721" i="8"/>
  <c r="E720" i="8"/>
  <c r="G719" i="8"/>
  <c r="A718" i="8"/>
  <c r="A717" i="8"/>
  <c r="C716" i="8"/>
  <c r="E715" i="8"/>
  <c r="G714" i="8"/>
  <c r="A713" i="8"/>
  <c r="C712" i="8"/>
  <c r="E711" i="8"/>
  <c r="G710" i="8"/>
  <c r="A709" i="8"/>
  <c r="C708" i="8"/>
  <c r="E707" i="8"/>
  <c r="G706" i="8"/>
  <c r="A705" i="8"/>
  <c r="C704" i="8"/>
  <c r="E703" i="8"/>
  <c r="G702" i="8"/>
  <c r="A701" i="8"/>
  <c r="C700" i="8"/>
  <c r="E699" i="8"/>
  <c r="G698" i="8"/>
  <c r="D775" i="8"/>
  <c r="F774" i="8"/>
  <c r="B772" i="8"/>
  <c r="D771" i="8"/>
  <c r="F770" i="8"/>
  <c r="B768" i="8"/>
  <c r="D767" i="8"/>
  <c r="D766" i="8"/>
  <c r="F765" i="8"/>
  <c r="B762" i="8"/>
  <c r="D761" i="8"/>
  <c r="D760" i="8"/>
  <c r="F759" i="8"/>
  <c r="B757" i="8"/>
  <c r="D756" i="8"/>
  <c r="F755" i="8"/>
  <c r="B751" i="8"/>
  <c r="D750" i="8"/>
  <c r="F749" i="8"/>
  <c r="B747" i="8"/>
  <c r="D746" i="8"/>
  <c r="F745" i="8"/>
  <c r="B743" i="8"/>
  <c r="D742" i="8"/>
  <c r="F741" i="8"/>
  <c r="B739" i="8"/>
  <c r="D738" i="8"/>
  <c r="F737" i="8"/>
  <c r="B733" i="8"/>
  <c r="D732" i="8"/>
  <c r="F731" i="8"/>
  <c r="B729" i="8"/>
  <c r="D728" i="8"/>
  <c r="F727" i="8"/>
  <c r="B725" i="8"/>
  <c r="D724" i="8"/>
  <c r="F723" i="8"/>
  <c r="B721" i="8"/>
  <c r="D720" i="8"/>
  <c r="F719" i="8"/>
  <c r="B716" i="8"/>
  <c r="D715" i="8"/>
  <c r="F714" i="8"/>
  <c r="B712" i="8"/>
  <c r="D711" i="8"/>
  <c r="F710" i="8"/>
  <c r="B708" i="8"/>
  <c r="D707" i="8"/>
  <c r="F706" i="8"/>
  <c r="B704" i="8"/>
  <c r="D703" i="8"/>
  <c r="F702" i="8"/>
  <c r="B700" i="8"/>
  <c r="D699" i="8"/>
  <c r="F698" i="8"/>
  <c r="B696" i="8"/>
  <c r="D695" i="8"/>
  <c r="F694" i="8"/>
  <c r="B692" i="8"/>
  <c r="D691" i="8"/>
  <c r="F690" i="8"/>
  <c r="C775" i="8"/>
  <c r="E774" i="8"/>
  <c r="G773" i="8"/>
  <c r="A772" i="8"/>
  <c r="C771" i="8"/>
  <c r="E770" i="8"/>
  <c r="G769" i="8"/>
  <c r="A768" i="8"/>
  <c r="C767" i="8"/>
  <c r="C766" i="8"/>
  <c r="E765" i="8"/>
  <c r="E764" i="8"/>
  <c r="G763" i="8"/>
  <c r="A762" i="8"/>
  <c r="C761" i="8"/>
  <c r="C760" i="8"/>
  <c r="E759" i="8"/>
  <c r="G758" i="8"/>
  <c r="A757" i="8"/>
  <c r="C756" i="8"/>
  <c r="E755" i="8"/>
  <c r="E754" i="8"/>
  <c r="G753" i="8"/>
  <c r="A751" i="8"/>
  <c r="C750" i="8"/>
  <c r="E749" i="8"/>
  <c r="G748" i="8"/>
  <c r="A747" i="8"/>
  <c r="C746" i="8"/>
  <c r="E745" i="8"/>
  <c r="G744" i="8"/>
  <c r="A743" i="8"/>
  <c r="C742" i="8"/>
  <c r="E741" i="8"/>
  <c r="G740" i="8"/>
  <c r="A739" i="8"/>
  <c r="C738" i="8"/>
  <c r="E737" i="8"/>
  <c r="E736" i="8"/>
  <c r="G735" i="8"/>
  <c r="A733" i="8"/>
  <c r="C732" i="8"/>
  <c r="E731" i="8"/>
  <c r="G730" i="8"/>
  <c r="A729" i="8"/>
  <c r="C728" i="8"/>
  <c r="E727" i="8"/>
  <c r="G726" i="8"/>
  <c r="A725" i="8"/>
  <c r="C724" i="8"/>
  <c r="E723" i="8"/>
  <c r="G722" i="8"/>
  <c r="A721" i="8"/>
  <c r="C720" i="8"/>
  <c r="E719" i="8"/>
  <c r="G718" i="8"/>
  <c r="A716" i="8"/>
  <c r="C715" i="8"/>
  <c r="E714" i="8"/>
  <c r="G713" i="8"/>
  <c r="A712" i="8"/>
  <c r="C711" i="8"/>
  <c r="E710" i="8"/>
  <c r="G709" i="8"/>
  <c r="A708" i="8"/>
  <c r="C707" i="8"/>
  <c r="E706" i="8"/>
  <c r="G705" i="8"/>
  <c r="A704" i="8"/>
  <c r="C703" i="8"/>
  <c r="E702" i="8"/>
  <c r="G701" i="8"/>
  <c r="A700" i="8"/>
  <c r="C699" i="8"/>
  <c r="E698" i="8"/>
  <c r="G697" i="8"/>
  <c r="C698" i="8"/>
  <c r="D696" i="8"/>
  <c r="A695" i="8"/>
  <c r="G692" i="8"/>
  <c r="F691" i="8"/>
  <c r="E690" i="8"/>
  <c r="G689" i="8"/>
  <c r="A688" i="8"/>
  <c r="C687" i="8"/>
  <c r="E686" i="8"/>
  <c r="G685" i="8"/>
  <c r="A684" i="8"/>
  <c r="C683" i="8"/>
  <c r="E682" i="8"/>
  <c r="G681" i="8"/>
  <c r="A680" i="8"/>
  <c r="C679" i="8"/>
  <c r="E678" i="8"/>
  <c r="G677" i="8"/>
  <c r="A674" i="8"/>
  <c r="C673" i="8"/>
  <c r="E672" i="8"/>
  <c r="E671" i="8"/>
  <c r="E670" i="8"/>
  <c r="E669" i="8"/>
  <c r="G668" i="8"/>
  <c r="A666" i="8"/>
  <c r="A665" i="8"/>
  <c r="C664" i="8"/>
  <c r="C696" i="8"/>
  <c r="G693" i="8"/>
  <c r="E692" i="8"/>
  <c r="E691" i="8"/>
  <c r="D690" i="8"/>
  <c r="A696" i="8"/>
  <c r="E693" i="8"/>
  <c r="D692" i="8"/>
  <c r="C691" i="8"/>
  <c r="C690" i="8"/>
  <c r="E689" i="8"/>
  <c r="G688" i="8"/>
  <c r="A687" i="8"/>
  <c r="C686" i="8"/>
  <c r="E685" i="8"/>
  <c r="G684" i="8"/>
  <c r="A683" i="8"/>
  <c r="C682" i="8"/>
  <c r="E681" i="8"/>
  <c r="G680" i="8"/>
  <c r="A679" i="8"/>
  <c r="C678" i="8"/>
  <c r="E677" i="8"/>
  <c r="E676" i="8"/>
  <c r="E675" i="8"/>
  <c r="G674" i="8"/>
  <c r="A673" i="8"/>
  <c r="C672" i="8"/>
  <c r="C671" i="8"/>
  <c r="C670" i="8"/>
  <c r="C669" i="8"/>
  <c r="E668" i="8"/>
  <c r="E667" i="8"/>
  <c r="G666" i="8"/>
  <c r="E697" i="8"/>
  <c r="G694" i="8"/>
  <c r="C693" i="8"/>
  <c r="C692" i="8"/>
  <c r="B691" i="8"/>
  <c r="B690" i="8"/>
  <c r="B697" i="8"/>
  <c r="G695" i="8"/>
  <c r="E694" i="8"/>
  <c r="B693" i="8"/>
  <c r="A692" i="8"/>
  <c r="A691" i="8"/>
  <c r="A690" i="8"/>
  <c r="C689" i="8"/>
  <c r="E688" i="8"/>
  <c r="G687" i="8"/>
  <c r="A686" i="8"/>
  <c r="C685" i="8"/>
  <c r="E684" i="8"/>
  <c r="G683" i="8"/>
  <c r="A682" i="8"/>
  <c r="C681" i="8"/>
  <c r="E680" i="8"/>
  <c r="G679" i="8"/>
  <c r="A678" i="8"/>
  <c r="C677" i="8"/>
  <c r="C676" i="8"/>
  <c r="C675" i="8"/>
  <c r="E674" i="8"/>
  <c r="G673" i="8"/>
  <c r="A672" i="8"/>
  <c r="A671" i="8"/>
  <c r="A670" i="8"/>
  <c r="A669" i="8"/>
  <c r="C668" i="8"/>
  <c r="C667" i="8"/>
  <c r="E666" i="8"/>
  <c r="E665" i="8"/>
  <c r="G664" i="8"/>
  <c r="A661" i="8"/>
  <c r="A660" i="8"/>
  <c r="C659" i="8"/>
  <c r="E658" i="8"/>
  <c r="E657" i="8"/>
  <c r="G656" i="8"/>
  <c r="A655" i="8"/>
  <c r="C654" i="8"/>
  <c r="E653" i="8"/>
  <c r="G652" i="8"/>
  <c r="A651" i="8"/>
  <c r="C650" i="8"/>
  <c r="E649" i="8"/>
  <c r="G648" i="8"/>
  <c r="A646" i="8"/>
  <c r="C645" i="8"/>
  <c r="E644" i="8"/>
  <c r="E643" i="8"/>
  <c r="G642" i="8"/>
  <c r="A641" i="8"/>
  <c r="C640" i="8"/>
  <c r="E639" i="8"/>
  <c r="G638" i="8"/>
  <c r="A637" i="8"/>
  <c r="C636" i="8"/>
  <c r="E635" i="8"/>
  <c r="E634" i="8"/>
  <c r="G633" i="8"/>
  <c r="A632" i="8"/>
  <c r="C631" i="8"/>
  <c r="E630" i="8"/>
  <c r="E629" i="8"/>
  <c r="G628" i="8"/>
  <c r="A626" i="8"/>
  <c r="C625" i="8"/>
  <c r="C624" i="8"/>
  <c r="E623" i="8"/>
  <c r="G622" i="8"/>
  <c r="A621" i="8"/>
  <c r="C620" i="8"/>
  <c r="C619" i="8"/>
  <c r="E618" i="8"/>
  <c r="G617" i="8"/>
  <c r="A616" i="8"/>
  <c r="C615" i="8"/>
  <c r="E614" i="8"/>
  <c r="G613" i="8"/>
  <c r="A612" i="8"/>
  <c r="C611" i="8"/>
  <c r="E610" i="8"/>
  <c r="G609" i="8"/>
  <c r="A608" i="8"/>
  <c r="C607" i="8"/>
  <c r="E606" i="8"/>
  <c r="G605" i="8"/>
  <c r="A697" i="8"/>
  <c r="F695" i="8"/>
  <c r="C694" i="8"/>
  <c r="A693" i="8"/>
  <c r="B689" i="8"/>
  <c r="D688" i="8"/>
  <c r="F687" i="8"/>
  <c r="B685" i="8"/>
  <c r="D684" i="8"/>
  <c r="F683" i="8"/>
  <c r="B681" i="8"/>
  <c r="D680" i="8"/>
  <c r="F679" i="8"/>
  <c r="B677" i="8"/>
  <c r="B676" i="8"/>
  <c r="B675" i="8"/>
  <c r="D674" i="8"/>
  <c r="F673" i="8"/>
  <c r="B668" i="8"/>
  <c r="B667" i="8"/>
  <c r="D666" i="8"/>
  <c r="D665" i="8"/>
  <c r="F664" i="8"/>
  <c r="B659" i="8"/>
  <c r="D658" i="8"/>
  <c r="D657" i="8"/>
  <c r="F656" i="8"/>
  <c r="B654" i="8"/>
  <c r="D653" i="8"/>
  <c r="F652" i="8"/>
  <c r="B650" i="8"/>
  <c r="D649" i="8"/>
  <c r="F648" i="8"/>
  <c r="B645" i="8"/>
  <c r="D644" i="8"/>
  <c r="D643" i="8"/>
  <c r="F642" i="8"/>
  <c r="B640" i="8"/>
  <c r="D639" i="8"/>
  <c r="F638" i="8"/>
  <c r="B636" i="8"/>
  <c r="D635" i="8"/>
  <c r="D634" i="8"/>
  <c r="F633" i="8"/>
  <c r="B631" i="8"/>
  <c r="D630" i="8"/>
  <c r="D629" i="8"/>
  <c r="F628" i="8"/>
  <c r="B625" i="8"/>
  <c r="B624" i="8"/>
  <c r="D623" i="8"/>
  <c r="F622" i="8"/>
  <c r="B620" i="8"/>
  <c r="B619" i="8"/>
  <c r="D618" i="8"/>
  <c r="F617" i="8"/>
  <c r="B615" i="8"/>
  <c r="D614" i="8"/>
  <c r="F613" i="8"/>
  <c r="B611" i="8"/>
  <c r="D610" i="8"/>
  <c r="F609" i="8"/>
  <c r="B607" i="8"/>
  <c r="G696" i="8"/>
  <c r="E695" i="8"/>
  <c r="A694" i="8"/>
  <c r="A689" i="8"/>
  <c r="C688" i="8"/>
  <c r="E687" i="8"/>
  <c r="G686" i="8"/>
  <c r="A685" i="8"/>
  <c r="C684" i="8"/>
  <c r="E683" i="8"/>
  <c r="G682" i="8"/>
  <c r="A681" i="8"/>
  <c r="C680" i="8"/>
  <c r="E679" i="8"/>
  <c r="G678" i="8"/>
  <c r="A677" i="8"/>
  <c r="A676" i="8"/>
  <c r="A675" i="8"/>
  <c r="C674" i="8"/>
  <c r="E673" i="8"/>
  <c r="G672" i="8"/>
  <c r="A668" i="8"/>
  <c r="A667" i="8"/>
  <c r="C666" i="8"/>
  <c r="C665" i="8"/>
  <c r="E664" i="8"/>
  <c r="E663" i="8"/>
  <c r="E662" i="8"/>
  <c r="G661" i="8"/>
  <c r="A659" i="8"/>
  <c r="C658" i="8"/>
  <c r="C657" i="8"/>
  <c r="E656" i="8"/>
  <c r="G655" i="8"/>
  <c r="A654" i="8"/>
  <c r="C653" i="8"/>
  <c r="E652" i="8"/>
  <c r="G651" i="8"/>
  <c r="A650" i="8"/>
  <c r="C649" i="8"/>
  <c r="E648" i="8"/>
  <c r="E647" i="8"/>
  <c r="G646" i="8"/>
  <c r="A645" i="8"/>
  <c r="C644" i="8"/>
  <c r="C643" i="8"/>
  <c r="E642" i="8"/>
  <c r="G641" i="8"/>
  <c r="A640" i="8"/>
  <c r="C639" i="8"/>
  <c r="E638" i="8"/>
  <c r="G637" i="8"/>
  <c r="A636" i="8"/>
  <c r="C635" i="8"/>
  <c r="C634" i="8"/>
  <c r="E633" i="8"/>
  <c r="G632" i="8"/>
  <c r="A631" i="8"/>
  <c r="C630" i="8"/>
  <c r="C629" i="8"/>
  <c r="E628" i="8"/>
  <c r="E627" i="8"/>
  <c r="G626" i="8"/>
  <c r="A625" i="8"/>
  <c r="A624" i="8"/>
  <c r="C623" i="8"/>
  <c r="E622" i="8"/>
  <c r="G621" i="8"/>
  <c r="A620" i="8"/>
  <c r="A619" i="8"/>
  <c r="C618" i="8"/>
  <c r="E617" i="8"/>
  <c r="G616" i="8"/>
  <c r="A615" i="8"/>
  <c r="C614" i="8"/>
  <c r="E613" i="8"/>
  <c r="G612" i="8"/>
  <c r="A611" i="8"/>
  <c r="C610" i="8"/>
  <c r="E609" i="8"/>
  <c r="G608" i="8"/>
  <c r="A607" i="8"/>
  <c r="C606" i="8"/>
  <c r="E605" i="8"/>
  <c r="E604" i="8"/>
  <c r="G603" i="8"/>
  <c r="A602" i="8"/>
  <c r="C601" i="8"/>
  <c r="E600" i="8"/>
  <c r="G599" i="8"/>
  <c r="F688" i="8"/>
  <c r="D686" i="8"/>
  <c r="B684" i="8"/>
  <c r="B682" i="8"/>
  <c r="D675" i="8"/>
  <c r="B673" i="8"/>
  <c r="D668" i="8"/>
  <c r="B662" i="8"/>
  <c r="E659" i="8"/>
  <c r="A658" i="8"/>
  <c r="D655" i="8"/>
  <c r="E651" i="8"/>
  <c r="D650" i="8"/>
  <c r="D647" i="8"/>
  <c r="C646" i="8"/>
  <c r="B642" i="8"/>
  <c r="G639" i="8"/>
  <c r="C638" i="8"/>
  <c r="B637" i="8"/>
  <c r="B634" i="8"/>
  <c r="A633" i="8"/>
  <c r="G631" i="8"/>
  <c r="F630" i="8"/>
  <c r="D627" i="8"/>
  <c r="C626" i="8"/>
  <c r="F623" i="8"/>
  <c r="B622" i="8"/>
  <c r="E619" i="8"/>
  <c r="A618" i="8"/>
  <c r="F615" i="8"/>
  <c r="B614" i="8"/>
  <c r="A613" i="8"/>
  <c r="G611" i="8"/>
  <c r="F610" i="8"/>
  <c r="B609" i="8"/>
  <c r="G606" i="8"/>
  <c r="F605" i="8"/>
  <c r="C604" i="8"/>
  <c r="D603" i="8"/>
  <c r="E602" i="8"/>
  <c r="F601" i="8"/>
  <c r="G600" i="8"/>
  <c r="A598" i="8"/>
  <c r="C597" i="8"/>
  <c r="E596" i="8"/>
  <c r="G595" i="8"/>
  <c r="A594" i="8"/>
  <c r="C593" i="8"/>
  <c r="E592" i="8"/>
  <c r="G591" i="8"/>
  <c r="A590" i="8"/>
  <c r="C589" i="8"/>
  <c r="E588" i="8"/>
  <c r="G587" i="8"/>
  <c r="A586" i="8"/>
  <c r="C585" i="8"/>
  <c r="E584" i="8"/>
  <c r="G583" i="8"/>
  <c r="A582" i="8"/>
  <c r="C581" i="8"/>
  <c r="E580" i="8"/>
  <c r="G579" i="8"/>
  <c r="A578" i="8"/>
  <c r="C577" i="8"/>
  <c r="E576" i="8"/>
  <c r="G575" i="8"/>
  <c r="A574" i="8"/>
  <c r="C573" i="8"/>
  <c r="E572" i="8"/>
  <c r="G571" i="8"/>
  <c r="A570" i="8"/>
  <c r="C569" i="8"/>
  <c r="E568" i="8"/>
  <c r="G567" i="8"/>
  <c r="A566" i="8"/>
  <c r="C565" i="8"/>
  <c r="E564" i="8"/>
  <c r="G563" i="8"/>
  <c r="A562" i="8"/>
  <c r="C561" i="8"/>
  <c r="E560" i="8"/>
  <c r="G690" i="8"/>
  <c r="F681" i="8"/>
  <c r="D679" i="8"/>
  <c r="D677" i="8"/>
  <c r="F672" i="8"/>
  <c r="B670" i="8"/>
  <c r="B665" i="8"/>
  <c r="C663" i="8"/>
  <c r="D660" i="8"/>
  <c r="C656" i="8"/>
  <c r="B655" i="8"/>
  <c r="D652" i="8"/>
  <c r="C651" i="8"/>
  <c r="B647" i="8"/>
  <c r="G644" i="8"/>
  <c r="A643" i="8"/>
  <c r="F640" i="8"/>
  <c r="B639" i="8"/>
  <c r="A638" i="8"/>
  <c r="G636" i="8"/>
  <c r="F635" i="8"/>
  <c r="F632" i="8"/>
  <c r="E631" i="8"/>
  <c r="A630" i="8"/>
  <c r="B627" i="8"/>
  <c r="E624" i="8"/>
  <c r="A623" i="8"/>
  <c r="F620" i="8"/>
  <c r="E616" i="8"/>
  <c r="D615" i="8"/>
  <c r="F612" i="8"/>
  <c r="E611" i="8"/>
  <c r="A610" i="8"/>
  <c r="F607" i="8"/>
  <c r="D606" i="8"/>
  <c r="C605" i="8"/>
  <c r="A604" i="8"/>
  <c r="B603" i="8"/>
  <c r="C602" i="8"/>
  <c r="D601" i="8"/>
  <c r="D600" i="8"/>
  <c r="E599" i="8"/>
  <c r="G598" i="8"/>
  <c r="A597" i="8"/>
  <c r="C596" i="8"/>
  <c r="E595" i="8"/>
  <c r="G594" i="8"/>
  <c r="A593" i="8"/>
  <c r="C592" i="8"/>
  <c r="E591" i="8"/>
  <c r="G590" i="8"/>
  <c r="A589" i="8"/>
  <c r="C588" i="8"/>
  <c r="E587" i="8"/>
  <c r="G586" i="8"/>
  <c r="A585" i="8"/>
  <c r="C584" i="8"/>
  <c r="E583" i="8"/>
  <c r="G582" i="8"/>
  <c r="A581" i="8"/>
  <c r="C580" i="8"/>
  <c r="E579" i="8"/>
  <c r="F685" i="8"/>
  <c r="D683" i="8"/>
  <c r="D681" i="8"/>
  <c r="B679" i="8"/>
  <c r="F674" i="8"/>
  <c r="D672" i="8"/>
  <c r="D667" i="8"/>
  <c r="B663" i="8"/>
  <c r="F661" i="8"/>
  <c r="C660" i="8"/>
  <c r="B656" i="8"/>
  <c r="G653" i="8"/>
  <c r="C652" i="8"/>
  <c r="B651" i="8"/>
  <c r="D648" i="8"/>
  <c r="A647" i="8"/>
  <c r="G645" i="8"/>
  <c r="F644" i="8"/>
  <c r="F641" i="8"/>
  <c r="E640" i="8"/>
  <c r="A639" i="8"/>
  <c r="F636" i="8"/>
  <c r="B635" i="8"/>
  <c r="E632" i="8"/>
  <c r="D631" i="8"/>
  <c r="D628" i="8"/>
  <c r="A627" i="8"/>
  <c r="G625" i="8"/>
  <c r="D624" i="8"/>
  <c r="F621" i="8"/>
  <c r="E620" i="8"/>
  <c r="D616" i="8"/>
  <c r="E612" i="8"/>
  <c r="D611" i="8"/>
  <c r="F608" i="8"/>
  <c r="E607" i="8"/>
  <c r="B606" i="8"/>
  <c r="B605" i="8"/>
  <c r="A603" i="8"/>
  <c r="B602" i="8"/>
  <c r="B601" i="8"/>
  <c r="C600" i="8"/>
  <c r="D599" i="8"/>
  <c r="F598" i="8"/>
  <c r="B596" i="8"/>
  <c r="D595" i="8"/>
  <c r="F594" i="8"/>
  <c r="B592" i="8"/>
  <c r="D591" i="8"/>
  <c r="F590" i="8"/>
  <c r="B588" i="8"/>
  <c r="D587" i="8"/>
  <c r="F586" i="8"/>
  <c r="B584" i="8"/>
  <c r="D583" i="8"/>
  <c r="F582" i="8"/>
  <c r="B580" i="8"/>
  <c r="D579" i="8"/>
  <c r="F578" i="8"/>
  <c r="B576" i="8"/>
  <c r="D575" i="8"/>
  <c r="F574" i="8"/>
  <c r="B572" i="8"/>
  <c r="D571" i="8"/>
  <c r="F570" i="8"/>
  <c r="B568" i="8"/>
  <c r="D567" i="8"/>
  <c r="F566" i="8"/>
  <c r="B564" i="8"/>
  <c r="D563" i="8"/>
  <c r="F562" i="8"/>
  <c r="B560" i="8"/>
  <c r="D559" i="8"/>
  <c r="F558" i="8"/>
  <c r="E696" i="8"/>
  <c r="B688" i="8"/>
  <c r="B678" i="8"/>
  <c r="D670" i="8"/>
  <c r="F666" i="8"/>
  <c r="A663" i="8"/>
  <c r="B661" i="8"/>
  <c r="G658" i="8"/>
  <c r="D656" i="8"/>
  <c r="E654" i="8"/>
  <c r="B652" i="8"/>
  <c r="E650" i="8"/>
  <c r="B648" i="8"/>
  <c r="B646" i="8"/>
  <c r="E641" i="8"/>
  <c r="E637" i="8"/>
  <c r="G635" i="8"/>
  <c r="C633" i="8"/>
  <c r="A629" i="8"/>
  <c r="F626" i="8"/>
  <c r="D622" i="8"/>
  <c r="D620" i="8"/>
  <c r="B618" i="8"/>
  <c r="B616" i="8"/>
  <c r="A614" i="8"/>
  <c r="B612" i="8"/>
  <c r="B608" i="8"/>
  <c r="B604" i="8"/>
  <c r="G602" i="8"/>
  <c r="A601" i="8"/>
  <c r="D598" i="8"/>
  <c r="B597" i="8"/>
  <c r="E594" i="8"/>
  <c r="D593" i="8"/>
  <c r="B687" i="8"/>
  <c r="F680" i="8"/>
  <c r="D673" i="8"/>
  <c r="B669" i="8"/>
  <c r="D662" i="8"/>
  <c r="B660" i="8"/>
  <c r="B658" i="8"/>
  <c r="G649" i="8"/>
  <c r="E645" i="8"/>
  <c r="B643" i="8"/>
  <c r="C641" i="8"/>
  <c r="C637" i="8"/>
  <c r="C628" i="8"/>
  <c r="D626" i="8"/>
  <c r="A622" i="8"/>
  <c r="D617" i="8"/>
  <c r="G615" i="8"/>
  <c r="D613" i="8"/>
  <c r="F611" i="8"/>
  <c r="D609" i="8"/>
  <c r="D607" i="8"/>
  <c r="D602" i="8"/>
  <c r="C599" i="8"/>
  <c r="B598" i="8"/>
  <c r="F595" i="8"/>
  <c r="C594" i="8"/>
  <c r="D590" i="8"/>
  <c r="B589" i="8"/>
  <c r="E586" i="8"/>
  <c r="D585" i="8"/>
  <c r="E581" i="8"/>
  <c r="A580" i="8"/>
  <c r="G574" i="8"/>
  <c r="F573" i="8"/>
  <c r="F572" i="8"/>
  <c r="E571" i="8"/>
  <c r="D570" i="8"/>
  <c r="D569" i="8"/>
  <c r="C568" i="8"/>
  <c r="B567" i="8"/>
  <c r="B566" i="8"/>
  <c r="A565" i="8"/>
  <c r="B557" i="8"/>
  <c r="D556" i="8"/>
  <c r="F555" i="8"/>
  <c r="B553" i="8"/>
  <c r="D552" i="8"/>
  <c r="F551" i="8"/>
  <c r="B549" i="8"/>
  <c r="D548" i="8"/>
  <c r="F547" i="8"/>
  <c r="B545" i="8"/>
  <c r="D544" i="8"/>
  <c r="F543" i="8"/>
  <c r="B541" i="8"/>
  <c r="D540" i="8"/>
  <c r="F539" i="8"/>
  <c r="B537" i="8"/>
  <c r="D536" i="8"/>
  <c r="F535" i="8"/>
  <c r="G691" i="8"/>
  <c r="B683" i="8"/>
  <c r="B680" i="8"/>
  <c r="D676" i="8"/>
  <c r="C662" i="8"/>
  <c r="F655" i="8"/>
  <c r="F653" i="8"/>
  <c r="F651" i="8"/>
  <c r="F649" i="8"/>
  <c r="C647" i="8"/>
  <c r="D645" i="8"/>
  <c r="B641" i="8"/>
  <c r="D632" i="8"/>
  <c r="G630" i="8"/>
  <c r="B628" i="8"/>
  <c r="B626" i="8"/>
  <c r="E621" i="8"/>
  <c r="C617" i="8"/>
  <c r="E615" i="8"/>
  <c r="C613" i="8"/>
  <c r="C609" i="8"/>
  <c r="D605" i="8"/>
  <c r="F603" i="8"/>
  <c r="B599" i="8"/>
  <c r="G596" i="8"/>
  <c r="C595" i="8"/>
  <c r="B594" i="8"/>
  <c r="F591" i="8"/>
  <c r="C590" i="8"/>
  <c r="D586" i="8"/>
  <c r="B585" i="8"/>
  <c r="E582" i="8"/>
  <c r="D581" i="8"/>
  <c r="G577" i="8"/>
  <c r="G576" i="8"/>
  <c r="F575" i="8"/>
  <c r="E574" i="8"/>
  <c r="E573" i="8"/>
  <c r="D572" i="8"/>
  <c r="C571" i="8"/>
  <c r="C570" i="8"/>
  <c r="B569" i="8"/>
  <c r="A568" i="8"/>
  <c r="A567" i="8"/>
  <c r="G561" i="8"/>
  <c r="G560" i="8"/>
  <c r="G559" i="8"/>
  <c r="A557" i="8"/>
  <c r="C556" i="8"/>
  <c r="E555" i="8"/>
  <c r="G554" i="8"/>
  <c r="A553" i="8"/>
  <c r="C552" i="8"/>
  <c r="E551" i="8"/>
  <c r="G550" i="8"/>
  <c r="A549" i="8"/>
  <c r="C548" i="8"/>
  <c r="E547" i="8"/>
  <c r="G546" i="8"/>
  <c r="A545" i="8"/>
  <c r="C544" i="8"/>
  <c r="E543" i="8"/>
  <c r="G542" i="8"/>
  <c r="A541" i="8"/>
  <c r="C540" i="8"/>
  <c r="E539" i="8"/>
  <c r="G538" i="8"/>
  <c r="A537" i="8"/>
  <c r="C536" i="8"/>
  <c r="E535" i="8"/>
  <c r="E534" i="8"/>
  <c r="E533" i="8"/>
  <c r="E532" i="8"/>
  <c r="G531" i="8"/>
  <c r="A530" i="8"/>
  <c r="C529" i="8"/>
  <c r="E528" i="8"/>
  <c r="G527" i="8"/>
  <c r="A526" i="8"/>
  <c r="C525" i="8"/>
  <c r="F689" i="8"/>
  <c r="F686" i="8"/>
  <c r="B672" i="8"/>
  <c r="F668" i="8"/>
  <c r="D664" i="8"/>
  <c r="A662" i="8"/>
  <c r="G659" i="8"/>
  <c r="B657" i="8"/>
  <c r="E655" i="8"/>
  <c r="B653" i="8"/>
  <c r="D651" i="8"/>
  <c r="B649" i="8"/>
  <c r="G640" i="8"/>
  <c r="E636" i="8"/>
  <c r="C632" i="8"/>
  <c r="B630" i="8"/>
  <c r="A628" i="8"/>
  <c r="F625" i="8"/>
  <c r="G623" i="8"/>
  <c r="D621" i="8"/>
  <c r="D619" i="8"/>
  <c r="B617" i="8"/>
  <c r="B613" i="8"/>
  <c r="A609" i="8"/>
  <c r="A605" i="8"/>
  <c r="E603" i="8"/>
  <c r="F600" i="8"/>
  <c r="A599" i="8"/>
  <c r="G597" i="8"/>
  <c r="F596" i="8"/>
  <c r="B595" i="8"/>
  <c r="D689" i="8"/>
  <c r="B686" i="8"/>
  <c r="F682" i="8"/>
  <c r="B664" i="8"/>
  <c r="E661" i="8"/>
  <c r="F659" i="8"/>
  <c r="A657" i="8"/>
  <c r="C655" i="8"/>
  <c r="A653" i="8"/>
  <c r="A649" i="8"/>
  <c r="F646" i="8"/>
  <c r="D642" i="8"/>
  <c r="D640" i="8"/>
  <c r="D638" i="8"/>
  <c r="D636" i="8"/>
  <c r="A634" i="8"/>
  <c r="B632" i="8"/>
  <c r="E625" i="8"/>
  <c r="B623" i="8"/>
  <c r="C621" i="8"/>
  <c r="A617" i="8"/>
  <c r="E608" i="8"/>
  <c r="C603" i="8"/>
  <c r="B600" i="8"/>
  <c r="F597" i="8"/>
  <c r="D596" i="8"/>
  <c r="A595" i="8"/>
  <c r="G593" i="8"/>
  <c r="F592" i="8"/>
  <c r="B591" i="8"/>
  <c r="G588" i="8"/>
  <c r="C587" i="8"/>
  <c r="B586" i="8"/>
  <c r="F583" i="8"/>
  <c r="C582" i="8"/>
  <c r="E578" i="8"/>
  <c r="E577" i="8"/>
  <c r="D576" i="8"/>
  <c r="C575" i="8"/>
  <c r="C574" i="8"/>
  <c r="B573" i="8"/>
  <c r="A572" i="8"/>
  <c r="A571" i="8"/>
  <c r="G565" i="8"/>
  <c r="G564" i="8"/>
  <c r="F563" i="8"/>
  <c r="E562" i="8"/>
  <c r="E561" i="8"/>
  <c r="D560" i="8"/>
  <c r="E559" i="8"/>
  <c r="E558" i="8"/>
  <c r="G557" i="8"/>
  <c r="A556" i="8"/>
  <c r="C555" i="8"/>
  <c r="E554" i="8"/>
  <c r="G553" i="8"/>
  <c r="A552" i="8"/>
  <c r="C551" i="8"/>
  <c r="E550" i="8"/>
  <c r="G549" i="8"/>
  <c r="A548" i="8"/>
  <c r="C547" i="8"/>
  <c r="E546" i="8"/>
  <c r="G545" i="8"/>
  <c r="A544" i="8"/>
  <c r="C543" i="8"/>
  <c r="E542" i="8"/>
  <c r="G541" i="8"/>
  <c r="A540" i="8"/>
  <c r="C539" i="8"/>
  <c r="D685" i="8"/>
  <c r="D682" i="8"/>
  <c r="F678" i="8"/>
  <c r="D671" i="8"/>
  <c r="A664" i="8"/>
  <c r="D661" i="8"/>
  <c r="D659" i="8"/>
  <c r="G654" i="8"/>
  <c r="G650" i="8"/>
  <c r="E646" i="8"/>
  <c r="B644" i="8"/>
  <c r="C642" i="8"/>
  <c r="B638" i="8"/>
  <c r="C627" i="8"/>
  <c r="D625" i="8"/>
  <c r="B621" i="8"/>
  <c r="G618" i="8"/>
  <c r="F616" i="8"/>
  <c r="G614" i="8"/>
  <c r="D612" i="8"/>
  <c r="G610" i="8"/>
  <c r="D608" i="8"/>
  <c r="F606" i="8"/>
  <c r="G601" i="8"/>
  <c r="A600" i="8"/>
  <c r="E597" i="8"/>
  <c r="A596" i="8"/>
  <c r="F593" i="8"/>
  <c r="D592" i="8"/>
  <c r="A591" i="8"/>
  <c r="G589" i="8"/>
  <c r="F588" i="8"/>
  <c r="B587" i="8"/>
  <c r="G584" i="8"/>
  <c r="C583" i="8"/>
  <c r="B582" i="8"/>
  <c r="F579" i="8"/>
  <c r="D578" i="8"/>
  <c r="D577" i="8"/>
  <c r="C576" i="8"/>
  <c r="B575" i="8"/>
  <c r="B574" i="8"/>
  <c r="A573" i="8"/>
  <c r="G566" i="8"/>
  <c r="F565" i="8"/>
  <c r="F564" i="8"/>
  <c r="E563" i="8"/>
  <c r="D562" i="8"/>
  <c r="D561" i="8"/>
  <c r="C560" i="8"/>
  <c r="C559" i="8"/>
  <c r="D558" i="8"/>
  <c r="F557" i="8"/>
  <c r="B555" i="8"/>
  <c r="D554" i="8"/>
  <c r="F553" i="8"/>
  <c r="B551" i="8"/>
  <c r="D550" i="8"/>
  <c r="F549" i="8"/>
  <c r="B547" i="8"/>
  <c r="D546" i="8"/>
  <c r="F545" i="8"/>
  <c r="B543" i="8"/>
  <c r="D542" i="8"/>
  <c r="F541" i="8"/>
  <c r="B539" i="8"/>
  <c r="D538" i="8"/>
  <c r="F537" i="8"/>
  <c r="B535" i="8"/>
  <c r="B534" i="8"/>
  <c r="B533" i="8"/>
  <c r="B532" i="8"/>
  <c r="D531" i="8"/>
  <c r="F530" i="8"/>
  <c r="B528" i="8"/>
  <c r="D527" i="8"/>
  <c r="F526" i="8"/>
  <c r="B523" i="8"/>
  <c r="D522" i="8"/>
  <c r="F521" i="8"/>
  <c r="F684" i="8"/>
  <c r="D669" i="8"/>
  <c r="F658" i="8"/>
  <c r="D641" i="8"/>
  <c r="B633" i="8"/>
  <c r="G607" i="8"/>
  <c r="C586" i="8"/>
  <c r="B581" i="8"/>
  <c r="G578" i="8"/>
  <c r="F576" i="8"/>
  <c r="D574" i="8"/>
  <c r="C572" i="8"/>
  <c r="B570" i="8"/>
  <c r="F561" i="8"/>
  <c r="F559" i="8"/>
  <c r="B556" i="8"/>
  <c r="F554" i="8"/>
  <c r="D551" i="8"/>
  <c r="B548" i="8"/>
  <c r="F546" i="8"/>
  <c r="D543" i="8"/>
  <c r="B540" i="8"/>
  <c r="F538" i="8"/>
  <c r="D537" i="8"/>
  <c r="A536" i="8"/>
  <c r="C533" i="8"/>
  <c r="G526" i="8"/>
  <c r="F525" i="8"/>
  <c r="D524" i="8"/>
  <c r="E523" i="8"/>
  <c r="F522" i="8"/>
  <c r="G521" i="8"/>
  <c r="G520" i="8"/>
  <c r="B518" i="8"/>
  <c r="B517" i="8"/>
  <c r="D516" i="8"/>
  <c r="F515" i="8"/>
  <c r="B512" i="8"/>
  <c r="D511" i="8"/>
  <c r="F510" i="8"/>
  <c r="B508" i="8"/>
  <c r="B507" i="8"/>
  <c r="B506" i="8"/>
  <c r="D505" i="8"/>
  <c r="F504" i="8"/>
  <c r="B502" i="8"/>
  <c r="D501" i="8"/>
  <c r="F500" i="8"/>
  <c r="B498" i="8"/>
  <c r="B497" i="8"/>
  <c r="B496" i="8"/>
  <c r="D495" i="8"/>
  <c r="F494" i="8"/>
  <c r="B492" i="8"/>
  <c r="D491" i="8"/>
  <c r="F490" i="8"/>
  <c r="B488" i="8"/>
  <c r="D487" i="8"/>
  <c r="D486" i="8"/>
  <c r="F485" i="8"/>
  <c r="B483" i="8"/>
  <c r="D482" i="8"/>
  <c r="F481" i="8"/>
  <c r="B479" i="8"/>
  <c r="D478" i="8"/>
  <c r="F477" i="8"/>
  <c r="C648" i="8"/>
  <c r="F631" i="8"/>
  <c r="F614" i="8"/>
  <c r="A606" i="8"/>
  <c r="C591" i="8"/>
  <c r="D588" i="8"/>
  <c r="G585" i="8"/>
  <c r="B583" i="8"/>
  <c r="G580" i="8"/>
  <c r="C578" i="8"/>
  <c r="A576" i="8"/>
  <c r="G569" i="8"/>
  <c r="F567" i="8"/>
  <c r="E565" i="8"/>
  <c r="C563" i="8"/>
  <c r="B561" i="8"/>
  <c r="B559" i="8"/>
  <c r="E557" i="8"/>
  <c r="C554" i="8"/>
  <c r="G552" i="8"/>
  <c r="A551" i="8"/>
  <c r="E549" i="8"/>
  <c r="C546" i="8"/>
  <c r="G544" i="8"/>
  <c r="A543" i="8"/>
  <c r="E541" i="8"/>
  <c r="E538" i="8"/>
  <c r="C537" i="8"/>
  <c r="D534" i="8"/>
  <c r="A533" i="8"/>
  <c r="G529" i="8"/>
  <c r="G528" i="8"/>
  <c r="F527" i="8"/>
  <c r="E526" i="8"/>
  <c r="E525" i="8"/>
  <c r="C524" i="8"/>
  <c r="D523" i="8"/>
  <c r="E522" i="8"/>
  <c r="E521" i="8"/>
  <c r="F520" i="8"/>
  <c r="G519" i="8"/>
  <c r="A518" i="8"/>
  <c r="A517" i="8"/>
  <c r="C516" i="8"/>
  <c r="E515" i="8"/>
  <c r="E514" i="8"/>
  <c r="G513" i="8"/>
  <c r="A512" i="8"/>
  <c r="C511" i="8"/>
  <c r="E510" i="8"/>
  <c r="G509" i="8"/>
  <c r="A508" i="8"/>
  <c r="A507" i="8"/>
  <c r="A506" i="8"/>
  <c r="C505" i="8"/>
  <c r="E504" i="8"/>
  <c r="G503" i="8"/>
  <c r="A502" i="8"/>
  <c r="C501" i="8"/>
  <c r="B666" i="8"/>
  <c r="A656" i="8"/>
  <c r="A648" i="8"/>
  <c r="F639" i="8"/>
  <c r="C622" i="8"/>
  <c r="F599" i="8"/>
  <c r="D594" i="8"/>
  <c r="A588" i="8"/>
  <c r="F585" i="8"/>
  <c r="A583" i="8"/>
  <c r="F580" i="8"/>
  <c r="B578" i="8"/>
  <c r="F569" i="8"/>
  <c r="E567" i="8"/>
  <c r="D565" i="8"/>
  <c r="B563" i="8"/>
  <c r="A561" i="8"/>
  <c r="A559" i="8"/>
  <c r="D557" i="8"/>
  <c r="B554" i="8"/>
  <c r="F552" i="8"/>
  <c r="D549" i="8"/>
  <c r="B546" i="8"/>
  <c r="F544" i="8"/>
  <c r="D541" i="8"/>
  <c r="C538" i="8"/>
  <c r="C534" i="8"/>
  <c r="G530" i="8"/>
  <c r="F529" i="8"/>
  <c r="F528" i="8"/>
  <c r="E527" i="8"/>
  <c r="D526" i="8"/>
  <c r="D525" i="8"/>
  <c r="B524" i="8"/>
  <c r="C523" i="8"/>
  <c r="C522" i="8"/>
  <c r="D521" i="8"/>
  <c r="E520" i="8"/>
  <c r="F519" i="8"/>
  <c r="B516" i="8"/>
  <c r="D515" i="8"/>
  <c r="D514" i="8"/>
  <c r="F513" i="8"/>
  <c r="B511" i="8"/>
  <c r="D510" i="8"/>
  <c r="F509" i="8"/>
  <c r="B505" i="8"/>
  <c r="D504" i="8"/>
  <c r="F503" i="8"/>
  <c r="B501" i="8"/>
  <c r="D500" i="8"/>
  <c r="F499" i="8"/>
  <c r="B495" i="8"/>
  <c r="D494" i="8"/>
  <c r="F493" i="8"/>
  <c r="B491" i="8"/>
  <c r="D490" i="8"/>
  <c r="F489" i="8"/>
  <c r="B487" i="8"/>
  <c r="B486" i="8"/>
  <c r="D485" i="8"/>
  <c r="F484" i="8"/>
  <c r="B482" i="8"/>
  <c r="D481" i="8"/>
  <c r="F480" i="8"/>
  <c r="B478" i="8"/>
  <c r="D477" i="8"/>
  <c r="F476" i="8"/>
  <c r="B474" i="8"/>
  <c r="C695" i="8"/>
  <c r="B671" i="8"/>
  <c r="F637" i="8"/>
  <c r="E626" i="8"/>
  <c r="E601" i="8"/>
  <c r="B593" i="8"/>
  <c r="D584" i="8"/>
  <c r="E569" i="8"/>
  <c r="D566" i="8"/>
  <c r="G562" i="8"/>
  <c r="G556" i="8"/>
  <c r="A554" i="8"/>
  <c r="C541" i="8"/>
  <c r="G536" i="8"/>
  <c r="D532" i="8"/>
  <c r="E530" i="8"/>
  <c r="A529" i="8"/>
  <c r="B527" i="8"/>
  <c r="G525" i="8"/>
  <c r="B522" i="8"/>
  <c r="D519" i="8"/>
  <c r="C518" i="8"/>
  <c r="G516" i="8"/>
  <c r="C515" i="8"/>
  <c r="F512" i="8"/>
  <c r="E511" i="8"/>
  <c r="A510" i="8"/>
  <c r="G508" i="8"/>
  <c r="D507" i="8"/>
  <c r="G504" i="8"/>
  <c r="C503" i="8"/>
  <c r="G499" i="8"/>
  <c r="F498" i="8"/>
  <c r="D497" i="8"/>
  <c r="A496" i="8"/>
  <c r="G489" i="8"/>
  <c r="F488" i="8"/>
  <c r="F487" i="8"/>
  <c r="C486" i="8"/>
  <c r="B485" i="8"/>
  <c r="B484" i="8"/>
  <c r="A483" i="8"/>
  <c r="B472" i="8"/>
  <c r="B471" i="8"/>
  <c r="D470" i="8"/>
  <c r="F469" i="8"/>
  <c r="B466" i="8"/>
  <c r="D465" i="8"/>
  <c r="F464" i="8"/>
  <c r="B462" i="8"/>
  <c r="D461" i="8"/>
  <c r="F460" i="8"/>
  <c r="B458" i="8"/>
  <c r="D457" i="8"/>
  <c r="D456" i="8"/>
  <c r="F455" i="8"/>
  <c r="B453" i="8"/>
  <c r="D452" i="8"/>
  <c r="F451" i="8"/>
  <c r="B449" i="8"/>
  <c r="C661" i="8"/>
  <c r="D646" i="8"/>
  <c r="A635" i="8"/>
  <c r="C608" i="8"/>
  <c r="D597" i="8"/>
  <c r="E590" i="8"/>
  <c r="D582" i="8"/>
  <c r="A579" i="8"/>
  <c r="A575" i="8"/>
  <c r="F571" i="8"/>
  <c r="F568" i="8"/>
  <c r="C558" i="8"/>
  <c r="G555" i="8"/>
  <c r="D553" i="8"/>
  <c r="F550" i="8"/>
  <c r="E548" i="8"/>
  <c r="E545" i="8"/>
  <c r="F540" i="8"/>
  <c r="A538" i="8"/>
  <c r="B536" i="8"/>
  <c r="F531" i="8"/>
  <c r="B530" i="8"/>
  <c r="C528" i="8"/>
  <c r="A523" i="8"/>
  <c r="C520" i="8"/>
  <c r="A519" i="8"/>
  <c r="E517" i="8"/>
  <c r="A516" i="8"/>
  <c r="D513" i="8"/>
  <c r="C512" i="8"/>
  <c r="E509" i="8"/>
  <c r="D508" i="8"/>
  <c r="E505" i="8"/>
  <c r="A504" i="8"/>
  <c r="G502" i="8"/>
  <c r="F501" i="8"/>
  <c r="C500" i="8"/>
  <c r="C499" i="8"/>
  <c r="C498" i="8"/>
  <c r="G495" i="8"/>
  <c r="G494" i="8"/>
  <c r="E493" i="8"/>
  <c r="E492" i="8"/>
  <c r="E491" i="8"/>
  <c r="C490" i="8"/>
  <c r="C489" i="8"/>
  <c r="C488" i="8"/>
  <c r="A487" i="8"/>
  <c r="G483" i="8"/>
  <c r="G482" i="8"/>
  <c r="G481" i="8"/>
  <c r="E480" i="8"/>
  <c r="E479" i="8"/>
  <c r="E478" i="8"/>
  <c r="C477" i="8"/>
  <c r="D476" i="8"/>
  <c r="E475" i="8"/>
  <c r="F474" i="8"/>
  <c r="E473" i="8"/>
  <c r="G472" i="8"/>
  <c r="A470" i="8"/>
  <c r="D678" i="8"/>
  <c r="E660" i="8"/>
  <c r="F645" i="8"/>
  <c r="D633" i="8"/>
  <c r="F618" i="8"/>
  <c r="D604" i="8"/>
  <c r="B590" i="8"/>
  <c r="B571" i="8"/>
  <c r="D568" i="8"/>
  <c r="D564" i="8"/>
  <c r="B558" i="8"/>
  <c r="D555" i="8"/>
  <c r="C553" i="8"/>
  <c r="C550" i="8"/>
  <c r="G547" i="8"/>
  <c r="D545" i="8"/>
  <c r="F542" i="8"/>
  <c r="E540" i="8"/>
  <c r="G535" i="8"/>
  <c r="E531" i="8"/>
  <c r="A528" i="8"/>
  <c r="C526" i="8"/>
  <c r="B520" i="8"/>
  <c r="G518" i="8"/>
  <c r="D517" i="8"/>
  <c r="C513" i="8"/>
  <c r="D509" i="8"/>
  <c r="C508" i="8"/>
  <c r="E506" i="8"/>
  <c r="A505" i="8"/>
  <c r="F502" i="8"/>
  <c r="E501" i="8"/>
  <c r="B500" i="8"/>
  <c r="B499" i="8"/>
  <c r="A498" i="8"/>
  <c r="F495" i="8"/>
  <c r="E494" i="8"/>
  <c r="D493" i="8"/>
  <c r="D492" i="8"/>
  <c r="C491" i="8"/>
  <c r="B490" i="8"/>
  <c r="B489" i="8"/>
  <c r="A488" i="8"/>
  <c r="F677" i="8"/>
  <c r="A644" i="8"/>
  <c r="B629" i="8"/>
  <c r="F589" i="8"/>
  <c r="E585" i="8"/>
  <c r="G581" i="8"/>
  <c r="F577" i="8"/>
  <c r="C567" i="8"/>
  <c r="C564" i="8"/>
  <c r="F560" i="8"/>
  <c r="A558" i="8"/>
  <c r="A555" i="8"/>
  <c r="E552" i="8"/>
  <c r="B550" i="8"/>
  <c r="D547" i="8"/>
  <c r="C545" i="8"/>
  <c r="C542" i="8"/>
  <c r="G539" i="8"/>
  <c r="G537" i="8"/>
  <c r="D535" i="8"/>
  <c r="D533" i="8"/>
  <c r="C531" i="8"/>
  <c r="E529" i="8"/>
  <c r="B526" i="8"/>
  <c r="E524" i="8"/>
  <c r="C521" i="8"/>
  <c r="A520" i="8"/>
  <c r="F518" i="8"/>
  <c r="C517" i="8"/>
  <c r="C514" i="8"/>
  <c r="B513" i="8"/>
  <c r="G510" i="8"/>
  <c r="C509" i="8"/>
  <c r="D506" i="8"/>
  <c r="E502" i="8"/>
  <c r="A501" i="8"/>
  <c r="A500" i="8"/>
  <c r="A499" i="8"/>
  <c r="E496" i="8"/>
  <c r="E495" i="8"/>
  <c r="C494" i="8"/>
  <c r="C493" i="8"/>
  <c r="C492" i="8"/>
  <c r="A491" i="8"/>
  <c r="A490" i="8"/>
  <c r="A489" i="8"/>
  <c r="G485" i="8"/>
  <c r="E484" i="8"/>
  <c r="E483" i="8"/>
  <c r="E482" i="8"/>
  <c r="C481" i="8"/>
  <c r="C480" i="8"/>
  <c r="C479" i="8"/>
  <c r="B674" i="8"/>
  <c r="F654" i="8"/>
  <c r="C616" i="8"/>
  <c r="E589" i="8"/>
  <c r="F581" i="8"/>
  <c r="B577" i="8"/>
  <c r="G573" i="8"/>
  <c r="G570" i="8"/>
  <c r="A564" i="8"/>
  <c r="A560" i="8"/>
  <c r="C557" i="8"/>
  <c r="B552" i="8"/>
  <c r="A550" i="8"/>
  <c r="A547" i="8"/>
  <c r="E544" i="8"/>
  <c r="B542" i="8"/>
  <c r="D539" i="8"/>
  <c r="E537" i="8"/>
  <c r="C535" i="8"/>
  <c r="B531" i="8"/>
  <c r="D529" i="8"/>
  <c r="A524" i="8"/>
  <c r="B521" i="8"/>
  <c r="E518" i="8"/>
  <c r="B514" i="8"/>
  <c r="A513" i="8"/>
  <c r="G511" i="8"/>
  <c r="C510" i="8"/>
  <c r="B509" i="8"/>
  <c r="C506" i="8"/>
  <c r="E503" i="8"/>
  <c r="D502" i="8"/>
  <c r="D496" i="8"/>
  <c r="C495" i="8"/>
  <c r="B494" i="8"/>
  <c r="B493" i="8"/>
  <c r="A492" i="8"/>
  <c r="E485" i="8"/>
  <c r="D484" i="8"/>
  <c r="D483" i="8"/>
  <c r="C482" i="8"/>
  <c r="B481" i="8"/>
  <c r="B480" i="8"/>
  <c r="A479" i="8"/>
  <c r="A476" i="8"/>
  <c r="B475" i="8"/>
  <c r="C474" i="8"/>
  <c r="B473" i="8"/>
  <c r="D472" i="8"/>
  <c r="D471" i="8"/>
  <c r="F470" i="8"/>
  <c r="B468" i="8"/>
  <c r="A642" i="8"/>
  <c r="F587" i="8"/>
  <c r="A577" i="8"/>
  <c r="G568" i="8"/>
  <c r="D528" i="8"/>
  <c r="G523" i="8"/>
  <c r="E519" i="8"/>
  <c r="E516" i="8"/>
  <c r="E512" i="8"/>
  <c r="A509" i="8"/>
  <c r="F505" i="8"/>
  <c r="G498" i="8"/>
  <c r="G492" i="8"/>
  <c r="C487" i="8"/>
  <c r="G480" i="8"/>
  <c r="F478" i="8"/>
  <c r="D475" i="8"/>
  <c r="E472" i="8"/>
  <c r="G469" i="8"/>
  <c r="F468" i="8"/>
  <c r="D467" i="8"/>
  <c r="E466" i="8"/>
  <c r="F465" i="8"/>
  <c r="G464" i="8"/>
  <c r="G463" i="8"/>
  <c r="A460" i="8"/>
  <c r="D687" i="8"/>
  <c r="D637" i="8"/>
  <c r="F602" i="8"/>
  <c r="A587" i="8"/>
  <c r="E566" i="8"/>
  <c r="G558" i="8"/>
  <c r="G551" i="8"/>
  <c r="B544" i="8"/>
  <c r="B538" i="8"/>
  <c r="C532" i="8"/>
  <c r="C527" i="8"/>
  <c r="F523" i="8"/>
  <c r="C519" i="8"/>
  <c r="G515" i="8"/>
  <c r="D512" i="8"/>
  <c r="F508" i="8"/>
  <c r="G501" i="8"/>
  <c r="E498" i="8"/>
  <c r="A495" i="8"/>
  <c r="F492" i="8"/>
  <c r="E489" i="8"/>
  <c r="G484" i="8"/>
  <c r="F482" i="8"/>
  <c r="D480" i="8"/>
  <c r="C478" i="8"/>
  <c r="G476" i="8"/>
  <c r="C475" i="8"/>
  <c r="C472" i="8"/>
  <c r="E469" i="8"/>
  <c r="E468" i="8"/>
  <c r="C467" i="8"/>
  <c r="D466" i="8"/>
  <c r="E465" i="8"/>
  <c r="E464" i="8"/>
  <c r="F463" i="8"/>
  <c r="G462" i="8"/>
  <c r="A459" i="8"/>
  <c r="A458" i="8"/>
  <c r="B457" i="8"/>
  <c r="A456" i="8"/>
  <c r="B455" i="8"/>
  <c r="C454" i="8"/>
  <c r="D453" i="8"/>
  <c r="E452" i="8"/>
  <c r="E451" i="8"/>
  <c r="F450" i="8"/>
  <c r="G449" i="8"/>
  <c r="B447" i="8"/>
  <c r="D446" i="8"/>
  <c r="F445" i="8"/>
  <c r="B443" i="8"/>
  <c r="D442" i="8"/>
  <c r="F441" i="8"/>
  <c r="B438" i="8"/>
  <c r="D437" i="8"/>
  <c r="F436" i="8"/>
  <c r="B434" i="8"/>
  <c r="D433" i="8"/>
  <c r="F432" i="8"/>
  <c r="B430" i="8"/>
  <c r="D429" i="8"/>
  <c r="F428" i="8"/>
  <c r="B426" i="8"/>
  <c r="D425" i="8"/>
  <c r="F424" i="8"/>
  <c r="B422" i="8"/>
  <c r="D421" i="8"/>
  <c r="F420" i="8"/>
  <c r="B417" i="8"/>
  <c r="D416" i="8"/>
  <c r="F415" i="8"/>
  <c r="B413" i="8"/>
  <c r="D412" i="8"/>
  <c r="F411" i="8"/>
  <c r="B409" i="8"/>
  <c r="D408" i="8"/>
  <c r="F407" i="8"/>
  <c r="B405" i="8"/>
  <c r="D404" i="8"/>
  <c r="E598" i="8"/>
  <c r="F584" i="8"/>
  <c r="E575" i="8"/>
  <c r="C566" i="8"/>
  <c r="A532" i="8"/>
  <c r="A527" i="8"/>
  <c r="G522" i="8"/>
  <c r="B519" i="8"/>
  <c r="B515" i="8"/>
  <c r="F511" i="8"/>
  <c r="E508" i="8"/>
  <c r="C504" i="8"/>
  <c r="D498" i="8"/>
  <c r="D489" i="8"/>
  <c r="E486" i="8"/>
  <c r="C484" i="8"/>
  <c r="A482" i="8"/>
  <c r="A480" i="8"/>
  <c r="A478" i="8"/>
  <c r="E476" i="8"/>
  <c r="A475" i="8"/>
  <c r="D473" i="8"/>
  <c r="A472" i="8"/>
  <c r="G470" i="8"/>
  <c r="D469" i="8"/>
  <c r="D468" i="8"/>
  <c r="B467" i="8"/>
  <c r="C466" i="8"/>
  <c r="C465" i="8"/>
  <c r="D464" i="8"/>
  <c r="E463" i="8"/>
  <c r="F462" i="8"/>
  <c r="G461" i="8"/>
  <c r="A457" i="8"/>
  <c r="A455" i="8"/>
  <c r="B454" i="8"/>
  <c r="C453" i="8"/>
  <c r="C452" i="8"/>
  <c r="D451" i="8"/>
  <c r="E450" i="8"/>
  <c r="F449" i="8"/>
  <c r="G448" i="8"/>
  <c r="A447" i="8"/>
  <c r="C446" i="8"/>
  <c r="E445" i="8"/>
  <c r="G444" i="8"/>
  <c r="A443" i="8"/>
  <c r="C442" i="8"/>
  <c r="E441" i="8"/>
  <c r="E440" i="8"/>
  <c r="G439" i="8"/>
  <c r="A438" i="8"/>
  <c r="C437" i="8"/>
  <c r="E436" i="8"/>
  <c r="G435" i="8"/>
  <c r="A434" i="8"/>
  <c r="C433" i="8"/>
  <c r="E432" i="8"/>
  <c r="G431" i="8"/>
  <c r="A430" i="8"/>
  <c r="C429" i="8"/>
  <c r="E428" i="8"/>
  <c r="G427" i="8"/>
  <c r="A426" i="8"/>
  <c r="C425" i="8"/>
  <c r="E424" i="8"/>
  <c r="G423" i="8"/>
  <c r="A422" i="8"/>
  <c r="C421" i="8"/>
  <c r="E420" i="8"/>
  <c r="E419" i="8"/>
  <c r="G418" i="8"/>
  <c r="A417" i="8"/>
  <c r="C416" i="8"/>
  <c r="E415" i="8"/>
  <c r="G414" i="8"/>
  <c r="A413" i="8"/>
  <c r="C412" i="8"/>
  <c r="E411" i="8"/>
  <c r="G410" i="8"/>
  <c r="A409" i="8"/>
  <c r="C408" i="8"/>
  <c r="E407" i="8"/>
  <c r="G406" i="8"/>
  <c r="A405" i="8"/>
  <c r="C404" i="8"/>
  <c r="E403" i="8"/>
  <c r="G402" i="8"/>
  <c r="D663" i="8"/>
  <c r="C598" i="8"/>
  <c r="A584" i="8"/>
  <c r="D573" i="8"/>
  <c r="B565" i="8"/>
  <c r="F556" i="8"/>
  <c r="C549" i="8"/>
  <c r="G543" i="8"/>
  <c r="F536" i="8"/>
  <c r="A531" i="8"/>
  <c r="A522" i="8"/>
  <c r="D518" i="8"/>
  <c r="A515" i="8"/>
  <c r="A511" i="8"/>
  <c r="E507" i="8"/>
  <c r="B504" i="8"/>
  <c r="G500" i="8"/>
  <c r="E497" i="8"/>
  <c r="G491" i="8"/>
  <c r="G488" i="8"/>
  <c r="A486" i="8"/>
  <c r="A484" i="8"/>
  <c r="G479" i="8"/>
  <c r="C476" i="8"/>
  <c r="C473" i="8"/>
  <c r="E470" i="8"/>
  <c r="C469" i="8"/>
  <c r="C468" i="8"/>
  <c r="A467" i="8"/>
  <c r="A466" i="8"/>
  <c r="B465" i="8"/>
  <c r="C464" i="8"/>
  <c r="D463" i="8"/>
  <c r="E462" i="8"/>
  <c r="F461" i="8"/>
  <c r="G460" i="8"/>
  <c r="G459" i="8"/>
  <c r="A454" i="8"/>
  <c r="A453" i="8"/>
  <c r="B452" i="8"/>
  <c r="C451" i="8"/>
  <c r="D450" i="8"/>
  <c r="E449" i="8"/>
  <c r="F448" i="8"/>
  <c r="B446" i="8"/>
  <c r="D445" i="8"/>
  <c r="F444" i="8"/>
  <c r="B442" i="8"/>
  <c r="D441" i="8"/>
  <c r="D440" i="8"/>
  <c r="F439" i="8"/>
  <c r="B437" i="8"/>
  <c r="D436" i="8"/>
  <c r="F435" i="8"/>
  <c r="B433" i="8"/>
  <c r="D432" i="8"/>
  <c r="F431" i="8"/>
  <c r="B429" i="8"/>
  <c r="D428" i="8"/>
  <c r="F427" i="8"/>
  <c r="B425" i="8"/>
  <c r="D424" i="8"/>
  <c r="F423" i="8"/>
  <c r="B421" i="8"/>
  <c r="D420" i="8"/>
  <c r="D419" i="8"/>
  <c r="F418" i="8"/>
  <c r="B416" i="8"/>
  <c r="D415" i="8"/>
  <c r="F414" i="8"/>
  <c r="B412" i="8"/>
  <c r="D411" i="8"/>
  <c r="F410" i="8"/>
  <c r="B408" i="8"/>
  <c r="D407" i="8"/>
  <c r="F406" i="8"/>
  <c r="B404" i="8"/>
  <c r="D403" i="8"/>
  <c r="F402" i="8"/>
  <c r="B400" i="8"/>
  <c r="D399" i="8"/>
  <c r="F398" i="8"/>
  <c r="B396" i="8"/>
  <c r="D395" i="8"/>
  <c r="F394" i="8"/>
  <c r="B392" i="8"/>
  <c r="B391" i="8"/>
  <c r="D390" i="8"/>
  <c r="F389" i="8"/>
  <c r="B387" i="8"/>
  <c r="D386" i="8"/>
  <c r="F385" i="8"/>
  <c r="B383" i="8"/>
  <c r="D382" i="8"/>
  <c r="F381" i="8"/>
  <c r="B379" i="8"/>
  <c r="D378" i="8"/>
  <c r="F377" i="8"/>
  <c r="B375" i="8"/>
  <c r="D374" i="8"/>
  <c r="F373" i="8"/>
  <c r="E593" i="8"/>
  <c r="A563" i="8"/>
  <c r="E556" i="8"/>
  <c r="G548" i="8"/>
  <c r="A542" i="8"/>
  <c r="E536" i="8"/>
  <c r="D530" i="8"/>
  <c r="A514" i="8"/>
  <c r="C507" i="8"/>
  <c r="D503" i="8"/>
  <c r="E500" i="8"/>
  <c r="C497" i="8"/>
  <c r="A494" i="8"/>
  <c r="F491" i="8"/>
  <c r="E488" i="8"/>
  <c r="F479" i="8"/>
  <c r="G477" i="8"/>
  <c r="B476" i="8"/>
  <c r="G474" i="8"/>
  <c r="A473" i="8"/>
  <c r="C470" i="8"/>
  <c r="B469" i="8"/>
  <c r="A468" i="8"/>
  <c r="A465" i="8"/>
  <c r="B464" i="8"/>
  <c r="C463" i="8"/>
  <c r="D462" i="8"/>
  <c r="E461" i="8"/>
  <c r="E460" i="8"/>
  <c r="F459" i="8"/>
  <c r="G458" i="8"/>
  <c r="A452" i="8"/>
  <c r="B451" i="8"/>
  <c r="C450" i="8"/>
  <c r="D449" i="8"/>
  <c r="E448" i="8"/>
  <c r="G447" i="8"/>
  <c r="A446" i="8"/>
  <c r="C445" i="8"/>
  <c r="E444" i="8"/>
  <c r="G443" i="8"/>
  <c r="A442" i="8"/>
  <c r="C441" i="8"/>
  <c r="C440" i="8"/>
  <c r="E439" i="8"/>
  <c r="G438" i="8"/>
  <c r="A437" i="8"/>
  <c r="C436" i="8"/>
  <c r="E435" i="8"/>
  <c r="G434" i="8"/>
  <c r="A433" i="8"/>
  <c r="C432" i="8"/>
  <c r="E431" i="8"/>
  <c r="G430" i="8"/>
  <c r="A429" i="8"/>
  <c r="C428" i="8"/>
  <c r="E427" i="8"/>
  <c r="G426" i="8"/>
  <c r="A425" i="8"/>
  <c r="C424" i="8"/>
  <c r="E423" i="8"/>
  <c r="G422" i="8"/>
  <c r="A421" i="8"/>
  <c r="C420" i="8"/>
  <c r="C419" i="8"/>
  <c r="E418" i="8"/>
  <c r="G417" i="8"/>
  <c r="A416" i="8"/>
  <c r="C415" i="8"/>
  <c r="E414" i="8"/>
  <c r="G413" i="8"/>
  <c r="A412" i="8"/>
  <c r="C411" i="8"/>
  <c r="E410" i="8"/>
  <c r="G409" i="8"/>
  <c r="A408" i="8"/>
  <c r="C407" i="8"/>
  <c r="E406" i="8"/>
  <c r="G405" i="8"/>
  <c r="A404" i="8"/>
  <c r="C403" i="8"/>
  <c r="E402" i="8"/>
  <c r="G401" i="8"/>
  <c r="A400" i="8"/>
  <c r="C399" i="8"/>
  <c r="E398" i="8"/>
  <c r="G397" i="8"/>
  <c r="A396" i="8"/>
  <c r="C395" i="8"/>
  <c r="E394" i="8"/>
  <c r="G393" i="8"/>
  <c r="A392" i="8"/>
  <c r="A391" i="8"/>
  <c r="C390" i="8"/>
  <c r="E389" i="8"/>
  <c r="G388" i="8"/>
  <c r="A387" i="8"/>
  <c r="C386" i="8"/>
  <c r="E385" i="8"/>
  <c r="G384" i="8"/>
  <c r="A383" i="8"/>
  <c r="C382" i="8"/>
  <c r="E381" i="8"/>
  <c r="G380" i="8"/>
  <c r="A379" i="8"/>
  <c r="C378" i="8"/>
  <c r="E377" i="8"/>
  <c r="G376" i="8"/>
  <c r="A375" i="8"/>
  <c r="C374" i="8"/>
  <c r="E373" i="8"/>
  <c r="E372" i="8"/>
  <c r="E371" i="8"/>
  <c r="G370" i="8"/>
  <c r="A369" i="8"/>
  <c r="C368" i="8"/>
  <c r="E367" i="8"/>
  <c r="G366" i="8"/>
  <c r="A365" i="8"/>
  <c r="C364" i="8"/>
  <c r="E363" i="8"/>
  <c r="G362" i="8"/>
  <c r="A361" i="8"/>
  <c r="D654" i="8"/>
  <c r="G620" i="8"/>
  <c r="G592" i="8"/>
  <c r="D580" i="8"/>
  <c r="G572" i="8"/>
  <c r="C562" i="8"/>
  <c r="F548" i="8"/>
  <c r="A535" i="8"/>
  <c r="C530" i="8"/>
  <c r="B525" i="8"/>
  <c r="A521" i="8"/>
  <c r="B510" i="8"/>
  <c r="B503" i="8"/>
  <c r="A497" i="8"/>
  <c r="D488" i="8"/>
  <c r="F483" i="8"/>
  <c r="E481" i="8"/>
  <c r="D479" i="8"/>
  <c r="E477" i="8"/>
  <c r="E474" i="8"/>
  <c r="E471" i="8"/>
  <c r="B470" i="8"/>
  <c r="A469" i="8"/>
  <c r="A464" i="8"/>
  <c r="B463" i="8"/>
  <c r="C462" i="8"/>
  <c r="C461" i="8"/>
  <c r="D460" i="8"/>
  <c r="A652" i="8"/>
  <c r="C612" i="8"/>
  <c r="A592" i="8"/>
  <c r="C579" i="8"/>
  <c r="E570" i="8"/>
  <c r="B562" i="8"/>
  <c r="G540" i="8"/>
  <c r="A534" i="8"/>
  <c r="B529" i="8"/>
  <c r="A525" i="8"/>
  <c r="E513" i="8"/>
  <c r="A503" i="8"/>
  <c r="E499" i="8"/>
  <c r="C496" i="8"/>
  <c r="G493" i="8"/>
  <c r="G490" i="8"/>
  <c r="G487" i="8"/>
  <c r="C485" i="8"/>
  <c r="C483" i="8"/>
  <c r="A481" i="8"/>
  <c r="B477" i="8"/>
  <c r="G475" i="8"/>
  <c r="D474" i="8"/>
  <c r="C471" i="8"/>
  <c r="G466" i="8"/>
  <c r="A463" i="8"/>
  <c r="A462" i="8"/>
  <c r="B461" i="8"/>
  <c r="C460" i="8"/>
  <c r="D459" i="8"/>
  <c r="E458" i="8"/>
  <c r="F457" i="8"/>
  <c r="E456" i="8"/>
  <c r="E455" i="8"/>
  <c r="F454" i="8"/>
  <c r="G453" i="8"/>
  <c r="A450" i="8"/>
  <c r="A449" i="8"/>
  <c r="C448" i="8"/>
  <c r="E447" i="8"/>
  <c r="G446" i="8"/>
  <c r="A445" i="8"/>
  <c r="C444" i="8"/>
  <c r="E443" i="8"/>
  <c r="G442" i="8"/>
  <c r="A441" i="8"/>
  <c r="A440" i="8"/>
  <c r="C439" i="8"/>
  <c r="E438" i="8"/>
  <c r="G437" i="8"/>
  <c r="A436" i="8"/>
  <c r="C435" i="8"/>
  <c r="E434" i="8"/>
  <c r="G433" i="8"/>
  <c r="A432" i="8"/>
  <c r="C431" i="8"/>
  <c r="E430" i="8"/>
  <c r="G429" i="8"/>
  <c r="A428" i="8"/>
  <c r="C427" i="8"/>
  <c r="E426" i="8"/>
  <c r="G425" i="8"/>
  <c r="A424" i="8"/>
  <c r="C423" i="8"/>
  <c r="E422" i="8"/>
  <c r="G421" i="8"/>
  <c r="A420" i="8"/>
  <c r="A419" i="8"/>
  <c r="C418" i="8"/>
  <c r="E417" i="8"/>
  <c r="G416" i="8"/>
  <c r="A415" i="8"/>
  <c r="C414" i="8"/>
  <c r="E413" i="8"/>
  <c r="G412" i="8"/>
  <c r="A411" i="8"/>
  <c r="C410" i="8"/>
  <c r="E409" i="8"/>
  <c r="G408" i="8"/>
  <c r="A407" i="8"/>
  <c r="C406" i="8"/>
  <c r="E405" i="8"/>
  <c r="G404" i="8"/>
  <c r="A403" i="8"/>
  <c r="C402" i="8"/>
  <c r="E401" i="8"/>
  <c r="G400" i="8"/>
  <c r="A399" i="8"/>
  <c r="C398" i="8"/>
  <c r="E397" i="8"/>
  <c r="G396" i="8"/>
  <c r="A395" i="8"/>
  <c r="C394" i="8"/>
  <c r="E393" i="8"/>
  <c r="G392" i="8"/>
  <c r="A390" i="8"/>
  <c r="C389" i="8"/>
  <c r="E388" i="8"/>
  <c r="G387" i="8"/>
  <c r="A386" i="8"/>
  <c r="C385" i="8"/>
  <c r="E384" i="8"/>
  <c r="G383" i="8"/>
  <c r="A382" i="8"/>
  <c r="C381" i="8"/>
  <c r="E380" i="8"/>
  <c r="G379" i="8"/>
  <c r="A378" i="8"/>
  <c r="C377" i="8"/>
  <c r="E376" i="8"/>
  <c r="G375" i="8"/>
  <c r="A374" i="8"/>
  <c r="C373" i="8"/>
  <c r="C372" i="8"/>
  <c r="C371" i="8"/>
  <c r="E370" i="8"/>
  <c r="G369" i="8"/>
  <c r="A368" i="8"/>
  <c r="C367" i="8"/>
  <c r="E366" i="8"/>
  <c r="G365" i="8"/>
  <c r="A364" i="8"/>
  <c r="C363" i="8"/>
  <c r="E362" i="8"/>
  <c r="G361" i="8"/>
  <c r="A360" i="8"/>
  <c r="C359" i="8"/>
  <c r="E358" i="8"/>
  <c r="G357" i="8"/>
  <c r="A356" i="8"/>
  <c r="C355" i="8"/>
  <c r="E354" i="8"/>
  <c r="G353" i="8"/>
  <c r="A352" i="8"/>
  <c r="F650" i="8"/>
  <c r="A539" i="8"/>
  <c r="G505" i="8"/>
  <c r="C458" i="8"/>
  <c r="D455" i="8"/>
  <c r="G450" i="8"/>
  <c r="B448" i="8"/>
  <c r="A444" i="8"/>
  <c r="D439" i="8"/>
  <c r="E437" i="8"/>
  <c r="B435" i="8"/>
  <c r="A431" i="8"/>
  <c r="F426" i="8"/>
  <c r="G424" i="8"/>
  <c r="D422" i="8"/>
  <c r="B420" i="8"/>
  <c r="A418" i="8"/>
  <c r="F413" i="8"/>
  <c r="G411" i="8"/>
  <c r="D409" i="8"/>
  <c r="B407" i="8"/>
  <c r="C405" i="8"/>
  <c r="B403" i="8"/>
  <c r="E400" i="8"/>
  <c r="B399" i="8"/>
  <c r="F396" i="8"/>
  <c r="E395" i="8"/>
  <c r="A394" i="8"/>
  <c r="D391" i="8"/>
  <c r="E387" i="8"/>
  <c r="B386" i="8"/>
  <c r="F383" i="8"/>
  <c r="E382" i="8"/>
  <c r="A381" i="8"/>
  <c r="F378" i="8"/>
  <c r="B377" i="8"/>
  <c r="A376" i="8"/>
  <c r="G374" i="8"/>
  <c r="D373" i="8"/>
  <c r="A372" i="8"/>
  <c r="G368" i="8"/>
  <c r="G367" i="8"/>
  <c r="F366" i="8"/>
  <c r="E365" i="8"/>
  <c r="E364" i="8"/>
  <c r="D363" i="8"/>
  <c r="C362" i="8"/>
  <c r="C361" i="8"/>
  <c r="C360" i="8"/>
  <c r="D359" i="8"/>
  <c r="D358" i="8"/>
  <c r="E357" i="8"/>
  <c r="F356" i="8"/>
  <c r="G355" i="8"/>
  <c r="B351" i="8"/>
  <c r="D350" i="8"/>
  <c r="F349" i="8"/>
  <c r="B347" i="8"/>
  <c r="D346" i="8"/>
  <c r="D345" i="8"/>
  <c r="D344" i="8"/>
  <c r="F343" i="8"/>
  <c r="B341" i="8"/>
  <c r="D340" i="8"/>
  <c r="F339" i="8"/>
  <c r="B337" i="8"/>
  <c r="D336" i="8"/>
  <c r="F335" i="8"/>
  <c r="B333" i="8"/>
  <c r="D332" i="8"/>
  <c r="F331" i="8"/>
  <c r="B329" i="8"/>
  <c r="D328" i="8"/>
  <c r="F327" i="8"/>
  <c r="B325" i="8"/>
  <c r="D324" i="8"/>
  <c r="F323" i="8"/>
  <c r="B321" i="8"/>
  <c r="D320" i="8"/>
  <c r="F319" i="8"/>
  <c r="B317" i="8"/>
  <c r="D316" i="8"/>
  <c r="F315" i="8"/>
  <c r="B313" i="8"/>
  <c r="D312" i="8"/>
  <c r="F311" i="8"/>
  <c r="B309" i="8"/>
  <c r="D308" i="8"/>
  <c r="F307" i="8"/>
  <c r="B305" i="8"/>
  <c r="D304" i="8"/>
  <c r="F303" i="8"/>
  <c r="B301" i="8"/>
  <c r="D300" i="8"/>
  <c r="F299" i="8"/>
  <c r="B610" i="8"/>
  <c r="C502" i="8"/>
  <c r="G468" i="8"/>
  <c r="A461" i="8"/>
  <c r="G457" i="8"/>
  <c r="C455" i="8"/>
  <c r="G452" i="8"/>
  <c r="B450" i="8"/>
  <c r="A448" i="8"/>
  <c r="F443" i="8"/>
  <c r="G441" i="8"/>
  <c r="B439" i="8"/>
  <c r="A435" i="8"/>
  <c r="F430" i="8"/>
  <c r="G428" i="8"/>
  <c r="D426" i="8"/>
  <c r="B424" i="8"/>
  <c r="C422" i="8"/>
  <c r="F417" i="8"/>
  <c r="G415" i="8"/>
  <c r="D413" i="8"/>
  <c r="B411" i="8"/>
  <c r="C409" i="8"/>
  <c r="F401" i="8"/>
  <c r="D400" i="8"/>
  <c r="E396" i="8"/>
  <c r="B395" i="8"/>
  <c r="F392" i="8"/>
  <c r="C391" i="8"/>
  <c r="F388" i="8"/>
  <c r="D387" i="8"/>
  <c r="E383" i="8"/>
  <c r="B382" i="8"/>
  <c r="F379" i="8"/>
  <c r="E378" i="8"/>
  <c r="A377" i="8"/>
  <c r="F374" i="8"/>
  <c r="B373" i="8"/>
  <c r="F369" i="8"/>
  <c r="F368" i="8"/>
  <c r="F367" i="8"/>
  <c r="D366" i="8"/>
  <c r="D365" i="8"/>
  <c r="D364" i="8"/>
  <c r="B363" i="8"/>
  <c r="B362" i="8"/>
  <c r="B361" i="8"/>
  <c r="B360" i="8"/>
  <c r="B359" i="8"/>
  <c r="C358" i="8"/>
  <c r="D357" i="8"/>
  <c r="E356" i="8"/>
  <c r="F355" i="8"/>
  <c r="D589" i="8"/>
  <c r="D499" i="8"/>
  <c r="G478" i="8"/>
  <c r="E467" i="8"/>
  <c r="B460" i="8"/>
  <c r="E457" i="8"/>
  <c r="G454" i="8"/>
  <c r="F452" i="8"/>
  <c r="F447" i="8"/>
  <c r="G445" i="8"/>
  <c r="D443" i="8"/>
  <c r="B441" i="8"/>
  <c r="A439" i="8"/>
  <c r="F434" i="8"/>
  <c r="G432" i="8"/>
  <c r="D430" i="8"/>
  <c r="B428" i="8"/>
  <c r="C426" i="8"/>
  <c r="D417" i="8"/>
  <c r="B415" i="8"/>
  <c r="C413" i="8"/>
  <c r="F404" i="8"/>
  <c r="D401" i="8"/>
  <c r="C400" i="8"/>
  <c r="F397" i="8"/>
  <c r="D396" i="8"/>
  <c r="E392" i="8"/>
  <c r="D388" i="8"/>
  <c r="C387" i="8"/>
  <c r="F384" i="8"/>
  <c r="D383" i="8"/>
  <c r="E379" i="8"/>
  <c r="B378" i="8"/>
  <c r="F375" i="8"/>
  <c r="E374" i="8"/>
  <c r="A373" i="8"/>
  <c r="F370" i="8"/>
  <c r="E369" i="8"/>
  <c r="E368" i="8"/>
  <c r="D367" i="8"/>
  <c r="C366" i="8"/>
  <c r="C365" i="8"/>
  <c r="B364" i="8"/>
  <c r="A363" i="8"/>
  <c r="A362" i="8"/>
  <c r="A359" i="8"/>
  <c r="B358" i="8"/>
  <c r="C357" i="8"/>
  <c r="D356" i="8"/>
  <c r="E355" i="8"/>
  <c r="F354" i="8"/>
  <c r="F353" i="8"/>
  <c r="G352" i="8"/>
  <c r="B579" i="8"/>
  <c r="A477" i="8"/>
  <c r="F466" i="8"/>
  <c r="E459" i="8"/>
  <c r="C457" i="8"/>
  <c r="E454" i="8"/>
  <c r="D447" i="8"/>
  <c r="B445" i="8"/>
  <c r="C443" i="8"/>
  <c r="F438" i="8"/>
  <c r="G436" i="8"/>
  <c r="D434" i="8"/>
  <c r="B432" i="8"/>
  <c r="C430" i="8"/>
  <c r="F421" i="8"/>
  <c r="B419" i="8"/>
  <c r="C417" i="8"/>
  <c r="F408" i="8"/>
  <c r="D406" i="8"/>
  <c r="E404" i="8"/>
  <c r="C401" i="8"/>
  <c r="D397" i="8"/>
  <c r="C396" i="8"/>
  <c r="F393" i="8"/>
  <c r="D392" i="8"/>
  <c r="G389" i="8"/>
  <c r="C388" i="8"/>
  <c r="D384" i="8"/>
  <c r="C383" i="8"/>
  <c r="F380" i="8"/>
  <c r="D379" i="8"/>
  <c r="E375" i="8"/>
  <c r="B374" i="8"/>
  <c r="D370" i="8"/>
  <c r="D369" i="8"/>
  <c r="D368" i="8"/>
  <c r="B367" i="8"/>
  <c r="B366" i="8"/>
  <c r="B365" i="8"/>
  <c r="A358" i="8"/>
  <c r="B357" i="8"/>
  <c r="C356" i="8"/>
  <c r="D355" i="8"/>
  <c r="D354" i="8"/>
  <c r="E353" i="8"/>
  <c r="F352" i="8"/>
  <c r="G351" i="8"/>
  <c r="A350" i="8"/>
  <c r="C349" i="8"/>
  <c r="E348" i="8"/>
  <c r="G347" i="8"/>
  <c r="A346" i="8"/>
  <c r="A345" i="8"/>
  <c r="A344" i="8"/>
  <c r="C343" i="8"/>
  <c r="E342" i="8"/>
  <c r="G341" i="8"/>
  <c r="A340" i="8"/>
  <c r="C339" i="8"/>
  <c r="E338" i="8"/>
  <c r="G337" i="8"/>
  <c r="A336" i="8"/>
  <c r="C335" i="8"/>
  <c r="E334" i="8"/>
  <c r="G333" i="8"/>
  <c r="A332" i="8"/>
  <c r="C331" i="8"/>
  <c r="E330" i="8"/>
  <c r="G329" i="8"/>
  <c r="A328" i="8"/>
  <c r="C327" i="8"/>
  <c r="E326" i="8"/>
  <c r="G325" i="8"/>
  <c r="A324" i="8"/>
  <c r="C323" i="8"/>
  <c r="E322" i="8"/>
  <c r="G321" i="8"/>
  <c r="A320" i="8"/>
  <c r="C319" i="8"/>
  <c r="E318" i="8"/>
  <c r="G317" i="8"/>
  <c r="A316" i="8"/>
  <c r="C315" i="8"/>
  <c r="E314" i="8"/>
  <c r="G313" i="8"/>
  <c r="A312" i="8"/>
  <c r="C311" i="8"/>
  <c r="E310" i="8"/>
  <c r="G309" i="8"/>
  <c r="A308" i="8"/>
  <c r="C307" i="8"/>
  <c r="E306" i="8"/>
  <c r="G305" i="8"/>
  <c r="A304" i="8"/>
  <c r="C303" i="8"/>
  <c r="E302" i="8"/>
  <c r="G301" i="8"/>
  <c r="A300" i="8"/>
  <c r="C299" i="8"/>
  <c r="E298" i="8"/>
  <c r="G297" i="8"/>
  <c r="A296" i="8"/>
  <c r="C295" i="8"/>
  <c r="E294" i="8"/>
  <c r="G293" i="8"/>
  <c r="A292" i="8"/>
  <c r="C291" i="8"/>
  <c r="E290" i="8"/>
  <c r="G289" i="8"/>
  <c r="A288" i="8"/>
  <c r="C287" i="8"/>
  <c r="E286" i="8"/>
  <c r="G285" i="8"/>
  <c r="A284" i="8"/>
  <c r="C283" i="8"/>
  <c r="E282" i="8"/>
  <c r="G281" i="8"/>
  <c r="A280" i="8"/>
  <c r="C279" i="8"/>
  <c r="E278" i="8"/>
  <c r="G277" i="8"/>
  <c r="A276" i="8"/>
  <c r="C275" i="8"/>
  <c r="E274" i="8"/>
  <c r="E273" i="8"/>
  <c r="E272" i="8"/>
  <c r="G271" i="8"/>
  <c r="A270" i="8"/>
  <c r="C269" i="8"/>
  <c r="E268" i="8"/>
  <c r="G267" i="8"/>
  <c r="A266" i="8"/>
  <c r="C265" i="8"/>
  <c r="E264" i="8"/>
  <c r="G263" i="8"/>
  <c r="A262" i="8"/>
  <c r="C261" i="8"/>
  <c r="E260" i="8"/>
  <c r="G259" i="8"/>
  <c r="A258" i="8"/>
  <c r="C257" i="8"/>
  <c r="E256" i="8"/>
  <c r="G255" i="8"/>
  <c r="A254" i="8"/>
  <c r="C253" i="8"/>
  <c r="E252" i="8"/>
  <c r="G251" i="8"/>
  <c r="A250" i="8"/>
  <c r="C249" i="8"/>
  <c r="E248" i="8"/>
  <c r="G247" i="8"/>
  <c r="A246" i="8"/>
  <c r="C245" i="8"/>
  <c r="E244" i="8"/>
  <c r="G243" i="8"/>
  <c r="A242" i="8"/>
  <c r="C241" i="8"/>
  <c r="A569" i="8"/>
  <c r="D520" i="8"/>
  <c r="A493" i="8"/>
  <c r="F475" i="8"/>
  <c r="G465" i="8"/>
  <c r="C459" i="8"/>
  <c r="D454" i="8"/>
  <c r="C449" i="8"/>
  <c r="C447" i="8"/>
  <c r="D438" i="8"/>
  <c r="B436" i="8"/>
  <c r="C434" i="8"/>
  <c r="F425" i="8"/>
  <c r="D423" i="8"/>
  <c r="E421" i="8"/>
  <c r="F412" i="8"/>
  <c r="D410" i="8"/>
  <c r="E408" i="8"/>
  <c r="B406" i="8"/>
  <c r="D402" i="8"/>
  <c r="B401" i="8"/>
  <c r="G398" i="8"/>
  <c r="C397" i="8"/>
  <c r="D393" i="8"/>
  <c r="C392" i="8"/>
  <c r="G390" i="8"/>
  <c r="D389" i="8"/>
  <c r="B388" i="8"/>
  <c r="G385" i="8"/>
  <c r="C384" i="8"/>
  <c r="D380" i="8"/>
  <c r="C379" i="8"/>
  <c r="F376" i="8"/>
  <c r="D375" i="8"/>
  <c r="D371" i="8"/>
  <c r="C370" i="8"/>
  <c r="C369" i="8"/>
  <c r="B368" i="8"/>
  <c r="A367" i="8"/>
  <c r="A366" i="8"/>
  <c r="G360" i="8"/>
  <c r="A357" i="8"/>
  <c r="B356" i="8"/>
  <c r="B355" i="8"/>
  <c r="C354" i="8"/>
  <c r="D353" i="8"/>
  <c r="E352" i="8"/>
  <c r="F351" i="8"/>
  <c r="B349" i="8"/>
  <c r="D348" i="8"/>
  <c r="F347" i="8"/>
  <c r="B343" i="8"/>
  <c r="D342" i="8"/>
  <c r="F341" i="8"/>
  <c r="B339" i="8"/>
  <c r="D338" i="8"/>
  <c r="F337" i="8"/>
  <c r="B335" i="8"/>
  <c r="D334" i="8"/>
  <c r="F333" i="8"/>
  <c r="B331" i="8"/>
  <c r="D330" i="8"/>
  <c r="F329" i="8"/>
  <c r="B327" i="8"/>
  <c r="D326" i="8"/>
  <c r="F325" i="8"/>
  <c r="B323" i="8"/>
  <c r="D322" i="8"/>
  <c r="F321" i="8"/>
  <c r="B319" i="8"/>
  <c r="D318" i="8"/>
  <c r="F317" i="8"/>
  <c r="B315" i="8"/>
  <c r="D314" i="8"/>
  <c r="F313" i="8"/>
  <c r="B311" i="8"/>
  <c r="D310" i="8"/>
  <c r="F309" i="8"/>
  <c r="F516" i="8"/>
  <c r="E490" i="8"/>
  <c r="A474" i="8"/>
  <c r="B459" i="8"/>
  <c r="C456" i="8"/>
  <c r="G451" i="8"/>
  <c r="F442" i="8"/>
  <c r="B440" i="8"/>
  <c r="C438" i="8"/>
  <c r="F429" i="8"/>
  <c r="D427" i="8"/>
  <c r="E425" i="8"/>
  <c r="B423" i="8"/>
  <c r="F416" i="8"/>
  <c r="D414" i="8"/>
  <c r="E412" i="8"/>
  <c r="B410" i="8"/>
  <c r="A406" i="8"/>
  <c r="B402" i="8"/>
  <c r="A401" i="8"/>
  <c r="G399" i="8"/>
  <c r="D398" i="8"/>
  <c r="B397" i="8"/>
  <c r="G394" i="8"/>
  <c r="C393" i="8"/>
  <c r="F390" i="8"/>
  <c r="B389" i="8"/>
  <c r="A388" i="8"/>
  <c r="G386" i="8"/>
  <c r="D385" i="8"/>
  <c r="B384" i="8"/>
  <c r="G381" i="8"/>
  <c r="C380" i="8"/>
  <c r="D376" i="8"/>
  <c r="C375" i="8"/>
  <c r="B371" i="8"/>
  <c r="B370" i="8"/>
  <c r="B369" i="8"/>
  <c r="F361" i="8"/>
  <c r="F360" i="8"/>
  <c r="G359" i="8"/>
  <c r="A355" i="8"/>
  <c r="B354" i="8"/>
  <c r="C353" i="8"/>
  <c r="D352" i="8"/>
  <c r="E351" i="8"/>
  <c r="G350" i="8"/>
  <c r="A349" i="8"/>
  <c r="C348" i="8"/>
  <c r="E347" i="8"/>
  <c r="G346" i="8"/>
  <c r="A343" i="8"/>
  <c r="C342" i="8"/>
  <c r="E341" i="8"/>
  <c r="G340" i="8"/>
  <c r="A339" i="8"/>
  <c r="C338" i="8"/>
  <c r="E337" i="8"/>
  <c r="G336" i="8"/>
  <c r="A335" i="8"/>
  <c r="C334" i="8"/>
  <c r="E333" i="8"/>
  <c r="G332" i="8"/>
  <c r="A331" i="8"/>
  <c r="C330" i="8"/>
  <c r="E329" i="8"/>
  <c r="G328" i="8"/>
  <c r="A327" i="8"/>
  <c r="C326" i="8"/>
  <c r="E325" i="8"/>
  <c r="G324" i="8"/>
  <c r="A323" i="8"/>
  <c r="C322" i="8"/>
  <c r="E321" i="8"/>
  <c r="G320" i="8"/>
  <c r="A319" i="8"/>
  <c r="C318" i="8"/>
  <c r="E317" i="8"/>
  <c r="G316" i="8"/>
  <c r="A315" i="8"/>
  <c r="C314" i="8"/>
  <c r="E313" i="8"/>
  <c r="G312" i="8"/>
  <c r="A311" i="8"/>
  <c r="C310" i="8"/>
  <c r="E309" i="8"/>
  <c r="G308" i="8"/>
  <c r="A307" i="8"/>
  <c r="C306" i="8"/>
  <c r="E305" i="8"/>
  <c r="G304" i="8"/>
  <c r="A303" i="8"/>
  <c r="C302" i="8"/>
  <c r="E301" i="8"/>
  <c r="G300" i="8"/>
  <c r="A299" i="8"/>
  <c r="C298" i="8"/>
  <c r="E297" i="8"/>
  <c r="G296" i="8"/>
  <c r="A295" i="8"/>
  <c r="C294" i="8"/>
  <c r="E293" i="8"/>
  <c r="G292" i="8"/>
  <c r="A291" i="8"/>
  <c r="C290" i="8"/>
  <c r="E289" i="8"/>
  <c r="G288" i="8"/>
  <c r="A287" i="8"/>
  <c r="C286" i="8"/>
  <c r="E285" i="8"/>
  <c r="G284" i="8"/>
  <c r="A283" i="8"/>
  <c r="C282" i="8"/>
  <c r="E281" i="8"/>
  <c r="G280" i="8"/>
  <c r="A279" i="8"/>
  <c r="C278" i="8"/>
  <c r="E277" i="8"/>
  <c r="G276" i="8"/>
  <c r="A275" i="8"/>
  <c r="C274" i="8"/>
  <c r="C273" i="8"/>
  <c r="C272" i="8"/>
  <c r="E271" i="8"/>
  <c r="G270" i="8"/>
  <c r="E553" i="8"/>
  <c r="G512" i="8"/>
  <c r="E487" i="8"/>
  <c r="F472" i="8"/>
  <c r="F458" i="8"/>
  <c r="B456" i="8"/>
  <c r="F453" i="8"/>
  <c r="A451" i="8"/>
  <c r="F446" i="8"/>
  <c r="D444" i="8"/>
  <c r="E442" i="8"/>
  <c r="F433" i="8"/>
  <c r="D431" i="8"/>
  <c r="E429" i="8"/>
  <c r="B427" i="8"/>
  <c r="A423" i="8"/>
  <c r="D418" i="8"/>
  <c r="E416" i="8"/>
  <c r="B414" i="8"/>
  <c r="A410" i="8"/>
  <c r="F405" i="8"/>
  <c r="G403" i="8"/>
  <c r="A402" i="8"/>
  <c r="F399" i="8"/>
  <c r="B398" i="8"/>
  <c r="A397" i="8"/>
  <c r="G395" i="8"/>
  <c r="D394" i="8"/>
  <c r="B393" i="8"/>
  <c r="E390" i="8"/>
  <c r="A389" i="8"/>
  <c r="F386" i="8"/>
  <c r="B385" i="8"/>
  <c r="A384" i="8"/>
  <c r="G382" i="8"/>
  <c r="D381" i="8"/>
  <c r="B380" i="8"/>
  <c r="G377" i="8"/>
  <c r="C376" i="8"/>
  <c r="D372" i="8"/>
  <c r="A371" i="8"/>
  <c r="A370" i="8"/>
  <c r="G364" i="8"/>
  <c r="G363" i="8"/>
  <c r="F362" i="8"/>
  <c r="E361" i="8"/>
  <c r="E360" i="8"/>
  <c r="F359" i="8"/>
  <c r="G358" i="8"/>
  <c r="A354" i="8"/>
  <c r="B353" i="8"/>
  <c r="C352" i="8"/>
  <c r="D351" i="8"/>
  <c r="F350" i="8"/>
  <c r="B348" i="8"/>
  <c r="D347" i="8"/>
  <c r="F346" i="8"/>
  <c r="B342" i="8"/>
  <c r="D341" i="8"/>
  <c r="F340" i="8"/>
  <c r="B338" i="8"/>
  <c r="D337" i="8"/>
  <c r="F336" i="8"/>
  <c r="B334" i="8"/>
  <c r="D333" i="8"/>
  <c r="F332" i="8"/>
  <c r="B330" i="8"/>
  <c r="D329" i="8"/>
  <c r="F328" i="8"/>
  <c r="B326" i="8"/>
  <c r="D325" i="8"/>
  <c r="F324" i="8"/>
  <c r="B322" i="8"/>
  <c r="D321" i="8"/>
  <c r="F320" i="8"/>
  <c r="B318" i="8"/>
  <c r="D317" i="8"/>
  <c r="F316" i="8"/>
  <c r="B314" i="8"/>
  <c r="D313" i="8"/>
  <c r="F312" i="8"/>
  <c r="B310" i="8"/>
  <c r="D309" i="8"/>
  <c r="F308" i="8"/>
  <c r="B306" i="8"/>
  <c r="D305" i="8"/>
  <c r="F304" i="8"/>
  <c r="B302" i="8"/>
  <c r="D301" i="8"/>
  <c r="F300" i="8"/>
  <c r="B298" i="8"/>
  <c r="D297" i="8"/>
  <c r="F296" i="8"/>
  <c r="B294" i="8"/>
  <c r="D293" i="8"/>
  <c r="F292" i="8"/>
  <c r="B290" i="8"/>
  <c r="D289" i="8"/>
  <c r="F288" i="8"/>
  <c r="B286" i="8"/>
  <c r="D285" i="8"/>
  <c r="F284" i="8"/>
  <c r="B282" i="8"/>
  <c r="D281" i="8"/>
  <c r="F280" i="8"/>
  <c r="B278" i="8"/>
  <c r="D277" i="8"/>
  <c r="F276" i="8"/>
  <c r="B274" i="8"/>
  <c r="B273" i="8"/>
  <c r="B272" i="8"/>
  <c r="D271" i="8"/>
  <c r="F270" i="8"/>
  <c r="B268" i="8"/>
  <c r="D267" i="8"/>
  <c r="F266" i="8"/>
  <c r="B264" i="8"/>
  <c r="D263" i="8"/>
  <c r="F262" i="8"/>
  <c r="B260" i="8"/>
  <c r="D259" i="8"/>
  <c r="F258" i="8"/>
  <c r="B256" i="8"/>
  <c r="D255" i="8"/>
  <c r="F254" i="8"/>
  <c r="B252" i="8"/>
  <c r="D251" i="8"/>
  <c r="F250" i="8"/>
  <c r="B248" i="8"/>
  <c r="D247" i="8"/>
  <c r="F246" i="8"/>
  <c r="B244" i="8"/>
  <c r="D243" i="8"/>
  <c r="F242" i="8"/>
  <c r="B240" i="8"/>
  <c r="D239" i="8"/>
  <c r="F238" i="8"/>
  <c r="A546" i="8"/>
  <c r="E433" i="8"/>
  <c r="F400" i="8"/>
  <c r="B390" i="8"/>
  <c r="A380" i="8"/>
  <c r="D361" i="8"/>
  <c r="G354" i="8"/>
  <c r="A351" i="8"/>
  <c r="C344" i="8"/>
  <c r="A342" i="8"/>
  <c r="B340" i="8"/>
  <c r="G335" i="8"/>
  <c r="E331" i="8"/>
  <c r="C329" i="8"/>
  <c r="D327" i="8"/>
  <c r="A325" i="8"/>
  <c r="G318" i="8"/>
  <c r="E316" i="8"/>
  <c r="F314" i="8"/>
  <c r="C312" i="8"/>
  <c r="A310" i="8"/>
  <c r="C308" i="8"/>
  <c r="G306" i="8"/>
  <c r="A305" i="8"/>
  <c r="E303" i="8"/>
  <c r="C300" i="8"/>
  <c r="F297" i="8"/>
  <c r="C296" i="8"/>
  <c r="D292" i="8"/>
  <c r="B291" i="8"/>
  <c r="E288" i="8"/>
  <c r="D287" i="8"/>
  <c r="E283" i="8"/>
  <c r="A282" i="8"/>
  <c r="F279" i="8"/>
  <c r="D278" i="8"/>
  <c r="A277" i="8"/>
  <c r="G275" i="8"/>
  <c r="F274" i="8"/>
  <c r="F271" i="8"/>
  <c r="C270" i="8"/>
  <c r="A269" i="8"/>
  <c r="G262" i="8"/>
  <c r="F261" i="8"/>
  <c r="F260" i="8"/>
  <c r="E259" i="8"/>
  <c r="D258" i="8"/>
  <c r="D257" i="8"/>
  <c r="C256" i="8"/>
  <c r="B255" i="8"/>
  <c r="B254" i="8"/>
  <c r="A253" i="8"/>
  <c r="G246" i="8"/>
  <c r="F245" i="8"/>
  <c r="F244" i="8"/>
  <c r="E243" i="8"/>
  <c r="D242" i="8"/>
  <c r="D241" i="8"/>
  <c r="D240" i="8"/>
  <c r="E239" i="8"/>
  <c r="E238" i="8"/>
  <c r="G237" i="8"/>
  <c r="A235" i="8"/>
  <c r="C234" i="8"/>
  <c r="E233" i="8"/>
  <c r="G232" i="8"/>
  <c r="A231" i="8"/>
  <c r="C230" i="8"/>
  <c r="C229" i="8"/>
  <c r="E228" i="8"/>
  <c r="G227" i="8"/>
  <c r="A226" i="8"/>
  <c r="C225" i="8"/>
  <c r="E224" i="8"/>
  <c r="G223" i="8"/>
  <c r="A222" i="8"/>
  <c r="C221" i="8"/>
  <c r="E220" i="8"/>
  <c r="G219" i="8"/>
  <c r="A217" i="8"/>
  <c r="C216" i="8"/>
  <c r="E215" i="8"/>
  <c r="G214" i="8"/>
  <c r="A213" i="8"/>
  <c r="C212" i="8"/>
  <c r="E211" i="8"/>
  <c r="D448" i="8"/>
  <c r="B431" i="8"/>
  <c r="A414" i="8"/>
  <c r="E399" i="8"/>
  <c r="G378" i="8"/>
  <c r="D360" i="8"/>
  <c r="G348" i="8"/>
  <c r="E346" i="8"/>
  <c r="B344" i="8"/>
  <c r="G339" i="8"/>
  <c r="E335" i="8"/>
  <c r="C333" i="8"/>
  <c r="D331" i="8"/>
  <c r="A329" i="8"/>
  <c r="G322" i="8"/>
  <c r="E320" i="8"/>
  <c r="F318" i="8"/>
  <c r="C316" i="8"/>
  <c r="A314" i="8"/>
  <c r="B312" i="8"/>
  <c r="B308" i="8"/>
  <c r="F306" i="8"/>
  <c r="D303" i="8"/>
  <c r="B300" i="8"/>
  <c r="G298" i="8"/>
  <c r="C297" i="8"/>
  <c r="B296" i="8"/>
  <c r="F293" i="8"/>
  <c r="C292" i="8"/>
  <c r="D288" i="8"/>
  <c r="B287" i="8"/>
  <c r="E284" i="8"/>
  <c r="D283" i="8"/>
  <c r="E279" i="8"/>
  <c r="A278" i="8"/>
  <c r="F275" i="8"/>
  <c r="D274" i="8"/>
  <c r="C271" i="8"/>
  <c r="B270" i="8"/>
  <c r="G265" i="8"/>
  <c r="G264" i="8"/>
  <c r="F263" i="8"/>
  <c r="E262" i="8"/>
  <c r="E261" i="8"/>
  <c r="D260" i="8"/>
  <c r="C259" i="8"/>
  <c r="C258" i="8"/>
  <c r="B257" i="8"/>
  <c r="A256" i="8"/>
  <c r="A255" i="8"/>
  <c r="G249" i="8"/>
  <c r="G248" i="8"/>
  <c r="F247" i="8"/>
  <c r="E246" i="8"/>
  <c r="E245" i="8"/>
  <c r="D244" i="8"/>
  <c r="C243" i="8"/>
  <c r="C242" i="8"/>
  <c r="A485" i="8"/>
  <c r="E446" i="8"/>
  <c r="A398" i="8"/>
  <c r="F387" i="8"/>
  <c r="D377" i="8"/>
  <c r="E359" i="8"/>
  <c r="E350" i="8"/>
  <c r="F348" i="8"/>
  <c r="C346" i="8"/>
  <c r="G343" i="8"/>
  <c r="E339" i="8"/>
  <c r="C337" i="8"/>
  <c r="D335" i="8"/>
  <c r="A333" i="8"/>
  <c r="G326" i="8"/>
  <c r="E324" i="8"/>
  <c r="F322" i="8"/>
  <c r="C320" i="8"/>
  <c r="A318" i="8"/>
  <c r="B316" i="8"/>
  <c r="G311" i="8"/>
  <c r="D306" i="8"/>
  <c r="B303" i="8"/>
  <c r="F301" i="8"/>
  <c r="F298" i="8"/>
  <c r="B297" i="8"/>
  <c r="G294" i="8"/>
  <c r="C293" i="8"/>
  <c r="B292" i="8"/>
  <c r="F289" i="8"/>
  <c r="C288" i="8"/>
  <c r="D284" i="8"/>
  <c r="B283" i="8"/>
  <c r="E280" i="8"/>
  <c r="D279" i="8"/>
  <c r="E275" i="8"/>
  <c r="A274" i="8"/>
  <c r="B271" i="8"/>
  <c r="G266" i="8"/>
  <c r="F265" i="8"/>
  <c r="F264" i="8"/>
  <c r="E263" i="8"/>
  <c r="D262" i="8"/>
  <c r="D261" i="8"/>
  <c r="C260" i="8"/>
  <c r="B259" i="8"/>
  <c r="B258" i="8"/>
  <c r="A257" i="8"/>
  <c r="G250" i="8"/>
  <c r="F249" i="8"/>
  <c r="F248" i="8"/>
  <c r="E247" i="8"/>
  <c r="D246" i="8"/>
  <c r="D245" i="8"/>
  <c r="C244" i="8"/>
  <c r="B243" i="8"/>
  <c r="B242" i="8"/>
  <c r="A241" i="8"/>
  <c r="A240" i="8"/>
  <c r="B239" i="8"/>
  <c r="C238" i="8"/>
  <c r="E237" i="8"/>
  <c r="E236" i="8"/>
  <c r="G235" i="8"/>
  <c r="A234" i="8"/>
  <c r="C233" i="8"/>
  <c r="E232" i="8"/>
  <c r="G231" i="8"/>
  <c r="A230" i="8"/>
  <c r="A229" i="8"/>
  <c r="C228" i="8"/>
  <c r="E227" i="8"/>
  <c r="G226" i="8"/>
  <c r="A225" i="8"/>
  <c r="C224" i="8"/>
  <c r="E223" i="8"/>
  <c r="G222" i="8"/>
  <c r="A221" i="8"/>
  <c r="C220" i="8"/>
  <c r="E219" i="8"/>
  <c r="E218" i="8"/>
  <c r="G217" i="8"/>
  <c r="A216" i="8"/>
  <c r="C215" i="8"/>
  <c r="E214" i="8"/>
  <c r="G213" i="8"/>
  <c r="A212" i="8"/>
  <c r="A471" i="8"/>
  <c r="B444" i="8"/>
  <c r="A427" i="8"/>
  <c r="F409" i="8"/>
  <c r="E386" i="8"/>
  <c r="B376" i="8"/>
  <c r="F358" i="8"/>
  <c r="A353" i="8"/>
  <c r="C350" i="8"/>
  <c r="A348" i="8"/>
  <c r="B346" i="8"/>
  <c r="E343" i="8"/>
  <c r="C341" i="8"/>
  <c r="D339" i="8"/>
  <c r="A337" i="8"/>
  <c r="G330" i="8"/>
  <c r="E328" i="8"/>
  <c r="F326" i="8"/>
  <c r="C324" i="8"/>
  <c r="A322" i="8"/>
  <c r="B320" i="8"/>
  <c r="G315" i="8"/>
  <c r="E311" i="8"/>
  <c r="C309" i="8"/>
  <c r="G307" i="8"/>
  <c r="A306" i="8"/>
  <c r="E304" i="8"/>
  <c r="C301" i="8"/>
  <c r="G299" i="8"/>
  <c r="D298" i="8"/>
  <c r="A297" i="8"/>
  <c r="G295" i="8"/>
  <c r="F294" i="8"/>
  <c r="B293" i="8"/>
  <c r="G290" i="8"/>
  <c r="C289" i="8"/>
  <c r="B288" i="8"/>
  <c r="F285" i="8"/>
  <c r="C284" i="8"/>
  <c r="D280" i="8"/>
  <c r="B279" i="8"/>
  <c r="E276" i="8"/>
  <c r="D275" i="8"/>
  <c r="D272" i="8"/>
  <c r="A271" i="8"/>
  <c r="G269" i="8"/>
  <c r="G268" i="8"/>
  <c r="F267" i="8"/>
  <c r="E266" i="8"/>
  <c r="E265" i="8"/>
  <c r="D264" i="8"/>
  <c r="C263" i="8"/>
  <c r="C262" i="8"/>
  <c r="B261" i="8"/>
  <c r="A260" i="8"/>
  <c r="A259" i="8"/>
  <c r="G253" i="8"/>
  <c r="G252" i="8"/>
  <c r="F251" i="8"/>
  <c r="E250" i="8"/>
  <c r="E249" i="8"/>
  <c r="D248" i="8"/>
  <c r="C247" i="8"/>
  <c r="C246" i="8"/>
  <c r="B245" i="8"/>
  <c r="A244" i="8"/>
  <c r="A243" i="8"/>
  <c r="A239" i="8"/>
  <c r="B238" i="8"/>
  <c r="D237" i="8"/>
  <c r="D236" i="8"/>
  <c r="F235" i="8"/>
  <c r="B233" i="8"/>
  <c r="D232" i="8"/>
  <c r="F231" i="8"/>
  <c r="B228" i="8"/>
  <c r="D227" i="8"/>
  <c r="F226" i="8"/>
  <c r="B224" i="8"/>
  <c r="D223" i="8"/>
  <c r="F222" i="8"/>
  <c r="B220" i="8"/>
  <c r="D219" i="8"/>
  <c r="D218" i="8"/>
  <c r="F217" i="8"/>
  <c r="B215" i="8"/>
  <c r="D214" i="8"/>
  <c r="F213" i="8"/>
  <c r="B211" i="8"/>
  <c r="D210" i="8"/>
  <c r="F209" i="8"/>
  <c r="B207" i="8"/>
  <c r="D206" i="8"/>
  <c r="F205" i="8"/>
  <c r="B203" i="8"/>
  <c r="D202" i="8"/>
  <c r="F201" i="8"/>
  <c r="B199" i="8"/>
  <c r="D198" i="8"/>
  <c r="F197" i="8"/>
  <c r="B195" i="8"/>
  <c r="D194" i="8"/>
  <c r="F193" i="8"/>
  <c r="B191" i="8"/>
  <c r="D190" i="8"/>
  <c r="D189" i="8"/>
  <c r="D188" i="8"/>
  <c r="F187" i="8"/>
  <c r="B184" i="8"/>
  <c r="B183" i="8"/>
  <c r="B182" i="8"/>
  <c r="B181" i="8"/>
  <c r="B180" i="8"/>
  <c r="D179" i="8"/>
  <c r="F178" i="8"/>
  <c r="B176" i="8"/>
  <c r="D175" i="8"/>
  <c r="F174" i="8"/>
  <c r="B172" i="8"/>
  <c r="D171" i="8"/>
  <c r="F170" i="8"/>
  <c r="B168" i="8"/>
  <c r="D167" i="8"/>
  <c r="F166" i="8"/>
  <c r="B164" i="8"/>
  <c r="D163" i="8"/>
  <c r="F162" i="8"/>
  <c r="B160" i="8"/>
  <c r="D159" i="8"/>
  <c r="F158" i="8"/>
  <c r="B156" i="8"/>
  <c r="D155" i="8"/>
  <c r="F154" i="8"/>
  <c r="B152" i="8"/>
  <c r="D151" i="8"/>
  <c r="F150" i="8"/>
  <c r="B148" i="8"/>
  <c r="D147" i="8"/>
  <c r="F146" i="8"/>
  <c r="B144" i="8"/>
  <c r="D143" i="8"/>
  <c r="F142" i="8"/>
  <c r="B140" i="8"/>
  <c r="D139" i="8"/>
  <c r="F138" i="8"/>
  <c r="B136" i="8"/>
  <c r="D135" i="8"/>
  <c r="F134" i="8"/>
  <c r="B132" i="8"/>
  <c r="D131" i="8"/>
  <c r="G407" i="8"/>
  <c r="F395" i="8"/>
  <c r="A385" i="8"/>
  <c r="F365" i="8"/>
  <c r="F357" i="8"/>
  <c r="B350" i="8"/>
  <c r="E345" i="8"/>
  <c r="D343" i="8"/>
  <c r="A341" i="8"/>
  <c r="G334" i="8"/>
  <c r="E332" i="8"/>
  <c r="F330" i="8"/>
  <c r="C328" i="8"/>
  <c r="A326" i="8"/>
  <c r="B324" i="8"/>
  <c r="G319" i="8"/>
  <c r="E315" i="8"/>
  <c r="C313" i="8"/>
  <c r="D311" i="8"/>
  <c r="A309" i="8"/>
  <c r="E307" i="8"/>
  <c r="C304" i="8"/>
  <c r="G302" i="8"/>
  <c r="A301" i="8"/>
  <c r="E299" i="8"/>
  <c r="A298" i="8"/>
  <c r="F295" i="8"/>
  <c r="D294" i="8"/>
  <c r="A293" i="8"/>
  <c r="G291" i="8"/>
  <c r="F290" i="8"/>
  <c r="B289" i="8"/>
  <c r="G286" i="8"/>
  <c r="C285" i="8"/>
  <c r="B284" i="8"/>
  <c r="F281" i="8"/>
  <c r="C280" i="8"/>
  <c r="D276" i="8"/>
  <c r="B275" i="8"/>
  <c r="A272" i="8"/>
  <c r="F269" i="8"/>
  <c r="F268" i="8"/>
  <c r="E267" i="8"/>
  <c r="D266" i="8"/>
  <c r="D265" i="8"/>
  <c r="C264" i="8"/>
  <c r="B263" i="8"/>
  <c r="B262" i="8"/>
  <c r="A261" i="8"/>
  <c r="G254" i="8"/>
  <c r="F253" i="8"/>
  <c r="F252" i="8"/>
  <c r="E251" i="8"/>
  <c r="D250" i="8"/>
  <c r="D249" i="8"/>
  <c r="C248" i="8"/>
  <c r="B247" i="8"/>
  <c r="B246" i="8"/>
  <c r="A245" i="8"/>
  <c r="A238" i="8"/>
  <c r="C237" i="8"/>
  <c r="C236" i="8"/>
  <c r="E235" i="8"/>
  <c r="G234" i="8"/>
  <c r="A233" i="8"/>
  <c r="C232" i="8"/>
  <c r="E231" i="8"/>
  <c r="G230" i="8"/>
  <c r="A228" i="8"/>
  <c r="C227" i="8"/>
  <c r="E226" i="8"/>
  <c r="G225" i="8"/>
  <c r="A224" i="8"/>
  <c r="C223" i="8"/>
  <c r="E222" i="8"/>
  <c r="G221" i="8"/>
  <c r="A220" i="8"/>
  <c r="C219" i="8"/>
  <c r="C218" i="8"/>
  <c r="E217" i="8"/>
  <c r="G216" i="8"/>
  <c r="A215" i="8"/>
  <c r="C214" i="8"/>
  <c r="E213" i="8"/>
  <c r="G212" i="8"/>
  <c r="A211" i="8"/>
  <c r="C210" i="8"/>
  <c r="E209" i="8"/>
  <c r="G208" i="8"/>
  <c r="A207" i="8"/>
  <c r="C206" i="8"/>
  <c r="E205" i="8"/>
  <c r="G204" i="8"/>
  <c r="A203" i="8"/>
  <c r="C202" i="8"/>
  <c r="E201" i="8"/>
  <c r="G200" i="8"/>
  <c r="A199" i="8"/>
  <c r="C198" i="8"/>
  <c r="E197" i="8"/>
  <c r="G196" i="8"/>
  <c r="A195" i="8"/>
  <c r="C194" i="8"/>
  <c r="E193" i="8"/>
  <c r="G192" i="8"/>
  <c r="A191" i="8"/>
  <c r="C190" i="8"/>
  <c r="C189" i="8"/>
  <c r="C188" i="8"/>
  <c r="E187" i="8"/>
  <c r="G186" i="8"/>
  <c r="A184" i="8"/>
  <c r="A183" i="8"/>
  <c r="A182" i="8"/>
  <c r="A181" i="8"/>
  <c r="A180" i="8"/>
  <c r="C179" i="8"/>
  <c r="E178" i="8"/>
  <c r="G177" i="8"/>
  <c r="A176" i="8"/>
  <c r="C175" i="8"/>
  <c r="E174" i="8"/>
  <c r="G173" i="8"/>
  <c r="A172" i="8"/>
  <c r="C171" i="8"/>
  <c r="E170" i="8"/>
  <c r="G169" i="8"/>
  <c r="A168" i="8"/>
  <c r="C167" i="8"/>
  <c r="D458" i="8"/>
  <c r="F422" i="8"/>
  <c r="D405" i="8"/>
  <c r="B394" i="8"/>
  <c r="G373" i="8"/>
  <c r="F364" i="8"/>
  <c r="G356" i="8"/>
  <c r="B352" i="8"/>
  <c r="G349" i="8"/>
  <c r="C345" i="8"/>
  <c r="G338" i="8"/>
  <c r="E336" i="8"/>
  <c r="F334" i="8"/>
  <c r="C332" i="8"/>
  <c r="A330" i="8"/>
  <c r="B328" i="8"/>
  <c r="G323" i="8"/>
  <c r="E319" i="8"/>
  <c r="C317" i="8"/>
  <c r="D315" i="8"/>
  <c r="A313" i="8"/>
  <c r="D307" i="8"/>
  <c r="B304" i="8"/>
  <c r="F302" i="8"/>
  <c r="D299" i="8"/>
  <c r="E295" i="8"/>
  <c r="A294" i="8"/>
  <c r="F291" i="8"/>
  <c r="D290" i="8"/>
  <c r="A289" i="8"/>
  <c r="G287" i="8"/>
  <c r="F286" i="8"/>
  <c r="B285" i="8"/>
  <c r="G282" i="8"/>
  <c r="C281" i="8"/>
  <c r="B280" i="8"/>
  <c r="F277" i="8"/>
  <c r="C276" i="8"/>
  <c r="E269" i="8"/>
  <c r="D268" i="8"/>
  <c r="C267" i="8"/>
  <c r="C266" i="8"/>
  <c r="B265" i="8"/>
  <c r="A264" i="8"/>
  <c r="A263" i="8"/>
  <c r="G257" i="8"/>
  <c r="G256" i="8"/>
  <c r="F255" i="8"/>
  <c r="E254" i="8"/>
  <c r="E253" i="8"/>
  <c r="D252" i="8"/>
  <c r="C251" i="8"/>
  <c r="C250" i="8"/>
  <c r="B249" i="8"/>
  <c r="A248" i="8"/>
  <c r="A247" i="8"/>
  <c r="G241" i="8"/>
  <c r="G455" i="8"/>
  <c r="F437" i="8"/>
  <c r="G420" i="8"/>
  <c r="F403" i="8"/>
  <c r="A393" i="8"/>
  <c r="F382" i="8"/>
  <c r="B372" i="8"/>
  <c r="F363" i="8"/>
  <c r="E349" i="8"/>
  <c r="C347" i="8"/>
  <c r="B345" i="8"/>
  <c r="G342" i="8"/>
  <c r="E340" i="8"/>
  <c r="F338" i="8"/>
  <c r="C336" i="8"/>
  <c r="A334" i="8"/>
  <c r="B332" i="8"/>
  <c r="G327" i="8"/>
  <c r="E323" i="8"/>
  <c r="C321" i="8"/>
  <c r="D319" i="8"/>
  <c r="A317" i="8"/>
  <c r="G310" i="8"/>
  <c r="B307" i="8"/>
  <c r="F305" i="8"/>
  <c r="D302" i="8"/>
  <c r="B299" i="8"/>
  <c r="E296" i="8"/>
  <c r="D295" i="8"/>
  <c r="E291" i="8"/>
  <c r="A290" i="8"/>
  <c r="F287" i="8"/>
  <c r="D286" i="8"/>
  <c r="A285" i="8"/>
  <c r="G283" i="8"/>
  <c r="F282" i="8"/>
  <c r="B281" i="8"/>
  <c r="G278" i="8"/>
  <c r="C277" i="8"/>
  <c r="B276" i="8"/>
  <c r="D273" i="8"/>
  <c r="E270" i="8"/>
  <c r="D269" i="8"/>
  <c r="C268" i="8"/>
  <c r="B267" i="8"/>
  <c r="B266" i="8"/>
  <c r="A265" i="8"/>
  <c r="G258" i="8"/>
  <c r="F257" i="8"/>
  <c r="F256" i="8"/>
  <c r="E255" i="8"/>
  <c r="D254" i="8"/>
  <c r="D253" i="8"/>
  <c r="C252" i="8"/>
  <c r="B251" i="8"/>
  <c r="B250" i="8"/>
  <c r="A249" i="8"/>
  <c r="G242" i="8"/>
  <c r="F241" i="8"/>
  <c r="F240" i="8"/>
  <c r="G239" i="8"/>
  <c r="A237" i="8"/>
  <c r="A236" i="8"/>
  <c r="C235" i="8"/>
  <c r="E234" i="8"/>
  <c r="G233" i="8"/>
  <c r="A232" i="8"/>
  <c r="C231" i="8"/>
  <c r="E230" i="8"/>
  <c r="E229" i="8"/>
  <c r="G228" i="8"/>
  <c r="A227" i="8"/>
  <c r="C226" i="8"/>
  <c r="E225" i="8"/>
  <c r="G224" i="8"/>
  <c r="A223" i="8"/>
  <c r="C222" i="8"/>
  <c r="E221" i="8"/>
  <c r="G220" i="8"/>
  <c r="A219" i="8"/>
  <c r="A218" i="8"/>
  <c r="C217" i="8"/>
  <c r="E216" i="8"/>
  <c r="G215" i="8"/>
  <c r="A214" i="8"/>
  <c r="C213" i="8"/>
  <c r="E212" i="8"/>
  <c r="G211" i="8"/>
  <c r="A210" i="8"/>
  <c r="C209" i="8"/>
  <c r="E208" i="8"/>
  <c r="G207" i="8"/>
  <c r="A206" i="8"/>
  <c r="C205" i="8"/>
  <c r="E204" i="8"/>
  <c r="G203" i="8"/>
  <c r="A202" i="8"/>
  <c r="C201" i="8"/>
  <c r="E200" i="8"/>
  <c r="G199" i="8"/>
  <c r="A198" i="8"/>
  <c r="C197" i="8"/>
  <c r="E196" i="8"/>
  <c r="G195" i="8"/>
  <c r="A194" i="8"/>
  <c r="C193" i="8"/>
  <c r="E192" i="8"/>
  <c r="G191" i="8"/>
  <c r="A190" i="8"/>
  <c r="A189" i="8"/>
  <c r="A188" i="8"/>
  <c r="C187" i="8"/>
  <c r="E186" i="8"/>
  <c r="E185" i="8"/>
  <c r="G184" i="8"/>
  <c r="A179" i="8"/>
  <c r="C178" i="8"/>
  <c r="E177" i="8"/>
  <c r="G176" i="8"/>
  <c r="A175" i="8"/>
  <c r="C174" i="8"/>
  <c r="E173" i="8"/>
  <c r="G172" i="8"/>
  <c r="A171" i="8"/>
  <c r="C170" i="8"/>
  <c r="E169" i="8"/>
  <c r="G168" i="8"/>
  <c r="A167" i="8"/>
  <c r="C166" i="8"/>
  <c r="E165" i="8"/>
  <c r="G164" i="8"/>
  <c r="A163" i="8"/>
  <c r="C162" i="8"/>
  <c r="E161" i="8"/>
  <c r="G160" i="8"/>
  <c r="A159" i="8"/>
  <c r="C158" i="8"/>
  <c r="E157" i="8"/>
  <c r="G156" i="8"/>
  <c r="A155" i="8"/>
  <c r="C154" i="8"/>
  <c r="E153" i="8"/>
  <c r="G152" i="8"/>
  <c r="A151" i="8"/>
  <c r="C150" i="8"/>
  <c r="E149" i="8"/>
  <c r="G148" i="8"/>
  <c r="A147" i="8"/>
  <c r="C146" i="8"/>
  <c r="E145" i="8"/>
  <c r="G144" i="8"/>
  <c r="A143" i="8"/>
  <c r="C142" i="8"/>
  <c r="E141" i="8"/>
  <c r="G140" i="8"/>
  <c r="A139" i="8"/>
  <c r="C138" i="8"/>
  <c r="E137" i="8"/>
  <c r="G136" i="8"/>
  <c r="A135" i="8"/>
  <c r="C134" i="8"/>
  <c r="E133" i="8"/>
  <c r="G132" i="8"/>
  <c r="A131" i="8"/>
  <c r="C130" i="8"/>
  <c r="E129" i="8"/>
  <c r="G128" i="8"/>
  <c r="E453" i="8"/>
  <c r="B336" i="8"/>
  <c r="G303" i="8"/>
  <c r="E292" i="8"/>
  <c r="D282" i="8"/>
  <c r="C254" i="8"/>
  <c r="G245" i="8"/>
  <c r="C240" i="8"/>
  <c r="D235" i="8"/>
  <c r="D233" i="8"/>
  <c r="B231" i="8"/>
  <c r="F224" i="8"/>
  <c r="D222" i="8"/>
  <c r="D220" i="8"/>
  <c r="F211" i="8"/>
  <c r="B210" i="8"/>
  <c r="F207" i="8"/>
  <c r="E206" i="8"/>
  <c r="A205" i="8"/>
  <c r="F202" i="8"/>
  <c r="B201" i="8"/>
  <c r="A200" i="8"/>
  <c r="G198" i="8"/>
  <c r="D197" i="8"/>
  <c r="B196" i="8"/>
  <c r="G193" i="8"/>
  <c r="C192" i="8"/>
  <c r="C185" i="8"/>
  <c r="D182" i="8"/>
  <c r="E179" i="8"/>
  <c r="A178" i="8"/>
  <c r="F175" i="8"/>
  <c r="B174" i="8"/>
  <c r="A173" i="8"/>
  <c r="G171" i="8"/>
  <c r="D170" i="8"/>
  <c r="B169" i="8"/>
  <c r="G166" i="8"/>
  <c r="F165" i="8"/>
  <c r="E164" i="8"/>
  <c r="E163" i="8"/>
  <c r="D162" i="8"/>
  <c r="C161" i="8"/>
  <c r="C160" i="8"/>
  <c r="B159" i="8"/>
  <c r="A158" i="8"/>
  <c r="A157" i="8"/>
  <c r="G151" i="8"/>
  <c r="G150" i="8"/>
  <c r="F149" i="8"/>
  <c r="E148" i="8"/>
  <c r="E147" i="8"/>
  <c r="D146" i="8"/>
  <c r="C145" i="8"/>
  <c r="C144" i="8"/>
  <c r="B143" i="8"/>
  <c r="A142" i="8"/>
  <c r="A141" i="8"/>
  <c r="G135" i="8"/>
  <c r="G134" i="8"/>
  <c r="F133" i="8"/>
  <c r="E132" i="8"/>
  <c r="E131" i="8"/>
  <c r="E130" i="8"/>
  <c r="F129" i="8"/>
  <c r="F128" i="8"/>
  <c r="G127" i="8"/>
  <c r="A126" i="8"/>
  <c r="C125" i="8"/>
  <c r="E124" i="8"/>
  <c r="G123" i="8"/>
  <c r="A122" i="8"/>
  <c r="C121" i="8"/>
  <c r="E120" i="8"/>
  <c r="G119" i="8"/>
  <c r="A118" i="8"/>
  <c r="C117" i="8"/>
  <c r="E116" i="8"/>
  <c r="G115" i="8"/>
  <c r="A114" i="8"/>
  <c r="C113" i="8"/>
  <c r="E112" i="8"/>
  <c r="G111" i="8"/>
  <c r="A110" i="8"/>
  <c r="C109" i="8"/>
  <c r="E108" i="8"/>
  <c r="G107" i="8"/>
  <c r="A106" i="8"/>
  <c r="C105" i="8"/>
  <c r="E104" i="8"/>
  <c r="G103" i="8"/>
  <c r="A102" i="8"/>
  <c r="C101" i="8"/>
  <c r="E100" i="8"/>
  <c r="G99" i="8"/>
  <c r="A98" i="8"/>
  <c r="C97" i="8"/>
  <c r="E96" i="8"/>
  <c r="G95" i="8"/>
  <c r="A94" i="8"/>
  <c r="C93" i="8"/>
  <c r="E92" i="8"/>
  <c r="G91" i="8"/>
  <c r="A90" i="8"/>
  <c r="C89" i="8"/>
  <c r="E88" i="8"/>
  <c r="G87" i="8"/>
  <c r="A86" i="8"/>
  <c r="C85" i="8"/>
  <c r="E84" i="8"/>
  <c r="G83" i="8"/>
  <c r="A82" i="8"/>
  <c r="C81" i="8"/>
  <c r="E80" i="8"/>
  <c r="G79" i="8"/>
  <c r="A78" i="8"/>
  <c r="C77" i="8"/>
  <c r="E76" i="8"/>
  <c r="G75" i="8"/>
  <c r="A74" i="8"/>
  <c r="C73" i="8"/>
  <c r="E72" i="8"/>
  <c r="G71" i="8"/>
  <c r="A70" i="8"/>
  <c r="C69" i="8"/>
  <c r="E68" i="8"/>
  <c r="G67" i="8"/>
  <c r="A66" i="8"/>
  <c r="C65" i="8"/>
  <c r="E64" i="8"/>
  <c r="G63" i="8"/>
  <c r="A62" i="8"/>
  <c r="C61" i="8"/>
  <c r="E60" i="8"/>
  <c r="G59" i="8"/>
  <c r="A58" i="8"/>
  <c r="C57" i="8"/>
  <c r="D435" i="8"/>
  <c r="C351" i="8"/>
  <c r="A302" i="8"/>
  <c r="D291" i="8"/>
  <c r="A281" i="8"/>
  <c r="D270" i="8"/>
  <c r="G261" i="8"/>
  <c r="B253" i="8"/>
  <c r="G244" i="8"/>
  <c r="F237" i="8"/>
  <c r="B235" i="8"/>
  <c r="F228" i="8"/>
  <c r="D226" i="8"/>
  <c r="D224" i="8"/>
  <c r="B222" i="8"/>
  <c r="F215" i="8"/>
  <c r="D213" i="8"/>
  <c r="D211" i="8"/>
  <c r="E207" i="8"/>
  <c r="B206" i="8"/>
  <c r="F203" i="8"/>
  <c r="E202" i="8"/>
  <c r="A201" i="8"/>
  <c r="F198" i="8"/>
  <c r="B197" i="8"/>
  <c r="A196" i="8"/>
  <c r="G194" i="8"/>
  <c r="D193" i="8"/>
  <c r="B192" i="8"/>
  <c r="E189" i="8"/>
  <c r="F186" i="8"/>
  <c r="B185" i="8"/>
  <c r="C182" i="8"/>
  <c r="E180" i="8"/>
  <c r="B179" i="8"/>
  <c r="F176" i="8"/>
  <c r="E175" i="8"/>
  <c r="A174" i="8"/>
  <c r="F171" i="8"/>
  <c r="B170" i="8"/>
  <c r="A169" i="8"/>
  <c r="G167" i="8"/>
  <c r="E166" i="8"/>
  <c r="D165" i="8"/>
  <c r="D164" i="8"/>
  <c r="C163" i="8"/>
  <c r="B162" i="8"/>
  <c r="B161" i="8"/>
  <c r="A160" i="8"/>
  <c r="G153" i="8"/>
  <c r="F152" i="8"/>
  <c r="F151" i="8"/>
  <c r="E150" i="8"/>
  <c r="D149" i="8"/>
  <c r="D148" i="8"/>
  <c r="C147" i="8"/>
  <c r="B146" i="8"/>
  <c r="B145" i="8"/>
  <c r="A144" i="8"/>
  <c r="G137" i="8"/>
  <c r="F136" i="8"/>
  <c r="F135" i="8"/>
  <c r="E134" i="8"/>
  <c r="D133" i="8"/>
  <c r="D132" i="8"/>
  <c r="C131" i="8"/>
  <c r="D130" i="8"/>
  <c r="D129" i="8"/>
  <c r="E128" i="8"/>
  <c r="F127" i="8"/>
  <c r="B125" i="8"/>
  <c r="D124" i="8"/>
  <c r="F123" i="8"/>
  <c r="B121" i="8"/>
  <c r="D120" i="8"/>
  <c r="F119" i="8"/>
  <c r="B117" i="8"/>
  <c r="D116" i="8"/>
  <c r="F115" i="8"/>
  <c r="B113" i="8"/>
  <c r="D112" i="8"/>
  <c r="F111" i="8"/>
  <c r="B109" i="8"/>
  <c r="D108" i="8"/>
  <c r="F107" i="8"/>
  <c r="B105" i="8"/>
  <c r="D104" i="8"/>
  <c r="F103" i="8"/>
  <c r="B101" i="8"/>
  <c r="D100" i="8"/>
  <c r="F99" i="8"/>
  <c r="B97" i="8"/>
  <c r="D96" i="8"/>
  <c r="F95" i="8"/>
  <c r="B418" i="8"/>
  <c r="D349" i="8"/>
  <c r="G331" i="8"/>
  <c r="G314" i="8"/>
  <c r="E300" i="8"/>
  <c r="G279" i="8"/>
  <c r="B269" i="8"/>
  <c r="G260" i="8"/>
  <c r="A252" i="8"/>
  <c r="F243" i="8"/>
  <c r="F239" i="8"/>
  <c r="B237" i="8"/>
  <c r="F230" i="8"/>
  <c r="D228" i="8"/>
  <c r="B226" i="8"/>
  <c r="D217" i="8"/>
  <c r="D215" i="8"/>
  <c r="B213" i="8"/>
  <c r="C211" i="8"/>
  <c r="F208" i="8"/>
  <c r="D207" i="8"/>
  <c r="E203" i="8"/>
  <c r="B202" i="8"/>
  <c r="F199" i="8"/>
  <c r="E198" i="8"/>
  <c r="A197" i="8"/>
  <c r="F194" i="8"/>
  <c r="B193" i="8"/>
  <c r="A192" i="8"/>
  <c r="G190" i="8"/>
  <c r="B189" i="8"/>
  <c r="D186" i="8"/>
  <c r="A185" i="8"/>
  <c r="E183" i="8"/>
  <c r="D180" i="8"/>
  <c r="E176" i="8"/>
  <c r="B175" i="8"/>
  <c r="F172" i="8"/>
  <c r="E171" i="8"/>
  <c r="A170" i="8"/>
  <c r="F167" i="8"/>
  <c r="D166" i="8"/>
  <c r="C165" i="8"/>
  <c r="C164" i="8"/>
  <c r="B163" i="8"/>
  <c r="A162" i="8"/>
  <c r="A161" i="8"/>
  <c r="G155" i="8"/>
  <c r="G154" i="8"/>
  <c r="F153" i="8"/>
  <c r="E152" i="8"/>
  <c r="E151" i="8"/>
  <c r="D150" i="8"/>
  <c r="C149" i="8"/>
  <c r="C148" i="8"/>
  <c r="B147" i="8"/>
  <c r="A146" i="8"/>
  <c r="A145" i="8"/>
  <c r="G139" i="8"/>
  <c r="G138" i="8"/>
  <c r="F137" i="8"/>
  <c r="E136" i="8"/>
  <c r="E135" i="8"/>
  <c r="D134" i="8"/>
  <c r="C133" i="8"/>
  <c r="C132" i="8"/>
  <c r="B131" i="8"/>
  <c r="B130" i="8"/>
  <c r="C129" i="8"/>
  <c r="D128" i="8"/>
  <c r="E127" i="8"/>
  <c r="G126" i="8"/>
  <c r="A125" i="8"/>
  <c r="C124" i="8"/>
  <c r="E123" i="8"/>
  <c r="G122" i="8"/>
  <c r="A121" i="8"/>
  <c r="C120" i="8"/>
  <c r="E119" i="8"/>
  <c r="G118" i="8"/>
  <c r="A117" i="8"/>
  <c r="C116" i="8"/>
  <c r="E115" i="8"/>
  <c r="G114" i="8"/>
  <c r="A113" i="8"/>
  <c r="C112" i="8"/>
  <c r="E111" i="8"/>
  <c r="G110" i="8"/>
  <c r="A109" i="8"/>
  <c r="C108" i="8"/>
  <c r="E107" i="8"/>
  <c r="G106" i="8"/>
  <c r="A105" i="8"/>
  <c r="C104" i="8"/>
  <c r="E103" i="8"/>
  <c r="G102" i="8"/>
  <c r="A101" i="8"/>
  <c r="C100" i="8"/>
  <c r="E99" i="8"/>
  <c r="G98" i="8"/>
  <c r="A97" i="8"/>
  <c r="C96" i="8"/>
  <c r="E95" i="8"/>
  <c r="G94" i="8"/>
  <c r="A93" i="8"/>
  <c r="A347" i="8"/>
  <c r="E312" i="8"/>
  <c r="F278" i="8"/>
  <c r="A268" i="8"/>
  <c r="F259" i="8"/>
  <c r="A251" i="8"/>
  <c r="E242" i="8"/>
  <c r="C239" i="8"/>
  <c r="F234" i="8"/>
  <c r="F232" i="8"/>
  <c r="D230" i="8"/>
  <c r="F221" i="8"/>
  <c r="F219" i="8"/>
  <c r="B217" i="8"/>
  <c r="D208" i="8"/>
  <c r="C207" i="8"/>
  <c r="F204" i="8"/>
  <c r="D203" i="8"/>
  <c r="E199" i="8"/>
  <c r="B198" i="8"/>
  <c r="F195" i="8"/>
  <c r="E194" i="8"/>
  <c r="A193" i="8"/>
  <c r="F190" i="8"/>
  <c r="G187" i="8"/>
  <c r="C186" i="8"/>
  <c r="D183" i="8"/>
  <c r="C180" i="8"/>
  <c r="F177" i="8"/>
  <c r="D176" i="8"/>
  <c r="E172" i="8"/>
  <c r="B171" i="8"/>
  <c r="F168" i="8"/>
  <c r="E167" i="8"/>
  <c r="B166" i="8"/>
  <c r="B165" i="8"/>
  <c r="A164" i="8"/>
  <c r="G157" i="8"/>
  <c r="F156" i="8"/>
  <c r="F155" i="8"/>
  <c r="E154" i="8"/>
  <c r="D153" i="8"/>
  <c r="D152" i="8"/>
  <c r="C151" i="8"/>
  <c r="B150" i="8"/>
  <c r="B149" i="8"/>
  <c r="A148" i="8"/>
  <c r="G141" i="8"/>
  <c r="F140" i="8"/>
  <c r="F139" i="8"/>
  <c r="E138" i="8"/>
  <c r="D137" i="8"/>
  <c r="D136" i="8"/>
  <c r="C135" i="8"/>
  <c r="B134" i="8"/>
  <c r="B133" i="8"/>
  <c r="A132" i="8"/>
  <c r="A130" i="8"/>
  <c r="B129" i="8"/>
  <c r="C128" i="8"/>
  <c r="D127" i="8"/>
  <c r="F126" i="8"/>
  <c r="B124" i="8"/>
  <c r="D123" i="8"/>
  <c r="F122" i="8"/>
  <c r="B120" i="8"/>
  <c r="D119" i="8"/>
  <c r="F118" i="8"/>
  <c r="B116" i="8"/>
  <c r="D115" i="8"/>
  <c r="F114" i="8"/>
  <c r="B112" i="8"/>
  <c r="D111" i="8"/>
  <c r="F110" i="8"/>
  <c r="B108" i="8"/>
  <c r="D107" i="8"/>
  <c r="F106" i="8"/>
  <c r="B104" i="8"/>
  <c r="D103" i="8"/>
  <c r="F102" i="8"/>
  <c r="B100" i="8"/>
  <c r="D99" i="8"/>
  <c r="F98" i="8"/>
  <c r="B96" i="8"/>
  <c r="D95" i="8"/>
  <c r="F94" i="8"/>
  <c r="B92" i="8"/>
  <c r="D91" i="8"/>
  <c r="F90" i="8"/>
  <c r="B88" i="8"/>
  <c r="D87" i="8"/>
  <c r="F86" i="8"/>
  <c r="B84" i="8"/>
  <c r="D83" i="8"/>
  <c r="F82" i="8"/>
  <c r="B80" i="8"/>
  <c r="D79" i="8"/>
  <c r="F78" i="8"/>
  <c r="B76" i="8"/>
  <c r="D75" i="8"/>
  <c r="F74" i="8"/>
  <c r="B72" i="8"/>
  <c r="D71" i="8"/>
  <c r="F70" i="8"/>
  <c r="B68" i="8"/>
  <c r="D67" i="8"/>
  <c r="F66" i="8"/>
  <c r="B64" i="8"/>
  <c r="D63" i="8"/>
  <c r="F62" i="8"/>
  <c r="B60" i="8"/>
  <c r="D59" i="8"/>
  <c r="F58" i="8"/>
  <c r="B56" i="8"/>
  <c r="D55" i="8"/>
  <c r="F54" i="8"/>
  <c r="B52" i="8"/>
  <c r="D51" i="8"/>
  <c r="F50" i="8"/>
  <c r="B48" i="8"/>
  <c r="D47" i="8"/>
  <c r="F46" i="8"/>
  <c r="B44" i="8"/>
  <c r="D43" i="8"/>
  <c r="F42" i="8"/>
  <c r="B40" i="8"/>
  <c r="D39" i="8"/>
  <c r="D38" i="8"/>
  <c r="F37" i="8"/>
  <c r="B35" i="8"/>
  <c r="D34" i="8"/>
  <c r="F33" i="8"/>
  <c r="B31" i="8"/>
  <c r="D30" i="8"/>
  <c r="F29" i="8"/>
  <c r="B27" i="8"/>
  <c r="D26" i="8"/>
  <c r="F25" i="8"/>
  <c r="B23" i="8"/>
  <c r="D22" i="8"/>
  <c r="F21" i="8"/>
  <c r="B19" i="8"/>
  <c r="D18" i="8"/>
  <c r="F17" i="8"/>
  <c r="B15" i="8"/>
  <c r="D14" i="8"/>
  <c r="F13" i="8"/>
  <c r="B11" i="8"/>
  <c r="D10" i="8"/>
  <c r="F9" i="8"/>
  <c r="B7" i="8"/>
  <c r="E391" i="8"/>
  <c r="E344" i="8"/>
  <c r="E327" i="8"/>
  <c r="F310" i="8"/>
  <c r="E287" i="8"/>
  <c r="B277" i="8"/>
  <c r="A267" i="8"/>
  <c r="E258" i="8"/>
  <c r="E241" i="8"/>
  <c r="D234" i="8"/>
  <c r="B232" i="8"/>
  <c r="B230" i="8"/>
  <c r="F225" i="8"/>
  <c r="F223" i="8"/>
  <c r="D221" i="8"/>
  <c r="B219" i="8"/>
  <c r="F212" i="8"/>
  <c r="G209" i="8"/>
  <c r="C208" i="8"/>
  <c r="D204" i="8"/>
  <c r="C203" i="8"/>
  <c r="F200" i="8"/>
  <c r="D199" i="8"/>
  <c r="E195" i="8"/>
  <c r="B194" i="8"/>
  <c r="F191" i="8"/>
  <c r="E190" i="8"/>
  <c r="D187" i="8"/>
  <c r="B186" i="8"/>
  <c r="F184" i="8"/>
  <c r="C183" i="8"/>
  <c r="E181" i="8"/>
  <c r="D177" i="8"/>
  <c r="C176" i="8"/>
  <c r="F173" i="8"/>
  <c r="D172" i="8"/>
  <c r="E168" i="8"/>
  <c r="B167" i="8"/>
  <c r="A166" i="8"/>
  <c r="A165" i="8"/>
  <c r="G159" i="8"/>
  <c r="G158" i="8"/>
  <c r="F157" i="8"/>
  <c r="E156" i="8"/>
  <c r="E155" i="8"/>
  <c r="D154" i="8"/>
  <c r="C153" i="8"/>
  <c r="C152" i="8"/>
  <c r="B151" i="8"/>
  <c r="A150" i="8"/>
  <c r="A149" i="8"/>
  <c r="G143" i="8"/>
  <c r="G142" i="8"/>
  <c r="F141" i="8"/>
  <c r="E140" i="8"/>
  <c r="E139" i="8"/>
  <c r="D138" i="8"/>
  <c r="C137" i="8"/>
  <c r="C136" i="8"/>
  <c r="B135" i="8"/>
  <c r="A134" i="8"/>
  <c r="A133" i="8"/>
  <c r="A129" i="8"/>
  <c r="B128" i="8"/>
  <c r="C127" i="8"/>
  <c r="E126" i="8"/>
  <c r="G125" i="8"/>
  <c r="A124" i="8"/>
  <c r="C123" i="8"/>
  <c r="E122" i="8"/>
  <c r="G121" i="8"/>
  <c r="A120" i="8"/>
  <c r="C119" i="8"/>
  <c r="E118" i="8"/>
  <c r="G117" i="8"/>
  <c r="A116" i="8"/>
  <c r="C115" i="8"/>
  <c r="E114" i="8"/>
  <c r="G113" i="8"/>
  <c r="A112" i="8"/>
  <c r="C111" i="8"/>
  <c r="E110" i="8"/>
  <c r="G109" i="8"/>
  <c r="A108" i="8"/>
  <c r="C107" i="8"/>
  <c r="E106" i="8"/>
  <c r="G105" i="8"/>
  <c r="A104" i="8"/>
  <c r="C103" i="8"/>
  <c r="E102" i="8"/>
  <c r="G101" i="8"/>
  <c r="A100" i="8"/>
  <c r="C99" i="8"/>
  <c r="E98" i="8"/>
  <c r="G97" i="8"/>
  <c r="A96" i="8"/>
  <c r="C95" i="8"/>
  <c r="E94" i="8"/>
  <c r="G93" i="8"/>
  <c r="A92" i="8"/>
  <c r="C91" i="8"/>
  <c r="E90" i="8"/>
  <c r="G89" i="8"/>
  <c r="A88" i="8"/>
  <c r="C87" i="8"/>
  <c r="E86" i="8"/>
  <c r="G85" i="8"/>
  <c r="A84" i="8"/>
  <c r="C83" i="8"/>
  <c r="E82" i="8"/>
  <c r="G81" i="8"/>
  <c r="A80" i="8"/>
  <c r="C79" i="8"/>
  <c r="E78" i="8"/>
  <c r="G77" i="8"/>
  <c r="A76" i="8"/>
  <c r="C75" i="8"/>
  <c r="E74" i="8"/>
  <c r="G73" i="8"/>
  <c r="A72" i="8"/>
  <c r="C71" i="8"/>
  <c r="E70" i="8"/>
  <c r="G69" i="8"/>
  <c r="A68" i="8"/>
  <c r="C67" i="8"/>
  <c r="E66" i="8"/>
  <c r="B381" i="8"/>
  <c r="F342" i="8"/>
  <c r="C325" i="8"/>
  <c r="E308" i="8"/>
  <c r="D296" i="8"/>
  <c r="A286" i="8"/>
  <c r="E257" i="8"/>
  <c r="B241" i="8"/>
  <c r="G238" i="8"/>
  <c r="B236" i="8"/>
  <c r="B234" i="8"/>
  <c r="F227" i="8"/>
  <c r="D225" i="8"/>
  <c r="B223" i="8"/>
  <c r="B221" i="8"/>
  <c r="F216" i="8"/>
  <c r="F214" i="8"/>
  <c r="D212" i="8"/>
  <c r="G210" i="8"/>
  <c r="D209" i="8"/>
  <c r="B208" i="8"/>
  <c r="G205" i="8"/>
  <c r="C204" i="8"/>
  <c r="D200" i="8"/>
  <c r="C199" i="8"/>
  <c r="F196" i="8"/>
  <c r="D195" i="8"/>
  <c r="E191" i="8"/>
  <c r="B190" i="8"/>
  <c r="B187" i="8"/>
  <c r="A186" i="8"/>
  <c r="E184" i="8"/>
  <c r="D181" i="8"/>
  <c r="G178" i="8"/>
  <c r="C177" i="8"/>
  <c r="D173" i="8"/>
  <c r="C172" i="8"/>
  <c r="F169" i="8"/>
  <c r="D168" i="8"/>
  <c r="G161" i="8"/>
  <c r="F160" i="8"/>
  <c r="F159" i="8"/>
  <c r="E158" i="8"/>
  <c r="D157" i="8"/>
  <c r="D156" i="8"/>
  <c r="C155" i="8"/>
  <c r="B154" i="8"/>
  <c r="B153" i="8"/>
  <c r="A152" i="8"/>
  <c r="G145" i="8"/>
  <c r="F144" i="8"/>
  <c r="F143" i="8"/>
  <c r="E142" i="8"/>
  <c r="D141" i="8"/>
  <c r="D140" i="8"/>
  <c r="C139" i="8"/>
  <c r="B138" i="8"/>
  <c r="B137" i="8"/>
  <c r="A136" i="8"/>
  <c r="A128" i="8"/>
  <c r="B127" i="8"/>
  <c r="D126" i="8"/>
  <c r="F125" i="8"/>
  <c r="B123" i="8"/>
  <c r="D122" i="8"/>
  <c r="F121" i="8"/>
  <c r="B119" i="8"/>
  <c r="D118" i="8"/>
  <c r="F117" i="8"/>
  <c r="B115" i="8"/>
  <c r="D114" i="8"/>
  <c r="F113" i="8"/>
  <c r="B111" i="8"/>
  <c r="D110" i="8"/>
  <c r="F109" i="8"/>
  <c r="B107" i="8"/>
  <c r="D106" i="8"/>
  <c r="F105" i="8"/>
  <c r="B103" i="8"/>
  <c r="D102" i="8"/>
  <c r="F101" i="8"/>
  <c r="B99" i="8"/>
  <c r="D98" i="8"/>
  <c r="F97" i="8"/>
  <c r="B95" i="8"/>
  <c r="D94" i="8"/>
  <c r="F93" i="8"/>
  <c r="B91" i="8"/>
  <c r="D90" i="8"/>
  <c r="F89" i="8"/>
  <c r="B87" i="8"/>
  <c r="D86" i="8"/>
  <c r="F85" i="8"/>
  <c r="B83" i="8"/>
  <c r="D82" i="8"/>
  <c r="F81" i="8"/>
  <c r="B79" i="8"/>
  <c r="D78" i="8"/>
  <c r="F77" i="8"/>
  <c r="B75" i="8"/>
  <c r="D74" i="8"/>
  <c r="F73" i="8"/>
  <c r="B71" i="8"/>
  <c r="D70" i="8"/>
  <c r="F69" i="8"/>
  <c r="B67" i="8"/>
  <c r="D66" i="8"/>
  <c r="F65" i="8"/>
  <c r="B63" i="8"/>
  <c r="D62" i="8"/>
  <c r="F61" i="8"/>
  <c r="B59" i="8"/>
  <c r="D58" i="8"/>
  <c r="F57" i="8"/>
  <c r="B55" i="8"/>
  <c r="D54" i="8"/>
  <c r="F53" i="8"/>
  <c r="B51" i="8"/>
  <c r="D50" i="8"/>
  <c r="F49" i="8"/>
  <c r="B47" i="8"/>
  <c r="D46" i="8"/>
  <c r="F45" i="8"/>
  <c r="B43" i="8"/>
  <c r="D42" i="8"/>
  <c r="F41" i="8"/>
  <c r="B39" i="8"/>
  <c r="B38" i="8"/>
  <c r="D37" i="8"/>
  <c r="F36" i="8"/>
  <c r="B34" i="8"/>
  <c r="D33" i="8"/>
  <c r="F32" i="8"/>
  <c r="C340" i="8"/>
  <c r="D323" i="8"/>
  <c r="B295" i="8"/>
  <c r="G274" i="8"/>
  <c r="D256" i="8"/>
  <c r="G240" i="8"/>
  <c r="D238" i="8"/>
  <c r="D229" i="8"/>
  <c r="B227" i="8"/>
  <c r="B225" i="8"/>
  <c r="D216" i="8"/>
  <c r="B214" i="8"/>
  <c r="B212" i="8"/>
  <c r="F210" i="8"/>
  <c r="B209" i="8"/>
  <c r="A208" i="8"/>
  <c r="G206" i="8"/>
  <c r="D205" i="8"/>
  <c r="B204" i="8"/>
  <c r="G201" i="8"/>
  <c r="C200" i="8"/>
  <c r="D196" i="8"/>
  <c r="C195" i="8"/>
  <c r="F192" i="8"/>
  <c r="D191" i="8"/>
  <c r="E188" i="8"/>
  <c r="A187" i="8"/>
  <c r="D184" i="8"/>
  <c r="C181" i="8"/>
  <c r="G179" i="8"/>
  <c r="D178" i="8"/>
  <c r="B177" i="8"/>
  <c r="G174" i="8"/>
  <c r="C173" i="8"/>
  <c r="D169" i="8"/>
  <c r="C168" i="8"/>
  <c r="G163" i="8"/>
  <c r="G162" i="8"/>
  <c r="F161" i="8"/>
  <c r="E160" i="8"/>
  <c r="E159" i="8"/>
  <c r="D158" i="8"/>
  <c r="C157" i="8"/>
  <c r="C156" i="8"/>
  <c r="B155" i="8"/>
  <c r="A154" i="8"/>
  <c r="A153" i="8"/>
  <c r="G147" i="8"/>
  <c r="G146" i="8"/>
  <c r="F145" i="8"/>
  <c r="E144" i="8"/>
  <c r="E143" i="8"/>
  <c r="D142" i="8"/>
  <c r="C141" i="8"/>
  <c r="C140" i="8"/>
  <c r="B139" i="8"/>
  <c r="A138" i="8"/>
  <c r="A137" i="8"/>
  <c r="G131" i="8"/>
  <c r="G130" i="8"/>
  <c r="A127" i="8"/>
  <c r="C126" i="8"/>
  <c r="E125" i="8"/>
  <c r="G124" i="8"/>
  <c r="A123" i="8"/>
  <c r="C122" i="8"/>
  <c r="E121" i="8"/>
  <c r="G120" i="8"/>
  <c r="A119" i="8"/>
  <c r="C118" i="8"/>
  <c r="E117" i="8"/>
  <c r="G116" i="8"/>
  <c r="A115" i="8"/>
  <c r="C114" i="8"/>
  <c r="E113" i="8"/>
  <c r="G112" i="8"/>
  <c r="A111" i="8"/>
  <c r="C110" i="8"/>
  <c r="E109" i="8"/>
  <c r="G108" i="8"/>
  <c r="A107" i="8"/>
  <c r="C106" i="8"/>
  <c r="E105" i="8"/>
  <c r="G104" i="8"/>
  <c r="A103" i="8"/>
  <c r="C102" i="8"/>
  <c r="E101" i="8"/>
  <c r="G100" i="8"/>
  <c r="A99" i="8"/>
  <c r="C98" i="8"/>
  <c r="E97" i="8"/>
  <c r="G96" i="8"/>
  <c r="A95" i="8"/>
  <c r="C94" i="8"/>
  <c r="E93" i="8"/>
  <c r="G92" i="8"/>
  <c r="A91" i="8"/>
  <c r="C90" i="8"/>
  <c r="E89" i="8"/>
  <c r="G88" i="8"/>
  <c r="A87" i="8"/>
  <c r="C86" i="8"/>
  <c r="E85" i="8"/>
  <c r="G84" i="8"/>
  <c r="A83" i="8"/>
  <c r="C82" i="8"/>
  <c r="E81" i="8"/>
  <c r="G80" i="8"/>
  <c r="A79" i="8"/>
  <c r="C78" i="8"/>
  <c r="E77" i="8"/>
  <c r="G76" i="8"/>
  <c r="A75" i="8"/>
  <c r="C74" i="8"/>
  <c r="E73" i="8"/>
  <c r="G72" i="8"/>
  <c r="A71" i="8"/>
  <c r="C70" i="8"/>
  <c r="E69" i="8"/>
  <c r="G68" i="8"/>
  <c r="A67" i="8"/>
  <c r="C66" i="8"/>
  <c r="E65" i="8"/>
  <c r="G64" i="8"/>
  <c r="A63" i="8"/>
  <c r="C62" i="8"/>
  <c r="E61" i="8"/>
  <c r="G60" i="8"/>
  <c r="A59" i="8"/>
  <c r="C58" i="8"/>
  <c r="E57" i="8"/>
  <c r="G56" i="8"/>
  <c r="A55" i="8"/>
  <c r="C54" i="8"/>
  <c r="E53" i="8"/>
  <c r="G52" i="8"/>
  <c r="A51" i="8"/>
  <c r="C50" i="8"/>
  <c r="E49" i="8"/>
  <c r="G48" i="8"/>
  <c r="A47" i="8"/>
  <c r="C46" i="8"/>
  <c r="E45" i="8"/>
  <c r="G44" i="8"/>
  <c r="A43" i="8"/>
  <c r="C42" i="8"/>
  <c r="E41" i="8"/>
  <c r="G40" i="8"/>
  <c r="A39" i="8"/>
  <c r="A38" i="8"/>
  <c r="C37" i="8"/>
  <c r="E36" i="8"/>
  <c r="G35" i="8"/>
  <c r="A34" i="8"/>
  <c r="C33" i="8"/>
  <c r="E32" i="8"/>
  <c r="G31" i="8"/>
  <c r="A30" i="8"/>
  <c r="C29" i="8"/>
  <c r="E28" i="8"/>
  <c r="G27" i="8"/>
  <c r="A26" i="8"/>
  <c r="C25" i="8"/>
  <c r="E24" i="8"/>
  <c r="G23" i="8"/>
  <c r="A22" i="8"/>
  <c r="C21" i="8"/>
  <c r="E20" i="8"/>
  <c r="G19" i="8"/>
  <c r="A18" i="8"/>
  <c r="C17" i="8"/>
  <c r="E16" i="8"/>
  <c r="G15" i="8"/>
  <c r="A14" i="8"/>
  <c r="C13" i="8"/>
  <c r="E12" i="8"/>
  <c r="G11" i="8"/>
  <c r="A10" i="8"/>
  <c r="C9" i="8"/>
  <c r="E8" i="8"/>
  <c r="G7" i="8"/>
  <c r="A6" i="8"/>
  <c r="C5" i="8"/>
  <c r="D362" i="8"/>
  <c r="C255" i="8"/>
  <c r="E210" i="8"/>
  <c r="B200" i="8"/>
  <c r="B178" i="8"/>
  <c r="C159" i="8"/>
  <c r="B142" i="8"/>
  <c r="G133" i="8"/>
  <c r="B126" i="8"/>
  <c r="D113" i="8"/>
  <c r="F100" i="8"/>
  <c r="B94" i="8"/>
  <c r="E91" i="8"/>
  <c r="B89" i="8"/>
  <c r="A85" i="8"/>
  <c r="F80" i="8"/>
  <c r="G78" i="8"/>
  <c r="D76" i="8"/>
  <c r="B74" i="8"/>
  <c r="C72" i="8"/>
  <c r="C64" i="8"/>
  <c r="G62" i="8"/>
  <c r="A61" i="8"/>
  <c r="E59" i="8"/>
  <c r="D56" i="8"/>
  <c r="E52" i="8"/>
  <c r="C51" i="8"/>
  <c r="F48" i="8"/>
  <c r="E47" i="8"/>
  <c r="A46" i="8"/>
  <c r="F43" i="8"/>
  <c r="B42" i="8"/>
  <c r="G39" i="8"/>
  <c r="F35" i="8"/>
  <c r="E34" i="8"/>
  <c r="G29" i="8"/>
  <c r="E27" i="8"/>
  <c r="C23" i="8"/>
  <c r="A20" i="8"/>
  <c r="G13" i="8"/>
  <c r="C7" i="8"/>
  <c r="C56" i="8"/>
  <c r="F44" i="8"/>
  <c r="C34" i="8"/>
  <c r="E29" i="8"/>
  <c r="C26" i="8"/>
  <c r="B24" i="8"/>
  <c r="E13" i="8"/>
  <c r="B8" i="8"/>
  <c r="D4" i="8"/>
  <c r="D16" i="8"/>
  <c r="F2" i="8"/>
  <c r="A338" i="8"/>
  <c r="A209" i="8"/>
  <c r="B188" i="8"/>
  <c r="A177" i="8"/>
  <c r="B158" i="8"/>
  <c r="G149" i="8"/>
  <c r="B141" i="8"/>
  <c r="F132" i="8"/>
  <c r="D125" i="8"/>
  <c r="F112" i="8"/>
  <c r="B106" i="8"/>
  <c r="D93" i="8"/>
  <c r="A89" i="8"/>
  <c r="F84" i="8"/>
  <c r="G82" i="8"/>
  <c r="D80" i="8"/>
  <c r="B78" i="8"/>
  <c r="C76" i="8"/>
  <c r="F67" i="8"/>
  <c r="G65" i="8"/>
  <c r="A64" i="8"/>
  <c r="E62" i="8"/>
  <c r="G57" i="8"/>
  <c r="D52" i="8"/>
  <c r="E48" i="8"/>
  <c r="C47" i="8"/>
  <c r="E43" i="8"/>
  <c r="D28" i="8"/>
  <c r="D12" i="8"/>
  <c r="B5" i="8"/>
  <c r="D15" i="8"/>
  <c r="A321" i="8"/>
  <c r="E240" i="8"/>
  <c r="G197" i="8"/>
  <c r="G175" i="8"/>
  <c r="G165" i="8"/>
  <c r="B157" i="8"/>
  <c r="F148" i="8"/>
  <c r="A140" i="8"/>
  <c r="F131" i="8"/>
  <c r="F124" i="8"/>
  <c r="B118" i="8"/>
  <c r="D105" i="8"/>
  <c r="B93" i="8"/>
  <c r="F88" i="8"/>
  <c r="G86" i="8"/>
  <c r="D84" i="8"/>
  <c r="B82" i="8"/>
  <c r="C80" i="8"/>
  <c r="F71" i="8"/>
  <c r="D69" i="8"/>
  <c r="E67" i="8"/>
  <c r="D65" i="8"/>
  <c r="B62" i="8"/>
  <c r="F60" i="8"/>
  <c r="D57" i="8"/>
  <c r="A56" i="8"/>
  <c r="D53" i="8"/>
  <c r="C52" i="8"/>
  <c r="G49" i="8"/>
  <c r="D48" i="8"/>
  <c r="E44" i="8"/>
  <c r="C43" i="8"/>
  <c r="F40" i="8"/>
  <c r="E39" i="8"/>
  <c r="G36" i="8"/>
  <c r="D35" i="8"/>
  <c r="E31" i="8"/>
  <c r="E30" i="8"/>
  <c r="D29" i="8"/>
  <c r="C28" i="8"/>
  <c r="C27" i="8"/>
  <c r="B26" i="8"/>
  <c r="A25" i="8"/>
  <c r="A24" i="8"/>
  <c r="G18" i="8"/>
  <c r="G17" i="8"/>
  <c r="F16" i="8"/>
  <c r="E15" i="8"/>
  <c r="E14" i="8"/>
  <c r="D13" i="8"/>
  <c r="C12" i="8"/>
  <c r="C11" i="8"/>
  <c r="B10" i="8"/>
  <c r="A9" i="8"/>
  <c r="A8" i="8"/>
  <c r="A5" i="8"/>
  <c r="C4" i="8"/>
  <c r="E3" i="8"/>
  <c r="G2" i="8"/>
  <c r="C14" i="8"/>
  <c r="A11" i="8"/>
  <c r="D3" i="8"/>
  <c r="C305" i="8"/>
  <c r="F220" i="8"/>
  <c r="F206" i="8"/>
  <c r="C196" i="8"/>
  <c r="D185" i="8"/>
  <c r="D174" i="8"/>
  <c r="F164" i="8"/>
  <c r="A156" i="8"/>
  <c r="F147" i="8"/>
  <c r="F130" i="8"/>
  <c r="D117" i="8"/>
  <c r="F104" i="8"/>
  <c r="B98" i="8"/>
  <c r="F92" i="8"/>
  <c r="G90" i="8"/>
  <c r="D88" i="8"/>
  <c r="B86" i="8"/>
  <c r="C84" i="8"/>
  <c r="F75" i="8"/>
  <c r="D73" i="8"/>
  <c r="E71" i="8"/>
  <c r="B69" i="8"/>
  <c r="B65" i="8"/>
  <c r="F63" i="8"/>
  <c r="D60" i="8"/>
  <c r="B57" i="8"/>
  <c r="G54" i="8"/>
  <c r="C53" i="8"/>
  <c r="A52" i="8"/>
  <c r="D49" i="8"/>
  <c r="C48" i="8"/>
  <c r="G45" i="8"/>
  <c r="D44" i="8"/>
  <c r="E40" i="8"/>
  <c r="C39" i="8"/>
  <c r="D36" i="8"/>
  <c r="C35" i="8"/>
  <c r="G32" i="8"/>
  <c r="D31" i="8"/>
  <c r="C30" i="8"/>
  <c r="B29" i="8"/>
  <c r="B28" i="8"/>
  <c r="A27" i="8"/>
  <c r="F18" i="8"/>
  <c r="B13" i="8"/>
  <c r="B218" i="8"/>
  <c r="B205" i="8"/>
  <c r="C184" i="8"/>
  <c r="B173" i="8"/>
  <c r="F163" i="8"/>
  <c r="E146" i="8"/>
  <c r="G129" i="8"/>
  <c r="F116" i="8"/>
  <c r="B110" i="8"/>
  <c r="D97" i="8"/>
  <c r="D92" i="8"/>
  <c r="B90" i="8"/>
  <c r="C88" i="8"/>
  <c r="F79" i="8"/>
  <c r="D77" i="8"/>
  <c r="E75" i="8"/>
  <c r="B73" i="8"/>
  <c r="A69" i="8"/>
  <c r="A65" i="8"/>
  <c r="E63" i="8"/>
  <c r="C60" i="8"/>
  <c r="G58" i="8"/>
  <c r="A57" i="8"/>
  <c r="G55" i="8"/>
  <c r="E54" i="8"/>
  <c r="B53" i="8"/>
  <c r="G50" i="8"/>
  <c r="C49" i="8"/>
  <c r="A48" i="8"/>
  <c r="D45" i="8"/>
  <c r="C44" i="8"/>
  <c r="G41" i="8"/>
  <c r="D40" i="8"/>
  <c r="G37" i="8"/>
  <c r="C36" i="8"/>
  <c r="A35" i="8"/>
  <c r="D32" i="8"/>
  <c r="C31" i="8"/>
  <c r="B30" i="8"/>
  <c r="A29" i="8"/>
  <c r="A28" i="8"/>
  <c r="G22" i="8"/>
  <c r="G21" i="8"/>
  <c r="F20" i="8"/>
  <c r="E19" i="8"/>
  <c r="E18" i="8"/>
  <c r="D17" i="8"/>
  <c r="C16" i="8"/>
  <c r="C15" i="8"/>
  <c r="B14" i="8"/>
  <c r="A13" i="8"/>
  <c r="A12" i="8"/>
  <c r="G6" i="8"/>
  <c r="A4" i="8"/>
  <c r="C3" i="8"/>
  <c r="E2" i="8"/>
  <c r="F23" i="8"/>
  <c r="E21" i="8"/>
  <c r="D20" i="8"/>
  <c r="C18" i="8"/>
  <c r="B17" i="8"/>
  <c r="A15" i="8"/>
  <c r="G8" i="8"/>
  <c r="F6" i="8"/>
  <c r="D2" i="8"/>
  <c r="D72" i="8"/>
  <c r="D64" i="8"/>
  <c r="B61" i="8"/>
  <c r="C55" i="8"/>
  <c r="F52" i="8"/>
  <c r="B46" i="8"/>
  <c r="G43" i="8"/>
  <c r="B41" i="8"/>
  <c r="E38" i="8"/>
  <c r="F34" i="8"/>
  <c r="A32" i="8"/>
  <c r="G28" i="8"/>
  <c r="F26" i="8"/>
  <c r="D24" i="8"/>
  <c r="B21" i="8"/>
  <c r="A19" i="8"/>
  <c r="G12" i="8"/>
  <c r="D8" i="8"/>
  <c r="E5" i="8"/>
  <c r="A41" i="8"/>
  <c r="G30" i="8"/>
  <c r="D25" i="8"/>
  <c r="A21" i="8"/>
  <c r="G14" i="8"/>
  <c r="E10" i="8"/>
  <c r="C8" i="8"/>
  <c r="D5" i="8"/>
  <c r="A2" i="8"/>
  <c r="G53" i="8"/>
  <c r="F39" i="8"/>
  <c r="F31" i="8"/>
  <c r="D27" i="8"/>
  <c r="F15" i="8"/>
  <c r="D11" i="8"/>
  <c r="B6" i="8"/>
  <c r="G20" i="8"/>
  <c r="F283" i="8"/>
  <c r="F233" i="8"/>
  <c r="B216" i="8"/>
  <c r="A204" i="8"/>
  <c r="E182" i="8"/>
  <c r="E162" i="8"/>
  <c r="D145" i="8"/>
  <c r="B122" i="8"/>
  <c r="D109" i="8"/>
  <c r="F96" i="8"/>
  <c r="C92" i="8"/>
  <c r="F83" i="8"/>
  <c r="D81" i="8"/>
  <c r="E79" i="8"/>
  <c r="B77" i="8"/>
  <c r="A73" i="8"/>
  <c r="F68" i="8"/>
  <c r="G66" i="8"/>
  <c r="C63" i="8"/>
  <c r="G61" i="8"/>
  <c r="A60" i="8"/>
  <c r="E58" i="8"/>
  <c r="F55" i="8"/>
  <c r="B54" i="8"/>
  <c r="A53" i="8"/>
  <c r="G51" i="8"/>
  <c r="E50" i="8"/>
  <c r="B49" i="8"/>
  <c r="G46" i="8"/>
  <c r="C45" i="8"/>
  <c r="A44" i="8"/>
  <c r="D41" i="8"/>
  <c r="C40" i="8"/>
  <c r="E37" i="8"/>
  <c r="B36" i="8"/>
  <c r="G33" i="8"/>
  <c r="C32" i="8"/>
  <c r="A31" i="8"/>
  <c r="G24" i="8"/>
  <c r="F22" i="8"/>
  <c r="D19" i="8"/>
  <c r="B16" i="8"/>
  <c r="F7" i="8"/>
  <c r="G5" i="8"/>
  <c r="B3" i="8"/>
  <c r="C68" i="8"/>
  <c r="A50" i="8"/>
  <c r="C22" i="8"/>
  <c r="F10" i="8"/>
  <c r="D7" i="8"/>
  <c r="C38" i="8"/>
  <c r="E26" i="8"/>
  <c r="E11" i="8"/>
  <c r="E4" i="8"/>
  <c r="A23" i="8"/>
  <c r="G16" i="8"/>
  <c r="B9" i="8"/>
  <c r="E17" i="8"/>
  <c r="A273" i="8"/>
  <c r="D231" i="8"/>
  <c r="G202" i="8"/>
  <c r="D192" i="8"/>
  <c r="G170" i="8"/>
  <c r="D161" i="8"/>
  <c r="D144" i="8"/>
  <c r="D121" i="8"/>
  <c r="F108" i="8"/>
  <c r="B102" i="8"/>
  <c r="F87" i="8"/>
  <c r="D85" i="8"/>
  <c r="E83" i="8"/>
  <c r="B81" i="8"/>
  <c r="A77" i="8"/>
  <c r="F72" i="8"/>
  <c r="G70" i="8"/>
  <c r="D68" i="8"/>
  <c r="B66" i="8"/>
  <c r="F64" i="8"/>
  <c r="D61" i="8"/>
  <c r="B58" i="8"/>
  <c r="F56" i="8"/>
  <c r="E55" i="8"/>
  <c r="A54" i="8"/>
  <c r="F51" i="8"/>
  <c r="B50" i="8"/>
  <c r="A49" i="8"/>
  <c r="G47" i="8"/>
  <c r="E46" i="8"/>
  <c r="B45" i="8"/>
  <c r="G42" i="8"/>
  <c r="C41" i="8"/>
  <c r="A40" i="8"/>
  <c r="B37" i="8"/>
  <c r="A36" i="8"/>
  <c r="G34" i="8"/>
  <c r="E33" i="8"/>
  <c r="B32" i="8"/>
  <c r="G26" i="8"/>
  <c r="G25" i="8"/>
  <c r="F24" i="8"/>
  <c r="E23" i="8"/>
  <c r="E22" i="8"/>
  <c r="D21" i="8"/>
  <c r="C20" i="8"/>
  <c r="C19" i="8"/>
  <c r="B18" i="8"/>
  <c r="A17" i="8"/>
  <c r="A16" i="8"/>
  <c r="G10" i="8"/>
  <c r="G9" i="8"/>
  <c r="F8" i="8"/>
  <c r="E7" i="8"/>
  <c r="E6" i="8"/>
  <c r="F5" i="8"/>
  <c r="G4" i="8"/>
  <c r="A3" i="8"/>
  <c r="C2" i="8"/>
  <c r="B229" i="8"/>
  <c r="D201" i="8"/>
  <c r="C191" i="8"/>
  <c r="F179" i="8"/>
  <c r="C169" i="8"/>
  <c r="D160" i="8"/>
  <c r="C143" i="8"/>
  <c r="F120" i="8"/>
  <c r="B114" i="8"/>
  <c r="D101" i="8"/>
  <c r="F91" i="8"/>
  <c r="D89" i="8"/>
  <c r="E87" i="8"/>
  <c r="B85" i="8"/>
  <c r="A81" i="8"/>
  <c r="F76" i="8"/>
  <c r="G74" i="8"/>
  <c r="B70" i="8"/>
  <c r="F59" i="8"/>
  <c r="E56" i="8"/>
  <c r="E51" i="8"/>
  <c r="F47" i="8"/>
  <c r="A45" i="8"/>
  <c r="E42" i="8"/>
  <c r="A37" i="8"/>
  <c r="B33" i="8"/>
  <c r="F27" i="8"/>
  <c r="E25" i="8"/>
  <c r="D23" i="8"/>
  <c r="B20" i="8"/>
  <c r="F11" i="8"/>
  <c r="E9" i="8"/>
  <c r="D6" i="8"/>
  <c r="F4" i="8"/>
  <c r="B2" i="8"/>
  <c r="A33" i="8"/>
  <c r="F28" i="8"/>
  <c r="C24" i="8"/>
  <c r="B22" i="8"/>
  <c r="F12" i="8"/>
  <c r="D9" i="8"/>
  <c r="C6" i="8"/>
  <c r="G3" i="8"/>
  <c r="C59" i="8"/>
  <c r="A42" i="8"/>
  <c r="E35" i="8"/>
  <c r="F30" i="8"/>
  <c r="B25" i="8"/>
  <c r="F14" i="8"/>
  <c r="C10" i="8"/>
  <c r="A7" i="8"/>
  <c r="F3" i="8"/>
  <c r="F19" i="8"/>
  <c r="B12" i="8"/>
  <c r="B4" i="8"/>
  <c r="J7" i="8" l="1"/>
  <c r="I7" i="8"/>
  <c r="H7" i="8"/>
  <c r="J42" i="8"/>
  <c r="I42" i="8"/>
  <c r="H42" i="8"/>
  <c r="J33" i="8"/>
  <c r="I33" i="8"/>
  <c r="H33" i="8"/>
  <c r="J37" i="8"/>
  <c r="I37" i="8"/>
  <c r="H37" i="8"/>
  <c r="H45" i="8"/>
  <c r="J45" i="8"/>
  <c r="I45" i="8"/>
  <c r="H81" i="8"/>
  <c r="J81" i="8"/>
  <c r="I81" i="8"/>
  <c r="J3" i="8"/>
  <c r="H3" i="8"/>
  <c r="I3" i="8"/>
  <c r="H16" i="8"/>
  <c r="I16" i="8"/>
  <c r="J16" i="8"/>
  <c r="J17" i="8"/>
  <c r="I17" i="8"/>
  <c r="H17" i="8"/>
  <c r="H36" i="8"/>
  <c r="I36" i="8"/>
  <c r="J36" i="8"/>
  <c r="J40" i="8"/>
  <c r="H40" i="8"/>
  <c r="I40" i="8"/>
  <c r="H49" i="8"/>
  <c r="J49" i="8"/>
  <c r="I49" i="8"/>
  <c r="J54" i="8"/>
  <c r="H54" i="8"/>
  <c r="I54" i="8"/>
  <c r="H77" i="8"/>
  <c r="J77" i="8"/>
  <c r="I77" i="8"/>
  <c r="J273" i="8"/>
  <c r="I273" i="8"/>
  <c r="H273" i="8"/>
  <c r="J23" i="8"/>
  <c r="I23" i="8"/>
  <c r="H23" i="8"/>
  <c r="J50" i="8"/>
  <c r="I50" i="8"/>
  <c r="H50" i="8"/>
  <c r="J31" i="8"/>
  <c r="H31" i="8"/>
  <c r="I31" i="8"/>
  <c r="J44" i="8"/>
  <c r="H44" i="8"/>
  <c r="I44" i="8"/>
  <c r="H53" i="8"/>
  <c r="I53" i="8"/>
  <c r="J53" i="8"/>
  <c r="J60" i="8"/>
  <c r="H60" i="8"/>
  <c r="I60" i="8"/>
  <c r="H73" i="8"/>
  <c r="J73" i="8"/>
  <c r="I73" i="8"/>
  <c r="H204" i="8"/>
  <c r="J204" i="8"/>
  <c r="I204" i="8"/>
  <c r="I2" i="8"/>
  <c r="J2" i="8"/>
  <c r="H2" i="8"/>
  <c r="J21" i="8"/>
  <c r="I21" i="8"/>
  <c r="H21" i="8"/>
  <c r="H41" i="8"/>
  <c r="J41" i="8"/>
  <c r="I41" i="8"/>
  <c r="J19" i="8"/>
  <c r="H19" i="8"/>
  <c r="I19" i="8"/>
  <c r="H32" i="8"/>
  <c r="I32" i="8"/>
  <c r="J32" i="8"/>
  <c r="J15" i="8"/>
  <c r="I15" i="8"/>
  <c r="H15" i="8"/>
  <c r="J4" i="8"/>
  <c r="I4" i="8"/>
  <c r="H4" i="8"/>
  <c r="H12" i="8"/>
  <c r="J12" i="8"/>
  <c r="I12" i="8"/>
  <c r="J13" i="8"/>
  <c r="I13" i="8"/>
  <c r="H13" i="8"/>
  <c r="H28" i="8"/>
  <c r="J28" i="8"/>
  <c r="I28" i="8"/>
  <c r="J29" i="8"/>
  <c r="I29" i="8"/>
  <c r="H29" i="8"/>
  <c r="J35" i="8"/>
  <c r="H35" i="8"/>
  <c r="I35" i="8"/>
  <c r="J48" i="8"/>
  <c r="H48" i="8"/>
  <c r="I48" i="8"/>
  <c r="H57" i="8"/>
  <c r="I57" i="8"/>
  <c r="J57" i="8"/>
  <c r="H65" i="8"/>
  <c r="I65" i="8"/>
  <c r="J65" i="8"/>
  <c r="H69" i="8"/>
  <c r="J69" i="8"/>
  <c r="I69" i="8"/>
  <c r="J27" i="8"/>
  <c r="I27" i="8"/>
  <c r="H27" i="8"/>
  <c r="J52" i="8"/>
  <c r="H52" i="8"/>
  <c r="I52" i="8"/>
  <c r="J156" i="8"/>
  <c r="I156" i="8"/>
  <c r="H156" i="8"/>
  <c r="J11" i="8"/>
  <c r="I11" i="8"/>
  <c r="H11" i="8"/>
  <c r="J5" i="8"/>
  <c r="I5" i="8"/>
  <c r="H5" i="8"/>
  <c r="H8" i="8"/>
  <c r="I8" i="8"/>
  <c r="J8" i="8"/>
  <c r="I9" i="8"/>
  <c r="H9" i="8"/>
  <c r="J9" i="8"/>
  <c r="H24" i="8"/>
  <c r="J24" i="8"/>
  <c r="I24" i="8"/>
  <c r="J25" i="8"/>
  <c r="I25" i="8"/>
  <c r="H25" i="8"/>
  <c r="J56" i="8"/>
  <c r="H56" i="8"/>
  <c r="I56" i="8"/>
  <c r="J140" i="8"/>
  <c r="I140" i="8"/>
  <c r="H140" i="8"/>
  <c r="J321" i="8"/>
  <c r="I321" i="8"/>
  <c r="H321" i="8"/>
  <c r="J64" i="8"/>
  <c r="H64" i="8"/>
  <c r="I64" i="8"/>
  <c r="H89" i="8"/>
  <c r="J89" i="8"/>
  <c r="I89" i="8"/>
  <c r="H177" i="8"/>
  <c r="J177" i="8"/>
  <c r="I177" i="8"/>
  <c r="J209" i="8"/>
  <c r="I209" i="8"/>
  <c r="H209" i="8"/>
  <c r="H338" i="8"/>
  <c r="J338" i="8"/>
  <c r="I338" i="8"/>
  <c r="H20" i="8"/>
  <c r="I20" i="8"/>
  <c r="J20" i="8"/>
  <c r="J46" i="8"/>
  <c r="I46" i="8"/>
  <c r="H46" i="8"/>
  <c r="H61" i="8"/>
  <c r="J61" i="8"/>
  <c r="I61" i="8"/>
  <c r="H85" i="8"/>
  <c r="J85" i="8"/>
  <c r="I85" i="8"/>
  <c r="I6" i="8"/>
  <c r="J6" i="8"/>
  <c r="H6" i="8"/>
  <c r="I10" i="8"/>
  <c r="J10" i="8"/>
  <c r="H10" i="8"/>
  <c r="I14" i="8"/>
  <c r="H14" i="8"/>
  <c r="J14" i="8"/>
  <c r="I18" i="8"/>
  <c r="H18" i="8"/>
  <c r="J18" i="8"/>
  <c r="I22" i="8"/>
  <c r="J22" i="8"/>
  <c r="H22" i="8"/>
  <c r="I26" i="8"/>
  <c r="J26" i="8"/>
  <c r="H26" i="8"/>
  <c r="I30" i="8"/>
  <c r="J30" i="8"/>
  <c r="H30" i="8"/>
  <c r="J34" i="8"/>
  <c r="I34" i="8"/>
  <c r="H34" i="8"/>
  <c r="J38" i="8"/>
  <c r="I38" i="8"/>
  <c r="H38" i="8"/>
  <c r="J39" i="8"/>
  <c r="I39" i="8"/>
  <c r="H39" i="8"/>
  <c r="J43" i="8"/>
  <c r="I43" i="8"/>
  <c r="H43" i="8"/>
  <c r="J47" i="8"/>
  <c r="I47" i="8"/>
  <c r="H47" i="8"/>
  <c r="J51" i="8"/>
  <c r="I51" i="8"/>
  <c r="H51" i="8"/>
  <c r="J55" i="8"/>
  <c r="I55" i="8"/>
  <c r="H55" i="8"/>
  <c r="J59" i="8"/>
  <c r="I59" i="8"/>
  <c r="H59" i="8"/>
  <c r="J63" i="8"/>
  <c r="I63" i="8"/>
  <c r="H63" i="8"/>
  <c r="J67" i="8"/>
  <c r="I67" i="8"/>
  <c r="H67" i="8"/>
  <c r="J71" i="8"/>
  <c r="I71" i="8"/>
  <c r="H71" i="8"/>
  <c r="J75" i="8"/>
  <c r="I75" i="8"/>
  <c r="H75" i="8"/>
  <c r="J79" i="8"/>
  <c r="I79" i="8"/>
  <c r="H79" i="8"/>
  <c r="J83" i="8"/>
  <c r="I83" i="8"/>
  <c r="H83" i="8"/>
  <c r="J87" i="8"/>
  <c r="I87" i="8"/>
  <c r="H87" i="8"/>
  <c r="J91" i="8"/>
  <c r="I91" i="8"/>
  <c r="H91" i="8"/>
  <c r="J95" i="8"/>
  <c r="I95" i="8"/>
  <c r="H95" i="8"/>
  <c r="J99" i="8"/>
  <c r="I99" i="8"/>
  <c r="H99" i="8"/>
  <c r="J103" i="8"/>
  <c r="I103" i="8"/>
  <c r="H103" i="8"/>
  <c r="J107" i="8"/>
  <c r="I107" i="8"/>
  <c r="H107" i="8"/>
  <c r="J111" i="8"/>
  <c r="I111" i="8"/>
  <c r="H111" i="8"/>
  <c r="J115" i="8"/>
  <c r="I115" i="8"/>
  <c r="H115" i="8"/>
  <c r="J119" i="8"/>
  <c r="I119" i="8"/>
  <c r="H119" i="8"/>
  <c r="J123" i="8"/>
  <c r="I123" i="8"/>
  <c r="H123" i="8"/>
  <c r="I127" i="8"/>
  <c r="J127" i="8"/>
  <c r="H127" i="8"/>
  <c r="H137" i="8"/>
  <c r="I137" i="8"/>
  <c r="J137" i="8"/>
  <c r="I138" i="8"/>
  <c r="H138" i="8"/>
  <c r="J138" i="8"/>
  <c r="H153" i="8"/>
  <c r="I153" i="8"/>
  <c r="J153" i="8"/>
  <c r="I154" i="8"/>
  <c r="H154" i="8"/>
  <c r="J154" i="8"/>
  <c r="J187" i="8"/>
  <c r="I187" i="8"/>
  <c r="H187" i="8"/>
  <c r="H208" i="8"/>
  <c r="J208" i="8"/>
  <c r="I208" i="8"/>
  <c r="J128" i="8"/>
  <c r="I128" i="8"/>
  <c r="H128" i="8"/>
  <c r="J136" i="8"/>
  <c r="H136" i="8"/>
  <c r="I136" i="8"/>
  <c r="J152" i="8"/>
  <c r="H152" i="8"/>
  <c r="I152" i="8"/>
  <c r="H186" i="8"/>
  <c r="I186" i="8"/>
  <c r="J186" i="8"/>
  <c r="J286" i="8"/>
  <c r="I286" i="8"/>
  <c r="H286" i="8"/>
  <c r="J68" i="8"/>
  <c r="I68" i="8"/>
  <c r="H68" i="8"/>
  <c r="J72" i="8"/>
  <c r="I72" i="8"/>
  <c r="H72" i="8"/>
  <c r="J76" i="8"/>
  <c r="I76" i="8"/>
  <c r="H76" i="8"/>
  <c r="J80" i="8"/>
  <c r="I80" i="8"/>
  <c r="H80" i="8"/>
  <c r="J84" i="8"/>
  <c r="I84" i="8"/>
  <c r="H84" i="8"/>
  <c r="J88" i="8"/>
  <c r="I88" i="8"/>
  <c r="H88" i="8"/>
  <c r="J92" i="8"/>
  <c r="I92" i="8"/>
  <c r="H92" i="8"/>
  <c r="J96" i="8"/>
  <c r="I96" i="8"/>
  <c r="H96" i="8"/>
  <c r="J100" i="8"/>
  <c r="I100" i="8"/>
  <c r="H100" i="8"/>
  <c r="J104" i="8"/>
  <c r="I104" i="8"/>
  <c r="H104" i="8"/>
  <c r="J108" i="8"/>
  <c r="I108" i="8"/>
  <c r="H108" i="8"/>
  <c r="J112" i="8"/>
  <c r="I112" i="8"/>
  <c r="H112" i="8"/>
  <c r="J116" i="8"/>
  <c r="I116" i="8"/>
  <c r="H116" i="8"/>
  <c r="J120" i="8"/>
  <c r="I120" i="8"/>
  <c r="H120" i="8"/>
  <c r="J124" i="8"/>
  <c r="I124" i="8"/>
  <c r="H124" i="8"/>
  <c r="J129" i="8"/>
  <c r="I129" i="8"/>
  <c r="H129" i="8"/>
  <c r="H133" i="8"/>
  <c r="J133" i="8"/>
  <c r="I133" i="8"/>
  <c r="J134" i="8"/>
  <c r="I134" i="8"/>
  <c r="H134" i="8"/>
  <c r="H149" i="8"/>
  <c r="J149" i="8"/>
  <c r="I149" i="8"/>
  <c r="J150" i="8"/>
  <c r="I150" i="8"/>
  <c r="H150" i="8"/>
  <c r="H165" i="8"/>
  <c r="J165" i="8"/>
  <c r="I165" i="8"/>
  <c r="J166" i="8"/>
  <c r="I166" i="8"/>
  <c r="H166" i="8"/>
  <c r="J267" i="8"/>
  <c r="I267" i="8"/>
  <c r="H267" i="8"/>
  <c r="J130" i="8"/>
  <c r="I130" i="8"/>
  <c r="H130" i="8"/>
  <c r="J132" i="8"/>
  <c r="I132" i="8"/>
  <c r="H132" i="8"/>
  <c r="J148" i="8"/>
  <c r="I148" i="8"/>
  <c r="H148" i="8"/>
  <c r="J164" i="8"/>
  <c r="I164" i="8"/>
  <c r="H164" i="8"/>
  <c r="J193" i="8"/>
  <c r="I193" i="8"/>
  <c r="H193" i="8"/>
  <c r="J251" i="8"/>
  <c r="I251" i="8"/>
  <c r="H251" i="8"/>
  <c r="J268" i="8"/>
  <c r="I268" i="8"/>
  <c r="H268" i="8"/>
  <c r="J347" i="8"/>
  <c r="I347" i="8"/>
  <c r="H347" i="8"/>
  <c r="J93" i="8"/>
  <c r="I93" i="8"/>
  <c r="H93" i="8"/>
  <c r="J97" i="8"/>
  <c r="I97" i="8"/>
  <c r="H97" i="8"/>
  <c r="J101" i="8"/>
  <c r="I101" i="8"/>
  <c r="H101" i="8"/>
  <c r="J105" i="8"/>
  <c r="I105" i="8"/>
  <c r="H105" i="8"/>
  <c r="J109" i="8"/>
  <c r="I109" i="8"/>
  <c r="H109" i="8"/>
  <c r="J113" i="8"/>
  <c r="I113" i="8"/>
  <c r="H113" i="8"/>
  <c r="J117" i="8"/>
  <c r="I117" i="8"/>
  <c r="H117" i="8"/>
  <c r="J121" i="8"/>
  <c r="I121" i="8"/>
  <c r="H121" i="8"/>
  <c r="J125" i="8"/>
  <c r="I125" i="8"/>
  <c r="H125" i="8"/>
  <c r="H145" i="8"/>
  <c r="J145" i="8"/>
  <c r="I145" i="8"/>
  <c r="J146" i="8"/>
  <c r="I146" i="8"/>
  <c r="H146" i="8"/>
  <c r="H161" i="8"/>
  <c r="J161" i="8"/>
  <c r="I161" i="8"/>
  <c r="J162" i="8"/>
  <c r="I162" i="8"/>
  <c r="H162" i="8"/>
  <c r="J170" i="8"/>
  <c r="I170" i="8"/>
  <c r="H170" i="8"/>
  <c r="J185" i="8"/>
  <c r="I185" i="8"/>
  <c r="H185" i="8"/>
  <c r="H192" i="8"/>
  <c r="J192" i="8"/>
  <c r="I192" i="8"/>
  <c r="J197" i="8"/>
  <c r="I197" i="8"/>
  <c r="H197" i="8"/>
  <c r="J252" i="8"/>
  <c r="I252" i="8"/>
  <c r="H252" i="8"/>
  <c r="J144" i="8"/>
  <c r="I144" i="8"/>
  <c r="H144" i="8"/>
  <c r="J160" i="8"/>
  <c r="I160" i="8"/>
  <c r="H160" i="8"/>
  <c r="H169" i="8"/>
  <c r="J169" i="8"/>
  <c r="I169" i="8"/>
  <c r="J174" i="8"/>
  <c r="I174" i="8"/>
  <c r="H174" i="8"/>
  <c r="H196" i="8"/>
  <c r="J196" i="8"/>
  <c r="I196" i="8"/>
  <c r="J201" i="8"/>
  <c r="I201" i="8"/>
  <c r="H201" i="8"/>
  <c r="J281" i="8"/>
  <c r="I281" i="8"/>
  <c r="H281" i="8"/>
  <c r="H302" i="8"/>
  <c r="J302" i="8"/>
  <c r="I302" i="8"/>
  <c r="I58" i="8"/>
  <c r="J58" i="8"/>
  <c r="H58" i="8"/>
  <c r="I62" i="8"/>
  <c r="J62" i="8"/>
  <c r="H62" i="8"/>
  <c r="I66" i="8"/>
  <c r="J66" i="8"/>
  <c r="H66" i="8"/>
  <c r="I70" i="8"/>
  <c r="J70" i="8"/>
  <c r="H70" i="8"/>
  <c r="I74" i="8"/>
  <c r="J74" i="8"/>
  <c r="H74" i="8"/>
  <c r="I78" i="8"/>
  <c r="J78" i="8"/>
  <c r="H78" i="8"/>
  <c r="I82" i="8"/>
  <c r="H82" i="8"/>
  <c r="J82" i="8"/>
  <c r="I86" i="8"/>
  <c r="J86" i="8"/>
  <c r="H86" i="8"/>
  <c r="I90" i="8"/>
  <c r="J90" i="8"/>
  <c r="H90" i="8"/>
  <c r="I94" i="8"/>
  <c r="H94" i="8"/>
  <c r="J94" i="8"/>
  <c r="I98" i="8"/>
  <c r="H98" i="8"/>
  <c r="J98" i="8"/>
  <c r="I102" i="8"/>
  <c r="H102" i="8"/>
  <c r="J102" i="8"/>
  <c r="I106" i="8"/>
  <c r="H106" i="8"/>
  <c r="J106" i="8"/>
  <c r="I110" i="8"/>
  <c r="H110" i="8"/>
  <c r="J110" i="8"/>
  <c r="I114" i="8"/>
  <c r="H114" i="8"/>
  <c r="J114" i="8"/>
  <c r="I118" i="8"/>
  <c r="H118" i="8"/>
  <c r="J118" i="8"/>
  <c r="I122" i="8"/>
  <c r="H122" i="8"/>
  <c r="J122" i="8"/>
  <c r="I126" i="8"/>
  <c r="H126" i="8"/>
  <c r="J126" i="8"/>
  <c r="H141" i="8"/>
  <c r="J141" i="8"/>
  <c r="I141" i="8"/>
  <c r="J142" i="8"/>
  <c r="I142" i="8"/>
  <c r="H142" i="8"/>
  <c r="H157" i="8"/>
  <c r="J157" i="8"/>
  <c r="I157" i="8"/>
  <c r="J158" i="8"/>
  <c r="I158" i="8"/>
  <c r="H158" i="8"/>
  <c r="H173" i="8"/>
  <c r="J173" i="8"/>
  <c r="I173" i="8"/>
  <c r="J178" i="8"/>
  <c r="I178" i="8"/>
  <c r="H178" i="8"/>
  <c r="H200" i="8"/>
  <c r="J200" i="8"/>
  <c r="I200" i="8"/>
  <c r="J205" i="8"/>
  <c r="I205" i="8"/>
  <c r="H205" i="8"/>
  <c r="I131" i="8"/>
  <c r="J131" i="8"/>
  <c r="H131" i="8"/>
  <c r="I135" i="8"/>
  <c r="J135" i="8"/>
  <c r="H135" i="8"/>
  <c r="I139" i="8"/>
  <c r="J139" i="8"/>
  <c r="H139" i="8"/>
  <c r="I143" i="8"/>
  <c r="J143" i="8"/>
  <c r="H143" i="8"/>
  <c r="I147" i="8"/>
  <c r="J147" i="8"/>
  <c r="H147" i="8"/>
  <c r="I151" i="8"/>
  <c r="J151" i="8"/>
  <c r="H151" i="8"/>
  <c r="I155" i="8"/>
  <c r="J155" i="8"/>
  <c r="H155" i="8"/>
  <c r="I159" i="8"/>
  <c r="J159" i="8"/>
  <c r="H159" i="8"/>
  <c r="I163" i="8"/>
  <c r="J163" i="8"/>
  <c r="H163" i="8"/>
  <c r="I167" i="8"/>
  <c r="H167" i="8"/>
  <c r="J167" i="8"/>
  <c r="I171" i="8"/>
  <c r="J171" i="8"/>
  <c r="H171" i="8"/>
  <c r="I175" i="8"/>
  <c r="J175" i="8"/>
  <c r="H175" i="8"/>
  <c r="I179" i="8"/>
  <c r="J179" i="8"/>
  <c r="H179" i="8"/>
  <c r="J188" i="8"/>
  <c r="I188" i="8"/>
  <c r="H188" i="8"/>
  <c r="H189" i="8"/>
  <c r="J189" i="8"/>
  <c r="I189" i="8"/>
  <c r="I190" i="8"/>
  <c r="J190" i="8"/>
  <c r="H190" i="8"/>
  <c r="I194" i="8"/>
  <c r="H194" i="8"/>
  <c r="J194" i="8"/>
  <c r="I198" i="8"/>
  <c r="J198" i="8"/>
  <c r="H198" i="8"/>
  <c r="I202" i="8"/>
  <c r="J202" i="8"/>
  <c r="H202" i="8"/>
  <c r="I206" i="8"/>
  <c r="J206" i="8"/>
  <c r="H206" i="8"/>
  <c r="I210" i="8"/>
  <c r="J210" i="8"/>
  <c r="H210" i="8"/>
  <c r="I214" i="8"/>
  <c r="J214" i="8"/>
  <c r="H214" i="8"/>
  <c r="I218" i="8"/>
  <c r="J218" i="8"/>
  <c r="H218" i="8"/>
  <c r="I219" i="8"/>
  <c r="J219" i="8"/>
  <c r="H219" i="8"/>
  <c r="I223" i="8"/>
  <c r="J223" i="8"/>
  <c r="H223" i="8"/>
  <c r="I227" i="8"/>
  <c r="J227" i="8"/>
  <c r="H227" i="8"/>
  <c r="I232" i="8"/>
  <c r="J232" i="8"/>
  <c r="H232" i="8"/>
  <c r="I236" i="8"/>
  <c r="J236" i="8"/>
  <c r="H236" i="8"/>
  <c r="I237" i="8"/>
  <c r="H237" i="8"/>
  <c r="J237" i="8"/>
  <c r="H249" i="8"/>
  <c r="I249" i="8"/>
  <c r="J249" i="8"/>
  <c r="H265" i="8"/>
  <c r="I265" i="8"/>
  <c r="J265" i="8"/>
  <c r="J285" i="8"/>
  <c r="I285" i="8"/>
  <c r="H285" i="8"/>
  <c r="J290" i="8"/>
  <c r="I290" i="8"/>
  <c r="H290" i="8"/>
  <c r="J317" i="8"/>
  <c r="I317" i="8"/>
  <c r="H317" i="8"/>
  <c r="H334" i="8"/>
  <c r="J334" i="8"/>
  <c r="I334" i="8"/>
  <c r="H393" i="8"/>
  <c r="J393" i="8"/>
  <c r="I393" i="8"/>
  <c r="H247" i="8"/>
  <c r="J247" i="8"/>
  <c r="I247" i="8"/>
  <c r="J248" i="8"/>
  <c r="H248" i="8"/>
  <c r="I248" i="8"/>
  <c r="H263" i="8"/>
  <c r="J263" i="8"/>
  <c r="I263" i="8"/>
  <c r="J264" i="8"/>
  <c r="H264" i="8"/>
  <c r="I264" i="8"/>
  <c r="I289" i="8"/>
  <c r="H289" i="8"/>
  <c r="J289" i="8"/>
  <c r="J294" i="8"/>
  <c r="I294" i="8"/>
  <c r="H294" i="8"/>
  <c r="J313" i="8"/>
  <c r="I313" i="8"/>
  <c r="H313" i="8"/>
  <c r="H330" i="8"/>
  <c r="J330" i="8"/>
  <c r="I330" i="8"/>
  <c r="J168" i="8"/>
  <c r="I168" i="8"/>
  <c r="H168" i="8"/>
  <c r="J172" i="8"/>
  <c r="I172" i="8"/>
  <c r="H172" i="8"/>
  <c r="J176" i="8"/>
  <c r="I176" i="8"/>
  <c r="H176" i="8"/>
  <c r="I180" i="8"/>
  <c r="H180" i="8"/>
  <c r="J180" i="8"/>
  <c r="I181" i="8"/>
  <c r="J181" i="8"/>
  <c r="H181" i="8"/>
  <c r="I182" i="8"/>
  <c r="J182" i="8"/>
  <c r="H182" i="8"/>
  <c r="I183" i="8"/>
  <c r="J183" i="8"/>
  <c r="H183" i="8"/>
  <c r="J184" i="8"/>
  <c r="I184" i="8"/>
  <c r="H184" i="8"/>
  <c r="J191" i="8"/>
  <c r="I191" i="8"/>
  <c r="H191" i="8"/>
  <c r="J195" i="8"/>
  <c r="I195" i="8"/>
  <c r="H195" i="8"/>
  <c r="J199" i="8"/>
  <c r="I199" i="8"/>
  <c r="H199" i="8"/>
  <c r="J203" i="8"/>
  <c r="I203" i="8"/>
  <c r="H203" i="8"/>
  <c r="J207" i="8"/>
  <c r="I207" i="8"/>
  <c r="H207" i="8"/>
  <c r="J211" i="8"/>
  <c r="I211" i="8"/>
  <c r="H211" i="8"/>
  <c r="J215" i="8"/>
  <c r="I215" i="8"/>
  <c r="H215" i="8"/>
  <c r="J220" i="8"/>
  <c r="I220" i="8"/>
  <c r="H220" i="8"/>
  <c r="J224" i="8"/>
  <c r="I224" i="8"/>
  <c r="H224" i="8"/>
  <c r="J228" i="8"/>
  <c r="I228" i="8"/>
  <c r="H228" i="8"/>
  <c r="J233" i="8"/>
  <c r="I233" i="8"/>
  <c r="H233" i="8"/>
  <c r="J238" i="8"/>
  <c r="H238" i="8"/>
  <c r="I238" i="8"/>
  <c r="H245" i="8"/>
  <c r="J245" i="8"/>
  <c r="I245" i="8"/>
  <c r="H261" i="8"/>
  <c r="J261" i="8"/>
  <c r="I261" i="8"/>
  <c r="J272" i="8"/>
  <c r="I272" i="8"/>
  <c r="H272" i="8"/>
  <c r="H293" i="8"/>
  <c r="J293" i="8"/>
  <c r="I293" i="8"/>
  <c r="J298" i="8"/>
  <c r="H298" i="8"/>
  <c r="I298" i="8"/>
  <c r="J301" i="8"/>
  <c r="I301" i="8"/>
  <c r="H301" i="8"/>
  <c r="J309" i="8"/>
  <c r="I309" i="8"/>
  <c r="H309" i="8"/>
  <c r="H326" i="8"/>
  <c r="J326" i="8"/>
  <c r="I326" i="8"/>
  <c r="J341" i="8"/>
  <c r="I341" i="8"/>
  <c r="H341" i="8"/>
  <c r="J385" i="8"/>
  <c r="I385" i="8"/>
  <c r="H385" i="8"/>
  <c r="J239" i="8"/>
  <c r="I239" i="8"/>
  <c r="H239" i="8"/>
  <c r="J243" i="8"/>
  <c r="I243" i="8"/>
  <c r="H243" i="8"/>
  <c r="J244" i="8"/>
  <c r="I244" i="8"/>
  <c r="H244" i="8"/>
  <c r="J259" i="8"/>
  <c r="I259" i="8"/>
  <c r="H259" i="8"/>
  <c r="J260" i="8"/>
  <c r="I260" i="8"/>
  <c r="H260" i="8"/>
  <c r="J271" i="8"/>
  <c r="I271" i="8"/>
  <c r="H271" i="8"/>
  <c r="J297" i="8"/>
  <c r="I297" i="8"/>
  <c r="H297" i="8"/>
  <c r="H306" i="8"/>
  <c r="J306" i="8"/>
  <c r="I306" i="8"/>
  <c r="H322" i="8"/>
  <c r="J322" i="8"/>
  <c r="I322" i="8"/>
  <c r="J337" i="8"/>
  <c r="I337" i="8"/>
  <c r="H337" i="8"/>
  <c r="H348" i="8"/>
  <c r="J348" i="8"/>
  <c r="I348" i="8"/>
  <c r="I353" i="8"/>
  <c r="J353" i="8"/>
  <c r="H353" i="8"/>
  <c r="H427" i="8"/>
  <c r="J427" i="8"/>
  <c r="I427" i="8"/>
  <c r="I471" i="8"/>
  <c r="J471" i="8"/>
  <c r="H471" i="8"/>
  <c r="I212" i="8"/>
  <c r="H212" i="8"/>
  <c r="J212" i="8"/>
  <c r="I216" i="8"/>
  <c r="H216" i="8"/>
  <c r="J216" i="8"/>
  <c r="I221" i="8"/>
  <c r="H221" i="8"/>
  <c r="J221" i="8"/>
  <c r="I225" i="8"/>
  <c r="H225" i="8"/>
  <c r="J225" i="8"/>
  <c r="J229" i="8"/>
  <c r="I229" i="8"/>
  <c r="H229" i="8"/>
  <c r="I230" i="8"/>
  <c r="H230" i="8"/>
  <c r="J230" i="8"/>
  <c r="I234" i="8"/>
  <c r="H234" i="8"/>
  <c r="J234" i="8"/>
  <c r="J240" i="8"/>
  <c r="I240" i="8"/>
  <c r="H240" i="8"/>
  <c r="H241" i="8"/>
  <c r="J241" i="8"/>
  <c r="I241" i="8"/>
  <c r="H257" i="8"/>
  <c r="J257" i="8"/>
  <c r="I257" i="8"/>
  <c r="J274" i="8"/>
  <c r="I274" i="8"/>
  <c r="H274" i="8"/>
  <c r="H318" i="8"/>
  <c r="J318" i="8"/>
  <c r="I318" i="8"/>
  <c r="J333" i="8"/>
  <c r="H333" i="8"/>
  <c r="I333" i="8"/>
  <c r="J398" i="8"/>
  <c r="I398" i="8"/>
  <c r="H398" i="8"/>
  <c r="I485" i="8"/>
  <c r="J485" i="8"/>
  <c r="H485" i="8"/>
  <c r="J255" i="8"/>
  <c r="I255" i="8"/>
  <c r="H255" i="8"/>
  <c r="J256" i="8"/>
  <c r="I256" i="8"/>
  <c r="H256" i="8"/>
  <c r="J278" i="8"/>
  <c r="I278" i="8"/>
  <c r="H278" i="8"/>
  <c r="H314" i="8"/>
  <c r="J314" i="8"/>
  <c r="I314" i="8"/>
  <c r="J329" i="8"/>
  <c r="I329" i="8"/>
  <c r="H329" i="8"/>
  <c r="H414" i="8"/>
  <c r="J414" i="8"/>
  <c r="I414" i="8"/>
  <c r="I213" i="8"/>
  <c r="H213" i="8"/>
  <c r="J213" i="8"/>
  <c r="I217" i="8"/>
  <c r="J217" i="8"/>
  <c r="H217" i="8"/>
  <c r="I222" i="8"/>
  <c r="J222" i="8"/>
  <c r="H222" i="8"/>
  <c r="I226" i="8"/>
  <c r="H226" i="8"/>
  <c r="J226" i="8"/>
  <c r="I231" i="8"/>
  <c r="J231" i="8"/>
  <c r="H231" i="8"/>
  <c r="I235" i="8"/>
  <c r="J235" i="8"/>
  <c r="H235" i="8"/>
  <c r="H253" i="8"/>
  <c r="J253" i="8"/>
  <c r="I253" i="8"/>
  <c r="I269" i="8"/>
  <c r="H269" i="8"/>
  <c r="J269" i="8"/>
  <c r="J277" i="8"/>
  <c r="I277" i="8"/>
  <c r="H277" i="8"/>
  <c r="J282" i="8"/>
  <c r="I282" i="8"/>
  <c r="H282" i="8"/>
  <c r="J305" i="8"/>
  <c r="I305" i="8"/>
  <c r="H305" i="8"/>
  <c r="H310" i="8"/>
  <c r="J310" i="8"/>
  <c r="I310" i="8"/>
  <c r="J325" i="8"/>
  <c r="I325" i="8"/>
  <c r="H325" i="8"/>
  <c r="H342" i="8"/>
  <c r="J342" i="8"/>
  <c r="I342" i="8"/>
  <c r="J351" i="8"/>
  <c r="H351" i="8"/>
  <c r="I351" i="8"/>
  <c r="H380" i="8"/>
  <c r="J380" i="8"/>
  <c r="I380" i="8"/>
  <c r="H546" i="8"/>
  <c r="I546" i="8"/>
  <c r="J546" i="8"/>
  <c r="H354" i="8"/>
  <c r="J354" i="8"/>
  <c r="I354" i="8"/>
  <c r="I370" i="8"/>
  <c r="H370" i="8"/>
  <c r="J370" i="8"/>
  <c r="J371" i="8"/>
  <c r="I371" i="8"/>
  <c r="H371" i="8"/>
  <c r="H384" i="8"/>
  <c r="J384" i="8"/>
  <c r="I384" i="8"/>
  <c r="J389" i="8"/>
  <c r="I389" i="8"/>
  <c r="H389" i="8"/>
  <c r="H397" i="8"/>
  <c r="J397" i="8"/>
  <c r="I397" i="8"/>
  <c r="J402" i="8"/>
  <c r="I402" i="8"/>
  <c r="H402" i="8"/>
  <c r="H410" i="8"/>
  <c r="J410" i="8"/>
  <c r="I410" i="8"/>
  <c r="H423" i="8"/>
  <c r="J423" i="8"/>
  <c r="I423" i="8"/>
  <c r="I451" i="8"/>
  <c r="J451" i="8"/>
  <c r="H451" i="8"/>
  <c r="I275" i="8"/>
  <c r="H275" i="8"/>
  <c r="J275" i="8"/>
  <c r="I279" i="8"/>
  <c r="H279" i="8"/>
  <c r="J279" i="8"/>
  <c r="I283" i="8"/>
  <c r="H283" i="8"/>
  <c r="J283" i="8"/>
  <c r="I287" i="8"/>
  <c r="H287" i="8"/>
  <c r="J287" i="8"/>
  <c r="I291" i="8"/>
  <c r="H291" i="8"/>
  <c r="J291" i="8"/>
  <c r="I295" i="8"/>
  <c r="H295" i="8"/>
  <c r="J295" i="8"/>
  <c r="I299" i="8"/>
  <c r="H299" i="8"/>
  <c r="J299" i="8"/>
  <c r="I303" i="8"/>
  <c r="H303" i="8"/>
  <c r="J303" i="8"/>
  <c r="I307" i="8"/>
  <c r="H307" i="8"/>
  <c r="J307" i="8"/>
  <c r="J311" i="8"/>
  <c r="I311" i="8"/>
  <c r="H311" i="8"/>
  <c r="J315" i="8"/>
  <c r="I315" i="8"/>
  <c r="H315" i="8"/>
  <c r="J319" i="8"/>
  <c r="I319" i="8"/>
  <c r="H319" i="8"/>
  <c r="J323" i="8"/>
  <c r="I323" i="8"/>
  <c r="H323" i="8"/>
  <c r="J327" i="8"/>
  <c r="I327" i="8"/>
  <c r="H327" i="8"/>
  <c r="J331" i="8"/>
  <c r="I331" i="8"/>
  <c r="H331" i="8"/>
  <c r="J335" i="8"/>
  <c r="I335" i="8"/>
  <c r="H335" i="8"/>
  <c r="J339" i="8"/>
  <c r="I339" i="8"/>
  <c r="H339" i="8"/>
  <c r="J343" i="8"/>
  <c r="I343" i="8"/>
  <c r="H343" i="8"/>
  <c r="J349" i="8"/>
  <c r="I349" i="8"/>
  <c r="H349" i="8"/>
  <c r="J355" i="8"/>
  <c r="I355" i="8"/>
  <c r="H355" i="8"/>
  <c r="H388" i="8"/>
  <c r="I388" i="8"/>
  <c r="J388" i="8"/>
  <c r="H401" i="8"/>
  <c r="I401" i="8"/>
  <c r="J401" i="8"/>
  <c r="H406" i="8"/>
  <c r="J406" i="8"/>
  <c r="I406" i="8"/>
  <c r="J474" i="8"/>
  <c r="I474" i="8"/>
  <c r="H474" i="8"/>
  <c r="J357" i="8"/>
  <c r="I357" i="8"/>
  <c r="H357" i="8"/>
  <c r="J366" i="8"/>
  <c r="I366" i="8"/>
  <c r="H366" i="8"/>
  <c r="J367" i="8"/>
  <c r="I367" i="8"/>
  <c r="H367" i="8"/>
  <c r="H493" i="8"/>
  <c r="J493" i="8"/>
  <c r="I493" i="8"/>
  <c r="H569" i="8"/>
  <c r="J569" i="8"/>
  <c r="I569" i="8"/>
  <c r="I242" i="8"/>
  <c r="J242" i="8"/>
  <c r="H242" i="8"/>
  <c r="I246" i="8"/>
  <c r="J246" i="8"/>
  <c r="H246" i="8"/>
  <c r="I250" i="8"/>
  <c r="J250" i="8"/>
  <c r="H250" i="8"/>
  <c r="I254" i="8"/>
  <c r="J254" i="8"/>
  <c r="H254" i="8"/>
  <c r="I258" i="8"/>
  <c r="J258" i="8"/>
  <c r="H258" i="8"/>
  <c r="I262" i="8"/>
  <c r="J262" i="8"/>
  <c r="H262" i="8"/>
  <c r="I266" i="8"/>
  <c r="J266" i="8"/>
  <c r="H266" i="8"/>
  <c r="I270" i="8"/>
  <c r="J270" i="8"/>
  <c r="H270" i="8"/>
  <c r="I276" i="8"/>
  <c r="J276" i="8"/>
  <c r="H276" i="8"/>
  <c r="I280" i="8"/>
  <c r="J280" i="8"/>
  <c r="H280" i="8"/>
  <c r="I284" i="8"/>
  <c r="H284" i="8"/>
  <c r="J284" i="8"/>
  <c r="I288" i="8"/>
  <c r="J288" i="8"/>
  <c r="H288" i="8"/>
  <c r="I292" i="8"/>
  <c r="J292" i="8"/>
  <c r="H292" i="8"/>
  <c r="I296" i="8"/>
  <c r="J296" i="8"/>
  <c r="H296" i="8"/>
  <c r="I300" i="8"/>
  <c r="J300" i="8"/>
  <c r="H300" i="8"/>
  <c r="I304" i="8"/>
  <c r="J304" i="8"/>
  <c r="H304" i="8"/>
  <c r="I308" i="8"/>
  <c r="J308" i="8"/>
  <c r="H308" i="8"/>
  <c r="I312" i="8"/>
  <c r="H312" i="8"/>
  <c r="J312" i="8"/>
  <c r="I316" i="8"/>
  <c r="H316" i="8"/>
  <c r="J316" i="8"/>
  <c r="I320" i="8"/>
  <c r="H320" i="8"/>
  <c r="J320" i="8"/>
  <c r="I324" i="8"/>
  <c r="H324" i="8"/>
  <c r="J324" i="8"/>
  <c r="I328" i="8"/>
  <c r="H328" i="8"/>
  <c r="J328" i="8"/>
  <c r="I332" i="8"/>
  <c r="H332" i="8"/>
  <c r="J332" i="8"/>
  <c r="I336" i="8"/>
  <c r="H336" i="8"/>
  <c r="J336" i="8"/>
  <c r="I340" i="8"/>
  <c r="H340" i="8"/>
  <c r="J340" i="8"/>
  <c r="J344" i="8"/>
  <c r="I344" i="8"/>
  <c r="H344" i="8"/>
  <c r="J345" i="8"/>
  <c r="I345" i="8"/>
  <c r="H345" i="8"/>
  <c r="I346" i="8"/>
  <c r="H346" i="8"/>
  <c r="J346" i="8"/>
  <c r="I350" i="8"/>
  <c r="H350" i="8"/>
  <c r="J350" i="8"/>
  <c r="J358" i="8"/>
  <c r="I358" i="8"/>
  <c r="H358" i="8"/>
  <c r="H477" i="8"/>
  <c r="J477" i="8"/>
  <c r="I477" i="8"/>
  <c r="J359" i="8"/>
  <c r="I359" i="8"/>
  <c r="H359" i="8"/>
  <c r="J362" i="8"/>
  <c r="I362" i="8"/>
  <c r="H362" i="8"/>
  <c r="J363" i="8"/>
  <c r="I363" i="8"/>
  <c r="H363" i="8"/>
  <c r="J373" i="8"/>
  <c r="I373" i="8"/>
  <c r="H373" i="8"/>
  <c r="H439" i="8"/>
  <c r="J439" i="8"/>
  <c r="I439" i="8"/>
  <c r="J377" i="8"/>
  <c r="I377" i="8"/>
  <c r="H377" i="8"/>
  <c r="H435" i="8"/>
  <c r="J435" i="8"/>
  <c r="I435" i="8"/>
  <c r="H448" i="8"/>
  <c r="J448" i="8"/>
  <c r="I448" i="8"/>
  <c r="I461" i="8"/>
  <c r="H461" i="8"/>
  <c r="J461" i="8"/>
  <c r="J372" i="8"/>
  <c r="I372" i="8"/>
  <c r="H372" i="8"/>
  <c r="H376" i="8"/>
  <c r="J376" i="8"/>
  <c r="I376" i="8"/>
  <c r="J381" i="8"/>
  <c r="I381" i="8"/>
  <c r="H381" i="8"/>
  <c r="J394" i="8"/>
  <c r="I394" i="8"/>
  <c r="H394" i="8"/>
  <c r="H418" i="8"/>
  <c r="J418" i="8"/>
  <c r="I418" i="8"/>
  <c r="H431" i="8"/>
  <c r="J431" i="8"/>
  <c r="I431" i="8"/>
  <c r="H444" i="8"/>
  <c r="J444" i="8"/>
  <c r="I444" i="8"/>
  <c r="J539" i="8"/>
  <c r="I539" i="8"/>
  <c r="H539" i="8"/>
  <c r="I352" i="8"/>
  <c r="J352" i="8"/>
  <c r="H352" i="8"/>
  <c r="I356" i="8"/>
  <c r="J356" i="8"/>
  <c r="H356" i="8"/>
  <c r="I360" i="8"/>
  <c r="J360" i="8"/>
  <c r="H360" i="8"/>
  <c r="I364" i="8"/>
  <c r="J364" i="8"/>
  <c r="H364" i="8"/>
  <c r="I368" i="8"/>
  <c r="J368" i="8"/>
  <c r="H368" i="8"/>
  <c r="I374" i="8"/>
  <c r="J374" i="8"/>
  <c r="H374" i="8"/>
  <c r="I378" i="8"/>
  <c r="J378" i="8"/>
  <c r="H378" i="8"/>
  <c r="I382" i="8"/>
  <c r="J382" i="8"/>
  <c r="H382" i="8"/>
  <c r="I386" i="8"/>
  <c r="J386" i="8"/>
  <c r="H386" i="8"/>
  <c r="I390" i="8"/>
  <c r="J390" i="8"/>
  <c r="H390" i="8"/>
  <c r="I395" i="8"/>
  <c r="J395" i="8"/>
  <c r="H395" i="8"/>
  <c r="I399" i="8"/>
  <c r="J399" i="8"/>
  <c r="H399" i="8"/>
  <c r="I403" i="8"/>
  <c r="J403" i="8"/>
  <c r="H403" i="8"/>
  <c r="I407" i="8"/>
  <c r="J407" i="8"/>
  <c r="H407" i="8"/>
  <c r="I411" i="8"/>
  <c r="J411" i="8"/>
  <c r="H411" i="8"/>
  <c r="I415" i="8"/>
  <c r="H415" i="8"/>
  <c r="J415" i="8"/>
  <c r="H419" i="8"/>
  <c r="J419" i="8"/>
  <c r="I419" i="8"/>
  <c r="I420" i="8"/>
  <c r="J420" i="8"/>
  <c r="H420" i="8"/>
  <c r="I424" i="8"/>
  <c r="J424" i="8"/>
  <c r="H424" i="8"/>
  <c r="I428" i="8"/>
  <c r="H428" i="8"/>
  <c r="J428" i="8"/>
  <c r="I432" i="8"/>
  <c r="J432" i="8"/>
  <c r="H432" i="8"/>
  <c r="I436" i="8"/>
  <c r="J436" i="8"/>
  <c r="H436" i="8"/>
  <c r="H440" i="8"/>
  <c r="J440" i="8"/>
  <c r="I440" i="8"/>
  <c r="I441" i="8"/>
  <c r="H441" i="8"/>
  <c r="J441" i="8"/>
  <c r="I445" i="8"/>
  <c r="J445" i="8"/>
  <c r="H445" i="8"/>
  <c r="J449" i="8"/>
  <c r="I449" i="8"/>
  <c r="H449" i="8"/>
  <c r="H450" i="8"/>
  <c r="J450" i="8"/>
  <c r="I450" i="8"/>
  <c r="J462" i="8"/>
  <c r="H462" i="8"/>
  <c r="I462" i="8"/>
  <c r="H463" i="8"/>
  <c r="J463" i="8"/>
  <c r="I463" i="8"/>
  <c r="J481" i="8"/>
  <c r="I481" i="8"/>
  <c r="H481" i="8"/>
  <c r="H503" i="8"/>
  <c r="J503" i="8"/>
  <c r="I503" i="8"/>
  <c r="H525" i="8"/>
  <c r="J525" i="8"/>
  <c r="I525" i="8"/>
  <c r="H534" i="8"/>
  <c r="I534" i="8"/>
  <c r="J534" i="8"/>
  <c r="J592" i="8"/>
  <c r="I592" i="8"/>
  <c r="H592" i="8"/>
  <c r="I652" i="8"/>
  <c r="J652" i="8"/>
  <c r="H652" i="8"/>
  <c r="J464" i="8"/>
  <c r="I464" i="8"/>
  <c r="H464" i="8"/>
  <c r="H469" i="8"/>
  <c r="J469" i="8"/>
  <c r="I469" i="8"/>
  <c r="J497" i="8"/>
  <c r="I497" i="8"/>
  <c r="H497" i="8"/>
  <c r="I521" i="8"/>
  <c r="H521" i="8"/>
  <c r="J521" i="8"/>
  <c r="J535" i="8"/>
  <c r="I535" i="8"/>
  <c r="H535" i="8"/>
  <c r="I361" i="8"/>
  <c r="J361" i="8"/>
  <c r="H361" i="8"/>
  <c r="I365" i="8"/>
  <c r="J365" i="8"/>
  <c r="H365" i="8"/>
  <c r="I369" i="8"/>
  <c r="H369" i="8"/>
  <c r="J369" i="8"/>
  <c r="J375" i="8"/>
  <c r="I375" i="8"/>
  <c r="H375" i="8"/>
  <c r="J379" i="8"/>
  <c r="I379" i="8"/>
  <c r="H379" i="8"/>
  <c r="J383" i="8"/>
  <c r="I383" i="8"/>
  <c r="H383" i="8"/>
  <c r="J387" i="8"/>
  <c r="I387" i="8"/>
  <c r="H387" i="8"/>
  <c r="I391" i="8"/>
  <c r="J391" i="8"/>
  <c r="H391" i="8"/>
  <c r="J392" i="8"/>
  <c r="I392" i="8"/>
  <c r="H392" i="8"/>
  <c r="J396" i="8"/>
  <c r="I396" i="8"/>
  <c r="H396" i="8"/>
  <c r="J400" i="8"/>
  <c r="I400" i="8"/>
  <c r="H400" i="8"/>
  <c r="J404" i="8"/>
  <c r="I404" i="8"/>
  <c r="H404" i="8"/>
  <c r="J408" i="8"/>
  <c r="I408" i="8"/>
  <c r="H408" i="8"/>
  <c r="J412" i="8"/>
  <c r="I412" i="8"/>
  <c r="H412" i="8"/>
  <c r="J416" i="8"/>
  <c r="I416" i="8"/>
  <c r="H416" i="8"/>
  <c r="J421" i="8"/>
  <c r="I421" i="8"/>
  <c r="H421" i="8"/>
  <c r="J425" i="8"/>
  <c r="I425" i="8"/>
  <c r="H425" i="8"/>
  <c r="J429" i="8"/>
  <c r="I429" i="8"/>
  <c r="H429" i="8"/>
  <c r="J433" i="8"/>
  <c r="I433" i="8"/>
  <c r="H433" i="8"/>
  <c r="J437" i="8"/>
  <c r="I437" i="8"/>
  <c r="H437" i="8"/>
  <c r="J442" i="8"/>
  <c r="I442" i="8"/>
  <c r="H442" i="8"/>
  <c r="J446" i="8"/>
  <c r="I446" i="8"/>
  <c r="H446" i="8"/>
  <c r="J452" i="8"/>
  <c r="H452" i="8"/>
  <c r="I452" i="8"/>
  <c r="J465" i="8"/>
  <c r="I465" i="8"/>
  <c r="H465" i="8"/>
  <c r="H468" i="8"/>
  <c r="J468" i="8"/>
  <c r="I468" i="8"/>
  <c r="J473" i="8"/>
  <c r="I473" i="8"/>
  <c r="H473" i="8"/>
  <c r="J494" i="8"/>
  <c r="I494" i="8"/>
  <c r="H494" i="8"/>
  <c r="H514" i="8"/>
  <c r="J514" i="8"/>
  <c r="I514" i="8"/>
  <c r="H542" i="8"/>
  <c r="J542" i="8"/>
  <c r="I542" i="8"/>
  <c r="J563" i="8"/>
  <c r="I563" i="8"/>
  <c r="H563" i="8"/>
  <c r="J453" i="8"/>
  <c r="I453" i="8"/>
  <c r="H453" i="8"/>
  <c r="H454" i="8"/>
  <c r="J454" i="8"/>
  <c r="I454" i="8"/>
  <c r="J466" i="8"/>
  <c r="I466" i="8"/>
  <c r="H466" i="8"/>
  <c r="J467" i="8"/>
  <c r="I467" i="8"/>
  <c r="H467" i="8"/>
  <c r="H484" i="8"/>
  <c r="I484" i="8"/>
  <c r="J484" i="8"/>
  <c r="I486" i="8"/>
  <c r="H486" i="8"/>
  <c r="J486" i="8"/>
  <c r="J511" i="8"/>
  <c r="I511" i="8"/>
  <c r="H511" i="8"/>
  <c r="J515" i="8"/>
  <c r="I515" i="8"/>
  <c r="H515" i="8"/>
  <c r="J522" i="8"/>
  <c r="I522" i="8"/>
  <c r="H522" i="8"/>
  <c r="J531" i="8"/>
  <c r="I531" i="8"/>
  <c r="H531" i="8"/>
  <c r="J584" i="8"/>
  <c r="H584" i="8"/>
  <c r="I584" i="8"/>
  <c r="J405" i="8"/>
  <c r="I405" i="8"/>
  <c r="H405" i="8"/>
  <c r="J409" i="8"/>
  <c r="I409" i="8"/>
  <c r="H409" i="8"/>
  <c r="J413" i="8"/>
  <c r="I413" i="8"/>
  <c r="H413" i="8"/>
  <c r="J417" i="8"/>
  <c r="I417" i="8"/>
  <c r="H417" i="8"/>
  <c r="J422" i="8"/>
  <c r="I422" i="8"/>
  <c r="H422" i="8"/>
  <c r="J426" i="8"/>
  <c r="I426" i="8"/>
  <c r="H426" i="8"/>
  <c r="J430" i="8"/>
  <c r="I430" i="8"/>
  <c r="H430" i="8"/>
  <c r="J434" i="8"/>
  <c r="I434" i="8"/>
  <c r="H434" i="8"/>
  <c r="J438" i="8"/>
  <c r="I438" i="8"/>
  <c r="H438" i="8"/>
  <c r="J443" i="8"/>
  <c r="I443" i="8"/>
  <c r="H443" i="8"/>
  <c r="J447" i="8"/>
  <c r="I447" i="8"/>
  <c r="H447" i="8"/>
  <c r="J455" i="8"/>
  <c r="I455" i="8"/>
  <c r="H455" i="8"/>
  <c r="J457" i="8"/>
  <c r="I457" i="8"/>
  <c r="H457" i="8"/>
  <c r="J472" i="8"/>
  <c r="I472" i="8"/>
  <c r="H472" i="8"/>
  <c r="H475" i="8"/>
  <c r="I475" i="8"/>
  <c r="J475" i="8"/>
  <c r="J478" i="8"/>
  <c r="H478" i="8"/>
  <c r="I478" i="8"/>
  <c r="H480" i="8"/>
  <c r="J480" i="8"/>
  <c r="I480" i="8"/>
  <c r="J482" i="8"/>
  <c r="H482" i="8"/>
  <c r="I482" i="8"/>
  <c r="H527" i="8"/>
  <c r="J527" i="8"/>
  <c r="I527" i="8"/>
  <c r="J532" i="8"/>
  <c r="I532" i="8"/>
  <c r="H532" i="8"/>
  <c r="J456" i="8"/>
  <c r="I456" i="8"/>
  <c r="H456" i="8"/>
  <c r="J458" i="8"/>
  <c r="I458" i="8"/>
  <c r="H458" i="8"/>
  <c r="H459" i="8"/>
  <c r="J459" i="8"/>
  <c r="I459" i="8"/>
  <c r="J495" i="8"/>
  <c r="H495" i="8"/>
  <c r="I495" i="8"/>
  <c r="I587" i="8"/>
  <c r="H587" i="8"/>
  <c r="J587" i="8"/>
  <c r="J460" i="8"/>
  <c r="I460" i="8"/>
  <c r="H460" i="8"/>
  <c r="H509" i="8"/>
  <c r="J509" i="8"/>
  <c r="I509" i="8"/>
  <c r="H577" i="8"/>
  <c r="I577" i="8"/>
  <c r="J577" i="8"/>
  <c r="J642" i="8"/>
  <c r="I642" i="8"/>
  <c r="H642" i="8"/>
  <c r="H476" i="8"/>
  <c r="J476" i="8"/>
  <c r="I476" i="8"/>
  <c r="J479" i="8"/>
  <c r="H479" i="8"/>
  <c r="I479" i="8"/>
  <c r="J492" i="8"/>
  <c r="H492" i="8"/>
  <c r="I492" i="8"/>
  <c r="H513" i="8"/>
  <c r="J513" i="8"/>
  <c r="I513" i="8"/>
  <c r="J524" i="8"/>
  <c r="I524" i="8"/>
  <c r="H524" i="8"/>
  <c r="J547" i="8"/>
  <c r="I547" i="8"/>
  <c r="H547" i="8"/>
  <c r="H550" i="8"/>
  <c r="J550" i="8"/>
  <c r="I550" i="8"/>
  <c r="J560" i="8"/>
  <c r="H560" i="8"/>
  <c r="I560" i="8"/>
  <c r="J564" i="8"/>
  <c r="I564" i="8"/>
  <c r="H564" i="8"/>
  <c r="H489" i="8"/>
  <c r="J489" i="8"/>
  <c r="I489" i="8"/>
  <c r="H490" i="8"/>
  <c r="J490" i="8"/>
  <c r="I490" i="8"/>
  <c r="J491" i="8"/>
  <c r="H491" i="8"/>
  <c r="I491" i="8"/>
  <c r="H499" i="8"/>
  <c r="J499" i="8"/>
  <c r="I499" i="8"/>
  <c r="H500" i="8"/>
  <c r="J500" i="8"/>
  <c r="I500" i="8"/>
  <c r="J501" i="8"/>
  <c r="I501" i="8"/>
  <c r="H501" i="8"/>
  <c r="H520" i="8"/>
  <c r="J520" i="8"/>
  <c r="I520" i="8"/>
  <c r="J555" i="8"/>
  <c r="I555" i="8"/>
  <c r="H555" i="8"/>
  <c r="I558" i="8"/>
  <c r="H558" i="8"/>
  <c r="J558" i="8"/>
  <c r="I644" i="8"/>
  <c r="J644" i="8"/>
  <c r="H644" i="8"/>
  <c r="J488" i="8"/>
  <c r="H488" i="8"/>
  <c r="I488" i="8"/>
  <c r="J498" i="8"/>
  <c r="H498" i="8"/>
  <c r="I498" i="8"/>
  <c r="J505" i="8"/>
  <c r="H505" i="8"/>
  <c r="I505" i="8"/>
  <c r="J528" i="8"/>
  <c r="H528" i="8"/>
  <c r="I528" i="8"/>
  <c r="I470" i="8"/>
  <c r="J470" i="8"/>
  <c r="H470" i="8"/>
  <c r="J487" i="8"/>
  <c r="I487" i="8"/>
  <c r="H487" i="8"/>
  <c r="J504" i="8"/>
  <c r="I504" i="8"/>
  <c r="H504" i="8"/>
  <c r="J516" i="8"/>
  <c r="I516" i="8"/>
  <c r="H516" i="8"/>
  <c r="J519" i="8"/>
  <c r="H519" i="8"/>
  <c r="I519" i="8"/>
  <c r="J523" i="8"/>
  <c r="H523" i="8"/>
  <c r="I523" i="8"/>
  <c r="H538" i="8"/>
  <c r="J538" i="8"/>
  <c r="I538" i="8"/>
  <c r="H575" i="8"/>
  <c r="J575" i="8"/>
  <c r="I575" i="8"/>
  <c r="J579" i="8"/>
  <c r="H579" i="8"/>
  <c r="I579" i="8"/>
  <c r="H635" i="8"/>
  <c r="J635" i="8"/>
  <c r="I635" i="8"/>
  <c r="J483" i="8"/>
  <c r="H483" i="8"/>
  <c r="I483" i="8"/>
  <c r="J496" i="8"/>
  <c r="I496" i="8"/>
  <c r="H496" i="8"/>
  <c r="I510" i="8"/>
  <c r="H510" i="8"/>
  <c r="J510" i="8"/>
  <c r="H529" i="8"/>
  <c r="I529" i="8"/>
  <c r="J529" i="8"/>
  <c r="H554" i="8"/>
  <c r="J554" i="8"/>
  <c r="I554" i="8"/>
  <c r="H559" i="8"/>
  <c r="I559" i="8"/>
  <c r="J559" i="8"/>
  <c r="H561" i="8"/>
  <c r="I561" i="8"/>
  <c r="J561" i="8"/>
  <c r="J583" i="8"/>
  <c r="I583" i="8"/>
  <c r="H583" i="8"/>
  <c r="J588" i="8"/>
  <c r="I588" i="8"/>
  <c r="H588" i="8"/>
  <c r="J648" i="8"/>
  <c r="H648" i="8"/>
  <c r="I648" i="8"/>
  <c r="H656" i="8"/>
  <c r="J656" i="8"/>
  <c r="I656" i="8"/>
  <c r="J502" i="8"/>
  <c r="I502" i="8"/>
  <c r="H502" i="8"/>
  <c r="J506" i="8"/>
  <c r="H506" i="8"/>
  <c r="I506" i="8"/>
  <c r="J507" i="8"/>
  <c r="I507" i="8"/>
  <c r="H507" i="8"/>
  <c r="J508" i="8"/>
  <c r="I508" i="8"/>
  <c r="H508" i="8"/>
  <c r="J512" i="8"/>
  <c r="I512" i="8"/>
  <c r="H512" i="8"/>
  <c r="J517" i="8"/>
  <c r="I517" i="8"/>
  <c r="H517" i="8"/>
  <c r="J518" i="8"/>
  <c r="I518" i="8"/>
  <c r="H518" i="8"/>
  <c r="I533" i="8"/>
  <c r="H533" i="8"/>
  <c r="J533" i="8"/>
  <c r="J543" i="8"/>
  <c r="I543" i="8"/>
  <c r="H543" i="8"/>
  <c r="J551" i="8"/>
  <c r="H551" i="8"/>
  <c r="I551" i="8"/>
  <c r="J576" i="8"/>
  <c r="H576" i="8"/>
  <c r="I576" i="8"/>
  <c r="J606" i="8"/>
  <c r="I606" i="8"/>
  <c r="H606" i="8"/>
  <c r="H536" i="8"/>
  <c r="J536" i="8"/>
  <c r="I536" i="8"/>
  <c r="H573" i="8"/>
  <c r="J573" i="8"/>
  <c r="I573" i="8"/>
  <c r="J591" i="8"/>
  <c r="H591" i="8"/>
  <c r="I591" i="8"/>
  <c r="J596" i="8"/>
  <c r="H596" i="8"/>
  <c r="I596" i="8"/>
  <c r="I600" i="8"/>
  <c r="H600" i="8"/>
  <c r="J600" i="8"/>
  <c r="I664" i="8"/>
  <c r="J664" i="8"/>
  <c r="H664" i="8"/>
  <c r="I540" i="8"/>
  <c r="H540" i="8"/>
  <c r="J540" i="8"/>
  <c r="I544" i="8"/>
  <c r="H544" i="8"/>
  <c r="J544" i="8"/>
  <c r="I548" i="8"/>
  <c r="H548" i="8"/>
  <c r="J548" i="8"/>
  <c r="I552" i="8"/>
  <c r="H552" i="8"/>
  <c r="J552" i="8"/>
  <c r="I556" i="8"/>
  <c r="H556" i="8"/>
  <c r="J556" i="8"/>
  <c r="J571" i="8"/>
  <c r="I571" i="8"/>
  <c r="H571" i="8"/>
  <c r="J572" i="8"/>
  <c r="I572" i="8"/>
  <c r="H572" i="8"/>
  <c r="I595" i="8"/>
  <c r="H595" i="8"/>
  <c r="J595" i="8"/>
  <c r="I617" i="8"/>
  <c r="H617" i="8"/>
  <c r="J617" i="8"/>
  <c r="J634" i="8"/>
  <c r="I634" i="8"/>
  <c r="H634" i="8"/>
  <c r="I649" i="8"/>
  <c r="H649" i="8"/>
  <c r="J649" i="8"/>
  <c r="J653" i="8"/>
  <c r="H653" i="8"/>
  <c r="I653" i="8"/>
  <c r="I657" i="8"/>
  <c r="H657" i="8"/>
  <c r="J657" i="8"/>
  <c r="H599" i="8"/>
  <c r="I599" i="8"/>
  <c r="J599" i="8"/>
  <c r="J605" i="8"/>
  <c r="H605" i="8"/>
  <c r="I605" i="8"/>
  <c r="J609" i="8"/>
  <c r="I609" i="8"/>
  <c r="H609" i="8"/>
  <c r="J628" i="8"/>
  <c r="H628" i="8"/>
  <c r="I628" i="8"/>
  <c r="I662" i="8"/>
  <c r="H662" i="8"/>
  <c r="J662" i="8"/>
  <c r="I526" i="8"/>
  <c r="H526" i="8"/>
  <c r="J526" i="8"/>
  <c r="I530" i="8"/>
  <c r="J530" i="8"/>
  <c r="H530" i="8"/>
  <c r="J537" i="8"/>
  <c r="I537" i="8"/>
  <c r="H537" i="8"/>
  <c r="J541" i="8"/>
  <c r="I541" i="8"/>
  <c r="H541" i="8"/>
  <c r="J545" i="8"/>
  <c r="I545" i="8"/>
  <c r="H545" i="8"/>
  <c r="J549" i="8"/>
  <c r="I549" i="8"/>
  <c r="H549" i="8"/>
  <c r="J553" i="8"/>
  <c r="I553" i="8"/>
  <c r="H553" i="8"/>
  <c r="J557" i="8"/>
  <c r="I557" i="8"/>
  <c r="H557" i="8"/>
  <c r="I567" i="8"/>
  <c r="H567" i="8"/>
  <c r="J567" i="8"/>
  <c r="J568" i="8"/>
  <c r="I568" i="8"/>
  <c r="H568" i="8"/>
  <c r="H565" i="8"/>
  <c r="J565" i="8"/>
  <c r="I565" i="8"/>
  <c r="J580" i="8"/>
  <c r="I580" i="8"/>
  <c r="H580" i="8"/>
  <c r="J622" i="8"/>
  <c r="I622" i="8"/>
  <c r="H622" i="8"/>
  <c r="J601" i="8"/>
  <c r="I601" i="8"/>
  <c r="H601" i="8"/>
  <c r="J614" i="8"/>
  <c r="I614" i="8"/>
  <c r="H614" i="8"/>
  <c r="J629" i="8"/>
  <c r="I629" i="8"/>
  <c r="H629" i="8"/>
  <c r="I663" i="8"/>
  <c r="H663" i="8"/>
  <c r="J663" i="8"/>
  <c r="J603" i="8"/>
  <c r="H603" i="8"/>
  <c r="I603" i="8"/>
  <c r="I627" i="8"/>
  <c r="H627" i="8"/>
  <c r="J627" i="8"/>
  <c r="H639" i="8"/>
  <c r="J639" i="8"/>
  <c r="I639" i="8"/>
  <c r="I647" i="8"/>
  <c r="H647" i="8"/>
  <c r="J647" i="8"/>
  <c r="I581" i="8"/>
  <c r="H581" i="8"/>
  <c r="J581" i="8"/>
  <c r="I585" i="8"/>
  <c r="H585" i="8"/>
  <c r="J585" i="8"/>
  <c r="I589" i="8"/>
  <c r="H589" i="8"/>
  <c r="J589" i="8"/>
  <c r="I593" i="8"/>
  <c r="H593" i="8"/>
  <c r="J593" i="8"/>
  <c r="I597" i="8"/>
  <c r="H597" i="8"/>
  <c r="J597" i="8"/>
  <c r="I604" i="8"/>
  <c r="J604" i="8"/>
  <c r="H604" i="8"/>
  <c r="J610" i="8"/>
  <c r="I610" i="8"/>
  <c r="H610" i="8"/>
  <c r="I623" i="8"/>
  <c r="H623" i="8"/>
  <c r="J623" i="8"/>
  <c r="J630" i="8"/>
  <c r="H630" i="8"/>
  <c r="I630" i="8"/>
  <c r="J638" i="8"/>
  <c r="I638" i="8"/>
  <c r="H638" i="8"/>
  <c r="H643" i="8"/>
  <c r="J643" i="8"/>
  <c r="I643" i="8"/>
  <c r="I562" i="8"/>
  <c r="J562" i="8"/>
  <c r="H562" i="8"/>
  <c r="I566" i="8"/>
  <c r="H566" i="8"/>
  <c r="J566" i="8"/>
  <c r="I570" i="8"/>
  <c r="J570" i="8"/>
  <c r="H570" i="8"/>
  <c r="I574" i="8"/>
  <c r="J574" i="8"/>
  <c r="H574" i="8"/>
  <c r="I578" i="8"/>
  <c r="J578" i="8"/>
  <c r="H578" i="8"/>
  <c r="I582" i="8"/>
  <c r="H582" i="8"/>
  <c r="J582" i="8"/>
  <c r="I586" i="8"/>
  <c r="J586" i="8"/>
  <c r="H586" i="8"/>
  <c r="I590" i="8"/>
  <c r="H590" i="8"/>
  <c r="J590" i="8"/>
  <c r="I594" i="8"/>
  <c r="J594" i="8"/>
  <c r="H594" i="8"/>
  <c r="I598" i="8"/>
  <c r="J598" i="8"/>
  <c r="H598" i="8"/>
  <c r="J613" i="8"/>
  <c r="I613" i="8"/>
  <c r="H613" i="8"/>
  <c r="J618" i="8"/>
  <c r="I618" i="8"/>
  <c r="H618" i="8"/>
  <c r="J633" i="8"/>
  <c r="I633" i="8"/>
  <c r="H633" i="8"/>
  <c r="J658" i="8"/>
  <c r="I658" i="8"/>
  <c r="H658" i="8"/>
  <c r="I602" i="8"/>
  <c r="J602" i="8"/>
  <c r="H602" i="8"/>
  <c r="J607" i="8"/>
  <c r="I607" i="8"/>
  <c r="H607" i="8"/>
  <c r="J611" i="8"/>
  <c r="I611" i="8"/>
  <c r="H611" i="8"/>
  <c r="J615" i="8"/>
  <c r="I615" i="8"/>
  <c r="H615" i="8"/>
  <c r="I619" i="8"/>
  <c r="H619" i="8"/>
  <c r="J619" i="8"/>
  <c r="J620" i="8"/>
  <c r="I620" i="8"/>
  <c r="H620" i="8"/>
  <c r="I624" i="8"/>
  <c r="H624" i="8"/>
  <c r="J624" i="8"/>
  <c r="J625" i="8"/>
  <c r="I625" i="8"/>
  <c r="H625" i="8"/>
  <c r="J631" i="8"/>
  <c r="I631" i="8"/>
  <c r="H631" i="8"/>
  <c r="J636" i="8"/>
  <c r="I636" i="8"/>
  <c r="H636" i="8"/>
  <c r="J640" i="8"/>
  <c r="I640" i="8"/>
  <c r="H640" i="8"/>
  <c r="J645" i="8"/>
  <c r="I645" i="8"/>
  <c r="H645" i="8"/>
  <c r="J650" i="8"/>
  <c r="I650" i="8"/>
  <c r="H650" i="8"/>
  <c r="J654" i="8"/>
  <c r="I654" i="8"/>
  <c r="H654" i="8"/>
  <c r="J659" i="8"/>
  <c r="I659" i="8"/>
  <c r="H659" i="8"/>
  <c r="I667" i="8"/>
  <c r="H667" i="8"/>
  <c r="J667" i="8"/>
  <c r="J668" i="8"/>
  <c r="I668" i="8"/>
  <c r="H668" i="8"/>
  <c r="I675" i="8"/>
  <c r="J675" i="8"/>
  <c r="H675" i="8"/>
  <c r="I676" i="8"/>
  <c r="J676" i="8"/>
  <c r="H676" i="8"/>
  <c r="J677" i="8"/>
  <c r="I677" i="8"/>
  <c r="H677" i="8"/>
  <c r="J681" i="8"/>
  <c r="I681" i="8"/>
  <c r="H681" i="8"/>
  <c r="J685" i="8"/>
  <c r="I685" i="8"/>
  <c r="H685" i="8"/>
  <c r="J689" i="8"/>
  <c r="I689" i="8"/>
  <c r="H689" i="8"/>
  <c r="J694" i="8"/>
  <c r="I694" i="8"/>
  <c r="H694" i="8"/>
  <c r="H693" i="8"/>
  <c r="I693" i="8"/>
  <c r="J693" i="8"/>
  <c r="H697" i="8"/>
  <c r="J697" i="8"/>
  <c r="I697" i="8"/>
  <c r="I608" i="8"/>
  <c r="H608" i="8"/>
  <c r="J608" i="8"/>
  <c r="I612" i="8"/>
  <c r="H612" i="8"/>
  <c r="J612" i="8"/>
  <c r="I616" i="8"/>
  <c r="H616" i="8"/>
  <c r="J616" i="8"/>
  <c r="I621" i="8"/>
  <c r="H621" i="8"/>
  <c r="J621" i="8"/>
  <c r="I626" i="8"/>
  <c r="H626" i="8"/>
  <c r="J626" i="8"/>
  <c r="I632" i="8"/>
  <c r="H632" i="8"/>
  <c r="J632" i="8"/>
  <c r="I637" i="8"/>
  <c r="H637" i="8"/>
  <c r="J637" i="8"/>
  <c r="I641" i="8"/>
  <c r="H641" i="8"/>
  <c r="J641" i="8"/>
  <c r="I646" i="8"/>
  <c r="H646" i="8"/>
  <c r="J646" i="8"/>
  <c r="I651" i="8"/>
  <c r="H651" i="8"/>
  <c r="J651" i="8"/>
  <c r="I655" i="8"/>
  <c r="H655" i="8"/>
  <c r="J655" i="8"/>
  <c r="J660" i="8"/>
  <c r="I660" i="8"/>
  <c r="H660" i="8"/>
  <c r="I661" i="8"/>
  <c r="H661" i="8"/>
  <c r="J661" i="8"/>
  <c r="J669" i="8"/>
  <c r="I669" i="8"/>
  <c r="H669" i="8"/>
  <c r="J670" i="8"/>
  <c r="I670" i="8"/>
  <c r="H670" i="8"/>
  <c r="J671" i="8"/>
  <c r="I671" i="8"/>
  <c r="H671" i="8"/>
  <c r="I672" i="8"/>
  <c r="H672" i="8"/>
  <c r="J672" i="8"/>
  <c r="I678" i="8"/>
  <c r="H678" i="8"/>
  <c r="J678" i="8"/>
  <c r="I682" i="8"/>
  <c r="H682" i="8"/>
  <c r="J682" i="8"/>
  <c r="I686" i="8"/>
  <c r="H686" i="8"/>
  <c r="J686" i="8"/>
  <c r="J690" i="8"/>
  <c r="I690" i="8"/>
  <c r="H690" i="8"/>
  <c r="H691" i="8"/>
  <c r="J691" i="8"/>
  <c r="I691" i="8"/>
  <c r="J692" i="8"/>
  <c r="I692" i="8"/>
  <c r="H692" i="8"/>
  <c r="I673" i="8"/>
  <c r="J673" i="8"/>
  <c r="H673" i="8"/>
  <c r="I679" i="8"/>
  <c r="J679" i="8"/>
  <c r="H679" i="8"/>
  <c r="I683" i="8"/>
  <c r="H683" i="8"/>
  <c r="J683" i="8"/>
  <c r="I687" i="8"/>
  <c r="J687" i="8"/>
  <c r="H687" i="8"/>
  <c r="H696" i="8"/>
  <c r="J696" i="8"/>
  <c r="I696" i="8"/>
  <c r="I665" i="8"/>
  <c r="J665" i="8"/>
  <c r="H665" i="8"/>
  <c r="I666" i="8"/>
  <c r="J666" i="8"/>
  <c r="H666" i="8"/>
  <c r="I674" i="8"/>
  <c r="H674" i="8"/>
  <c r="J674" i="8"/>
  <c r="I680" i="8"/>
  <c r="J680" i="8"/>
  <c r="H680" i="8"/>
  <c r="I684" i="8"/>
  <c r="H684" i="8"/>
  <c r="J684" i="8"/>
  <c r="I688" i="8"/>
  <c r="J688" i="8"/>
  <c r="H688" i="8"/>
  <c r="J695" i="8"/>
  <c r="H695" i="8"/>
  <c r="I695" i="8"/>
  <c r="H700" i="8"/>
  <c r="J700" i="8"/>
  <c r="I700" i="8"/>
  <c r="H704" i="8"/>
  <c r="J704" i="8"/>
  <c r="I704" i="8"/>
  <c r="H708" i="8"/>
  <c r="J708" i="8"/>
  <c r="I708" i="8"/>
  <c r="H712" i="8"/>
  <c r="J712" i="8"/>
  <c r="I712" i="8"/>
  <c r="H716" i="8"/>
  <c r="J716" i="8"/>
  <c r="I716" i="8"/>
  <c r="H721" i="8"/>
  <c r="J721" i="8"/>
  <c r="I721" i="8"/>
  <c r="H725" i="8"/>
  <c r="J725" i="8"/>
  <c r="I725" i="8"/>
  <c r="H729" i="8"/>
  <c r="J729" i="8"/>
  <c r="I729" i="8"/>
  <c r="H733" i="8"/>
  <c r="J733" i="8"/>
  <c r="I733" i="8"/>
  <c r="H739" i="8"/>
  <c r="J739" i="8"/>
  <c r="I739" i="8"/>
  <c r="H743" i="8"/>
  <c r="J743" i="8"/>
  <c r="I743" i="8"/>
  <c r="H747" i="8"/>
  <c r="J747" i="8"/>
  <c r="I747" i="8"/>
  <c r="H751" i="8"/>
  <c r="J751" i="8"/>
  <c r="I751" i="8"/>
  <c r="H757" i="8"/>
  <c r="J757" i="8"/>
  <c r="I757" i="8"/>
  <c r="H762" i="8"/>
  <c r="J762" i="8"/>
  <c r="I762" i="8"/>
  <c r="H768" i="8"/>
  <c r="J768" i="8"/>
  <c r="I768" i="8"/>
  <c r="H772" i="8"/>
  <c r="J772" i="8"/>
  <c r="I772" i="8"/>
  <c r="J701" i="8"/>
  <c r="I701" i="8"/>
  <c r="H701" i="8"/>
  <c r="J705" i="8"/>
  <c r="I705" i="8"/>
  <c r="H705" i="8"/>
  <c r="J709" i="8"/>
  <c r="I709" i="8"/>
  <c r="H709" i="8"/>
  <c r="J713" i="8"/>
  <c r="I713" i="8"/>
  <c r="H713" i="8"/>
  <c r="H717" i="8"/>
  <c r="J717" i="8"/>
  <c r="I717" i="8"/>
  <c r="J718" i="8"/>
  <c r="I718" i="8"/>
  <c r="H718" i="8"/>
  <c r="J722" i="8"/>
  <c r="I722" i="8"/>
  <c r="H722" i="8"/>
  <c r="J726" i="8"/>
  <c r="I726" i="8"/>
  <c r="H726" i="8"/>
  <c r="J730" i="8"/>
  <c r="I730" i="8"/>
  <c r="H730" i="8"/>
  <c r="H734" i="8"/>
  <c r="J734" i="8"/>
  <c r="I734" i="8"/>
  <c r="J735" i="8"/>
  <c r="I735" i="8"/>
  <c r="H735" i="8"/>
  <c r="J740" i="8"/>
  <c r="I740" i="8"/>
  <c r="H740" i="8"/>
  <c r="J744" i="8"/>
  <c r="I744" i="8"/>
  <c r="H744" i="8"/>
  <c r="J748" i="8"/>
  <c r="I748" i="8"/>
  <c r="H748" i="8"/>
  <c r="H752" i="8"/>
  <c r="J752" i="8"/>
  <c r="I752" i="8"/>
  <c r="J753" i="8"/>
  <c r="I753" i="8"/>
  <c r="H753" i="8"/>
  <c r="J758" i="8"/>
  <c r="I758" i="8"/>
  <c r="H758" i="8"/>
  <c r="J763" i="8"/>
  <c r="I763" i="8"/>
  <c r="H763" i="8"/>
  <c r="J769" i="8"/>
  <c r="I769" i="8"/>
  <c r="H769" i="8"/>
  <c r="J773" i="8"/>
  <c r="I773" i="8"/>
  <c r="H773" i="8"/>
  <c r="J698" i="8"/>
  <c r="I698" i="8"/>
  <c r="H698" i="8"/>
  <c r="J702" i="8"/>
  <c r="I702" i="8"/>
  <c r="H702" i="8"/>
  <c r="J706" i="8"/>
  <c r="I706" i="8"/>
  <c r="H706" i="8"/>
  <c r="J710" i="8"/>
  <c r="I710" i="8"/>
  <c r="H710" i="8"/>
  <c r="J714" i="8"/>
  <c r="I714" i="8"/>
  <c r="H714" i="8"/>
  <c r="J719" i="8"/>
  <c r="I719" i="8"/>
  <c r="H719" i="8"/>
  <c r="J723" i="8"/>
  <c r="I723" i="8"/>
  <c r="H723" i="8"/>
  <c r="J727" i="8"/>
  <c r="I727" i="8"/>
  <c r="H727" i="8"/>
  <c r="J731" i="8"/>
  <c r="I731" i="8"/>
  <c r="H731" i="8"/>
  <c r="J736" i="8"/>
  <c r="I736" i="8"/>
  <c r="H736" i="8"/>
  <c r="J737" i="8"/>
  <c r="I737" i="8"/>
  <c r="H737" i="8"/>
  <c r="J741" i="8"/>
  <c r="I741" i="8"/>
  <c r="H741" i="8"/>
  <c r="J745" i="8"/>
  <c r="I745" i="8"/>
  <c r="H745" i="8"/>
  <c r="J749" i="8"/>
  <c r="I749" i="8"/>
  <c r="H749" i="8"/>
  <c r="J754" i="8"/>
  <c r="I754" i="8"/>
  <c r="H754" i="8"/>
  <c r="J755" i="8"/>
  <c r="I755" i="8"/>
  <c r="H755" i="8"/>
  <c r="J759" i="8"/>
  <c r="I759" i="8"/>
  <c r="H759" i="8"/>
  <c r="J764" i="8"/>
  <c r="I764" i="8"/>
  <c r="H764" i="8"/>
  <c r="J765" i="8"/>
  <c r="I765" i="8"/>
  <c r="H765" i="8"/>
  <c r="J770" i="8"/>
  <c r="I770" i="8"/>
  <c r="H770" i="8"/>
  <c r="J774" i="8"/>
  <c r="I774" i="8"/>
  <c r="H774" i="8"/>
  <c r="J699" i="8"/>
  <c r="I699" i="8"/>
  <c r="H699" i="8"/>
  <c r="J703" i="8"/>
  <c r="I703" i="8"/>
  <c r="H703" i="8"/>
  <c r="J707" i="8"/>
  <c r="I707" i="8"/>
  <c r="H707" i="8"/>
  <c r="J711" i="8"/>
  <c r="I711" i="8"/>
  <c r="H711" i="8"/>
  <c r="J715" i="8"/>
  <c r="I715" i="8"/>
  <c r="H715" i="8"/>
  <c r="J720" i="8"/>
  <c r="I720" i="8"/>
  <c r="H720" i="8"/>
  <c r="J724" i="8"/>
  <c r="I724" i="8"/>
  <c r="H724" i="8"/>
  <c r="J728" i="8"/>
  <c r="I728" i="8"/>
  <c r="H728" i="8"/>
  <c r="J732" i="8"/>
  <c r="I732" i="8"/>
  <c r="H732" i="8"/>
  <c r="J738" i="8"/>
  <c r="I738" i="8"/>
  <c r="H738" i="8"/>
  <c r="J742" i="8"/>
  <c r="I742" i="8"/>
  <c r="H742" i="8"/>
  <c r="J746" i="8"/>
  <c r="I746" i="8"/>
  <c r="H746" i="8"/>
  <c r="J750" i="8"/>
  <c r="I750" i="8"/>
  <c r="H750" i="8"/>
  <c r="J756" i="8"/>
  <c r="I756" i="8"/>
  <c r="H756" i="8"/>
  <c r="J760" i="8"/>
  <c r="I760" i="8"/>
  <c r="H760" i="8"/>
  <c r="J761" i="8"/>
  <c r="I761" i="8"/>
  <c r="H761" i="8"/>
  <c r="J766" i="8"/>
  <c r="I766" i="8"/>
  <c r="H766" i="8"/>
  <c r="J767" i="8"/>
  <c r="I767" i="8"/>
  <c r="H767" i="8"/>
  <c r="J771" i="8"/>
  <c r="I771" i="8"/>
  <c r="H771" i="8"/>
  <c r="J775" i="8"/>
  <c r="I775" i="8"/>
  <c r="H77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 authorId="0" shapeId="0" xr:uid="{00000000-0006-0000-0400-000001000000}">
      <text>
        <r>
          <rPr>
            <sz val="10"/>
            <color rgb="FF000000"/>
            <rFont val="Arial"/>
            <scheme val="minor"/>
          </rPr>
          <t>= kolom gereserveerde_bedrag_vastleggingsdeel_excl_btw
	-Thomas Arkens</t>
        </r>
      </text>
    </comment>
  </commentList>
</comments>
</file>

<file path=xl/sharedStrings.xml><?xml version="1.0" encoding="utf-8"?>
<sst xmlns="http://schemas.openxmlformats.org/spreadsheetml/2006/main" count="54028" uniqueCount="11107">
  <si>
    <t>knelpunt_id</t>
  </si>
  <si>
    <t>knelpuntnummer</t>
  </si>
  <si>
    <t>hoofdthema</t>
  </si>
  <si>
    <t>subthema</t>
  </si>
  <si>
    <t>ingreep_id</t>
  </si>
  <si>
    <t>ingreepnummer</t>
  </si>
  <si>
    <t>ingreep_titel</t>
  </si>
  <si>
    <t>ingreep_omschrijving</t>
  </si>
  <si>
    <t>ingreep_type</t>
  </si>
  <si>
    <t>ingreep_aidnummer</t>
  </si>
  <si>
    <t>opgevolgd_in_bod</t>
  </si>
  <si>
    <t>opgevolgd_in_bod_omschrijving</t>
  </si>
  <si>
    <t>knelpunt_percentage_raming</t>
  </si>
  <si>
    <t>geraamde_bedrag_kim</t>
  </si>
  <si>
    <t>KP/000001</t>
  </si>
  <si>
    <t>Fiets</t>
  </si>
  <si>
    <t>&lt;null&gt;</t>
  </si>
  <si>
    <t>IN/000001</t>
  </si>
  <si>
    <t>Structureel Onderhoud - conforme fietspaden in Geel, Dessel, Retie opN118  1.2 - 12.5</t>
  </si>
  <si>
    <t>beton vervangen door asfalt en iets breder aanleggen (tot 1.75 m) - zeer eenvoudig uit te breiden, maar wel een lang tracé</t>
  </si>
  <si>
    <t>Structurele Ingreep</t>
  </si>
  <si>
    <t>WA/INV/N118/6</t>
  </si>
  <si>
    <t>Ingreep wordt niet opgevolgd in BOD</t>
  </si>
  <si>
    <t>Q3</t>
  </si>
  <si>
    <t>2021 - Q3</t>
  </si>
  <si>
    <t>KP/000002</t>
  </si>
  <si>
    <t>IN/000002</t>
  </si>
  <si>
    <t>Structureel Onderhoud - conforme fietspaden in Kapellen opN11  3.7 - 5.4</t>
  </si>
  <si>
    <t>beton naar asfalt</t>
  </si>
  <si>
    <t>Kleine Ingreep</t>
  </si>
  <si>
    <t>WA/INV/N11/2</t>
  </si>
  <si>
    <t>Ingreep wordt opgevolgd in BOD</t>
  </si>
  <si>
    <t>Q1</t>
  </si>
  <si>
    <t>2022 - Q1</t>
  </si>
  <si>
    <t>KP/000500</t>
  </si>
  <si>
    <t>Verkeersveiligheid</t>
  </si>
  <si>
    <t>Gevaarlijke Punt</t>
  </si>
  <si>
    <t>KP/003717</t>
  </si>
  <si>
    <t>Stimuleren Combimobiliteit</t>
  </si>
  <si>
    <t>Hoppinpunt</t>
  </si>
  <si>
    <t>KP/000003</t>
  </si>
  <si>
    <t>IN/000003</t>
  </si>
  <si>
    <t>Structureel Onderhoud - conforme fietspaden in Lille opN140  7.0 - 11.0</t>
  </si>
  <si>
    <t>verzakte betonplaten vervangen door beton (cfr rest Lille), eventueel verbreden naar 1.75 m</t>
  </si>
  <si>
    <t>WA/INV/N140/4</t>
  </si>
  <si>
    <t>Q2</t>
  </si>
  <si>
    <t>2021 - Q2</t>
  </si>
  <si>
    <t>KP/000004</t>
  </si>
  <si>
    <t>IN/000004</t>
  </si>
  <si>
    <t>Structureel Onderhoud - conforme fietspaden in Wijnegem opN112  3.9 - 3.5</t>
  </si>
  <si>
    <t>Vernieuwen fietspad</t>
  </si>
  <si>
    <t>WA/INV/N112/1</t>
  </si>
  <si>
    <t>Q4</t>
  </si>
  <si>
    <t>2021 - Q4</t>
  </si>
  <si>
    <t>KP/000005</t>
  </si>
  <si>
    <t>IN/000005</t>
  </si>
  <si>
    <t>Structureel Onderhoud - conforme fietspaden in Sint-Truiden opN3  62.5 - 63.3</t>
  </si>
  <si>
    <t>km 62,5-63,3: beton opbreken en vervangen door KWS, mogelijk nog iets verbreden</t>
  </si>
  <si>
    <t>WL/INV/N3/6</t>
  </si>
  <si>
    <t>2022 - Q2</t>
  </si>
  <si>
    <t>KP/000006</t>
  </si>
  <si>
    <t>IN/000006</t>
  </si>
  <si>
    <t>Structureel Onderhoud - conforme fietspaden in Diepenbeek opN702  3.7 - 4.4</t>
  </si>
  <si>
    <t>beton opbreken en vervangen door KWS, mogelijk nog iets verbreden</t>
  </si>
  <si>
    <t>WL/INV/N702/3</t>
  </si>
  <si>
    <t>KP/000007</t>
  </si>
  <si>
    <t>IN/000007</t>
  </si>
  <si>
    <t>Structureel Onderhoud - conforme fietspaden in Genk opN726  0.0 - 0.8</t>
  </si>
  <si>
    <t>km 0-0,8 : asfalt affrezen, verbreden en nieuwe toplaag</t>
  </si>
  <si>
    <t>WL/INV/N726/2</t>
  </si>
  <si>
    <t>KP/000008</t>
  </si>
  <si>
    <t>IN/000008</t>
  </si>
  <si>
    <t>Structureel Onderhoud - conforme fietspaden in As opN730  27.4 - 28.3</t>
  </si>
  <si>
    <t>Vervangen klinkers door asfalt, plaatselijk greppel en boordsteen vervangen</t>
  </si>
  <si>
    <t>WL/INV/N730/8</t>
  </si>
  <si>
    <t>KP/000009</t>
  </si>
  <si>
    <t>IN/000009</t>
  </si>
  <si>
    <t>Structureel Onderhoud - conforme fietspaden in Oudsbergen opN730  30.8 - 35.6</t>
  </si>
  <si>
    <t>km 33,3-33,9 nieuwe toplaag</t>
  </si>
  <si>
    <t>WL/INV/N730/9</t>
  </si>
  <si>
    <t>KP/000010</t>
  </si>
  <si>
    <t>IN/000010</t>
  </si>
  <si>
    <t>Structureel Onderhoud - conforme fietspaden in As, Dilsen opN75  20.7 - 26.3</t>
  </si>
  <si>
    <t>Verbreden &amp; vernieuwen fietspad; op parkeerstrook</t>
  </si>
  <si>
    <t>WL/INV/N75/6</t>
  </si>
  <si>
    <t>KP/000011</t>
  </si>
  <si>
    <t>IN/000011</t>
  </si>
  <si>
    <t>Structureel Onderhoud - conforme fietspaden in Genk opN750  4.5 - 5.55</t>
  </si>
  <si>
    <t>WL/INV/N750/4</t>
  </si>
  <si>
    <t>KP/000012</t>
  </si>
  <si>
    <t>IN/000012</t>
  </si>
  <si>
    <t>Structureel Onderhoud - conforme fietspaden in Borgloon opN754  21.4 - 22.6</t>
  </si>
  <si>
    <t>WL/INV/N754/3</t>
  </si>
  <si>
    <t>KP/000013</t>
  </si>
  <si>
    <t>IN/000013</t>
  </si>
  <si>
    <t>Structureel Onderhoud - conforme fietspaden in Borgloon opN76  1.5 - 5.5</t>
  </si>
  <si>
    <t>beton vervangen door KWS</t>
  </si>
  <si>
    <t>WL/INV/N76/10</t>
  </si>
  <si>
    <t>KP/000014</t>
  </si>
  <si>
    <t>IN/000014</t>
  </si>
  <si>
    <t>Structureel Onderhoud - conforme fietspaden in Oudsbergen opN76  33.3 - 33.9</t>
  </si>
  <si>
    <t>30,8-35,6 : nieuwe toplaag en scheurremmer</t>
  </si>
  <si>
    <t>WL/INV/N76/11</t>
  </si>
  <si>
    <t>KP/000015</t>
  </si>
  <si>
    <t>IN/000015</t>
  </si>
  <si>
    <t>Structureel Onderhoud - conforme fietspaden in Diepenbeek opN774  0.0 - 0.1</t>
  </si>
  <si>
    <t>Verbreden &amp; vernieuwen fietspad</t>
  </si>
  <si>
    <t>WL/INV/N774/1</t>
  </si>
  <si>
    <t>KP/000016</t>
  </si>
  <si>
    <t>IN/000016</t>
  </si>
  <si>
    <t>Structureel Onderhoud - conforme fietspaden in Aalter opN409  4.84 - 6.5</t>
  </si>
  <si>
    <t>WOV/INV/N409/2</t>
  </si>
  <si>
    <t>2023 - Q2</t>
  </si>
  <si>
    <t>IN/000017</t>
  </si>
  <si>
    <t>Structureel Onderhoud - conforme fietspaden in Wetteren opN417  0.0 - 3.1</t>
  </si>
  <si>
    <t>WOV/INV/N417/1</t>
  </si>
  <si>
    <t>KP/000018</t>
  </si>
  <si>
    <t>IN/000018</t>
  </si>
  <si>
    <t>Structureel Onderhoud - conforme fietspaden in Gent opN424  9.0 - 3.2</t>
  </si>
  <si>
    <t>WOV/INV/N424/4</t>
  </si>
  <si>
    <t>KP/000019</t>
  </si>
  <si>
    <t>IN/000019</t>
  </si>
  <si>
    <t>Structureel Onderhoud - conforme fietspaden in Lokeren opN70  19.2 - 20.1</t>
  </si>
  <si>
    <t>WOV/INV/N70/7</t>
  </si>
  <si>
    <t>2022 - Q3</t>
  </si>
  <si>
    <t>KP/000020</t>
  </si>
  <si>
    <t>IN/000020</t>
  </si>
  <si>
    <t>Structureel Onderhoud - conforme fietspaden in Melle opN9  47.9 - 49.0</t>
  </si>
  <si>
    <t>WOV/INV/N9/14</t>
  </si>
  <si>
    <t>KP/000021</t>
  </si>
  <si>
    <t>IN/000021</t>
  </si>
  <si>
    <t>Structureel Onderhoud - conforme fietspaden in Tienen opN223  19.1 - 20.5</t>
  </si>
  <si>
    <t>Klinkers vervangen door KWS (nieuwe boordsteen achter fietspad nodig) &amp;  overgangen met zijstraten vloeiend maken</t>
  </si>
  <si>
    <t>WVB/INV/N223/3</t>
  </si>
  <si>
    <t>IN/000022</t>
  </si>
  <si>
    <t>MAG GEWIST WORDEN</t>
  </si>
  <si>
    <t>Dubbelrichting asfaltfietspad op belangrijke schoolroute.</t>
  </si>
  <si>
    <t>KP/000023</t>
  </si>
  <si>
    <t>IN/000023</t>
  </si>
  <si>
    <t>Structureel Onderhoud - conforme fietspaden in Boutersem opN234  1.9 - 2.2</t>
  </si>
  <si>
    <t>Aanleg nieuw fietspad in beide richtingen/ ombouw parkeerstrook naar fietspad. Beveiligen fietspad thv oversteken op en afritten.</t>
  </si>
  <si>
    <t>WVB/INV/N234/2</t>
  </si>
  <si>
    <t>KP/000024</t>
  </si>
  <si>
    <t>IN/000024</t>
  </si>
  <si>
    <t>Structureel Onderhoud - conforme fietspaden in Rotselaar opN229  2.18 - 2.3</t>
  </si>
  <si>
    <t>Klinkers vervangen door asfalt</t>
  </si>
  <si>
    <t>WVB/INV/N229/3</t>
  </si>
  <si>
    <t>KP/000025</t>
  </si>
  <si>
    <t>IN/000025</t>
  </si>
  <si>
    <t>Structureel Onderhoud - conforme fietspaden in Ieper opN331  0.0 - 7.4</t>
  </si>
  <si>
    <t>WWV/INV/N331/3</t>
  </si>
  <si>
    <t>KP/001174</t>
  </si>
  <si>
    <t>Schoolroute</t>
  </si>
  <si>
    <t>KP/000026</t>
  </si>
  <si>
    <t>IN/000026</t>
  </si>
  <si>
    <t>Structureel Onderhoud - conforme fietspaden in Ieper opN8  102.1 - 113.5</t>
  </si>
  <si>
    <t>WWV/INV/N8/34</t>
  </si>
  <si>
    <t>2023 - Q1</t>
  </si>
  <si>
    <t>KP/000030</t>
  </si>
  <si>
    <t>KP/000027</t>
  </si>
  <si>
    <t>IN/000027</t>
  </si>
  <si>
    <t>Structureel Onderhoud - conforme fietspaden in Koksijde opN355  6.9 - 8.6</t>
  </si>
  <si>
    <t>KP/000028</t>
  </si>
  <si>
    <t>IN/000028</t>
  </si>
  <si>
    <t>Structureel Onderhoud - conforme fietspaden in Langemark opN313  3.8 - 8.3</t>
  </si>
  <si>
    <t>WWV/INV/N313/1</t>
  </si>
  <si>
    <t>KP/000029</t>
  </si>
  <si>
    <t>IN/000029</t>
  </si>
  <si>
    <t>Structureel Onderhoud - conforme fietspaden in Waregem opN357  23.3 - 24.7</t>
  </si>
  <si>
    <t>2022 - Q4</t>
  </si>
  <si>
    <t>IN/000030</t>
  </si>
  <si>
    <t>Structureel Onderhoud - conforme fietspaden in Wervik opN8  102.7 - 103.9</t>
  </si>
  <si>
    <t>KP/000031</t>
  </si>
  <si>
    <t>IN/000031</t>
  </si>
  <si>
    <t>Structureel Onderhoud - conforme fietspaden in Eernegem op N368  33.3 - 34.7</t>
  </si>
  <si>
    <t>WWV/INV/N368/6</t>
  </si>
  <si>
    <t>KP/000032</t>
  </si>
  <si>
    <t>IN/000032</t>
  </si>
  <si>
    <t>Structureel Onderhoud - conforme fietspaden in Gistel op N367  23.5 - 26.0</t>
  </si>
  <si>
    <t>WWV/INV/N367/8</t>
  </si>
  <si>
    <t>KP/000033</t>
  </si>
  <si>
    <t>IN/000033</t>
  </si>
  <si>
    <t>Structureel Onderhoud - conforme fietspaden in Koksijde op N8  150.4 - 150.8</t>
  </si>
  <si>
    <t>WWV/INV/N8/12</t>
  </si>
  <si>
    <t>KP/000034</t>
  </si>
  <si>
    <t>IN/000034</t>
  </si>
  <si>
    <t>Structureel Onderhoud - conforme fietspaden in Oostende op N341  0.0 - 2.4</t>
  </si>
  <si>
    <t>WWV/INV/N341/1</t>
  </si>
  <si>
    <t>KP/000035</t>
  </si>
  <si>
    <t>IN/000035</t>
  </si>
  <si>
    <t>Structureel Onderhoud - conforme fietspaden in Oostende opR31  1.0 - 2.0</t>
  </si>
  <si>
    <t>WWV/INV/R31/2</t>
  </si>
  <si>
    <t>KP/000036</t>
  </si>
  <si>
    <t>IN/000036</t>
  </si>
  <si>
    <t>Structureel Onderhoud - conforme fietspaden in Hasselt opR71  7.9 - 7.9</t>
  </si>
  <si>
    <t>3 deelprojecten: 1,3-3,8: breden FP markeren &amp; toplaag ; 11,9-12,3: toplaag fietspad vernieuwen &amp; 13,8-14,7: parkeerstrook omvormen tot fietspad</t>
  </si>
  <si>
    <t>WL/INV/R71/9</t>
  </si>
  <si>
    <t>KP/000037</t>
  </si>
  <si>
    <t>IN/000037</t>
  </si>
  <si>
    <t>Structureel Onderhoud - conforme fietspaden in Hasselt opR71  6.9 - 6.9</t>
  </si>
  <si>
    <t>WL/INV/R71/10</t>
  </si>
  <si>
    <t>KP/000038</t>
  </si>
  <si>
    <t>IN/000038</t>
  </si>
  <si>
    <t>Structureel Onderhoud - conforme fietspaden in Hasselt opR71  5.8 - 5.8</t>
  </si>
  <si>
    <t>WL/INV/R71/11</t>
  </si>
  <si>
    <t>KP/000039</t>
  </si>
  <si>
    <t>IN/000039</t>
  </si>
  <si>
    <t>Structureel Onderhoud - conforme fietspaden in Hasselt opR71  5.5 - 5.5</t>
  </si>
  <si>
    <t>WL/INV/R71/12</t>
  </si>
  <si>
    <t>KP/000040</t>
  </si>
  <si>
    <t>IN/000040</t>
  </si>
  <si>
    <t>Structureel Onderhoud - conforme fietspaden in Hasselt opR71  4.9 - 4.9</t>
  </si>
  <si>
    <t>WL/INV/R71/13</t>
  </si>
  <si>
    <t>KP/000041</t>
  </si>
  <si>
    <t>IN/000041</t>
  </si>
  <si>
    <t>Structureel Onderhoud - conforme fietspaden in Hasselt opR71  4.5 - 5.3</t>
  </si>
  <si>
    <t>WL/INV/R71/14</t>
  </si>
  <si>
    <t>KP/000042</t>
  </si>
  <si>
    <t>IN/000042</t>
  </si>
  <si>
    <t>Structureel Onderhoud - conforme fietspaden in Hasselt opR71  2.8 - 2.9</t>
  </si>
  <si>
    <t>WL/INV/R71/15</t>
  </si>
  <si>
    <t>KP/000043</t>
  </si>
  <si>
    <t>IN/000043</t>
  </si>
  <si>
    <t>Structureel Onderhoud - conforme fietspaden in Hasselt opR71  1.3 - 1.3</t>
  </si>
  <si>
    <t>WL/INV/R71/16</t>
  </si>
  <si>
    <t>KP/000044</t>
  </si>
  <si>
    <t>IN/000044</t>
  </si>
  <si>
    <t>Structureel Onderhoud - conforme fietspaden in Hasselt opR71  0.6 - 0.6</t>
  </si>
  <si>
    <t>WL/INV/R71/17</t>
  </si>
  <si>
    <t>KP/000045</t>
  </si>
  <si>
    <t>IN/000045</t>
  </si>
  <si>
    <t>Structureel Onderhoud - conforme fietspaden in Grobbendonk opN13  11.0 - 15.0</t>
  </si>
  <si>
    <t>Verhoging module 13 en structureel onderhoud</t>
  </si>
  <si>
    <t>WA/INV/N13/7</t>
  </si>
  <si>
    <t>KP/001050</t>
  </si>
  <si>
    <t>KS377 - 1. Er is een zebrapad aanwezig zodat de verbinding kan gemaakt worden tussen inwoners uit de woonwijken en Bouwel Dorp, aanliggende woonzones, scholen, supermarkt, enz. Aan het zebrapad zijn geen extra voorzieningen zoals verlichting, middengeleider. Dit zorgt ervoor dat de attentie bij weggebruikers eerder laag is en er is ook geen opstelruimte om als voetganger of voetganger met fiets bij de hand, te wachten.</t>
  </si>
  <si>
    <t>KP/001051</t>
  </si>
  <si>
    <t>KS378 - 2. Aan Nieuwendijk (autoluwe weg met veel fietsverkeer) steken veel wandelaars, voetgangers, fietsers over. Het is een schoolroute naar scholen in Herentals, lokale scholen, doorsteek naar veilige trage wegen die aansluiting geven naar Schoolstraat, enz. Er is een bushalte aanwezig. De snelheid ligt hier hoog (70 km/h), er zijn geen voorzieningen aanwezig om over te steken. Omwille van dit knelpunt beslissen veel fietsers om in de tegenovergestelde richting het fietspad te gebruiken (spookrijden). Wij ontvangen klachten van bedrijven, aanliggende woningen N13 dat zij fietsers niet verwachten uit deze richting en dit dan ook conflicten geeft bij het in- en uitrijden van de toonzaal, bedrijf, woning.</t>
  </si>
  <si>
    <t>KP/001127</t>
  </si>
  <si>
    <t>KS500 - Donkere versteek, smal fietspad en zeer weinig wachtruimte</t>
  </si>
  <si>
    <t>KP/001325</t>
  </si>
  <si>
    <t>KS838 - Wij hebben uw schrijven in verband met in rand vermeld onderwerp goed mogen ontvangen doch wij stellencons de vraag hoe wij dit moeten interpreteren/zien temeer de gemeente Herenthout zelf geen geestwegen heeft en de voornaamste schoolroutes bijgevolg enkel via gewestwegen loopt, enkel dienen er 2 gewestwegen overgestoken te worden nl. de R15 t.h.v. Herenthoutseweg(grondgebed Herentals) en de N13 thv Stationlei(Grobbendonk). Is het nu de bedoeling dat de gemeente Herenthout zich hier dan ook beide kruispunten buigt?</t>
  </si>
  <si>
    <t>KP/000046</t>
  </si>
  <si>
    <t>IN/000046</t>
  </si>
  <si>
    <t>Structureel Onderhoud - conforme fietspaden in Boom opN177  12.9 - 13.5</t>
  </si>
  <si>
    <t>Structureel Onderhoud - conforme fietspaden N177</t>
  </si>
  <si>
    <t>WA/INV/N177/7</t>
  </si>
  <si>
    <t>KP/000047</t>
  </si>
  <si>
    <t>IN/000047</t>
  </si>
  <si>
    <t>Structureel Onderhoud - conforme fietspaden in Boom opN177  13.1 - 13.4</t>
  </si>
  <si>
    <t>WA/INV/N177/8</t>
  </si>
  <si>
    <t>KP/000048</t>
  </si>
  <si>
    <t>IN/000048</t>
  </si>
  <si>
    <t>Structureel Onderhoud - conforme fietspaden in Sint-Truiden opN722  2.2 - 13.0</t>
  </si>
  <si>
    <t>Structureel onderhoud en fietsvoorzieningen N722</t>
  </si>
  <si>
    <t>WL/INV/N722/3</t>
  </si>
  <si>
    <t>KP/000049</t>
  </si>
  <si>
    <t>IN/000049</t>
  </si>
  <si>
    <t>Structureel Onderhoud - conforme fietspaden in Hechtel-Eksel opN73  32.6 - 33.6</t>
  </si>
  <si>
    <t>Structureel Onderhoud - conforme fietspaden N73</t>
  </si>
  <si>
    <t>WL/INV/N73/15</t>
  </si>
  <si>
    <t>KP/000050</t>
  </si>
  <si>
    <t>IN/000050</t>
  </si>
  <si>
    <t>Structureel Onderhoud - conforme fietspaden in Geraardsbergen opN42  19.6 - 22.7</t>
  </si>
  <si>
    <t>Structureel Onderhoud - conforme fietspaden N42</t>
  </si>
  <si>
    <t>WOV/INV/N42/7</t>
  </si>
  <si>
    <t>KP/000051</t>
  </si>
  <si>
    <t>IN/000051</t>
  </si>
  <si>
    <t>Fietsrelance N405 Aalst + R41 Albrechtlaan</t>
  </si>
  <si>
    <t>Structureel Onderhoud:\n- fietspaden N405, vervangen bestrating door asfalt\n- fietspaden R41 tussen N9 en N411, vervangen bestrating door asfalt\n</t>
  </si>
  <si>
    <t>WOV/INV/N405/2</t>
  </si>
  <si>
    <t>2023 - Q3</t>
  </si>
  <si>
    <t>KP/000052</t>
  </si>
  <si>
    <t>IN/000052</t>
  </si>
  <si>
    <t>Structureel Onderhoud - conforme fietspaden in Ninove opN255  10.0 - 11.4</t>
  </si>
  <si>
    <t>Structureel Onderhoud - conforme fietspaden N255</t>
  </si>
  <si>
    <t>WOV/INV/N255/2</t>
  </si>
  <si>
    <t>KP/000053</t>
  </si>
  <si>
    <t>IN/000053</t>
  </si>
  <si>
    <t>Fietsrelance N467 Berlare 2.76 - 5.97</t>
  </si>
  <si>
    <t>Structureel Onderhoud - conforme fietspaden in Berlare op N467  2.76 -  5.97</t>
  </si>
  <si>
    <t>WOV/INV/N467/2</t>
  </si>
  <si>
    <t>KP/000054</t>
  </si>
  <si>
    <t>IN/000054</t>
  </si>
  <si>
    <t>Fietsrelance Denderleeuw N405 kmpt 3.1 - 4.5</t>
  </si>
  <si>
    <t>Structureel Onderhoud - conforme fietspaden in Denderleeuw op N405 kmpt 3.1 - 4.5</t>
  </si>
  <si>
    <t>WOV/INV/N405/3</t>
  </si>
  <si>
    <t>KP/000055</t>
  </si>
  <si>
    <t>IN/000055</t>
  </si>
  <si>
    <t>Structureel Onderhoud - rijweg en fietspaden in Oudenaarde op N459  0.9 - 3.93</t>
  </si>
  <si>
    <t>Structureel Onderhoud - conforme fietspaden N459</t>
  </si>
  <si>
    <t>WOV/INV/N459/3</t>
  </si>
  <si>
    <t>2023 - Q4</t>
  </si>
  <si>
    <t>KP/000056</t>
  </si>
  <si>
    <t>IN/000056</t>
  </si>
  <si>
    <t>Structureel Onderhoud - conforme fietspaden in Ninove opN255  14.7 - 15.2</t>
  </si>
  <si>
    <t>WOV/INV/N255/3</t>
  </si>
  <si>
    <t>KP/000057</t>
  </si>
  <si>
    <t>IN/000057</t>
  </si>
  <si>
    <t>Structureel Onderhoud - conforme fietspaden in Horebeke opN454  14.56 - 15.2</t>
  </si>
  <si>
    <t>Structureel Onderhoud - conforme fietspaden N454</t>
  </si>
  <si>
    <t>WOV/INV/N454/7</t>
  </si>
  <si>
    <t>KP/000058</t>
  </si>
  <si>
    <t>IN/000058</t>
  </si>
  <si>
    <t>Structureel Onderhoud - conforme fietspaden in Leuven opN25  0.0 - 2.2</t>
  </si>
  <si>
    <t>Structureel Onderhoud - conforme fietspaden N25</t>
  </si>
  <si>
    <t>WVB/INV/N25/4</t>
  </si>
  <si>
    <t>KP/000059</t>
  </si>
  <si>
    <t>IN/000059</t>
  </si>
  <si>
    <t>Structureel Onderhoud - conforme fietspaden in Blankenberge opN371  8.4 - 10.5</t>
  </si>
  <si>
    <t>Structureel Onderhoud - conforme fietspaden N371</t>
  </si>
  <si>
    <t>WWV/INV/N371/2</t>
  </si>
  <si>
    <t>KP/000060</t>
  </si>
  <si>
    <t>IN/000060</t>
  </si>
  <si>
    <t>Optimalisatie kruispunten, oversteken in Aarschot opR25  0.0 - 2.5</t>
  </si>
  <si>
    <t>herinrichting naar vrijliggende fietspaden: Voorzien nieuwe LED verlichting.  en aanpassen bestaande verlichting</t>
  </si>
  <si>
    <t>WVB/INV/R25/2</t>
  </si>
  <si>
    <t>2021 - Q1</t>
  </si>
  <si>
    <t>KP/000061</t>
  </si>
  <si>
    <t>IN/000061</t>
  </si>
  <si>
    <t>Optimalisatie kruispunten, oversteken in Grimbergen opN277  6.2 - 6.4</t>
  </si>
  <si>
    <t>N277 Temselaan &gt; VRI: 2 fietsoversteken voorzien om de N277 over te steken</t>
  </si>
  <si>
    <t>WVB/INV/N277/2</t>
  </si>
  <si>
    <t>KP/000062</t>
  </si>
  <si>
    <t>IN/000062</t>
  </si>
  <si>
    <t>Optimalisatie kruispunten, oversteken in Tienen opN29  57.8 - 57.8</t>
  </si>
  <si>
    <t>kruispunt N29 - Aandorenstraat: herinrichting kruispunt</t>
  </si>
  <si>
    <t>WVB/INV/N29/6</t>
  </si>
  <si>
    <t>KP/000063</t>
  </si>
  <si>
    <t>IN/000063</t>
  </si>
  <si>
    <t>Optimalisatie kruispunten, oversteken in Zaventem opN227  15.7 - 15.8</t>
  </si>
  <si>
    <t>N227 Erpsestraat: VRI voor beveiligen oversteek (fietsers) kruispunt:</t>
  </si>
  <si>
    <t>WVB/INV/N227/1</t>
  </si>
  <si>
    <t>KP/000064</t>
  </si>
  <si>
    <t>IN/000064</t>
  </si>
  <si>
    <t>Optimalisatie kruispunten, oversteken in Heist-op-den-Berg opN10  22.0 - 22.3</t>
  </si>
  <si>
    <t>N10 x N15 werken</t>
  </si>
  <si>
    <t>WA/INV/N10/7</t>
  </si>
  <si>
    <t>KP/000065</t>
  </si>
  <si>
    <t>IN/000065</t>
  </si>
  <si>
    <t>Optimalisatie kruispunten, oversteken in Kontich opN171  3.4 - 3.7</t>
  </si>
  <si>
    <t>Deelname in fietstunnel st.-Rita</t>
  </si>
  <si>
    <t>WA/INV/N171/8</t>
  </si>
  <si>
    <t>KP/000066</t>
  </si>
  <si>
    <t>IN/000066</t>
  </si>
  <si>
    <t>Optimalisatie kruispunten, oversteken in Dilsen-Stokkem opN75  17.0 - 29.0</t>
  </si>
  <si>
    <t>Ecorecreaduct N75 - uitvoering fiets</t>
  </si>
  <si>
    <t>WL/INV/N75/8</t>
  </si>
  <si>
    <t>KP/000067</t>
  </si>
  <si>
    <t>IN/000067</t>
  </si>
  <si>
    <t>Optimalisatie kruispunten, oversteken in Peer opN73  28.2 - 28.3</t>
  </si>
  <si>
    <t>St. Trudostraat (VRI + fietsoversteek)</t>
  </si>
  <si>
    <t>WL/INV/N73/16</t>
  </si>
  <si>
    <t>KP/000068</t>
  </si>
  <si>
    <t>IN/000068</t>
  </si>
  <si>
    <t>Vrijliggende fietspaden à rotondes in Zandhoven opN14  23.9 - 24.4</t>
  </si>
  <si>
    <t>Herinrichting N14 te Zandhoven</t>
  </si>
  <si>
    <t>WA/INV/N14/7</t>
  </si>
  <si>
    <t>KP/000069</t>
  </si>
  <si>
    <t>IN/000069</t>
  </si>
  <si>
    <t>Nieuwe SLEM-laag in Herk-de-Stad opN717  10.9 - 11.1</t>
  </si>
  <si>
    <t>km 10,9-11,1 : rode slem vernieuwen</t>
  </si>
  <si>
    <t>WL/INV/N717/4</t>
  </si>
  <si>
    <t>KP/000070</t>
  </si>
  <si>
    <t>IN/000070</t>
  </si>
  <si>
    <t>Nieuwe SLEM-laag in Peer opN73  26.1 - 26.2</t>
  </si>
  <si>
    <t>km 26,1-26,2 : nieuwe anti-slip laag op fietsbrug</t>
  </si>
  <si>
    <t>WL/INV/N73/13</t>
  </si>
  <si>
    <t>KP/000071</t>
  </si>
  <si>
    <t>IN/000071</t>
  </si>
  <si>
    <t>Aanleg vrijliggende fietspaden in Koksijde opN34  57.7 - 58.4</t>
  </si>
  <si>
    <t>WWV/INV/N34/8</t>
  </si>
  <si>
    <t>KP/000072</t>
  </si>
  <si>
    <t>IN/000072</t>
  </si>
  <si>
    <t>Aanleg vrijliggende fietspaden in Duffel opN14  5.3 - 7.86</t>
  </si>
  <si>
    <t>Aanleg vrijliggende fietspaden; WERKEN DUFFEL</t>
  </si>
  <si>
    <t>WA/INV/N14/8</t>
  </si>
  <si>
    <t>2024 - Q3</t>
  </si>
  <si>
    <t>KP/000073</t>
  </si>
  <si>
    <t>IN/000073</t>
  </si>
  <si>
    <t>Aanleg vrijliggende fietspaden in Antwerpen opN148  4.0 - 5.8</t>
  </si>
  <si>
    <t>Sint-Bernardsesteenweg en Schoonselhof (routeplan 2030)</t>
  </si>
  <si>
    <t>WA/INV/N148/2</t>
  </si>
  <si>
    <t>KP/000074</t>
  </si>
  <si>
    <t>IN/000074</t>
  </si>
  <si>
    <t>Aanleg vrijliggende fietspaden in Puurs-Sint-Amands opN17  6.1 - 9.0</t>
  </si>
  <si>
    <t>St-amands: vrijliggende fietspaden WERKEN</t>
  </si>
  <si>
    <t>WA/INV/N17/4</t>
  </si>
  <si>
    <t>KP/000075</t>
  </si>
  <si>
    <t>IN/000075</t>
  </si>
  <si>
    <t>Aanleg vrijliggende fietspaden in Antwerpen opN114  3.0 - 4.0</t>
  </si>
  <si>
    <t>Aanleg vrijliggend fietspad Leugenberg</t>
  </si>
  <si>
    <t>WA/INV/N114/4</t>
  </si>
  <si>
    <t>KP/000076</t>
  </si>
  <si>
    <t>IN/000076</t>
  </si>
  <si>
    <t>Aanleg vrijliggende fietspaden in Antwerpen, Ekeren opN114  3.0 - 3.1</t>
  </si>
  <si>
    <t>Aanleg vrijliggend fietspad Leugenberg : OV</t>
  </si>
  <si>
    <t>WA/INV/N114/5</t>
  </si>
  <si>
    <t>KP/000077</t>
  </si>
  <si>
    <t>IN/000077</t>
  </si>
  <si>
    <t>Aanleg vrijliggende fietspaden in Tongeren opN753  1.9 - 3.1</t>
  </si>
  <si>
    <t>Noordoostelijke omleidingsweg te Tongeren N79; fietspaden Molenweg</t>
  </si>
  <si>
    <t>WL/INV/N753/4</t>
  </si>
  <si>
    <t>KP/000078</t>
  </si>
  <si>
    <t>IN/000078</t>
  </si>
  <si>
    <t>Aanleg vrijliggende fietspaden in Lummen opN725  11.9 - 12.8</t>
  </si>
  <si>
    <t>Fietspaden Blanklaarstraat - ontbrekend stuk</t>
  </si>
  <si>
    <t>WL/INV/N725/10</t>
  </si>
  <si>
    <t>KP/000079</t>
  </si>
  <si>
    <t>IN/000079</t>
  </si>
  <si>
    <t>Aanleg vrijliggende fietspaden in Beringen opN72  13.0 - 14.0</t>
  </si>
  <si>
    <t>Herinrichting Kasteletsingel - deel fietspaden</t>
  </si>
  <si>
    <t>WL/INV/N72/12</t>
  </si>
  <si>
    <t>KP/000080</t>
  </si>
  <si>
    <t>IN/000080</t>
  </si>
  <si>
    <t>Aanleg vrijliggende fietspaden in Sint-Truiden opN3  60.2 - 63.2</t>
  </si>
  <si>
    <t>fietspaden N3</t>
  </si>
  <si>
    <t>WL/INV/N3/7</t>
  </si>
  <si>
    <t>KP/000081</t>
  </si>
  <si>
    <t>IN/000081</t>
  </si>
  <si>
    <t>Aanleg vrijliggende fietspaden in Tongeren opN20  10.0 - 11.0</t>
  </si>
  <si>
    <t>fietspaden overrepen N20</t>
  </si>
  <si>
    <t>WL/INV/N20/7</t>
  </si>
  <si>
    <t>KP/000082</t>
  </si>
  <si>
    <t>IN/000082</t>
  </si>
  <si>
    <t>Aanleg vrijliggende fietspaden in Peer opN748  0.8 - 17.0</t>
  </si>
  <si>
    <t>fietspaden deel Bokt N748</t>
  </si>
  <si>
    <t>WL/INV/N748/4</t>
  </si>
  <si>
    <t>KP/000083</t>
  </si>
  <si>
    <t>IN/000083</t>
  </si>
  <si>
    <t>Aanleg vrijliggende fietspaden in Tessenderlo opN174  7.4 - 15.2</t>
  </si>
  <si>
    <t>fietspad N174, uitvoeringsstudie</t>
  </si>
  <si>
    <t>WL/INV/N174/4</t>
  </si>
  <si>
    <t>KP/000084</t>
  </si>
  <si>
    <t>IN/000084</t>
  </si>
  <si>
    <t>Aanleg vrijliggende fietspaden in Haacht opN21  22.0 - 23.5</t>
  </si>
  <si>
    <t>Bereikbaarheid station Haacht, inbegrepen BOB vanaf rotonde Zoellaan</t>
  </si>
  <si>
    <t>WVB/INV/N21/8</t>
  </si>
  <si>
    <t>KP/000085</t>
  </si>
  <si>
    <t>IN/000085</t>
  </si>
  <si>
    <t>Aanleg vrijliggende fietspaden in Herent opN2  17.2 - 20.0</t>
  </si>
  <si>
    <t>Brusselsesteenweg:aanleg fietspaden tussen van kmpt 17,2 tot 20</t>
  </si>
  <si>
    <t>WVB/INV/N2/12</t>
  </si>
  <si>
    <t>IN/000086</t>
  </si>
  <si>
    <t>Aanleg vrijliggende fietspaden in Knokke-Heist opN49  81.9 - 82.6</t>
  </si>
  <si>
    <t>Knokke-Heist: N49 2de golf/kragendijk heraanleg fietspaden</t>
  </si>
  <si>
    <t>WWV/INV/N49/10</t>
  </si>
  <si>
    <t>KP/000087</t>
  </si>
  <si>
    <t>IN/000087</t>
  </si>
  <si>
    <t>Aanleg aanliggende fietspaden in Zonhoven opN72  1.0 - 4.0</t>
  </si>
  <si>
    <t>Aanleg riolering en fietspaden N72</t>
  </si>
  <si>
    <t>WL/INV/N72/13</t>
  </si>
  <si>
    <t>KP/000088</t>
  </si>
  <si>
    <t>IN/000088</t>
  </si>
  <si>
    <t>Aanleg aanliggende fietspaden in Heers opN3  71.3 - 73.1</t>
  </si>
  <si>
    <t>Fietspaden renovatie doortocht N3</t>
  </si>
  <si>
    <t>WL/INV/N3/8</t>
  </si>
  <si>
    <t>KP/000089</t>
  </si>
  <si>
    <t>IN/000089</t>
  </si>
  <si>
    <t>Aanleg aanliggende fietspaden in Voeren opN648  13.6 - 14.7</t>
  </si>
  <si>
    <t>Fietspaden project Plackerweg</t>
  </si>
  <si>
    <t>WL/INV/N648/4</t>
  </si>
  <si>
    <t>KP/000090</t>
  </si>
  <si>
    <t>IN/000090</t>
  </si>
  <si>
    <t>Aanleg aanliggende fietspaden in Beersel opN235  9.8 - 10.1</t>
  </si>
  <si>
    <t>Fietspaden en schoolomgeving Sint-Victor - uitvoering deel 1</t>
  </si>
  <si>
    <t>WVB/INV/N235/4</t>
  </si>
  <si>
    <t>KP/000091</t>
  </si>
  <si>
    <t>IN/000091</t>
  </si>
  <si>
    <t>Aanleg aanliggende fietspaden in Rotselaar opN229  2.0 - 3.2</t>
  </si>
  <si>
    <t>Structureel onderhoud N229 met aanleg fietspaden (incl. Aquafincollector Wingepark)</t>
  </si>
  <si>
    <t>WVB/INV/N229/4</t>
  </si>
  <si>
    <t>KP/000092</t>
  </si>
  <si>
    <t>IN/000092</t>
  </si>
  <si>
    <t>Aanleg aanliggende fietspaden in Dilbeek opN8  8.8 - 9.2</t>
  </si>
  <si>
    <t>N8 Dilbeek verbinding fietspad in Schepdaal\n41594-1</t>
  </si>
  <si>
    <t>WVB/INV/N8/3</t>
  </si>
  <si>
    <t>KP/000093</t>
  </si>
  <si>
    <t>IN/000093</t>
  </si>
  <si>
    <t>Structureel Onderhoud - bijna conforme fietspaden in Grobbendonk opN13  14.4 - 15.0</t>
  </si>
  <si>
    <t>missing link tussen 2 MOD13 dossiers wegwerken, parkeervakken op brughellingen wegnemen en FP op brug in goede staat brengen</t>
  </si>
  <si>
    <t>WA/INV/N13/5</t>
  </si>
  <si>
    <t>KP/000094</t>
  </si>
  <si>
    <t>IN/000094</t>
  </si>
  <si>
    <t>Structureel Onderhoud - bijna conforme fietspaden in Hove opN1  31.1 - 33.6</t>
  </si>
  <si>
    <t>Verzakkingen volgens klacht KM-2020-12334 - klinkers vervangen door asfalt</t>
  </si>
  <si>
    <t>WA/INV/N1/25</t>
  </si>
  <si>
    <t>KP/000095</t>
  </si>
  <si>
    <t>IN/000095</t>
  </si>
  <si>
    <t>Structureel Onderhoud - bijna conforme fietspaden in Lier opN14  9.6 - 13.3</t>
  </si>
  <si>
    <t>beton vervangen door asfalt en omvormen naar 2-richtingsfietspad (parking in kasseien opbreken en groenberm, fietspad verbreden?)</t>
  </si>
  <si>
    <t>WA/INV/N14/14</t>
  </si>
  <si>
    <t>KP/000096</t>
  </si>
  <si>
    <t>IN/000096</t>
  </si>
  <si>
    <t>Structureel Onderhoud - bijna conforme fietspaden in Tessenderlo opN174  13.6 - 15.1</t>
  </si>
  <si>
    <t>toplaag fietspad en rijweg in slechte staat</t>
  </si>
  <si>
    <t>WL/INV/N174/3</t>
  </si>
  <si>
    <t>KP/000097</t>
  </si>
  <si>
    <t>IN/000097</t>
  </si>
  <si>
    <t>Structureel Onderhoud - bijna conforme fietspaden in Lommel opN715  34.7 - 35.1</t>
  </si>
  <si>
    <t>km 34,7-35,1 : betonnen platen stuk</t>
  </si>
  <si>
    <t>WL/INV/N715/1</t>
  </si>
  <si>
    <t>KP/000098</t>
  </si>
  <si>
    <t>IN/000098</t>
  </si>
  <si>
    <t>Structureel Onderhoud - bijna conforme fietspaden in Heusden-Zolder opN72  8.4 - 8.8</t>
  </si>
  <si>
    <t>toplaag fietspad en greppel in slechte staat</t>
  </si>
  <si>
    <t>WL/INV/N72/9</t>
  </si>
  <si>
    <t>KP/000099</t>
  </si>
  <si>
    <t>IN/000099</t>
  </si>
  <si>
    <t>Structureel Onderhoud - bijna conforme fietspaden in Hasselt opN725  1.0 - 1.4</t>
  </si>
  <si>
    <t>km 1-1,5 : klinkers vervangen door KWS</t>
  </si>
  <si>
    <t>WL/INV/N725/9</t>
  </si>
  <si>
    <t>KP/000100</t>
  </si>
  <si>
    <t>IN/000100</t>
  </si>
  <si>
    <t>Structureel Onderhoud - bijna conforme fietspaden in Heusden-Zolder opN72  7.0 - 8.1</t>
  </si>
  <si>
    <t>km 7-8 : toplaag fietspad vernieuwen</t>
  </si>
  <si>
    <t>WL/INV/N72/11</t>
  </si>
  <si>
    <t>KP/000101</t>
  </si>
  <si>
    <t>IN/000101</t>
  </si>
  <si>
    <t>Structureel Onderhoud - bijna conforme fietspaden in Leopoldsburg opN73  40.0 - 41.5</t>
  </si>
  <si>
    <t>km 40-41,5 beton affrezen en KWS toplaag in de plaats</t>
  </si>
  <si>
    <t>WL/INV/N73/14</t>
  </si>
  <si>
    <t>KP/000102</t>
  </si>
  <si>
    <t>IN/000102</t>
  </si>
  <si>
    <t>Structureel Onderhoud - bijna conforme fietspaden in Hamont-Achel opN76  58.0 - 58.4</t>
  </si>
  <si>
    <t>70% F. km 58-58,5 : klinkers vervangen door KWS en toplaag rijweg</t>
  </si>
  <si>
    <t>WL/INV/N76/12</t>
  </si>
  <si>
    <t>KP/000103</t>
  </si>
  <si>
    <t>IN/000103</t>
  </si>
  <si>
    <t>Structureel Onderhoud - bijna conforme fietspaden in Maaseik opN773  0.4 - 2.7</t>
  </si>
  <si>
    <t>km 0,4-2,7 : laag beton affrezen, nieuwe KWS toplaag, fietspad breder markeren</t>
  </si>
  <si>
    <t>WL/INV/N773/1</t>
  </si>
  <si>
    <t>KP/000104</t>
  </si>
  <si>
    <t>IN/000104</t>
  </si>
  <si>
    <t>Structureel Onderhoud - bijna conforme fietspaden in Ninove opN255  11.5 - 12.5</t>
  </si>
  <si>
    <t>fietspad in betonstraatstenen vervangen door asfalt</t>
  </si>
  <si>
    <t>WOV/INV/N255/1</t>
  </si>
  <si>
    <t>KP/000105</t>
  </si>
  <si>
    <t>IN/000105</t>
  </si>
  <si>
    <t>Structureel Onderhoud - bijna conforme fietspaden in Wetteren opN400  0.44 - 1.85</t>
  </si>
  <si>
    <t>WOV/INV/N400/1</t>
  </si>
  <si>
    <t>KP/000106</t>
  </si>
  <si>
    <t>IN/000106</t>
  </si>
  <si>
    <t>Structureel Onderhoud - bijna conforme fietspaden in Brakel opN415  17.5 - 20.6</t>
  </si>
  <si>
    <t>fietspad in beton vervangen door asfalt</t>
  </si>
  <si>
    <t>WOV/INV/N415/5</t>
  </si>
  <si>
    <t>KP/000107</t>
  </si>
  <si>
    <t>IN/000107</t>
  </si>
  <si>
    <t>Structureel Onderhoud - bijna conforme fietspaden in Zwalm, Gavere opN415  9.3 - 8.3</t>
  </si>
  <si>
    <t>aanliggend verhoogd dubbelrichtingsfietspad met versleten slemlaag, dwarse scheuren en opstuikingen vervangen door beton.</t>
  </si>
  <si>
    <t>WOV/INV/N415/4</t>
  </si>
  <si>
    <t>KP/000108</t>
  </si>
  <si>
    <t>IN/000108</t>
  </si>
  <si>
    <t>Structureel Onderhoud - bijna conforme fietspaden in Wetteren opN416  13.2 - 14.4</t>
  </si>
  <si>
    <t>WOV/INV/N416/3</t>
  </si>
  <si>
    <t>KP/000109</t>
  </si>
  <si>
    <t>IN/000109</t>
  </si>
  <si>
    <t>Structureel Onderhoud - bijna conforme fietspaden in Eeklo opN434  6.9 - 8.3</t>
  </si>
  <si>
    <t>WOV/INV/N434/1</t>
  </si>
  <si>
    <t>KP/000110</t>
  </si>
  <si>
    <t>IN/000110</t>
  </si>
  <si>
    <t>Structureel Onderhoud - bijna conforme fietspaden in Nazareth opN437  17.6 - 18.9</t>
  </si>
  <si>
    <t>WOV/INV/N437/8</t>
  </si>
  <si>
    <t>KP/000111</t>
  </si>
  <si>
    <t>IN/000111</t>
  </si>
  <si>
    <t>Structureel Onderhoud - bijna conforme fietspaden in Berlare, Zele opN445  17.9 - 20.9</t>
  </si>
  <si>
    <t>zone werd uitgebreid naar 18 - 21 (zie ook andere regel van N 445)</t>
  </si>
  <si>
    <t>WOV/INV/N445/1</t>
  </si>
  <si>
    <t>KP/000112</t>
  </si>
  <si>
    <t>IN/000112</t>
  </si>
  <si>
    <t>Structureel Onderhoud - bijna conforme fietspaden in Zottegem opN454  19.0 - 20.6</t>
  </si>
  <si>
    <t>verhoogd aanliggend fietspad in betonstraatstenen vervangen door asfalt</t>
  </si>
  <si>
    <t>WOV/INV/N454/6</t>
  </si>
  <si>
    <t>KP/000113</t>
  </si>
  <si>
    <t>IN/000113</t>
  </si>
  <si>
    <t>Structureel Onderhoud - bijna conforme fietspaden in Gent opN456  16.5 - 17.0</t>
  </si>
  <si>
    <t>WOV/INV/N456/7</t>
  </si>
  <si>
    <t>KP/000114</t>
  </si>
  <si>
    <t>IN/000114</t>
  </si>
  <si>
    <t>Structureel Onderhoud - bijna conforme fietspaden in Gent opN456  20.0 - 20.1</t>
  </si>
  <si>
    <t>WOV/INV/N456/8</t>
  </si>
  <si>
    <t>KP/000115</t>
  </si>
  <si>
    <t>IN/000115</t>
  </si>
  <si>
    <t>Structureel Onderhoud - bijna conforme fietspaden in Kaprijke opN456  5.3 - 7.5</t>
  </si>
  <si>
    <t>WOV/INV/N456/9</t>
  </si>
  <si>
    <t>KP/000116</t>
  </si>
  <si>
    <t>IN/000116</t>
  </si>
  <si>
    <t>Structureel Onderhoud - bijna conforme fietspaden in Herzele opN46  11.4 - 13.0</t>
  </si>
  <si>
    <t>vrijliggend fietspad in beton (gebrokkeld) vervangen door asfalt</t>
  </si>
  <si>
    <t>WOV/INV/N46/7</t>
  </si>
  <si>
    <t>KP/000117</t>
  </si>
  <si>
    <t>IN/000117</t>
  </si>
  <si>
    <t>Structureel Onderhoud - bijna conforme fietspaden in Geraardsbergen opN460  13.8 - 14.6</t>
  </si>
  <si>
    <t>aanliggend fietspad in beton vervangen door asfalt (oplopende kmp)</t>
  </si>
  <si>
    <t>WOV/INV/N460/5</t>
  </si>
  <si>
    <t>KP/000118</t>
  </si>
  <si>
    <t>IN/000118</t>
  </si>
  <si>
    <t>Structureel Onderhoud - bijna conforme fietspaden in Gent opN466  2.0 - 3.0</t>
  </si>
  <si>
    <t>WOV/INV/N466/5</t>
  </si>
  <si>
    <t>KP/000119</t>
  </si>
  <si>
    <t>IN/000119</t>
  </si>
  <si>
    <t>Structureel Onderhoud - bijna conforme fietspaden in Gent opN60  2.5 - 3.7</t>
  </si>
  <si>
    <t>WOV/INV/N60/10</t>
  </si>
  <si>
    <t>KP/000120</t>
  </si>
  <si>
    <t>IN/000120</t>
  </si>
  <si>
    <t>Structureel Onderhoud - bijna conforme fietspaden in Lochristi opN70  7.5 - 9.0</t>
  </si>
  <si>
    <t>WOV/INV/N70/8</t>
  </si>
  <si>
    <t>KP/000121</t>
  </si>
  <si>
    <t>IN/000121</t>
  </si>
  <si>
    <t>Structureel Onderhoud - bijna conforme fietspaden in Lierde opN8  36.9 - 37.8</t>
  </si>
  <si>
    <t>WOV/INV/N8/9</t>
  </si>
  <si>
    <t>KP/000122</t>
  </si>
  <si>
    <t>IN/000122</t>
  </si>
  <si>
    <t>Structureel Onderhoud - bijna conforme fietspaden in Gent opN9  55.19 - 56.1</t>
  </si>
  <si>
    <t>WOV/INV/N9/13</t>
  </si>
  <si>
    <t>KP/000123</t>
  </si>
  <si>
    <t>IN/000123</t>
  </si>
  <si>
    <t>Structureel Onderhoud - bijna conforme fietspaden in Gent opR4  5.6 - 5.7</t>
  </si>
  <si>
    <t>WOV/INV/R4/3</t>
  </si>
  <si>
    <t>KP/000124</t>
  </si>
  <si>
    <t>IN/000124</t>
  </si>
  <si>
    <t>Structureel Onderhoud - bijna conforme fietspaden in Gent opR4  5.7 - 5.8</t>
  </si>
  <si>
    <t>WOV/INV/R4/4</t>
  </si>
  <si>
    <t>KP/000125</t>
  </si>
  <si>
    <t>IN/000125</t>
  </si>
  <si>
    <t>Structureel Onderhoud - bijna conforme fietspaden in Wemmel opN290  5.7 - 6.8</t>
  </si>
  <si>
    <t>KWS bestek Vervangen volledige bestaande opbouw fietspad en aanhorigheden (weerhouden in fase1)</t>
  </si>
  <si>
    <t>WVB/INV/N290/1</t>
  </si>
  <si>
    <t>KP/000126</t>
  </si>
  <si>
    <t>IN/000126</t>
  </si>
  <si>
    <t>Structureel Onderhoud - bijna conforme fietspaden in Avelgem opN353  2.5 - 3.5</t>
  </si>
  <si>
    <t>WWV/INV/N353/2</t>
  </si>
  <si>
    <t>IN/000127</t>
  </si>
  <si>
    <t>Structureel Onderhoud - bijna conforme fietspaden in Wervik opN311  0.7 - 2.0</t>
  </si>
  <si>
    <t>KP/000128</t>
  </si>
  <si>
    <t>IN/000128</t>
  </si>
  <si>
    <t>Structureel Onderhoud -  Staden N313</t>
  </si>
  <si>
    <t>Plaatselijk klinkerfietspad --&gt; beton \nRotonde in klinkers --&gt; asfalt</t>
  </si>
  <si>
    <t>WWV/INV/N313/5</t>
  </si>
  <si>
    <t>KP/000129</t>
  </si>
  <si>
    <t>IN/000129</t>
  </si>
  <si>
    <t>Relance: FP in Ieper, Langemark, Wervik en Staden</t>
  </si>
  <si>
    <t>vernieuwing toplaag fietspad tss kmpnt 6.9-9.9</t>
  </si>
  <si>
    <t>WWV/INV/REL/1</t>
  </si>
  <si>
    <t>KP/000130</t>
  </si>
  <si>
    <t>IN/000130</t>
  </si>
  <si>
    <t>Structureel Onderhoud - bijna conforme fietspaden in Gistel opN367  19.8 - 20.9</t>
  </si>
  <si>
    <t>WWV/INV/N367/9</t>
  </si>
  <si>
    <t>KP/000131</t>
  </si>
  <si>
    <t>IN/000131</t>
  </si>
  <si>
    <t>Structureel Onderhoud - bijna conforme fietspaden in Koksijde op N396  5.5 - 7.5</t>
  </si>
  <si>
    <t>WWV/INV/N396/2</t>
  </si>
  <si>
    <t>KP/000132</t>
  </si>
  <si>
    <t>IN/000132</t>
  </si>
  <si>
    <t>Structureel Onderhoud - bijna conforme fietspaden in Lanaken opN78  1.3 - 3.9</t>
  </si>
  <si>
    <t>WL/INV/N78/14</t>
  </si>
  <si>
    <t>KP/000133</t>
  </si>
  <si>
    <t>IN/000133</t>
  </si>
  <si>
    <t>Structureel Onderhoud - bijna conforme fietspaden in Hechtel-Eksel opN715  22.8 - 23.2</t>
  </si>
  <si>
    <t>Structureel Onderhoud - bijna conforme fietspaden N715</t>
  </si>
  <si>
    <t>WL/INV/N715/5</t>
  </si>
  <si>
    <t>KP/000134</t>
  </si>
  <si>
    <t>IN/000134</t>
  </si>
  <si>
    <t>Fietsrelance N9 Aalst  27.1 - 28.5</t>
  </si>
  <si>
    <t>Structureel Onderhoud - bijna conforme fietspaden in Aalst langs N9</t>
  </si>
  <si>
    <t>WOV/INV/N9/15</t>
  </si>
  <si>
    <t>KP/001568</t>
  </si>
  <si>
    <t>KP/000135</t>
  </si>
  <si>
    <t>IN/000135</t>
  </si>
  <si>
    <t>Structureel Onderhoud - bijna conforme fietspaden in Middelkerke opN325  3.1 - 4.3</t>
  </si>
  <si>
    <t>Structureel onderhoud Middelkerke-Driewege, samen met fietspadenproject en riolering N325</t>
  </si>
  <si>
    <t>WWV/INV/N325/2</t>
  </si>
  <si>
    <t>KP/000136</t>
  </si>
  <si>
    <t>IN/000136</t>
  </si>
  <si>
    <t>Structureel Onderhoud - bijna conforme fietspaden in Veurne opN39  8.9 - 9.6</t>
  </si>
  <si>
    <t>Nieuwpoortkeiweg N39 - verbeteren afwatering</t>
  </si>
  <si>
    <t>WWV/INV/N39/2</t>
  </si>
  <si>
    <t>KP/000137</t>
  </si>
  <si>
    <t>IN/000137</t>
  </si>
  <si>
    <t>Studie i.f.v. projectvoortgang in Wuustwezel opN1  60.6 - 67.7</t>
  </si>
  <si>
    <t>aanleg vrijliggende fietspaden : STUDIE</t>
  </si>
  <si>
    <t>WA/INV/N1/8</t>
  </si>
  <si>
    <t>KP/000138</t>
  </si>
  <si>
    <t>IN/000138</t>
  </si>
  <si>
    <t>Studie i.f.v. projectvoortgang in Ham opN141  11.0 - 11.1</t>
  </si>
  <si>
    <t>fietstunnel in FSW N141 - studie</t>
  </si>
  <si>
    <t>WL/INV/N141/7</t>
  </si>
  <si>
    <t>KP/000139</t>
  </si>
  <si>
    <t>IN/000139</t>
  </si>
  <si>
    <t>Studie i.f.v. projectvoortgang in Hasselt opN729  4.0 - 5.0</t>
  </si>
  <si>
    <t>aanleg fietspaden tussen kanaal en bolderberg - studie</t>
  </si>
  <si>
    <t>WL/INV/N729/8</t>
  </si>
  <si>
    <t>KP/000140</t>
  </si>
  <si>
    <t>IN/000140</t>
  </si>
  <si>
    <t>Studie i.f.v. projectvoortgang in Hasselt opN203  3.0 - 4.0</t>
  </si>
  <si>
    <t>kruispunt N20 met E313 incl fiets - studie</t>
  </si>
  <si>
    <t>WL/INV/N203/1</t>
  </si>
  <si>
    <t>KP/000141</t>
  </si>
  <si>
    <t>IN/000141</t>
  </si>
  <si>
    <t>Studie i.f.v. projectvoortgang in Houthalen-Helchteren opN719  12.0 - 12.4</t>
  </si>
  <si>
    <t>Studie aanleg fietspaden N719</t>
  </si>
  <si>
    <t>WL/INV/N719/7</t>
  </si>
  <si>
    <t>IN/000142</t>
  </si>
  <si>
    <t>Studie i.f.v. projectvoortgang in Kaprijke opN456  21.37 - 23.3</t>
  </si>
  <si>
    <t>Aanleg vrijliggende fietspaden in de Molenstraat te Kaprijke - studie</t>
  </si>
  <si>
    <t>WOV/INV/N456/10</t>
  </si>
  <si>
    <t>2024 - Q1</t>
  </si>
  <si>
    <t>KP/000143</t>
  </si>
  <si>
    <t>IN/000143</t>
  </si>
  <si>
    <t>A12.DP04 - Fietssnelweg F28 Wolvertem-Londerzeel - Studie</t>
  </si>
  <si>
    <t>WVB/INV/A12/6</t>
  </si>
  <si>
    <t>KP/000144</t>
  </si>
  <si>
    <t>IN/000144</t>
  </si>
  <si>
    <t>Herindeling van de weg (markeringen) in Herentals opN13  19.2 - 20.2</t>
  </si>
  <si>
    <t>ter hoogte vd kruispunten ook infra aanpassing + verplaatsen van 2 lichten, ook afscheiding voorzien tussen rijbaan en FP (of verharding wegnemen)</t>
  </si>
  <si>
    <t>WA/INV/N13/6</t>
  </si>
  <si>
    <t>KP/001100</t>
  </si>
  <si>
    <t>KS466 - 1)        Op deze locatie passeren ’s morgens en ’s avonds heel veel fietsers. Gezien de grote aantallen fietsers die er dikwijls moeten wachten aan de verkeerslichten, zijn de opstelstroken te klein. Bijgevolg nemen fietsers ruimte in op het voetpad, maar ook op de rijbaan (vb. de bypass naar rechts komend van Albertkanaal, rijdend richting Ringlaan). Een tweede probleem dat zich hierbij stelt is het feit dat fietsers elkaar hinderen. Wanneer fietsers, die de rijrichting van de Herenthoutseweg willen volgen, stilstaan aan de lichten, hinderen ze de fietsers die de rijrichting Ringlaan willen volgen.</t>
  </si>
  <si>
    <t>KP/001105</t>
  </si>
  <si>
    <t>7)        De fietspaden zijn zeer smal en niet afgeschermd van de rijbaan. Aangezien voertuigen er 70 km/u mogen rijden, levert dit dikwijls gevaarlijke situaties op voor fietsers. Deze fietspaden behoren tot het BFF en de fietsostrade F5.</t>
  </si>
  <si>
    <t>KP/001324</t>
  </si>
  <si>
    <t>KS837 - Wij hebben uw schrijven in verband met in rand vermeld onderwerp goed mogen ontvangen doch wij stellencons de vraag hoe wij dit moeten interpreteren/zien temeer de gemeente Herenthout zelf geen geestwegen heeft en de voornaamste schoolroutes bijgevolg enkel via gewestwegen loopt, enkel dienen er 2 gewestwegen overgestoken te worden nl. de R15 t.h.v. Herenthoutseweg(grondgebed Herentals) en de N13 thv Stationlei(Grobbendonk). Is het nu de bedoeling dat de gemeente Herenthout zich hier dan ook beide kruispunten buigt?</t>
  </si>
  <si>
    <t>KP/000145</t>
  </si>
  <si>
    <t>IN/000145</t>
  </si>
  <si>
    <t>Herindeling van de weg (markeringen) in Lier, Boechout opN10  3.5 - 8.1</t>
  </si>
  <si>
    <t>Vrijliggend fietspad maken d.m.v. belijning: afschaffen parkeerstrook &amp; versmalde verdrijfstrook.</t>
  </si>
  <si>
    <t>WA/INV/N10/6</t>
  </si>
  <si>
    <t>KP/000342</t>
  </si>
  <si>
    <t>KP/000146</t>
  </si>
  <si>
    <t>IN/000146</t>
  </si>
  <si>
    <t>Herindeling van de weg (markeringen) in Mechelen opN26  17.6 - 20.9</t>
  </si>
  <si>
    <t>tussen 17,6-18,4 verhoogd aanliggend. Vanaf 20,9 wordt aangepakt ikv stationsomgeving. Over volledige lengte klinkers --&gt;</t>
  </si>
  <si>
    <t>WA/INV/N26/7</t>
  </si>
  <si>
    <t>KP/000147</t>
  </si>
  <si>
    <t>IN/000147</t>
  </si>
  <si>
    <t>Herindeling van de weg (markeringen) in Dilsen-Stokkem opN75  28.0 - 29.2</t>
  </si>
  <si>
    <t>km 28-29,2 : toplaag fietspad vernieuwen en breder markeren</t>
  </si>
  <si>
    <t>WL/INV/N75/7</t>
  </si>
  <si>
    <t>KP/000148</t>
  </si>
  <si>
    <t>IN/000148</t>
  </si>
  <si>
    <t>Herindeling van de weg (markeringen) in Geel opN142  0.55 - 1.25</t>
  </si>
  <si>
    <t>Parkeervakken omvormen tot FP</t>
  </si>
  <si>
    <t>WA/INV/N142/3</t>
  </si>
  <si>
    <t>KP/000149</t>
  </si>
  <si>
    <t>IN/000149</t>
  </si>
  <si>
    <t>Herindeling van de weg (markeringen) in Diepenbeek opN76  0.1 - 1.2</t>
  </si>
  <si>
    <t>Herindeling van de weg - schilder- én infrastructuurwerken N76</t>
  </si>
  <si>
    <t>WL/INV/N76/16</t>
  </si>
  <si>
    <t>KP/000150</t>
  </si>
  <si>
    <t>IN/000150</t>
  </si>
  <si>
    <t>Herindeling van de weg (infrastructuurwerken) in Vilvoorde opN1  4.4 - 6.6</t>
  </si>
  <si>
    <t>afschaffen rijstrook over bijna gehele lengte en fietspad markeren op vrijgekomen ruimte (soms voor, soms achter parkeerstrook)</t>
  </si>
  <si>
    <t>WVB/INV/N1/2</t>
  </si>
  <si>
    <t>KP/000151</t>
  </si>
  <si>
    <t>IN/000151</t>
  </si>
  <si>
    <t>N2/78 Tielt-Winge/Bekkevoort FP &amp; StructOnderh N2</t>
  </si>
  <si>
    <t>WVB/INV/N2/11</t>
  </si>
  <si>
    <t>KP/000859</t>
  </si>
  <si>
    <t>KP/000152</t>
  </si>
  <si>
    <t>IN/000152</t>
  </si>
  <si>
    <t>Herindeling van de weg (infrastructuurwerken) in Izegem opN36  18.9 - 22.2</t>
  </si>
  <si>
    <t>Beton opbreken en vervangen door asfalt (incl. verbreden naar 200 cm)</t>
  </si>
  <si>
    <t>IN/000153</t>
  </si>
  <si>
    <t>Herindeling van de weg (infrastructuurwerken) in Koksijde opN34  57.7 - 58.4</t>
  </si>
  <si>
    <t>Realisatie fietspad + vermijden tramsporen</t>
  </si>
  <si>
    <t>KP/000154</t>
  </si>
  <si>
    <t>IN/000154</t>
  </si>
  <si>
    <t>Herindeling van de weg (infrastructuurwerken) in Lanaken opN78  13.8 - 14.7</t>
  </si>
  <si>
    <t>WL/INV/N78/15</t>
  </si>
  <si>
    <t>KP/000155</t>
  </si>
  <si>
    <t>IN/000155</t>
  </si>
  <si>
    <t>Herindeling van de weg (infrastructuurwerken) in Lanaken opN78  11.9 - 12.3</t>
  </si>
  <si>
    <t>WL/INV/N78/16</t>
  </si>
  <si>
    <t>KP/000156</t>
  </si>
  <si>
    <t>IN/000156</t>
  </si>
  <si>
    <t>Herindeling van de weg (infrastructuurwerken) in Hasselt opR71  0.0 - 0.0</t>
  </si>
  <si>
    <t>WL/INV/R71/18</t>
  </si>
  <si>
    <t>KP/000157</t>
  </si>
  <si>
    <t>IN/000157</t>
  </si>
  <si>
    <t>Herindeling van de weg (infrastructuurwerken) in Hasselt opR71  9.7 - 10.0</t>
  </si>
  <si>
    <t>WL/INV/R71/19</t>
  </si>
  <si>
    <t>KP/000158</t>
  </si>
  <si>
    <t>IN/000158</t>
  </si>
  <si>
    <t>Herindeling van de weg (infrastructuurwerken) in Schoten opN115  3.3 - 4.4</t>
  </si>
  <si>
    <t>Herinrichting fietspaden : UITVOERING</t>
  </si>
  <si>
    <t>WA/INV/N115/5</t>
  </si>
  <si>
    <t>KP/001258</t>
  </si>
  <si>
    <t>KS723 - Via een dossier in opmaak zal er gewerkt worden aan de fietsvriendelijkheid en –veiligheid van het huidige segment Kopstraat tussen Eksterdreef en Kopstraat (gemeenteweg). Langsheen de gewestweg passeren, naast heel wat autoverkeer ook heel wat fietsers, zeker ook schoolgaande fietsers. Het kruispunt met de Eksterdreef is vandaag de dag van zeer groot belang voor heel wat zwakke weggebruikers. Deze fietsers rijden richting scholen in het centrum van Schoten of vanuit Schoten richting de scholen in Brasschaat. Dit punt zal in de toekomst fungeren als poort van 70 km/u naar 50 km/u. Deze snelheidsverlaging en belangrijke oversteekbeweging voor de zwakke weggebruiker dient extra onder de aandacht te worden gebracht bij de autobestuurders.</t>
  </si>
  <si>
    <t>KP/001259</t>
  </si>
  <si>
    <t>KS724 - Op het traject Brechtsebaan N115 tussen Molenbaan en Elshoutbaan zijn verschillende bushaltes op korte afstand gesitueerd. De bushaltes worden vaak gebruikt als overstaphaltes richting Brasschaat, ’s-Gravenwezel en Schoten, ook door vele schoolkinderen. Reeds verschillende jaren worden er meldingen gemaakt van het ontbreken van veilige oversteekplaatsen op het traject Brechtsebaan, tussen Molenbaan en Botermelkbaan. AWV is bereidt om in samenspraak met De Lijn en de gemeente een voorstel tot bundeling van de verschillende haltes uit te werken en zo de overgebleven haltes beter te gaan uitbouwen in functie van veiligheid en comfort. Het college van burgemeester en schepenen en De Lijn kwamen reeds tot een akkoord (december 2020) om de bushaltes Botermelkbaan, Molenbaan en Fortbaan te behouden. De haltes Wildhof en Zeurtebaan zullen gesupprimeerd worden. Dit voorstel zal geagendeerd worden op een PCV. Timing nog niet gekend.</t>
  </si>
  <si>
    <t>KP/000159</t>
  </si>
  <si>
    <t>IN/000159</t>
  </si>
  <si>
    <t>Herindeling van de weg (infrastructuurwerken) in Wuustwezel opN133  13.7 - 15.1</t>
  </si>
  <si>
    <t>Structureel onderhoud fietspad (of heraanleg incL parkeerstrookjes) :WERKEN</t>
  </si>
  <si>
    <t>WA/INV/N133/6</t>
  </si>
  <si>
    <t>KP/001333</t>
  </si>
  <si>
    <t>KS074 - Het dubbelrichting fietspad schept gevaarlijke situaties. Ook het verhoogd plateau zorgt nauwelijks voor een verlaging van de snelheid.</t>
  </si>
  <si>
    <t>KP/000160</t>
  </si>
  <si>
    <t>IN/000160</t>
  </si>
  <si>
    <t>Herindeling van de weg (infrastructuurwerken) in Bree, Bocholt opN76  47.6 - 50.8</t>
  </si>
  <si>
    <t>Herindeling van de weg - infrastructuurwerken N76</t>
  </si>
  <si>
    <t>WL/INV/N76/17</t>
  </si>
  <si>
    <t>KP/000161</t>
  </si>
  <si>
    <t>IN/000161</t>
  </si>
  <si>
    <t>Herindeling van de weg (infrastructuurwerken) in Bree opN76  45.0 - 46.0</t>
  </si>
  <si>
    <t>WL/INV/N76/18</t>
  </si>
  <si>
    <t>KP/000162</t>
  </si>
  <si>
    <t>IN/000162</t>
  </si>
  <si>
    <t>Aanpak aanliggende fietspaden in Lier opN108  1.0 - 1.8</t>
  </si>
  <si>
    <t>N108 Lier tussen 1k0 en 1k8 beide kanten aanliggend fietspad in slechte beton opbreken en verhoogd aanbrengen in asfalt</t>
  </si>
  <si>
    <t>WA/INV/N108/3</t>
  </si>
  <si>
    <t>KP/000163</t>
  </si>
  <si>
    <t>IN/000163</t>
  </si>
  <si>
    <t>Aanpak aanliggende fietspaden in Lier opN108  1.8 - 2.2</t>
  </si>
  <si>
    <t>N108 1k8 tot 2k2 enkel oplopende kant: aanliggend fietspad in slechte beton opbreken en verhoogd aanbrengen in asfalt en aan 2k2 oversteek voorzien naar bestaand dubbelrichtingsfietspad</t>
  </si>
  <si>
    <t>WA/INV/N108/4</t>
  </si>
  <si>
    <t>KP/000164</t>
  </si>
  <si>
    <t>IN/000164</t>
  </si>
  <si>
    <t>Aanpak aanliggende fietspaden in Malle opN12  25.5 - 25.8</t>
  </si>
  <si>
    <t>Aanliggend verhoogd fietspad in asfalt realiseren ter vervanging van de betonstroken.</t>
  </si>
  <si>
    <t>WA/INV/N12/8</t>
  </si>
  <si>
    <t>KP/001044</t>
  </si>
  <si>
    <t>KS357 - Hoogteverschil tussen de verharding van het fietspad en de naastliggende strook</t>
  </si>
  <si>
    <t>KP/000165</t>
  </si>
  <si>
    <t>IN/000165</t>
  </si>
  <si>
    <t>Aanpak aanliggende fietspaden in Dilsen-Stokkem opN742  1.0 - 2.7</t>
  </si>
  <si>
    <t>50% F. km 1-2,7 : nieuwe toplaag volledige weg en fietspaden breder markeren</t>
  </si>
  <si>
    <t>WL/INV/N742/1</t>
  </si>
  <si>
    <t>KP/000812</t>
  </si>
  <si>
    <t>KS022 - De N742 is een belangrijke fietsverbinding tussen Stokkem en Lanklaar. Enerzijds is het een schoolroute voor scholieren die vanuit Stokkem richting Instituut Maria Koningin te Lanklaar willen fietsen. Anderzijds vormt deze de ontsluiting voor de lagere scholen in het centrum van Stokkem (De Uiterwaard en GO! Basisschool). De fietspaden langs deze weg zijn thans slechts één meter breed en aanliggend. Dit is een zeer onveilige situatie. Ook zijn er slechts een beperkt aantal oversteekplaatsen aanwezig, die bovendien erg onveilig zijn.</t>
  </si>
  <si>
    <t>IN/000166</t>
  </si>
  <si>
    <t>Aanpak aanliggende fietspaden in Kinrooi, Lanaken opN78  0.0 - 43.0</t>
  </si>
  <si>
    <t>20% F - toplaag hele rijweg vernieuwen in slechtste zones, fietspad breder markeren</t>
  </si>
  <si>
    <t>KP/000167</t>
  </si>
  <si>
    <t>IN/000167</t>
  </si>
  <si>
    <t>Aanpak aanliggende fietspaden in Dendermonde opN017  11.6 - 12.7</t>
  </si>
  <si>
    <t>De  stad  Dendermonde  gaat  niet  akkoord  met  de  vooropgestelde  zone  van  de  N17  (tussen  kmpt. 13,470  en  kmpt.  14,850).  Deze  zone  betreft  een  fietspad  in  kleinschalige  elementen  maar  dewelke nog  in  goede  staat  zijn  volgens  de  stad. \nAlhoewel  de  stad  reeds  eerder  zijn  akkoord  gaf,  zie  ook  goedkeuring  CBS  D’monde  in  bijlage, vragen  ze  toch  om  deze  zone  te  verlaten  en  stellen  ze  een  andere  zone  op  de  N17  voor.  Meer bepaald  het  segment  tussen  kmpt.  12,700  en  kmpt.  11,600.  Van  deze  zone  krijgt  de  stad  ook  veel meldingen  en  vragen  omtrent  de  fietspaden  door  het  ontbreken  van  een  fietsalternatief  via  de Schelde  (jaagpad).</t>
  </si>
  <si>
    <t>WOV/INV/N17/3</t>
  </si>
  <si>
    <t>KP/000168</t>
  </si>
  <si>
    <t>IN/000168</t>
  </si>
  <si>
    <t>Aanpak aanliggende fietspaden in Wetteren opN416  12.8 - 13.2</t>
  </si>
  <si>
    <t>geschrapt</t>
  </si>
  <si>
    <t>WOV/INV/N416/4</t>
  </si>
  <si>
    <t>KP/000169</t>
  </si>
  <si>
    <t>IN/000169</t>
  </si>
  <si>
    <t>NIET IN E1 Aanpak enkelrichtingsfietspaden in Dendermonde op N416 kmpt. 0.825-4.600</t>
  </si>
  <si>
    <t>Vrijliggende enkelrichtingsfietspaden in beton vervangen door asfalt</t>
  </si>
  <si>
    <t>KP/000170</t>
  </si>
  <si>
    <t>IN/000170</t>
  </si>
  <si>
    <t>Aanpak aanliggende fietspaden in Gent opN424  0.0 - 0.16</t>
  </si>
  <si>
    <t>WOV/INV/N424/5</t>
  </si>
  <si>
    <t>KP/000171</t>
  </si>
  <si>
    <t>IN/000171</t>
  </si>
  <si>
    <t>Aanpak aanliggende fietspaden in Gent opN424  0.0 - 2.2</t>
  </si>
  <si>
    <t>WOV/INV/N424/6</t>
  </si>
  <si>
    <t>IN/000172</t>
  </si>
  <si>
    <t>N442 herinrichting kruispunt met de Ommeganglaan</t>
  </si>
  <si>
    <t>WOV/INV/N442/2</t>
  </si>
  <si>
    <t>KP/000173</t>
  </si>
  <si>
    <t>IN/000173</t>
  </si>
  <si>
    <t>Aanpak aanliggende fietspaden in Zwalm opN46  20.3 - 22.1</t>
  </si>
  <si>
    <t>vrijliggend fietspad in beton vervangen door asfalt</t>
  </si>
  <si>
    <t>WOV/INV/N46/8</t>
  </si>
  <si>
    <t>KP/000174</t>
  </si>
  <si>
    <t>IN/000174</t>
  </si>
  <si>
    <t>Aanpak aanliggende fietspaden in Dendermonde opN470  0.1 - 1.5</t>
  </si>
  <si>
    <t>WOV/INV/N470/5</t>
  </si>
  <si>
    <t>KP/000175</t>
  </si>
  <si>
    <t>IN/000175</t>
  </si>
  <si>
    <t>Aanpak aanliggende fietspaden in Dendermonde opN470  2.6 - 4.15</t>
  </si>
  <si>
    <t>WOV/INV/N470/4</t>
  </si>
  <si>
    <t>KP/000176</t>
  </si>
  <si>
    <t>IN/000176</t>
  </si>
  <si>
    <t>Aanpak aanliggende fietspaden in Geraardsbergen opN495  1.9 - 2.2</t>
  </si>
  <si>
    <t>WOV/INV/N495/1</t>
  </si>
  <si>
    <t>KP/000177</t>
  </si>
  <si>
    <t>IN/000177</t>
  </si>
  <si>
    <t>Aanpak aanliggende fietspaden in Bertem, Huldenberg opN253  3.5 - 10.5</t>
  </si>
  <si>
    <t>Qwins Deel 2 - verbeteren verkeersveiligheid zwakke wegbruikers</t>
  </si>
  <si>
    <t>WVB/INV/N253/4</t>
  </si>
  <si>
    <t>KP/000178</t>
  </si>
  <si>
    <t>IN/000178</t>
  </si>
  <si>
    <t>Aanpak aanliggende fietspaden in Huldenberg opN253  12.2 - 12.8</t>
  </si>
  <si>
    <t>ingrepen 2 pcv-dossiers, doortrekken fietspad van dreefweg tot ingang kasteelpark + aanleg fietspad (missing link) vanaf A. Goossensstraat tot kmp 12.4, werken uitgevoerd door gemeente, nog niet terugbetaald door AWV</t>
  </si>
  <si>
    <t>WVB/INV/N253/5</t>
  </si>
  <si>
    <t>KP/000179</t>
  </si>
  <si>
    <t>IN/000179</t>
  </si>
  <si>
    <t>Aanpak aanliggende fietspaden in Sint-Genesius-Rode opN5  10.2 - 10.8</t>
  </si>
  <si>
    <t>omgeving Brassinelaan wegwerken levensgevaarlijke dubbele fietsoversteek, verbreden fietspad van 30cm tot 250, is doortrekken 2-richtingsfietspad kant bos tussen 2 delen van bestaand 2-richtingsfietspad</t>
  </si>
  <si>
    <t>WVB/INV/N5/2</t>
  </si>
  <si>
    <t>KP/000180</t>
  </si>
  <si>
    <t>IN/000180</t>
  </si>
  <si>
    <t>Aanpak aanliggende fietspaden in Halle opN6-N28  14.6 - 15.6</t>
  </si>
  <si>
    <t>aanleg gescheiden fietspaden waar nu aanliggend gemarkeerde  fietspaden liggen (kan nog doorgetrokken worden tot rotonde begin N7, bushaltes</t>
  </si>
  <si>
    <t>WVB/INV/N28/2</t>
  </si>
  <si>
    <t>IN/000181</t>
  </si>
  <si>
    <t>Aanpak aanliggende fietspaden in Ternat opN285  5.3 - 9.4</t>
  </si>
  <si>
    <t>verhoogd fietspad maken en lijnvormig element tussen rijbaan en fietspad (excl. stukken die reeds vernieuwd werden) + aanpassen kruispunt Kraanstraat, aanleg beveiligde fietsoversteek</t>
  </si>
  <si>
    <t>WVB/INV/N285/9</t>
  </si>
  <si>
    <t>KP/000182</t>
  </si>
  <si>
    <t>Aanpak aanliggende fietspaden in Brugge N376 - B6 - 9.051 - 9.560 - Zeekanaalweg - Zelzatebrug</t>
  </si>
  <si>
    <t>IN/000182</t>
  </si>
  <si>
    <t>WWV/INV/N376/3</t>
  </si>
  <si>
    <t>KP/000183</t>
  </si>
  <si>
    <t>IN/000183</t>
  </si>
  <si>
    <t>Aanpak aanliggende fietspaden in Brugge opR30  0.0 - 0.2</t>
  </si>
  <si>
    <t>WWV/INV/R30/6</t>
  </si>
  <si>
    <t>KP/000184</t>
  </si>
  <si>
    <t>Aanpak aanliggende fietspaden in Brugge R30 - B1 - 0.900 - 1.761 - Warandebrug - Fort Lapin</t>
  </si>
  <si>
    <t>IN/000184</t>
  </si>
  <si>
    <t>WWV/INV/R30/7</t>
  </si>
  <si>
    <t>KP/000185</t>
  </si>
  <si>
    <t>Aanpak aanliggende fietspaden in Brugge R30 - B2 -  2.010 - 2.843 - Kruispoort - Dampoort</t>
  </si>
  <si>
    <t>IN/000185</t>
  </si>
  <si>
    <t>WWV/INV/R30/8</t>
  </si>
  <si>
    <t>KP/000186</t>
  </si>
  <si>
    <t>Aanpak aanliggende fietspaden in Brugge R30 - B3 - 6.664 tot 6.892 - Hoefijzerlaan</t>
  </si>
  <si>
    <t>IN/000186</t>
  </si>
  <si>
    <t>WWV/INV/R30/9</t>
  </si>
  <si>
    <t>KP/000187</t>
  </si>
  <si>
    <t>IN/000187</t>
  </si>
  <si>
    <t>Aanpak aanliggende fietspaden in Brugge opR30  7.6 - 8.2</t>
  </si>
  <si>
    <t>WWV/INV/R30/10</t>
  </si>
  <si>
    <t>IN/000188</t>
  </si>
  <si>
    <t>Aanpak aanliggende fietspaden in Knokke-Heist opN376  14.5 - 17.33</t>
  </si>
  <si>
    <t>WWV/INV/N376/4</t>
  </si>
  <si>
    <t>KP/000189</t>
  </si>
  <si>
    <t>IN/000189</t>
  </si>
  <si>
    <t>Aanpak aanliggende fietspaden in Zonhoven opN715  0.1 - 1.4</t>
  </si>
  <si>
    <t>2 deelprojecten: 01,-1,3: SO aanliggend fietspad &amp; 3-3,8: SO aanliggend fietspad</t>
  </si>
  <si>
    <t>WL/INV/N715/3</t>
  </si>
  <si>
    <t>KP/000190</t>
  </si>
  <si>
    <t>IN/000190</t>
  </si>
  <si>
    <t>Aanpak aanliggende fietspaden in Zonhoven opN715  3.0 - 3.7</t>
  </si>
  <si>
    <t>WL/INV/N715/4</t>
  </si>
  <si>
    <t>KP/000191</t>
  </si>
  <si>
    <t>IN/000191</t>
  </si>
  <si>
    <t>Fietsverbindingen/-kruisingen realiseren in Diest opR26  4.55 - 4.65</t>
  </si>
  <si>
    <t>Beveiligde fietsoversteek t.h.v. Steineweg, PCV-dossiers</t>
  </si>
  <si>
    <t>WVB/INV/R26/2</t>
  </si>
  <si>
    <t>KP/000192</t>
  </si>
  <si>
    <t>IN/000192</t>
  </si>
  <si>
    <t>Fietsverbindingen/-kruisingen realiseren in Opwijk opN47  6.0 - 6.2</t>
  </si>
  <si>
    <t>beveiligen fietsoversteek Leirekensroute, aanleg middengeleider thv fietsoversteek .  en aandachtsverhogende aanpassingen nav dodelijk ongeval</t>
  </si>
  <si>
    <t>WVB/INV/N47/3</t>
  </si>
  <si>
    <t>KP/000193</t>
  </si>
  <si>
    <t>IN/000193</t>
  </si>
  <si>
    <t>Fietsverbindingen/-kruisingen realiseren in Beersel opN231  4.3 - 4.4</t>
  </si>
  <si>
    <t>Verbeteren fietsoversteken, schoolomgeving</t>
  </si>
  <si>
    <t>WVB/INV/N231/3</t>
  </si>
  <si>
    <t>KP/000194</t>
  </si>
  <si>
    <t>IN/000194</t>
  </si>
  <si>
    <t>Fietsverbindingen/-kruisingen realiseren in Beersel opN231  4.75 - 4.85</t>
  </si>
  <si>
    <t>WVB/INV/N231/4</t>
  </si>
  <si>
    <t>KP/000195</t>
  </si>
  <si>
    <t>IN/000195</t>
  </si>
  <si>
    <t>Fietsverbindingen/-kruisingen realiseren in Zwevegem op N391  5.3 - 5.4</t>
  </si>
  <si>
    <t>Fietsverbinding herstellen door aanleg fietshelling op de talud van de Kanaalweg N39 tussen Oude Lettenhofstraat en het dubbelrichitngsfietspad langs de N391.</t>
  </si>
  <si>
    <t>WWV/INV/N391/1</t>
  </si>
  <si>
    <t>KP/000196</t>
  </si>
  <si>
    <t>IN/000196</t>
  </si>
  <si>
    <t>Fietsverbindingen/-kruisingen realiseren in Halle opN203  0.1 - 0.3</t>
  </si>
  <si>
    <t>Omvorming van de N203a tot autosnelweg (A8) - studie en uitvoering tijdelijke bruggen</t>
  </si>
  <si>
    <t>WVB/INV/N203/1</t>
  </si>
  <si>
    <t>IN/000197</t>
  </si>
  <si>
    <t>Fietsverbindingen/-kruisingen realiseren in Hooglede opR32  6.2 - 6.3</t>
  </si>
  <si>
    <t>R32 aanpassingen kruispunt met Honzebrouck + fietstunnel</t>
  </si>
  <si>
    <t>WWV/INV/R32/2</t>
  </si>
  <si>
    <t>KP/000198</t>
  </si>
  <si>
    <t>IN/000198</t>
  </si>
  <si>
    <t>Fietsverbindingen/-kruisingen realiseren in Wielsbeke opN382  15.7 - 15.8</t>
  </si>
  <si>
    <t>Fietsverbindingen/-kruisingen realiseren N382 Wielsbeke</t>
  </si>
  <si>
    <t>WWV/INV/N382/6</t>
  </si>
  <si>
    <t>KP/000199</t>
  </si>
  <si>
    <t>IN/000199</t>
  </si>
  <si>
    <t>Fietsverbindingen/-kruisingen realiseren in Koksijde opN39  1.5 - 1.6</t>
  </si>
  <si>
    <t>N39 Koksijde: aandeel in werken Veurne Vaartstraat in combinatie met werken van de Vlaamse Waterweg (landhoofden Pelikaanbrug)</t>
  </si>
  <si>
    <t>WWV/INV/N39/3</t>
  </si>
  <si>
    <t>KP/000200</t>
  </si>
  <si>
    <t>IN/000200</t>
  </si>
  <si>
    <t>Realisatie fietsprojecten uit het GIP in Antwerpen opN114  3.0 - 4.0</t>
  </si>
  <si>
    <t>3MH227 - Aanleg vrijliggend fietspad Leugenberg</t>
  </si>
  <si>
    <t>KP/000201</t>
  </si>
  <si>
    <t>IN/000201</t>
  </si>
  <si>
    <t>Realisatie fietsprojecten uit het GIP in Zwijndrecht opN419  12.1 - 12.2</t>
  </si>
  <si>
    <t>Herinrichting kruispunt Kruibeeksesteenweg</t>
  </si>
  <si>
    <t>WA/INV/N419/2</t>
  </si>
  <si>
    <t>KP/000202</t>
  </si>
  <si>
    <t>IN/000202</t>
  </si>
  <si>
    <t>N723 Fietspaden As</t>
  </si>
  <si>
    <t>3MH227 - Aanleg fietspaden N723 As</t>
  </si>
  <si>
    <t>WL/INV/N723/2</t>
  </si>
  <si>
    <t>KP/000203</t>
  </si>
  <si>
    <t>IN/000203</t>
  </si>
  <si>
    <t>Realisatie fietsprojecten uit het GIP in Gent opN60  2.0 - 4.0</t>
  </si>
  <si>
    <t>3MH227 - Fietsverbinding tussen Campus De Sterre en Campus Ardoyen en heraanleg N60 Zwijnaarde</t>
  </si>
  <si>
    <t>WOV/INV/N60/9</t>
  </si>
  <si>
    <t>IN/000204</t>
  </si>
  <si>
    <t>KOMT OVEREEN MET WVB/INV/N2/11 - KIM MELDT DAT DIT AL INGEGEVEN IS.</t>
  </si>
  <si>
    <t>Aandeel AWV riolering relance fiets / uitvoering</t>
  </si>
  <si>
    <t>KP/000205</t>
  </si>
  <si>
    <t>IN/000205</t>
  </si>
  <si>
    <t>N283/1 Landen herinr kruispt N283-Karolingerslaan</t>
  </si>
  <si>
    <t>3MH227 - N283 Landen: aansluiting fietspaden Karolingerslaan op kruispunt met N283</t>
  </si>
  <si>
    <t>WVB/INV/N283/1</t>
  </si>
  <si>
    <t>KP/000206</t>
  </si>
  <si>
    <t>IN/000206</t>
  </si>
  <si>
    <t>Realisatie fietsprojecten uit het GIP in Waregem opA14  23.0 - 23.0</t>
  </si>
  <si>
    <t>3MH227 - Herinrichting complex 5 met N382</t>
  </si>
  <si>
    <t>WWV/INV/E17/10</t>
  </si>
  <si>
    <t>KP/000207</t>
  </si>
  <si>
    <t>IN/000207</t>
  </si>
  <si>
    <t>Oude modules (of samenwerkingsovereenkomsten) versneld uitvoeren in Brakel opN48  0.0 - 4.3</t>
  </si>
  <si>
    <t>Structureel onderhoud bij module 13 project</t>
  </si>
  <si>
    <t>WOV/INV/N48/1</t>
  </si>
  <si>
    <t>KP/000208</t>
  </si>
  <si>
    <t>IN/000208</t>
  </si>
  <si>
    <t>EM-werken in Leuven opN2  22.3 - 22.7</t>
  </si>
  <si>
    <t>N2-E314 complex Winksele &gt; kruispunt ombouwen van gloei naar LED &gt;   aanpassen volgens actieplan en maximaal conflictvrij</t>
  </si>
  <si>
    <t>WVB/INV/N2/13</t>
  </si>
  <si>
    <t>KP/000209</t>
  </si>
  <si>
    <t>IN/000209</t>
  </si>
  <si>
    <t>EM-werken in Boortmeerbeek opN267  0.3 - 0.4</t>
  </si>
  <si>
    <t>N267-Jaagpad &gt; Nieuwe VRI</t>
  </si>
  <si>
    <t>WVB/INV/N267/2</t>
  </si>
  <si>
    <t>KP/000210</t>
  </si>
  <si>
    <t>IN/000210</t>
  </si>
  <si>
    <t>EM-werken in Leuven op R23  1.0 - 1.1</t>
  </si>
  <si>
    <t>R23-N19-Artoisplein &gt; vernieuwen van die zwarte palen naar  nieuwe palen met LED &gt; veel klachten van fietsers over de verlichting hier, dus zeker een must!</t>
  </si>
  <si>
    <t>WVB/INV/R23/11</t>
  </si>
  <si>
    <t>KP/000211</t>
  </si>
  <si>
    <t>IN/000211</t>
  </si>
  <si>
    <t>EM-werken in Liedekerke opN207  2.7 - 2.8</t>
  </si>
  <si>
    <t>N207- Kleemputtenstraat &gt; Aanpassen VRI: Conflictvrije regeling  voor de fiets- en voetgangersoversteken</t>
  </si>
  <si>
    <t>WVB/INV/N207/2</t>
  </si>
  <si>
    <t>KP/000212</t>
  </si>
  <si>
    <t>IN/000212</t>
  </si>
  <si>
    <t>EM-werken in Liedekerke opN207  3.5 - 3.6</t>
  </si>
  <si>
    <t>N207- Muilemstraat &gt; Aanpassen VRI: Conflictvrije regeling  voor de fiets- en voetgangersoversteken</t>
  </si>
  <si>
    <t>WVB/INV/N207/3</t>
  </si>
  <si>
    <t>IN/000213</t>
  </si>
  <si>
    <t>EM-werken in Antwerpen opN114  3.0 - 3.1</t>
  </si>
  <si>
    <t>Aanleg vrijliggend fietspad Leugenberg : VRI</t>
  </si>
  <si>
    <t>WA/INV/N114/6</t>
  </si>
  <si>
    <t>KP/000214</t>
  </si>
  <si>
    <t>IN/000214</t>
  </si>
  <si>
    <t>Structureel Onderhoud - conforme fietspaden in Antwerpen opA12  0.0 - 0.8</t>
  </si>
  <si>
    <t>vervangen van oude klinkers, zit opgesloten tussen 2 jersey's, ook druk bereden fietspad in haven</t>
  </si>
  <si>
    <t>WA/INV/A12/10</t>
  </si>
  <si>
    <t>KP/000022</t>
  </si>
  <si>
    <t>IN/000215</t>
  </si>
  <si>
    <t>Structureel Onderhoud - conforme fietspaden in Aarschot opN19</t>
  </si>
  <si>
    <t>Structureel Onderhoud - conforme fietspaden in Aarschot opN19 47.05 - 49.4\nDubbelrichting asfaltfietspad op belangrijke schoolroute.</t>
  </si>
  <si>
    <t>WVB/INV/N19/5</t>
  </si>
  <si>
    <t>KP/000215</t>
  </si>
  <si>
    <t>IN/000216</t>
  </si>
  <si>
    <t>in Aalst : wegvak N9 Brusselse steenweg tussen kruispunt met R41 Albrechtlaan en Dender</t>
  </si>
  <si>
    <t>Complete herinrichting</t>
  </si>
  <si>
    <t>WOV/INV/N9/8</t>
  </si>
  <si>
    <t>2025 - Q4</t>
  </si>
  <si>
    <t>KP/000218</t>
  </si>
  <si>
    <t>KP/000219</t>
  </si>
  <si>
    <t>KP/000694</t>
  </si>
  <si>
    <t>KP/000216</t>
  </si>
  <si>
    <t>IN/000217</t>
  </si>
  <si>
    <t>Gevaarlijk Punt: R41 Aalst: aanpassen lichtenregeling</t>
  </si>
  <si>
    <t>Aanpassen lichtenregeling (VRI): linksaf wordt conflictvrij (2021);\nR41 Boudewijnlaan / Heilig Hartlaan met Ledebaan</t>
  </si>
  <si>
    <t>WOV/INV/R41/1</t>
  </si>
  <si>
    <t>IN/000218</t>
  </si>
  <si>
    <t>VERWIJDEREN in Aalst : N9 Parklaan met Eikstraat en Frans Blanckaertdreef</t>
  </si>
  <si>
    <t>Volledige herinrichting</t>
  </si>
  <si>
    <t>IN/000219</t>
  </si>
  <si>
    <t>VERWIJDEREN in Aalst : N9 Parklaan met N405 Geraardsbergsestraat en N45 Geraardsbergsesteenweg</t>
  </si>
  <si>
    <t>KP/000222</t>
  </si>
  <si>
    <t>IN/000220</t>
  </si>
  <si>
    <t>UITGEVOERD NIET IN E1: A10-E40 Richting Oostende</t>
  </si>
  <si>
    <t>heraanleg complex</t>
  </si>
  <si>
    <t>KP/000223</t>
  </si>
  <si>
    <t>IN/000221</t>
  </si>
  <si>
    <t>UITGEVOERD NIET IN E1: A10-E40 Richting Brussel Uitrit 11, Knokkeweg, N44 Richting Maldegem, Rond Punt, Tieltsesteenweg</t>
  </si>
  <si>
    <t>WOV/INV/N44/4</t>
  </si>
  <si>
    <t>KP/000225</t>
  </si>
  <si>
    <t>IN/000222</t>
  </si>
  <si>
    <t>in Aarschot : Bloemsehoeve, Liersesteenweg, N10 Richting Mortsel, Oude Mechelsebaan</t>
  </si>
  <si>
    <t>Actieplan VRI</t>
  </si>
  <si>
    <t>WVB/INV/N10/5</t>
  </si>
  <si>
    <t>KP/000226</t>
  </si>
  <si>
    <t>IN/000223</t>
  </si>
  <si>
    <t>Plaatsen van straatmeubilair (oa omegabeugels, paaltjes, new yerseys) in Aarschot : R25 Binnenring, Ter Heidelaan</t>
  </si>
  <si>
    <t>Bij structureel onderhoud Raf Oosters wordt jersey voorzien\ntussen rijbaan en fietspad. Dit zal zowel vermijden dat auto's van de baan raken en tegen niet botsvriendelijke objecten langs de weg terechtkomen. zal ook ongevallen tussen fietsers en auto's helpen vermijden.</t>
  </si>
  <si>
    <t>KP/000227</t>
  </si>
  <si>
    <t>IN/000224</t>
  </si>
  <si>
    <t>Horizontale signalisatie aanpassen in Aarschot : Gijmelsesteenweg, Langdorpsesteenweg</t>
  </si>
  <si>
    <t>wegwijzer Langdorp verplaatsen (zichtbaarheid) + oversteek vergeten zie V-plan V016402V + fietsers rechtsaf geleiden + hermarkeren. Voorlopig nog geen aanpassingen gebeurd, volgt nog . Tellingen in oktober</t>
  </si>
  <si>
    <t>WVB/INV/R25/3</t>
  </si>
  <si>
    <t>KP/000228</t>
  </si>
  <si>
    <t>IN/000225</t>
  </si>
  <si>
    <t>Horizontale signalisatie aanpassen in Aarschot : Hoensberg, Schoonderbeukenweg, Schransstraat</t>
  </si>
  <si>
    <t>WVB/INV/N258/1</t>
  </si>
  <si>
    <t>KP/000229</t>
  </si>
  <si>
    <t>IN/000226</t>
  </si>
  <si>
    <t>in Aartselaar : Boomsesteenweg</t>
  </si>
  <si>
    <t>Aanpassing VRI-regeling, maximaal conflictvrij, uitrol VLCC</t>
  </si>
  <si>
    <t>IN/000227</t>
  </si>
  <si>
    <t>Tunnels</t>
  </si>
  <si>
    <t>KP/000230</t>
  </si>
  <si>
    <t>IN/000228</t>
  </si>
  <si>
    <t>in Aartselaar : A12 Richting Antwerpen, A12 Richting Brussel, Antwerpsesteenweg, Boomsesteenweg, Guido Gezellestraat, Helststraat</t>
  </si>
  <si>
    <t>Aanpassing VRI-regeling, maximaal conflictvrij, uitrol VLCC, 3e rijstrook</t>
  </si>
  <si>
    <t>IN/000229</t>
  </si>
  <si>
    <t>KP/000231</t>
  </si>
  <si>
    <t>IN/000230</t>
  </si>
  <si>
    <t>in Aartselaar : A12 Richting Antwerpen, A12 Richting Brussel, Bist, Boomsesteenweg, Langlaarsteenweg</t>
  </si>
  <si>
    <t>linksaf conflictvrij, zijstraten tak voor tak, 3e rijstrook</t>
  </si>
  <si>
    <t>IN/000231</t>
  </si>
  <si>
    <t>KP/000232</t>
  </si>
  <si>
    <t>IN/000232</t>
  </si>
  <si>
    <t>in Aartselaar : A12 Richting Antwerpen, A12 Richting Brussel, Antwerpsesteenweg, Boomsesteenweg, Leugstraat, Vluchtenburgstraat</t>
  </si>
  <si>
    <t>linksaf conflictvrij, zijstraten tak voor tak, aanleg 3e rijstrook (inname middenberm)</t>
  </si>
  <si>
    <t>IN/000233</t>
  </si>
  <si>
    <t>KP/000233</t>
  </si>
  <si>
    <t>IN/000234</t>
  </si>
  <si>
    <t>Verlichting verbeteren in Aartselaar : Antwerpsesteenweg, Oudestraat RELANCE21</t>
  </si>
  <si>
    <t>Verlichting plaatsen (vooral ongevallen bij duisternis)\n</t>
  </si>
  <si>
    <t>WA/INV/N177/10</t>
  </si>
  <si>
    <t>KP/000234</t>
  </si>
  <si>
    <t>IN/000235</t>
  </si>
  <si>
    <t>in Aartselaar : A12 Richting Antwerpen, A12 Richting Brussel, Antwerpsesteenweg, Boomsesteenweg, Cleydaellaan, Kontichsesteenweg, N177 Antwerpen - Breendonk (Puurs)</t>
  </si>
  <si>
    <t>linksaf conflictvrij, zijstraten tak voor tak + snelheidsverlag, 3e rijstrook</t>
  </si>
  <si>
    <t>IN/000236</t>
  </si>
  <si>
    <t>KP/000235</t>
  </si>
  <si>
    <t>IN/000237</t>
  </si>
  <si>
    <t>in Affligem : A10-E40 Richting Oostende</t>
  </si>
  <si>
    <t>Aanpassing verkeerslichtenregeling conform actieplan</t>
  </si>
  <si>
    <t>2018 - Q4</t>
  </si>
  <si>
    <t>KP/000236</t>
  </si>
  <si>
    <t>IN/000238</t>
  </si>
  <si>
    <t>in Affligem : A10-E40 Richting Brussel, A10-E40 Richting Brussel Uitrit 19A</t>
  </si>
  <si>
    <t>new yerseys zetten</t>
  </si>
  <si>
    <t>KP/000237</t>
  </si>
  <si>
    <t>IN/000239</t>
  </si>
  <si>
    <t>in Alken : Meerdegatstraat, N80, N80 Richting Hasselt</t>
  </si>
  <si>
    <t>Aanpassen lichtenregeling + hermarkering</t>
  </si>
  <si>
    <t>KP/000238</t>
  </si>
  <si>
    <t>IN/000240</t>
  </si>
  <si>
    <t>VRI: aanpassen lichtenregeling in Antwerpen : Bredabaan, Deurnsebaan, Weggestraat RELANCE21</t>
  </si>
  <si>
    <t>Verbod rechtsafslaan vrachtwagens (2020), markering oversteek, voorstart fietsers, ander type VRI (paal)</t>
  </si>
  <si>
    <t>WA/INV/N130/1</t>
  </si>
  <si>
    <t>KP/000239</t>
  </si>
  <si>
    <t>IN/000241</t>
  </si>
  <si>
    <t>in Antwerpen : Desguinlei, Jan Van Rijswijcklaan, Singel</t>
  </si>
  <si>
    <t>VLCC uitgerold (7/2020) maar onvoldoende want veel ongevallen op bypasses</t>
  </si>
  <si>
    <t>KP/000240</t>
  </si>
  <si>
    <t>IN/000242</t>
  </si>
  <si>
    <t>in Antwerpen : Bisschoppenhoflaan, Keesinglaan RELANCE21</t>
  </si>
  <si>
    <t>Uitrol VLCC + afslagstrook + bypass</t>
  </si>
  <si>
    <t>WA/INV/N120/3</t>
  </si>
  <si>
    <t>KP/000277</t>
  </si>
  <si>
    <t>KP/000241</t>
  </si>
  <si>
    <t>IN/000243</t>
  </si>
  <si>
    <t>in Antwerpen : Binnensingel, Desguinlei, Kolonel Silvertopstraat, Singel</t>
  </si>
  <si>
    <t>Aanpassing VRI</t>
  </si>
  <si>
    <t>KP/000243</t>
  </si>
  <si>
    <t>IN/000244</t>
  </si>
  <si>
    <t>in Antwerpen : R1 Buitenring</t>
  </si>
  <si>
    <t>aanpassing aansluiting met E34/E313</t>
  </si>
  <si>
    <t>KP/000244</t>
  </si>
  <si>
    <t>IN/000245</t>
  </si>
  <si>
    <t>in Antwerpen : Havanastraat, Korte Wielenstraat, Noorderlaan</t>
  </si>
  <si>
    <t>Brabo 2</t>
  </si>
  <si>
    <t>KP/000245</t>
  </si>
  <si>
    <t>IN/000246</t>
  </si>
  <si>
    <t>Antwerpen : Boterlaarbaan, Dassastraat</t>
  </si>
  <si>
    <t>Zichtbaarheid fietser verbeteren, afslagbewegingen duidelijker te maken</t>
  </si>
  <si>
    <t>WA/INV/N116/8</t>
  </si>
  <si>
    <t>KP/000247</t>
  </si>
  <si>
    <t>IN/000247</t>
  </si>
  <si>
    <t>in Antwerpen : Bredabaan, Ringlaan, Winkelstap RELANCE21</t>
  </si>
  <si>
    <t>Aanpassing VRI\nQW oplossing, voor definitieve oplossing zie volgende ingreep</t>
  </si>
  <si>
    <t>KP/000248</t>
  </si>
  <si>
    <t>IN/000248</t>
  </si>
  <si>
    <t>in Antwerpen : A12 Richting Brussel</t>
  </si>
  <si>
    <t>IN/000249</t>
  </si>
  <si>
    <t>KP/000249</t>
  </si>
  <si>
    <t>IN/000250</t>
  </si>
  <si>
    <t>in Antwerpen : Gerard Le Grellelaan, Vogelzanglaan</t>
  </si>
  <si>
    <t>Aanpassing VRI (VLCC)</t>
  </si>
  <si>
    <t>KP/000250</t>
  </si>
  <si>
    <t>IN/000251</t>
  </si>
  <si>
    <t>Aanpassing aansluiting&gt; tweede rijstrook werd doorgetrokken naar R1, inclusief aanpassing van verticale signalisatie (zie ook VVA-A-29)</t>
  </si>
  <si>
    <t>KP/000251</t>
  </si>
  <si>
    <t>IN/000252</t>
  </si>
  <si>
    <t>R11 N173 Wilrijk kruispunt Frans Van Dunlaan</t>
  </si>
  <si>
    <t>Heraanleg</t>
  </si>
  <si>
    <t>WA/INV/R11/1</t>
  </si>
  <si>
    <t>KP/000252</t>
  </si>
  <si>
    <t>IN/000253</t>
  </si>
  <si>
    <t>in Antwerpen : Burgemeester E. Waghemansbrug, Merksemsesteenweg</t>
  </si>
  <si>
    <t>Nieuwe brug</t>
  </si>
  <si>
    <t>IN/000254</t>
  </si>
  <si>
    <t>in Antwerpen : Grotesteenweg, Sint-Hubertusstraat</t>
  </si>
  <si>
    <t>Oversteekplaats heraanleggen</t>
  </si>
  <si>
    <t>KP/000255</t>
  </si>
  <si>
    <t>IN/000255</t>
  </si>
  <si>
    <t>in Antwerpen : Leeuwlantstraat, Turnhoutsebaan</t>
  </si>
  <si>
    <t>speed pedelecs en bromfietsers op de rijbaan en oversteek dichter tegen kruispunt</t>
  </si>
  <si>
    <t>KP/000256</t>
  </si>
  <si>
    <t>IN/000256</t>
  </si>
  <si>
    <t>in Antwerpen : Maria-Henriëttalei, Rubenslei, Van Breestraat, Van Eycklei</t>
  </si>
  <si>
    <t>nog niet gedefinieerd</t>
  </si>
  <si>
    <t>WA/INV/N184/2</t>
  </si>
  <si>
    <t>KP/000258</t>
  </si>
  <si>
    <t>IN/000257</t>
  </si>
  <si>
    <t>in Antwerpen : August Van de Wielelei, Ivan Maquinaylei</t>
  </si>
  <si>
    <t>KP/001410</t>
  </si>
  <si>
    <t>KP/000259</t>
  </si>
  <si>
    <t>IN/000258</t>
  </si>
  <si>
    <t>in Antwerpen : Turnhoutsebaan</t>
  </si>
  <si>
    <t>VOP begin dit jaar aangepast, zodat deze ook doorloopt over trambedding en gemengd gedeelte.</t>
  </si>
  <si>
    <t>KP/000260</t>
  </si>
  <si>
    <t>IN/000259</t>
  </si>
  <si>
    <t>Horizontale signalisatie aanpassen in Antwerpen : Bredabaan, Groenendaallaan, Minister Delbekelaan RELANCE21</t>
  </si>
  <si>
    <t>dubbele linksaf wordt enkele linksaf + aanpassen lichtenregeling</t>
  </si>
  <si>
    <t>WA/INV/N1/9</t>
  </si>
  <si>
    <t>KP/000262</t>
  </si>
  <si>
    <t>IN/000260</t>
  </si>
  <si>
    <t>in Antwerpen : Plantin en Moretuslei, Quinten Matsijslei</t>
  </si>
  <si>
    <t>2 bypasses worden weggewerkt + conflictvrij maken</t>
  </si>
  <si>
    <t>KP/000263</t>
  </si>
  <si>
    <t>IN/000261</t>
  </si>
  <si>
    <t>in Antwerpen : A12 Richting Bergen Op Zoom (NL), A12 Richting Brussel, Atomiumlaan, Boomsesteenweg</t>
  </si>
  <si>
    <t>aanpassingen FOP en VOP (2018), VLCC</t>
  </si>
  <si>
    <t>IN/000262</t>
  </si>
  <si>
    <t>MAG WEG in Antwerpen : A12 Richting Bergen Op Zoom (NL), A12 Richting Brussel, Atomiumlaan, Boomsesteenweg</t>
  </si>
  <si>
    <t>Aanleg tunnels</t>
  </si>
  <si>
    <t>KP/000264</t>
  </si>
  <si>
    <t>IN/000263</t>
  </si>
  <si>
    <t>in Antwerpen : Fruithoflaan, Grotesteenweg, Ringlaan</t>
  </si>
  <si>
    <t>VLCC</t>
  </si>
  <si>
    <t>KP/000265</t>
  </si>
  <si>
    <t>IN/000264</t>
  </si>
  <si>
    <t>in Antwerpen : Bisschoppenhoflaan, N120 Antwerpen (N129) - Wijnegem (N112), Raoul Grégoirplein, Schijnpoortweg, Tweemontstraat</t>
  </si>
  <si>
    <t>IN/000265</t>
  </si>
  <si>
    <t>MAG WEG in Antwerpen : Bisschoppenhoflaan, N120 Antwerpen (N129) - Wijnegem (N112), Raoul Grégoirplein, Schijnpoortweg, Tweemontstraat</t>
  </si>
  <si>
    <t>zit mee in OWV. vanaf zomer 2022 zullen werken worden uitgevoerd. Tijdelijk viaduct vanaf 2022</t>
  </si>
  <si>
    <t>KP/000266</t>
  </si>
  <si>
    <t>IN/000266</t>
  </si>
  <si>
    <t>in Antwerpen : Boomsesteenweg, Jules Moretuslei</t>
  </si>
  <si>
    <t>KP/000267</t>
  </si>
  <si>
    <t>IN/000267</t>
  </si>
  <si>
    <t>VRI: aanpassen lichtenregeling in Antwerpen : Grotesteenweg, Jan Moorkensstraat</t>
  </si>
  <si>
    <t>Conflictvrije regeling</t>
  </si>
  <si>
    <t>KP/000268</t>
  </si>
  <si>
    <t>IN/000268</t>
  </si>
  <si>
    <t>in Antwerpen : Lange Van Ruusbroecstraat, Montensstraat, Plantin en Moretuslei, Wolfstraat</t>
  </si>
  <si>
    <t>Volledige heraanleg</t>
  </si>
  <si>
    <t>KP/000269</t>
  </si>
  <si>
    <t>IN/000269</t>
  </si>
  <si>
    <t>in Antwerpen : Boomsesteenweg 67</t>
  </si>
  <si>
    <t>Parkeerplaatsen weghalen + voetpaduitstulping (indien relance)</t>
  </si>
  <si>
    <t>WA/INV/N177/9</t>
  </si>
  <si>
    <t>KP/001822</t>
  </si>
  <si>
    <t>KP/000271</t>
  </si>
  <si>
    <t>IN/000270</t>
  </si>
  <si>
    <t>in Antwerpen : Hendriklei, Julius De Geyterstraat, Sint-Bernardsesteenweg RELANCE21</t>
  </si>
  <si>
    <t>Aanpassen verkeerslichtenregeling (kadert in een grotere herinrichting waar de stad de infrastructuurwerken zal uitvoeren)</t>
  </si>
  <si>
    <t>WA/INV/N148/5</t>
  </si>
  <si>
    <t>IN/000271</t>
  </si>
  <si>
    <t>in Antwerpen : Hendriklei, Julius De Geyterstraat, Sint-Bernardsesteenweg VIA PCV BESTEK</t>
  </si>
  <si>
    <t>Aanpassen lichtenregeling + afslagstroken (conflict met tram wordt eruit gehaald)</t>
  </si>
  <si>
    <t>KP/000253</t>
  </si>
  <si>
    <t>IN/000272</t>
  </si>
  <si>
    <t>in Antwerpen : Grotesteenweg, Klauwaardsstraat, Vredestraat RELANCE21</t>
  </si>
  <si>
    <t>Oversteekplaats heraanleggen + VRI</t>
  </si>
  <si>
    <t>WA/INV/N1/10</t>
  </si>
  <si>
    <t>KP/000272</t>
  </si>
  <si>
    <t>KP/000322</t>
  </si>
  <si>
    <t>KP/000703</t>
  </si>
  <si>
    <t>IN/000273</t>
  </si>
  <si>
    <t>in Antwerpen : Boomsesteenweg, Geleegweg, Oudebaan</t>
  </si>
  <si>
    <t>KP/000273</t>
  </si>
  <si>
    <t>IN/000274</t>
  </si>
  <si>
    <t>uitgebreide heraanleg tussen Atomiumlaan Krijgslaan (dd juni 2020: onteigeningen lopende)</t>
  </si>
  <si>
    <t>WA/INV/N177/1</t>
  </si>
  <si>
    <t>KP/001208</t>
  </si>
  <si>
    <t>KP/000274</t>
  </si>
  <si>
    <t>IN/000275</t>
  </si>
  <si>
    <t>in Antwerpen : Groenendaallaan, R1 Binnenring, R1 Buitenring</t>
  </si>
  <si>
    <t>kleine aanpassingen aan markeringen</t>
  </si>
  <si>
    <t>KP/000275</t>
  </si>
  <si>
    <t>IN/000276</t>
  </si>
  <si>
    <t>in Antwerpen : De Bosschaertstraat, Sint-Bernardsesteenweg RELANCE21</t>
  </si>
  <si>
    <t>WA/INV/N148/4</t>
  </si>
  <si>
    <t>IN/000277</t>
  </si>
  <si>
    <t>MAG WEG in Antwerpen : De Bosschaertstraat, Sint-Bernardsesteenweg</t>
  </si>
  <si>
    <t>zie ook andere kruispunten sint-bernardsesteenweg</t>
  </si>
  <si>
    <t>KP/000276</t>
  </si>
  <si>
    <t>IN/000278</t>
  </si>
  <si>
    <t>in Antwerpen : Boterlaarbaan, Florent Pauwelslei, Ruggeveldlaan</t>
  </si>
  <si>
    <t>Conflictvrijere regeling VLCC: linskaf conflicten werden eruit gehaald (juli 2018)</t>
  </si>
  <si>
    <t>IN/000279</t>
  </si>
  <si>
    <t>in Antwerpen : Bisschoppenhoflaan, Jan Welterslaan RELANCE21</t>
  </si>
  <si>
    <t>Studie conflictvrije regeling</t>
  </si>
  <si>
    <t>WA/INV/N120/4</t>
  </si>
  <si>
    <t>KP/000278</t>
  </si>
  <si>
    <t>IN/000280</t>
  </si>
  <si>
    <t>N1 R10 Antwerpen Heraanleg Singel x Grotesteenweg</t>
  </si>
  <si>
    <t>Heraanleg kruispunt: studie loopt, werken voorzien vastlegging 2019. Zit in 1 project samen met 8207</t>
  </si>
  <si>
    <t>WA/INV/N1/1</t>
  </si>
  <si>
    <t>KP/000321</t>
  </si>
  <si>
    <t>KP/001209</t>
  </si>
  <si>
    <t>KP/000279</t>
  </si>
  <si>
    <t>IN/000281</t>
  </si>
  <si>
    <t>Horizontale signalisatie aanpassen in Antwerpen : August Van de Wielelei, Schotensesteenweg, Turnhoutsebaan RELANCE21</t>
  </si>
  <si>
    <t>Aanpassn markering (verder al zo goed mogelijk uitgevoerd)</t>
  </si>
  <si>
    <t>WA/INV/N12/10</t>
  </si>
  <si>
    <t>KP/000280</t>
  </si>
  <si>
    <t>IN/000282</t>
  </si>
  <si>
    <t>in Antwerpen : Columbiastraat, Groenendaallaan</t>
  </si>
  <si>
    <t>heraanleg (vooral oversteek voor fietsers en voetgangers)</t>
  </si>
  <si>
    <t>KP/000281</t>
  </si>
  <si>
    <t>IN/000283</t>
  </si>
  <si>
    <t>in Antwerpen : Justitiestraat, Mechelsesteenweg, Van Breestraat</t>
  </si>
  <si>
    <t>Vierkant groen &gt; voorlopig nog niet mogelijk</t>
  </si>
  <si>
    <t>KP/000282</t>
  </si>
  <si>
    <t>IN/000284</t>
  </si>
  <si>
    <t>in Antwerpen : Emiel Vloorsstraat, Generaal Armstrongweg, Kolonel Silvertopstraat, N148 Antwerpen (R10) - Boom, R2 richting ANTWERPEN, Sint-Bernardsesteenweg</t>
  </si>
  <si>
    <t>aanpassingen VRI (VLCC)</t>
  </si>
  <si>
    <t>KP/000283</t>
  </si>
  <si>
    <t>IN/000285</t>
  </si>
  <si>
    <t>Horizontale signalisatie aanpassen in Antwerpen : Barnkrachtstraat, Bredabaan</t>
  </si>
  <si>
    <t>Haaientanden + rodeslem</t>
  </si>
  <si>
    <t>WA/INV/N1/11</t>
  </si>
  <si>
    <t>KP/001207</t>
  </si>
  <si>
    <t>KP/000284</t>
  </si>
  <si>
    <t>IN/000286</t>
  </si>
  <si>
    <t>in Antwerpen : Plantin en Moretuslei, Provinciestraat, Rolwagenstraat, Van den Nestlei</t>
  </si>
  <si>
    <t>volledige heraanleg</t>
  </si>
  <si>
    <t>KP/000286</t>
  </si>
  <si>
    <t>IN/000287</t>
  </si>
  <si>
    <t>in Antwerpen : Mercatorstraat, Plantin en Moretuslei, Simonsstraat</t>
  </si>
  <si>
    <t>volledig heraanleg (nadeel: niet mogelijk om linksaf conflictvrij te regelen)</t>
  </si>
  <si>
    <t>KP/000287</t>
  </si>
  <si>
    <t>IN/000288</t>
  </si>
  <si>
    <t>in Antwerpen : Groenenborgerlaan, Jules Moretuslei, R11 Richting Hoboken, R11 Richting Wijnegem, R11 - VERBINDING TUSSEN N173 EN A12 (WIL)</t>
  </si>
  <si>
    <t>heraanleg gepland met conflictvrije regeling en langere aflagstroken (voor bouwverlof klaar)</t>
  </si>
  <si>
    <t>KP/000288</t>
  </si>
  <si>
    <t>IN/000289</t>
  </si>
  <si>
    <t>in Antwerpen : Carnotstraat, Kerkstraat, Turnhoutsebaan</t>
  </si>
  <si>
    <t>Kerkstraat werd heraangelegd. Conflict met de fietsers conflictvrij (vooral conflicten met fietsers zijn er uit)</t>
  </si>
  <si>
    <t>KP/000289</t>
  </si>
  <si>
    <t>IN/000290</t>
  </si>
  <si>
    <t>in Antwerpen : Dokter Van de Perrelei, Karel De Preterlei, Luitenant Lippenslaan</t>
  </si>
  <si>
    <t>Aanpassing VRI (1 linksafbeweging conflictvrij)</t>
  </si>
  <si>
    <t>KP/000290</t>
  </si>
  <si>
    <t>IN/000291</t>
  </si>
  <si>
    <t>VRI: aanpassen lichtenregeling in Antwerpen : Luithagen-Haven, Noorderlaan RELANCE21</t>
  </si>
  <si>
    <t>Aanpassing VRI gepland + betere geleiding op kruispunt</t>
  </si>
  <si>
    <t>WA/INV/N180/5</t>
  </si>
  <si>
    <t>KP/000291</t>
  </si>
  <si>
    <t>IN/000292</t>
  </si>
  <si>
    <t>in Antwerpen : A12 Richting Brussel, Boomsesteenweg, Terbekehofdreef</t>
  </si>
  <si>
    <t>snelheidsverlaging + lichtenregeling + conflict met voetgangers en fietsers er uitgehaald</t>
  </si>
  <si>
    <t>KP/000292</t>
  </si>
  <si>
    <t>IN/000293</t>
  </si>
  <si>
    <t>in Antwerpen : Desguinlei, Gerard Le Grellelaan, Karel Oomsstraat</t>
  </si>
  <si>
    <t>KP/000293</t>
  </si>
  <si>
    <t>IN/000294</t>
  </si>
  <si>
    <t>onderzocht maar geen quick wins gevonden op basis van huidige ongevallengegevens</t>
  </si>
  <si>
    <t>KP/000295</t>
  </si>
  <si>
    <t>IN/000295</t>
  </si>
  <si>
    <t>VRI: aanpassen lichtenregeling + bijkomende aanpassingen infra in Antwerpen : Bisschoppenhoflaan, Ten Eekhovelei, Van der Delftstraat</t>
  </si>
  <si>
    <t>In 2018 : voorstart in ruimte voor rechtsafslaande  fietsers (zuidelijk kant). Vroeger ontruimingsfase en auto's konden inrijden, terwijl fietsers nog geen groen hadden . sept 2018 .\nAanpassen markering</t>
  </si>
  <si>
    <t>KP/000297</t>
  </si>
  <si>
    <t>IN/000296</t>
  </si>
  <si>
    <t>in Antwerpen : Binnensingel, Posthofbrug, Posthoflei</t>
  </si>
  <si>
    <t>heraanleg aansluiting Posthofbrug naar kruispunt + fietsersbrug  (mei 2018)</t>
  </si>
  <si>
    <t>KP/000298</t>
  </si>
  <si>
    <t>IN/000297</t>
  </si>
  <si>
    <t>Verlagen toegelaten snelheid in Antwerpen : A12 Richting Bergen Op Zoom (NL)  (thv Bevrijdingstunnel)</t>
  </si>
  <si>
    <t>Trajectcontrole + snelheidsverlaging + markering aanpassen + RVMS?</t>
  </si>
  <si>
    <t>WA/INV/A12/11</t>
  </si>
  <si>
    <t>KP/000299</t>
  </si>
  <si>
    <t>IN/000298</t>
  </si>
  <si>
    <t>Aanpassing markeringen en borden</t>
  </si>
  <si>
    <t>KP/000300</t>
  </si>
  <si>
    <t>IN/000299</t>
  </si>
  <si>
    <t>MAG WEG in Antwerpen : Groenendaallaan, Lambrechtshoekenlaan</t>
  </si>
  <si>
    <t>KP/000301</t>
  </si>
  <si>
    <t>IN/000300</t>
  </si>
  <si>
    <t>VRI: aanpassen lichtenregeling + bijkomende aanpassingen infra in Antwerpen : Jan Denucéstraat, Kolonel Silvertopstraat</t>
  </si>
  <si>
    <t>plaatsing VRI+ linksaf aanpassen</t>
  </si>
  <si>
    <t>WA/INV/N148/6</t>
  </si>
  <si>
    <t>KP/000302</t>
  </si>
  <si>
    <t>IN/000301</t>
  </si>
  <si>
    <t>VRI: aanpassen lichtenregeling in Antwerpen : Sint-Bernardsesteenweg, De Bruynlaan</t>
  </si>
  <si>
    <t>Aanpassen lichtenregeling</t>
  </si>
  <si>
    <t>KP/000303</t>
  </si>
  <si>
    <t>IN/000302</t>
  </si>
  <si>
    <t>Horizontale signalisatie aanpassen in Antwerpen : Bredabaan, Nieuwdreef RELANCE21</t>
  </si>
  <si>
    <t>Parkeerplaatsen weghalen voor zebrapad, lichten verplaatsen op boogpaal zodat ze boven rijstrook hangen. Later ook VLCC (studie 2022, uitvoering 2023)</t>
  </si>
  <si>
    <t>WA/INV/N1/20</t>
  </si>
  <si>
    <t>IN/000303</t>
  </si>
  <si>
    <t>in Antwerpen : Krijgsbaan, Sint-Bernardsesteenweg</t>
  </si>
  <si>
    <t>IN/000304</t>
  </si>
  <si>
    <t>N148 Vrijlig fietsp Schoonselhof-Hemiksem-rout2030</t>
  </si>
  <si>
    <t>Heraanleg (groter project met heraanleg aansluitende wegen)</t>
  </si>
  <si>
    <t>WA/INV/N148/1</t>
  </si>
  <si>
    <t>KP/000307</t>
  </si>
  <si>
    <t>KP/000702</t>
  </si>
  <si>
    <t>IN/000305</t>
  </si>
  <si>
    <t>in Antwerpen : Bisschoppenhoflaan, Brug van den azijn, Burgemeester E. Waghemansbrug, Lakborslei, Merksemsesteenweg</t>
  </si>
  <si>
    <t>KP/000309</t>
  </si>
  <si>
    <t>IN/000306</t>
  </si>
  <si>
    <t>VRI: aanpassen lichtenregeling in Antwerpen : Noordersingel, Turnhoutsebaan RELANCE21</t>
  </si>
  <si>
    <t>Aanpassing lichtenregeling</t>
  </si>
  <si>
    <t>WA/INV/R10/4</t>
  </si>
  <si>
    <t>KP/000310</t>
  </si>
  <si>
    <t>IN/000307</t>
  </si>
  <si>
    <t>in Antwerpen : Boterlaarbaan, Sterckshoflei</t>
  </si>
  <si>
    <t>KP/000311</t>
  </si>
  <si>
    <t>IN/000308</t>
  </si>
  <si>
    <t>in Antwerpen : Camille Huysmanslaan, Jan De Voslei</t>
  </si>
  <si>
    <t>KP/000312</t>
  </si>
  <si>
    <t>IN/000309</t>
  </si>
  <si>
    <t>VRI: andere installatie (oa boogpalen, opschuiven drukknop, lichtengeregelde oversteek) in Antwerpen : Bredabaan, Van Roiestraat, Van Stralenlei RELANCE21</t>
  </si>
  <si>
    <t>Galgpaal + aanpassen lichtenregeling, aanpassen markering</t>
  </si>
  <si>
    <t>WA/INV/N1/12</t>
  </si>
  <si>
    <t>KP/000313</t>
  </si>
  <si>
    <t>IN/000310</t>
  </si>
  <si>
    <t>in Antwerpen : Binnensingel, Luitenant Lippenslaan, Noordersingel, Plantin en Moretuslei</t>
  </si>
  <si>
    <t>KP/000315</t>
  </si>
  <si>
    <t>IN/000311</t>
  </si>
  <si>
    <t>in Antwerpen : R001073 verkeerswisselaar R1 richting E19 Brussel</t>
  </si>
  <si>
    <t>plaatsing afschermende constructie</t>
  </si>
  <si>
    <t>KP/000317</t>
  </si>
  <si>
    <t>IN/000312</t>
  </si>
  <si>
    <t>in Antwerpen : Eliaertsstraat, Turnhoutsebaan</t>
  </si>
  <si>
    <t>KP/000318</t>
  </si>
  <si>
    <t>IN/000313</t>
  </si>
  <si>
    <t>in Antwerpen : Noordersingel, Schijnpoortweg, Slachthuislaan</t>
  </si>
  <si>
    <t>heraanleg kruispunt (oa passarel voor voetgangers vanaf parking naar Sportpaleis)</t>
  </si>
  <si>
    <t>KP/000319</t>
  </si>
  <si>
    <t>IN/000314</t>
  </si>
  <si>
    <t>in Antwerpen : Noordersingel, Stenenbrug</t>
  </si>
  <si>
    <t>volledige heraanleg (vanaf Turnhoutsebaan tot voorbij Stenenbrug) fietsers zitten onder op- en afrittencomplex</t>
  </si>
  <si>
    <t>KP/000320</t>
  </si>
  <si>
    <t>IN/000315</t>
  </si>
  <si>
    <t>in Antwerpen : Sint-Bernardsesteenweg, Zaanstraat RELANCE21</t>
  </si>
  <si>
    <t>WA/INV/N148/3</t>
  </si>
  <si>
    <t>IN/000316</t>
  </si>
  <si>
    <t>in Antwerpen : Sint-Bernardsesteenweg, Zaanstraat VIA PCV BESTEK</t>
  </si>
  <si>
    <t>VLCC + linksafslagstrook wordt aangepast&gt;opstelruimte voor voetgangers en fietsers + conflict met tram wordt eruit gehaald</t>
  </si>
  <si>
    <t>IN/000317</t>
  </si>
  <si>
    <t>in Antwerpen : Binnensingel, Grotesteenweg, Singel</t>
  </si>
  <si>
    <t>IN/000318</t>
  </si>
  <si>
    <t>in Antwerpen : Driekoningenstraat, Grotesteenweg</t>
  </si>
  <si>
    <t>Nog concreet te bepalen: Rode slem fietspaden, zichtbaarheid linksaf?, lichtenregeling linksaf, dambordmarkering, knipperlicht tramoversteek</t>
  </si>
  <si>
    <t>WA/INV/N1/13</t>
  </si>
  <si>
    <t>KP/000323</t>
  </si>
  <si>
    <t>IN/000319</t>
  </si>
  <si>
    <t>in Antwerpen : Groenendaallaan, Noorderlaan</t>
  </si>
  <si>
    <t>KP/000324</t>
  </si>
  <si>
    <t>IN/000320</t>
  </si>
  <si>
    <t>in Antwerpen : Carnotstraat, Provinciestraat</t>
  </si>
  <si>
    <t>KP/000325</t>
  </si>
  <si>
    <t>IN/000321</t>
  </si>
  <si>
    <t>in Antwerpen : Baron Joostensstraat, Plantin en Moretuslei, Van Immerseelstraat</t>
  </si>
  <si>
    <t>wordt heraangelegd &gt; af rond zomer 2020</t>
  </si>
  <si>
    <t>KP/000326</t>
  </si>
  <si>
    <t>IN/000322</t>
  </si>
  <si>
    <t>VRI: aanpassen lichtenregeling in Antwerpen, Wijnegem : August Van de Wielelei, Houtlaan, Krijgsbaan, Turnhoutsebaan RELANCE21</t>
  </si>
  <si>
    <t>Aanpassen lichtenregeling + centrale aanleg fietspad op bypass (2021)</t>
  </si>
  <si>
    <t>WA/INV/N12/11</t>
  </si>
  <si>
    <t>KP/000327</t>
  </si>
  <si>
    <t>IN/000323</t>
  </si>
  <si>
    <t>in Ardooie : Izegemsestraat, N37 Richting Aalter, Oostlaan, Roeselaarsestraat</t>
  </si>
  <si>
    <t>Aanpassing VRI (actieplan)</t>
  </si>
  <si>
    <t>KP/000328</t>
  </si>
  <si>
    <t>IN/000324</t>
  </si>
  <si>
    <t>Horizontale signalisatie aanpassen in As : Europalaan, Lanklaarsesteenweg, N723 Genk - As (N75), Stationsstraat, Steenweg naar Maasmechelen</t>
  </si>
  <si>
    <t>markeringen aangepast, SNC nog te plaatsen (historische lijst)</t>
  </si>
  <si>
    <t>WL/INV/N75/9</t>
  </si>
  <si>
    <t>KP/000329</t>
  </si>
  <si>
    <t>IN/000325</t>
  </si>
  <si>
    <t>in Asse : R0 Binnenring, R0 Binnenring Uitrit 10 (Asse) (weefzone Zellik)</t>
  </si>
  <si>
    <t>afrit naar Zellik wordt verglegd. Werd besproken in PCV april 2019, niet alle partijen waren akkoord. Oplossing wordt verder uitgewerkt</t>
  </si>
  <si>
    <t>IN/000326</t>
  </si>
  <si>
    <t>in Asse : R0 Binnenring, R0 Binnenring Uitrit 10 (Asse) (weefzone Zellik) (MAG WEG - DOOR DWV)</t>
  </si>
  <si>
    <t>Herinrichting R0 door De Werkvennootschap</t>
  </si>
  <si>
    <t>KP/000330</t>
  </si>
  <si>
    <t>IN/000327</t>
  </si>
  <si>
    <t>in Assenede : N49 met Stoepestraat</t>
  </si>
  <si>
    <t>brug over E34. kruispunt wordt afgesloten</t>
  </si>
  <si>
    <t>WOV/INV/A11/4</t>
  </si>
  <si>
    <t>KP/000331</t>
  </si>
  <si>
    <t>IN/000328</t>
  </si>
  <si>
    <t>Gevaarlijk Punt: N49 Assenede: plaatsen RLC + verlengen linksafslagstroken</t>
  </si>
  <si>
    <t>RLC plaatsen + verlengen linksafslagstroken;\nN49 met Oosthoek.</t>
  </si>
  <si>
    <t>WOV/INV/A11/3</t>
  </si>
  <si>
    <t>IN/000329</t>
  </si>
  <si>
    <t>Handhaving in Assenede : N49 met Oosthoek</t>
  </si>
  <si>
    <t>Brug over E34</t>
  </si>
  <si>
    <t>KP/000332</t>
  </si>
  <si>
    <t>IN/000330</t>
  </si>
  <si>
    <t>GEEN E1 UITGEVOERD n Assenede : N49 met Stroomstraat</t>
  </si>
  <si>
    <t>kruispunt afgesloten, brug geplaatst</t>
  </si>
  <si>
    <t>KP/000333</t>
  </si>
  <si>
    <t>IN/000331</t>
  </si>
  <si>
    <t>in Beernem : Wingene Steenweg</t>
  </si>
  <si>
    <t>parkeren onmogelijk gemaakt op strook tussen rijbaan en fietspad en daardoor ook op het fietspad zelf. \nZicht is daardoor verbeterd.</t>
  </si>
  <si>
    <t>KP/000334</t>
  </si>
  <si>
    <t>IN/000332</t>
  </si>
  <si>
    <t>in Beringen : Koolmijnlaan</t>
  </si>
  <si>
    <t>veel kop-staart aanrijding in de wachtrij naar de verkeerslichten (4/12 zeker + 2/12 wellicht)\n- 1 overleden voetganger wat eerder een zelfdoding lijkt te zijn, de politie bevestigt dit.\n\nDe verkeerslichten die oorzaak zijn van de wachtrij worden omgevormd tot een rotonde:\nhttps://wegenenverkeer.be/werken/herinrichting-kruispunt-koolmijnlaan-beverlosesteenweg-leysestraat</t>
  </si>
  <si>
    <t>KP/000335</t>
  </si>
  <si>
    <t>IN/000333</t>
  </si>
  <si>
    <t>in Beringen : Koolmijnlaan, Laardijkstraat, Twaalf Meilaan</t>
  </si>
  <si>
    <t>KP/000336</t>
  </si>
  <si>
    <t>IN/000334</t>
  </si>
  <si>
    <t>in Beveren : N70 Oude Zandstraat met Bosdamlaan en Diederik Van Beverenlaan</t>
  </si>
  <si>
    <t>KP/000337</t>
  </si>
  <si>
    <t>IN/000335</t>
  </si>
  <si>
    <t>in Beveren : A11-E34 Ri Ant langswg complx 10 Vrasene aan oprit, A11-E34 Richting Antwerpen, Duikeldam, Hoge Watergangweg, Provinciale Baan</t>
  </si>
  <si>
    <t>KP/000338</t>
  </si>
  <si>
    <t>IN/000336</t>
  </si>
  <si>
    <t>in Bierbeek : Pellenbergstraat, Stationsstraat, Tiensesteenweg</t>
  </si>
  <si>
    <t>Aanpassen lichtenregeling Pellenbergstraat afgesloten in 2019 wegens werken, na openstelling zal de VRI aangepast worden .</t>
  </si>
  <si>
    <t>KP/000339</t>
  </si>
  <si>
    <t>IN/000337</t>
  </si>
  <si>
    <t>in Blankenberge : IJzerstraat, Oudstrijdersstraat, Vredelaan</t>
  </si>
  <si>
    <t>WWV/INV/N34/14</t>
  </si>
  <si>
    <t>KP/000340</t>
  </si>
  <si>
    <t>IN/000338</t>
  </si>
  <si>
    <t>VRI: aanpassen lichtenregeling in Blankenberge : B. Vandammestraat, Kerkstraat, Zeebruggelaan</t>
  </si>
  <si>
    <t>WWV/INV/N371/3</t>
  </si>
  <si>
    <t>KP/000341</t>
  </si>
  <si>
    <t>IN/000339</t>
  </si>
  <si>
    <t>in Boechout : Borsbeeksesteenweg, Provinciesteenweg (Capenberg)</t>
  </si>
  <si>
    <t>Aanpassen lichtenregeling \nokt 2020: tellingen besteld</t>
  </si>
  <si>
    <t>IN/000340</t>
  </si>
  <si>
    <t>VRI: aanpassen lichtenregeling in Boechout : Heuvelstraat, Provinciesteenweg, Vremdesesteenweg RELANCE21</t>
  </si>
  <si>
    <t>aanpassen VRI</t>
  </si>
  <si>
    <t>WA/INV/N10/10</t>
  </si>
  <si>
    <t>KP/000343</t>
  </si>
  <si>
    <t>IN/000341</t>
  </si>
  <si>
    <t>in Boortmeerbeek : Leuvense steenweg, N26 Richting Leuven, Trianonlaan</t>
  </si>
  <si>
    <t>IN/000342</t>
  </si>
  <si>
    <t>in Boortmeerbeek : Leuvense steenweg, N26 Richting Leuven, Trianonlaan (SCHRAPPEN - MAAKT DEEL UIT VAN WVB/INV/N26/7)</t>
  </si>
  <si>
    <t>Volledige heraanleg (oa fietspaden, (fietsrelance)</t>
  </si>
  <si>
    <t>KP/000344</t>
  </si>
  <si>
    <t>IN/000343</t>
  </si>
  <si>
    <t>in Bornem : Cesar Van Kerckhovenstraat, Klein-Mechelen, N16 Richting Mechelen, N16 Richting Sint-Niklaas</t>
  </si>
  <si>
    <t>WA/INV/N16/5</t>
  </si>
  <si>
    <t>KP/000345</t>
  </si>
  <si>
    <t>IN/000344</t>
  </si>
  <si>
    <t>Horizontale signalisatie aanpassen in Borsbeek : Herentalsebaan, Laarstraat, Reinaert, Singel, Tibert</t>
  </si>
  <si>
    <t>Middeneiland oversteek</t>
  </si>
  <si>
    <t>KP/001281</t>
  </si>
  <si>
    <t>KS768 - Een zebrapad zonder lichten op een drukke en brede gewestweg. Hier passeren 's morgens en 's avonds heel wat schoolkinderen. Het volgende zebrapad mét lichten ligt meer dan 200m verder, indien men hier wil oversteken is men genoodzaakt heel dit stuk aan de verkeerde kant van de weg tegen de richting in te fietsen.</t>
  </si>
  <si>
    <t>KP/000346</t>
  </si>
  <si>
    <t>IN/000345</t>
  </si>
  <si>
    <t>in Borsbeek : de Robianostraat, Frans Beirenslaan</t>
  </si>
  <si>
    <t>KP/000347</t>
  </si>
  <si>
    <t>IN/000346</t>
  </si>
  <si>
    <t>in Brasschaat : Bredabaan, Van Hemelrijcklei</t>
  </si>
  <si>
    <t>KP/000348</t>
  </si>
  <si>
    <t>IN/000347</t>
  </si>
  <si>
    <t>in Brasschaat : Bredabaan, Voshollei</t>
  </si>
  <si>
    <t>VRI aanpassen (niet-conflictvrije linksaf)</t>
  </si>
  <si>
    <t>KP/000349</t>
  </si>
  <si>
    <t>IN/000348</t>
  </si>
  <si>
    <t>VRI: aanpassen lichtenregeling in Brasschaat : Armand Reusensplein, Augustijnslei, Bredabaan, Miksebaan RELANCE21</t>
  </si>
  <si>
    <t>WA/INV/N121/6</t>
  </si>
  <si>
    <t>KP/000350</t>
  </si>
  <si>
    <t>IN/000349</t>
  </si>
  <si>
    <t>in Brasschaat : Bredabaan, Essensteenweg, Sint Jobsesteenweg</t>
  </si>
  <si>
    <t>Het kruispunt wordt compacter en we gaan van een 5-taks kruispunt naar een 4-taks kruispunt wat een positief effect zal hebben op de leesbaarheid en de veiligheid. Er zullen conform het actieplan van EVT ook zo veel mogelijk conflicten weggewerkt worden. 2021 onteigenen</t>
  </si>
  <si>
    <t>WA/INV/N001/2</t>
  </si>
  <si>
    <t>KP/000353</t>
  </si>
  <si>
    <t>IN/000350</t>
  </si>
  <si>
    <t>VRI: aanpassen lichtenregeling in Bree : Gruitroderkiezel, Kloosterpoort, Rode Kruislaan</t>
  </si>
  <si>
    <t>WL/INV/N73/18</t>
  </si>
  <si>
    <t>KP/000354</t>
  </si>
  <si>
    <t>IN/000351</t>
  </si>
  <si>
    <t>Horizontale signalisatie aanpassen in Bree : Hamonterweg, Sportlaan</t>
  </si>
  <si>
    <t>Aanpassing markeringen, signalisatie en zichtbaarheid (reeds uitgevoerd in 2020).  SNC's (historische lijst)</t>
  </si>
  <si>
    <t>WL/INV/NX/2</t>
  </si>
  <si>
    <t>KP/000355</t>
  </si>
  <si>
    <t>IN/000352</t>
  </si>
  <si>
    <t>in Bree : Maalbosstraat, Rode Kruislaan</t>
  </si>
  <si>
    <t>niet gedefinieerd</t>
  </si>
  <si>
    <t>WL/INV/N73/26</t>
  </si>
  <si>
    <t>KP/000356</t>
  </si>
  <si>
    <t>IN/000353</t>
  </si>
  <si>
    <t>VRI: nieuwe installatie plaatsen in Brugge : Ten Briele, Spoorwegstraat, Leisellestraat, Gasenbrootlaan, Spoorwegstraat</t>
  </si>
  <si>
    <t>Rotonde weg en lichten plaatsen</t>
  </si>
  <si>
    <t>WWV/INV/N342/5</t>
  </si>
  <si>
    <t>KP/000357</t>
  </si>
  <si>
    <t>IN/000354</t>
  </si>
  <si>
    <t>REEDS UITGEVOERD Brugge : Bevrijdingslaan, N31 Richting Oostkamp (A10), N31 Richting Zeebrugge</t>
  </si>
  <si>
    <t>Ongelijkgrondse kruising -</t>
  </si>
  <si>
    <t>KP/000358</t>
  </si>
  <si>
    <t>IN/000355</t>
  </si>
  <si>
    <t>R30 - brugge STudie kruispunt Gentpoort</t>
  </si>
  <si>
    <t>simulatie uitgevoerd. Invoeren éénrichting stuk Generaal Lemanlaan, uitrusten VRI krpt Nijverheidsstraat, aparte fietsfase dwars op R30, ... zie ook 33866\nAanpassen kruisingen nav onderzoek door Buro Move - Suunta en toegelicht aan stad Brugge op 16/01/19. Simulaties Sweco uitgevoerd en goedgekeurd. Detailontwerp in opmaak (19/6/19). Ggk op PCV 29/4/2020.</t>
  </si>
  <si>
    <t>WWV/INV/R30/4</t>
  </si>
  <si>
    <t>KP/000372</t>
  </si>
  <si>
    <t>KP/000359</t>
  </si>
  <si>
    <t>IN/000356</t>
  </si>
  <si>
    <t>in Brugge : Leopold II-laan, Leopold I-laan, Scheepsdalelaan</t>
  </si>
  <si>
    <t>Aanpassen lichtenregeling. omleggen fietspaden en voorzien van een aparte fietsfase voor het fietsverkeer langs de N9. Zodra mogelijk invoeren vierkant groen.\nJan 21: uitvoering bezig, afgerond rond april\nAug 21: rode coating + laatste markeringswerken uitgevoerd</t>
  </si>
  <si>
    <t>WWV/INV/N9/3</t>
  </si>
  <si>
    <t>KP/000360</t>
  </si>
  <si>
    <t>IN/000357</t>
  </si>
  <si>
    <t>in Brugge : Expresweg, Gistelse Steenweg, N31 Richting Zeebrugge</t>
  </si>
  <si>
    <t>aanpassing hoeken kruispunt (oa extra afslagstrook en opstelruimte creeëren voor fietsers en voetgangers), wijziging VRI (deels conflictvrij voor fietsers). aansluitend op werken geluidsmuren, mogelijks 2022</t>
  </si>
  <si>
    <t>WWV/INV/N31/6</t>
  </si>
  <si>
    <t>IN/000358</t>
  </si>
  <si>
    <t>KP/000362</t>
  </si>
  <si>
    <t>IN/000359</t>
  </si>
  <si>
    <t>GEEN E1 KLEINE INGREEP in Brugge : Gistelse Steenweg, Jan Britostraat, Robr. van Vlaanderenlaan</t>
  </si>
  <si>
    <t>studie N367 Sint-Andries is lopende</t>
  </si>
  <si>
    <t>KP/000363</t>
  </si>
  <si>
    <t>IN/000360</t>
  </si>
  <si>
    <t>in Brugge : Buiten Kruisvest, Dampoortstraat, Potterierei</t>
  </si>
  <si>
    <t>uitvoering pcv, aanpassing cyclus, aanpassen fietsvoorzieningen (stuk nieuw fietspad, accentueren FP, ...)</t>
  </si>
  <si>
    <t>KP/000364</t>
  </si>
  <si>
    <t>IN/000361</t>
  </si>
  <si>
    <t>in Brugge : Buiten Begijnenvest, Oostmeers, Stationsplein</t>
  </si>
  <si>
    <t>VRI aangepast (maar beperkt effect op de gebeurde ongevallen)</t>
  </si>
  <si>
    <t>WWV/INV/R30/12</t>
  </si>
  <si>
    <t>IN/000362</t>
  </si>
  <si>
    <t>Simulaties voor invoering actieplan afgerond (KT), waaruit mogelijkheid voor conflictvrije fietsfase langs R30 moet blijken. Parallel studie fiets-voetgangersbrug over R30 wordt opgestart (dd juni 2020) (MLT)</t>
  </si>
  <si>
    <t>WWV/INV/R30/2</t>
  </si>
  <si>
    <t>KP/000365</t>
  </si>
  <si>
    <t>IN/000363</t>
  </si>
  <si>
    <t>in Brugge : Blankenbergse Steenweg, Scheepsdalelaan, Sint-Pieterskaai, Steenkaai</t>
  </si>
  <si>
    <t>Vierkant groen op kruispunt Scheepsdalebrug. \nInfrastructurele aanpassingen aan het kruispunt (VRI en wegenis) met de Houtkaai.\n\n</t>
  </si>
  <si>
    <t>WWV/INV/N9/4</t>
  </si>
  <si>
    <t>KP/000366</t>
  </si>
  <si>
    <t>IN/000364</t>
  </si>
  <si>
    <t>VRI: aanpassen lichtenregeling in Brugge : Buiten De Kruispoort, Buiten Kazernevest, Buiten Kruisvest, Langestraat, Moerkerkse Steenweg</t>
  </si>
  <si>
    <t>IN/000365</t>
  </si>
  <si>
    <t>Infrastructurele wijzigingen. Aanleg tweede kruispoortbrug.\nOpdrachtgever studiefase: DVW (contactpersoon = Jonas Fahy)</t>
  </si>
  <si>
    <t>KP/000367</t>
  </si>
  <si>
    <t>IN/000366</t>
  </si>
  <si>
    <t>Fietspad: coating in Brugge : Gistelse Steenweg, Korte Vesting</t>
  </si>
  <si>
    <t>accentueren fietspaden</t>
  </si>
  <si>
    <t>IN/000367</t>
  </si>
  <si>
    <t>herinrichten wegvak Phare- Smedenpoort &gt; studie moet nog worden opgestart</t>
  </si>
  <si>
    <t>KP/000368</t>
  </si>
  <si>
    <t>IN/000368</t>
  </si>
  <si>
    <t>in Brugge : Sint-Baafsstraat, Torhoutse Steenweg</t>
  </si>
  <si>
    <t>accentueren fietspad</t>
  </si>
  <si>
    <t>KP/000369</t>
  </si>
  <si>
    <t>IN/000369</t>
  </si>
  <si>
    <t>in Brugge : Krakeleweg, Sint-Pieterskaai</t>
  </si>
  <si>
    <t>Afsluiten zijstraat</t>
  </si>
  <si>
    <t>WWV/INV/R30/13</t>
  </si>
  <si>
    <t>IN/000370</t>
  </si>
  <si>
    <t>Dubbelrichtingsfietspad zonder aanpassing lichtenregeling, zijstraat wordt enkelrichting.</t>
  </si>
  <si>
    <t>KP/000370</t>
  </si>
  <si>
    <t>IN/000371</t>
  </si>
  <si>
    <t>in Brugge : Doornhut, Maalse Steenweg, Vossensteert</t>
  </si>
  <si>
    <t>KP/000371</t>
  </si>
  <si>
    <t>IN/000372</t>
  </si>
  <si>
    <t>in Brugge : Baron Ruzettelaan, Buiten Gentpoortvest, Buiten Katelijnevest, Katelijnestraat, R30 Buitenring</t>
  </si>
  <si>
    <t>V-plan opgemaakt 20/12/18. Belangrijkste conflict voor fietsers weg</t>
  </si>
  <si>
    <t>IN/000373</t>
  </si>
  <si>
    <t>in Brugge : Generaal Lemanlaan, N337a Verbinding R30 - N337, Nijverheidsstraat</t>
  </si>
  <si>
    <t>Stopstreep verbindingsweg x N337 + rode coating op fietspad over Nijverheidsstraat (14/08/2019)</t>
  </si>
  <si>
    <t>WWV/INV/N337/5</t>
  </si>
  <si>
    <t>IN/000374</t>
  </si>
  <si>
    <t>Aanpassen kruisingen nav onderzoek door Buro Move - Suunta en toegelicht aan stad Brugge op 16/01/19. Simulaties Sweco uitgevoerd en goedgekeurd. Detailontwerp in opmaak (19/6/19). Ggk op PCV 29/4/2020.</t>
  </si>
  <si>
    <t>KP/000373</t>
  </si>
  <si>
    <t>IN/000375</t>
  </si>
  <si>
    <t>in Brugge : Gistelse Steenweg, burggraaf de Nieulantlaan</t>
  </si>
  <si>
    <t>KP/000374</t>
  </si>
  <si>
    <t>IN/000376</t>
  </si>
  <si>
    <t>in Brugge : Bevrijdingslaan, Guido Gezellelaan, Gulden-Vlieslaan, Hoefijzerlaan, Pater Damiaanstraat</t>
  </si>
  <si>
    <t>oplossing voor fiets-fiets-ongevallen op de hoek met de Damiaanstraat. Verbeteren zichtbaarheid.</t>
  </si>
  <si>
    <t>KP/000375</t>
  </si>
  <si>
    <t>IN/000377</t>
  </si>
  <si>
    <t>in Brugge : Buiten Begijnenvest, Chantrellstraat, Hendrik Brugmansstraat</t>
  </si>
  <si>
    <t>KP/000377</t>
  </si>
  <si>
    <t>IN/000378</t>
  </si>
  <si>
    <t>in De Haan : Brugse Baan, Clemensheulestraat, Duiveketestraat</t>
  </si>
  <si>
    <t>TC geplaatst \nEventueel: Uitvoerig PCV beslissing (middengeleiders, aanpassing bushaltes, accentueren fietspaden, ....)\nTiming afhankelijk van coronamaatregelen. Uitvoering voorzien in stockbestek dit jaar.</t>
  </si>
  <si>
    <t>KP/000378</t>
  </si>
  <si>
    <t>IN/000379</t>
  </si>
  <si>
    <t>in De Panne : N34 Richting De Panne</t>
  </si>
  <si>
    <t>parkeren onmogelijk maken zijde Hoeve Noord om de zichtbaarheid bij het uitrijden te verbeteren.</t>
  </si>
  <si>
    <t>IN/000380</t>
  </si>
  <si>
    <t>omleidingsweg Adinkerke (uitgebreide werken)</t>
  </si>
  <si>
    <t>WWV/INV/N34/1</t>
  </si>
  <si>
    <t>KP/000379</t>
  </si>
  <si>
    <t>IN/000381</t>
  </si>
  <si>
    <t>VERWIJDEREN SAMEN MET ANDERE INGREEP in De Pinte : A14-E17 Richting Frankrijk Uitrit 8, N60 Richting Gent, N60 Richting Valenciennes (Fr)</t>
  </si>
  <si>
    <t>wordt een driekwart klaverblad, + aanleg rotonde + fietser gescheiden</t>
  </si>
  <si>
    <t>IN/000382</t>
  </si>
  <si>
    <t>in De Pinte : A14-E17 Richting Antwerpen Uitrit 8, N60 Richting Gent, N60 Richting Valenciennes (Fr)</t>
  </si>
  <si>
    <t>WOV/INV/N60/8</t>
  </si>
  <si>
    <t>KP/000380</t>
  </si>
  <si>
    <t>KP/000381</t>
  </si>
  <si>
    <t>IN/000383</t>
  </si>
  <si>
    <t>in Deerlijk : A14-E17 Richting Frankrijk Oprit 4, Vichtesteenweg</t>
  </si>
  <si>
    <t>KP/000382</t>
  </si>
  <si>
    <t>IN/000384</t>
  </si>
  <si>
    <t>in Denderleeuw : N45 met Hoogstraat</t>
  </si>
  <si>
    <t>stopstreep verplaatst (september 2019), trajectcontrole geplaatst (2018, maar werkt nog niet) op 2 locaties N45 2.1-4.7 en 6&gt;N28) allebei geplaatst in 2018, RLC functie (DO afwachten)</t>
  </si>
  <si>
    <t>IN/000385</t>
  </si>
  <si>
    <t>VERWIJDEREN in Dendermonde : N17 Mechelsesteenweg, N41 Richting Aalst, N41 Richting Hulst (Nl)</t>
  </si>
  <si>
    <t>Volledig conflictvrije maken, waardoor er een extra vak moet bijgelegd worden</t>
  </si>
  <si>
    <t>KP/000384</t>
  </si>
  <si>
    <t>IN/000386</t>
  </si>
  <si>
    <t>VERWIJDEREN in Dendermonde : N47 Leopold II-laan, Martelarenlaan, N17 Mechelsesteenweg, N406 Noordlaan</t>
  </si>
  <si>
    <t>complete heraanleg (TV3V project)</t>
  </si>
  <si>
    <t>KP/000383</t>
  </si>
  <si>
    <t>IN/000387</t>
  </si>
  <si>
    <t>in Dendermonde : N406 Noordlaan met De Bruynlaan en Veerstraat</t>
  </si>
  <si>
    <t>GIP2020; aanbesteding in 2020, start uitvoering ten vroegste najaar 2021 (samen met Mechelsepoort)</t>
  </si>
  <si>
    <t>WOV/INV/N17/1</t>
  </si>
  <si>
    <t>KP/000385</t>
  </si>
  <si>
    <t>KP/003897</t>
  </si>
  <si>
    <t>IN/000388</t>
  </si>
  <si>
    <t>VRI: aanpassen lichtenregeling + bijkomende aanpassingen infra in Diepenbeek : Grendelbaan, Verbindingslaan</t>
  </si>
  <si>
    <t>Conflictvrij maken van kruispunt (2T-kruispunten ipv 4 armen)</t>
  </si>
  <si>
    <t>WL/INV/N76/21</t>
  </si>
  <si>
    <t>KP/000386</t>
  </si>
  <si>
    <t>IN/000389</t>
  </si>
  <si>
    <t>Diepenbeek N76 x N2</t>
  </si>
  <si>
    <t>Het betreft in eerste fase een tijdelijke vernieuwde aansluiting van de Grendelbaan (N2) op de Verbindingslaan (N76) aan de zijde van Diepenbeek-centrum. Die aanpassing moet er komen om de aansluiting te kunnen maken op de nieuwe spoorwegbrug Molenstraat (ter hoogte van de N76). Dit deelproject maakt deel uit van een nieuw verhaal voor Diepenbeek-centrum, dat samen met Infrabel en De Lijn wordt geschreven. Het doorgaand en zwaar oost-west wordt tegen midden 2022 zo rond het centrum geleid, wat de leefbaarheid van en de verkeersveiligheid in het dorp ten goede komt.\n\nAWV past het kruispunt N76 x N2 aan, met een nieuwe lus aan de westzijde van de N76 (centrum Diepenbeek). Zo ontstaan er dicht bij elkaar, uitkomende op de N76, twee T-kruispunten met de N2. Die worden met verkeerslichten geregeld, en op elkaar afgestemd. \n\nDit project wordt nu een 'tijdelijke oplossing' genoemd, omdat er in 2021 ook een studie werd opgestart voor een vernieuwing van het wegvak N76 Verbindingslaan ter hoogte van de N2 en de Katteweidelaan.</t>
  </si>
  <si>
    <t>WL/INV/N76/6</t>
  </si>
  <si>
    <t>KP/000387</t>
  </si>
  <si>
    <t>IN/000390</t>
  </si>
  <si>
    <t>in Diepenbeek : Katteweidelaan, Verbindingslaan</t>
  </si>
  <si>
    <t>Plaatsing VRI</t>
  </si>
  <si>
    <t>KP/000388</t>
  </si>
  <si>
    <t>IN/000391</t>
  </si>
  <si>
    <t>in Diest : Koningin Astridlaan, Omer Vanaudenhovelaan, Sint-Janstraat, Sint-Jansveld, Vervoortstraat</t>
  </si>
  <si>
    <t>busbaan van kan verleggen, bredere middenberm, punaise</t>
  </si>
  <si>
    <t>KP/000389</t>
  </si>
  <si>
    <t>IN/000392</t>
  </si>
  <si>
    <t>in Dilbeek : E. Eylenboschstraat, Ninoofsesteenweg, Wijngaardstraat</t>
  </si>
  <si>
    <t>KP/000391</t>
  </si>
  <si>
    <t>IN/000393</t>
  </si>
  <si>
    <t>in Dilbeek : Ninoofsesteenweg, R0 Buitenring Oprit 13 (N8), Rozenlaan</t>
  </si>
  <si>
    <t>aanpassen stopstreep</t>
  </si>
  <si>
    <t>IN/000394</t>
  </si>
  <si>
    <t>in Dilbeek : Ninoofsesteenweg, R0 Buitenring Oprit 13 (N8), Rozenlaan (MAG WEG - DOOR DWV)</t>
  </si>
  <si>
    <t>aanpassing diamond cross. herinrichting R0</t>
  </si>
  <si>
    <t>KP/000392</t>
  </si>
  <si>
    <t>IN/000395</t>
  </si>
  <si>
    <t>in Dilbeek : A10-E40 Richting Brussel (weefzone tussen nevenbedrijf en aansluiting R0)  (MAG WEG - DOOR DWV)</t>
  </si>
  <si>
    <t>wordt heringericht door de werkvenootschap</t>
  </si>
  <si>
    <t>KP/000393</t>
  </si>
  <si>
    <t>IN/000396</t>
  </si>
  <si>
    <t>Handhaving in Dilsen-Stokkem : Rachels, Rijksweg</t>
  </si>
  <si>
    <t>2 RLC's (historische lijst)</t>
  </si>
  <si>
    <t>WL/INV/N78/17</t>
  </si>
  <si>
    <t>KP/000394</t>
  </si>
  <si>
    <t>IN/000397</t>
  </si>
  <si>
    <t>Verlagen toegelaten snelheid in Drogenbos : R0-A7 Binnenring Oprit 18 (Ruisbroek), R0 Binnenring</t>
  </si>
  <si>
    <t>Verlagen toegelaten snelheid</t>
  </si>
  <si>
    <t>KP/000396</t>
  </si>
  <si>
    <t>IN/000398</t>
  </si>
  <si>
    <t>in Edegem : de Burletlaan, De Burletlaan, Prins Boudewijnlaan</t>
  </si>
  <si>
    <t>N173 (doorsteek + fietsoversteek) ter hoogte van verschillende kruispunten wordt aangepakt. Ter hoogte van oversteken zal het aantal rijstroken naar 1 gebracht worden, zodat de lengte van de oversteek beperkt wordt. Oversteek voor gemotoriseerd verkeer niet meer mogelijk, er zal gewerkt worden met keerlussen. concept wordt aan Edegem voorgelegd &gt; gemeente niet akkoord</t>
  </si>
  <si>
    <t>KP/000397</t>
  </si>
  <si>
    <t>IN/000399</t>
  </si>
  <si>
    <t>in Edegem : Den Eeckhofstraat, Ingenieur Haesaertslaan, Kerkplein, Leroylaan, Prins Boudewijnlaan</t>
  </si>
  <si>
    <t>KP/000398</t>
  </si>
  <si>
    <t>IN/000400</t>
  </si>
  <si>
    <t>in Eeklo : N9 Stationsstraat met Oostveldstraat. (Relance Raamcontract)</t>
  </si>
  <si>
    <t>IN/000401</t>
  </si>
  <si>
    <t>in Eeklo : N9 Stationsstraat met Oostveldstraat</t>
  </si>
  <si>
    <t>Fietspad verleggen (budget vanuit Eeklo?) + VRI conflictvrij + bushalte aanpassen+ aanpassen overweg om fietspad te ontsluiten</t>
  </si>
  <si>
    <t>KP/000400</t>
  </si>
  <si>
    <t>IN/000402</t>
  </si>
  <si>
    <t>Verticale signalisatie aanpassen in Eeklo : Boelare, Koning Albertstraat, Markt, Molenstraat</t>
  </si>
  <si>
    <t>B9 verplaatst (augustus 2019) + RLC plaatsen (2022)</t>
  </si>
  <si>
    <t>KP/000401</t>
  </si>
  <si>
    <t>IN/000403</t>
  </si>
  <si>
    <t>in Eeklo : Kaaistraat, Raamstraat, Stationsstraat</t>
  </si>
  <si>
    <t>Gevleugelde zebrapad uitgevoerd (2020)</t>
  </si>
  <si>
    <t>KP/000402</t>
  </si>
  <si>
    <t>IN/000404</t>
  </si>
  <si>
    <t>in Evergem : N456 Zwaantje met Wellingstraat en Putten</t>
  </si>
  <si>
    <t>huis afgebroken (slechte zichtbaarheid door huis) (2019)</t>
  </si>
  <si>
    <t>KP/000403</t>
  </si>
  <si>
    <t>IN/000405</t>
  </si>
  <si>
    <t>in Evergem : N456 Polenstraat met Wurmstraat</t>
  </si>
  <si>
    <t>B5 + stopstreep geplaatst</t>
  </si>
  <si>
    <t>WOV/INV/N456/15</t>
  </si>
  <si>
    <t>KP/000404</t>
  </si>
  <si>
    <t>IN/000406</t>
  </si>
  <si>
    <t>PPS R4WO  in Evergem : R4 Jacques Paryslaan met Pastorijstraat en Riemesteenweg</t>
  </si>
  <si>
    <t>tunnel (PPS R4WO)</t>
  </si>
  <si>
    <t>KP/000405</t>
  </si>
  <si>
    <t>IN/000407</t>
  </si>
  <si>
    <t>PPS R4WO in Evergem : R4 Jacques Paryslaan met Elslo</t>
  </si>
  <si>
    <t>complete heraanleg (PPS R4WO)</t>
  </si>
  <si>
    <t>KP/000406</t>
  </si>
  <si>
    <t>IN/000408</t>
  </si>
  <si>
    <t>Gevaarlijk Punt: R4 Evergem: kruispunt aanpasse; linksaf van R4 is verboden</t>
  </si>
  <si>
    <t>Linksaf van R4 is verboden (2020);\nR4 Jacques Paryslaan met Hoogstraat.</t>
  </si>
  <si>
    <t>IN/000409</t>
  </si>
  <si>
    <t>PPS  R4WO    Evergem : R4 Jacques Paryslaan met Hoogstraat</t>
  </si>
  <si>
    <t>fietsbrug (PPS R4WO)</t>
  </si>
  <si>
    <t>KP/000407</t>
  </si>
  <si>
    <t>IN/000410</t>
  </si>
  <si>
    <t>in Evergem : N456 Christoffelweg met Brielken en Schoonstraat. (Relance Raamcontract)</t>
  </si>
  <si>
    <t>IN/000411</t>
  </si>
  <si>
    <t>N456 Gent-Evergem doorstroming Brielken-R4</t>
  </si>
  <si>
    <t>WOV/INV/N456/1</t>
  </si>
  <si>
    <t>KP/000408</t>
  </si>
  <si>
    <t>IN/000412</t>
  </si>
  <si>
    <t>PPS R4WO   in Evergem : R4 Jacques Paryslaan met Langerbrugsestraat</t>
  </si>
  <si>
    <t>complete heraanleg R4WO</t>
  </si>
  <si>
    <t>KP/000409</t>
  </si>
  <si>
    <t>IN/000413</t>
  </si>
  <si>
    <t>VRI: aanpassen lichtenregeling in Genk : Camerlo, Oosterring</t>
  </si>
  <si>
    <t>Aanpassen lichtenregeling (slimme VRI)</t>
  </si>
  <si>
    <t>WL/INV/N75/11</t>
  </si>
  <si>
    <t>KP/000410</t>
  </si>
  <si>
    <t>IN/000414</t>
  </si>
  <si>
    <t>in Genk : Hoevenzavellaan, Weststraat</t>
  </si>
  <si>
    <t>zebrapad weggehaald, FOP aangepast</t>
  </si>
  <si>
    <t>KP/000411</t>
  </si>
  <si>
    <t>IN/000415</t>
  </si>
  <si>
    <t>in Genk : A2-E314 Richting Leuven</t>
  </si>
  <si>
    <t>(toevalsfactor)</t>
  </si>
  <si>
    <t>KP/000412</t>
  </si>
  <si>
    <t>IN/000416</t>
  </si>
  <si>
    <t>VRI: aanpassen lichtenregeling in Genk : Achterstraat, Hoevenzavellaan, Risstraat</t>
  </si>
  <si>
    <t>Aanpassen lichtenregeling (volgens actieplan)</t>
  </si>
  <si>
    <t>KP/000413</t>
  </si>
  <si>
    <t>IN/000417</t>
  </si>
  <si>
    <t>Verlagen toegelaten snelheid in Genk : Boudewijnlaan, Henry Fordlaan, Nieuwstraat, Westerring</t>
  </si>
  <si>
    <t>Snelheidsverlaging + 2 maatregelen mbt zichtbaarheid lichten</t>
  </si>
  <si>
    <t>WL/INV/N702/4</t>
  </si>
  <si>
    <t>KP/000414</t>
  </si>
  <si>
    <t>IN/000418</t>
  </si>
  <si>
    <t>in Genk : Europalaan, Westerring</t>
  </si>
  <si>
    <t>VRI slim gemaakt</t>
  </si>
  <si>
    <t>KP/000415</t>
  </si>
  <si>
    <t>IN/000419</t>
  </si>
  <si>
    <t>VRI: aanpassen lichtenregeling in Genk : Evence Coppéelaan, Westerring</t>
  </si>
  <si>
    <t>Aanpassen lichtenregeling + markering aanpassen (reeds uitgevoerd)</t>
  </si>
  <si>
    <t>KP/000416</t>
  </si>
  <si>
    <t>IN/000420</t>
  </si>
  <si>
    <t>in Genk : Westerring</t>
  </si>
  <si>
    <t>KP/000417</t>
  </si>
  <si>
    <t>IN/000421</t>
  </si>
  <si>
    <t>VRI: aanpassen lichtenregeling in Genk : Fletersdel, Oosterring</t>
  </si>
  <si>
    <t>WL/INV/N75/10</t>
  </si>
  <si>
    <t>IN/000422</t>
  </si>
  <si>
    <t>uitgebreidere aanpassing</t>
  </si>
  <si>
    <t>KP/000418</t>
  </si>
  <si>
    <t>IN/000423</t>
  </si>
  <si>
    <t>GEEN E1 UITGEVOERD in Gent : B401 Richting A14, Bellevue, Dierentuinlaan, Gustaaf Callierlaan, Keizervest, Sint-Lievenslaan, Zuidparklaan</t>
  </si>
  <si>
    <t>Fietsonderdoorgang + aanpassingen infra (werken bezig) + aanpassing VRI</t>
  </si>
  <si>
    <t>KP/000419</t>
  </si>
  <si>
    <t>IN/000424</t>
  </si>
  <si>
    <t>NIET IN E1, UITGEVOERD in Gent : Achilles Musschestraat, Kortrijksesteenweg, Sint-Denijslaan</t>
  </si>
  <si>
    <t>Structureel onderhoud + aanpakken van fietsoversteek (2020)</t>
  </si>
  <si>
    <t>KP/000420</t>
  </si>
  <si>
    <t>IN/000425</t>
  </si>
  <si>
    <t>in Gent : R40 Sint-Lievenslaan met Tentoonstellingslaan. (Relance Raamcontract)</t>
  </si>
  <si>
    <t>KP/000421</t>
  </si>
  <si>
    <t>IN/000426</t>
  </si>
  <si>
    <t>N458 Gent Wiedauwkaai doorstromingsmaatregelen</t>
  </si>
  <si>
    <t>herinrichting (hoge kosten)</t>
  </si>
  <si>
    <t>WOV/INV/N458/1</t>
  </si>
  <si>
    <t>KP/000423</t>
  </si>
  <si>
    <t>IN/000427</t>
  </si>
  <si>
    <t>in Gent : R4 Industrieweg / Eversteinlaan met Evergemsesteenweg en Zeeschipstraat</t>
  </si>
  <si>
    <t>Aanpassen VRI volgens actieplan (2018)</t>
  </si>
  <si>
    <t>KP/000424</t>
  </si>
  <si>
    <t>IN/000428</t>
  </si>
  <si>
    <t>in Gent : N70 Land van Waaslaan met Engelbert van Arenbergstraat</t>
  </si>
  <si>
    <t>Heraanleg deel N70 tussen Antwerpenplein en Alfons Braeckmanlaan</t>
  </si>
  <si>
    <t>WOV/INV/N70/5</t>
  </si>
  <si>
    <t>KP/000425</t>
  </si>
  <si>
    <t>IN/000429</t>
  </si>
  <si>
    <t>PPS R4WO  Gent : R4 John Kennedylaan met Energiestraat</t>
  </si>
  <si>
    <t>brug (PPS R4WO)</t>
  </si>
  <si>
    <t>KP/000426</t>
  </si>
  <si>
    <t>IN/000430</t>
  </si>
  <si>
    <t>in Gent : N456 Port Arthurlaan met Pauwstraat. (Relance Raamcontract)</t>
  </si>
  <si>
    <t>Fietspaden vrijliggend maken</t>
  </si>
  <si>
    <t>WOV/INV/N456/12</t>
  </si>
  <si>
    <t>IN/000431</t>
  </si>
  <si>
    <t>in Gent : N456 Port Arthurlaan met Pauwstraat</t>
  </si>
  <si>
    <t>KP/000427</t>
  </si>
  <si>
    <t>IN/000432</t>
  </si>
  <si>
    <t>in Gent : N70 Antwerpsesteenweg met Kleine Schuurstraat</t>
  </si>
  <si>
    <t>WOV/INV/N70/4</t>
  </si>
  <si>
    <t>KP/000434</t>
  </si>
  <si>
    <t>KP/000428</t>
  </si>
  <si>
    <t>IN/000433</t>
  </si>
  <si>
    <t>Gevaarlijk Punt: R40 Gent: aanpassen lichtenregeling</t>
  </si>
  <si>
    <t>Aanpassen lichtenregeling (VRI) + markering aanpassen: 1 linksaf verboden en andere wordt conflictvrij  (2021);\nR40 Einde Were met N430 Nieuwewandeling en Overzet.</t>
  </si>
  <si>
    <t>WOV/INV/R40/9</t>
  </si>
  <si>
    <t>KP/000429</t>
  </si>
  <si>
    <t>IN/000434</t>
  </si>
  <si>
    <t>Gevaarlijk Punt: N60 Gent: VRI: aanpassen lichtenregeling + bijkomende aanpassingen infra</t>
  </si>
  <si>
    <t>Aanpassen lichtenregeling + infra;\nin Gent : N60 Krijgslaan met Burggravenlaan. (Relance Raamcontract)</t>
  </si>
  <si>
    <t>WOV/INV/N60/11</t>
  </si>
  <si>
    <t>KP/000430</t>
  </si>
  <si>
    <t>IN/000435</t>
  </si>
  <si>
    <t>Infra allerlei (oa brugvoegen vernieuwen, middenberm sluiten) in Gent : R40 Ijzerlaan met Eedverbondkaai en Holdaal. (Relance Raamcontract)</t>
  </si>
  <si>
    <t>Middenberm sluiten (+ extra)</t>
  </si>
  <si>
    <t>WOV/INV/R40/11</t>
  </si>
  <si>
    <t>KP/000431</t>
  </si>
  <si>
    <t>IN/000436</t>
  </si>
  <si>
    <t>Gevaarlijk Punt: N444 Gent : aanpassen lichtenregeling</t>
  </si>
  <si>
    <t>nog niet gedefinieerd;\nAchilles Heyndrickxlaan, Hundelgemsesteenweg, Willem van Guliklaan</t>
  </si>
  <si>
    <t>WOV/INV/N444/6</t>
  </si>
  <si>
    <t>IN/000437</t>
  </si>
  <si>
    <t>in Gent : Achilles Heyndrickxlaan, Hundelgemsesteenweg, Willem van Guliklaan</t>
  </si>
  <si>
    <t>Gedeeltelijke herinrichting van kruispunt (oa conflictvrij) Weg wordt heraangelegd door Gent, VRI door AWV</t>
  </si>
  <si>
    <t>KP/000433</t>
  </si>
  <si>
    <t>IN/000438</t>
  </si>
  <si>
    <t>in Gent : N70 Antwerpsesteenweg met Groenstraat en Orchideestraat - eerste fase</t>
  </si>
  <si>
    <t>conflictvrij maken + fysieke voorstart fietsers (2020)</t>
  </si>
  <si>
    <t>IN/000439</t>
  </si>
  <si>
    <t>in Gent : N70 Antwerpsesteenweg met Groenstraat en Orchideestraat</t>
  </si>
  <si>
    <t>complete heraanleg</t>
  </si>
  <si>
    <t>WOV/INV/N70/2</t>
  </si>
  <si>
    <t>IN/000440</t>
  </si>
  <si>
    <t>VERWIJDEREN    in Gent : Achtenkouterstraat, Antwerpsesteenweg, Hollenaarstraat</t>
  </si>
  <si>
    <t>heraanleg kruispunt.</t>
  </si>
  <si>
    <t>KP/000435</t>
  </si>
  <si>
    <t>IN/000441</t>
  </si>
  <si>
    <t>in Gent : N9 Brugsevaart met op- en afrit R4 Industrieweg en Speistraat</t>
  </si>
  <si>
    <t>In kader van heraanleg N9 Brugsevaart</t>
  </si>
  <si>
    <t>WOV/INV/N9/3</t>
  </si>
  <si>
    <t>KP/000437</t>
  </si>
  <si>
    <t>IN/000442</t>
  </si>
  <si>
    <t>in Gent : R40 Rooigemlaan met N466 Drongensesteenweg. (Relance Raamcontract)</t>
  </si>
  <si>
    <t>WOV/INV/R40/12</t>
  </si>
  <si>
    <t>IN/000443</t>
  </si>
  <si>
    <t>in Gent : R40 Rooigemlaan met N466 Drongensesteenweg</t>
  </si>
  <si>
    <t>KP/000438</t>
  </si>
  <si>
    <t>IN/000444</t>
  </si>
  <si>
    <t>in Gent : R40 Vlaamsekaai met Snoekstraat</t>
  </si>
  <si>
    <t>zebrapad werd weggehaald + jersey werd doorgetrokken (november 2019)</t>
  </si>
  <si>
    <t>KP/000439</t>
  </si>
  <si>
    <t>IN/000445</t>
  </si>
  <si>
    <t>in Gent : wegvak kruispunt N43 Kortrijksesteenweg met Sint-Dionysiusstraat en Schoonzichtstraat tot rotonde Driesleutels. (Relance Raamcontract)</t>
  </si>
  <si>
    <t>IN/000446</t>
  </si>
  <si>
    <t>PPS tram  Gent : wegvak kruispunt N43 Kortrijksesteenweg met Sint-Dionysiusstraat en Schoonzichtstraat tot rotonde Driesleutels</t>
  </si>
  <si>
    <t>Fietspaden verbeteren en middengeleider aanleggen</t>
  </si>
  <si>
    <t>KP/000441</t>
  </si>
  <si>
    <t>IN/000447</t>
  </si>
  <si>
    <t>PPS R4WO  Gent : R4 John Kennedylaan met Smishoekstraat</t>
  </si>
  <si>
    <t>Project De Werkvennootschap. Kruispunt verdwijnt en wordt een fietstunnel</t>
  </si>
  <si>
    <t>KP/000442</t>
  </si>
  <si>
    <t>IN/000448</t>
  </si>
  <si>
    <t>Gevaarlijk Punt: R40 Gent : verlengen linksafslagstrook, bushaltes aanpassen, vri semi-conflitvrij maken, VOP verschuiven, ...</t>
  </si>
  <si>
    <t>Verlengen linksafslagstrook, bushaltes aanpassen, vri semi-conflitvrij maken, VOP verschuiven, ...;\nR40 Rooigemlaan met Bevrijdingslaan, Brugsesteenweg, Hamerstraat.</t>
  </si>
  <si>
    <t>KP/000443</t>
  </si>
  <si>
    <t>IN/000449</t>
  </si>
  <si>
    <t>in Gent : Blaisantvest, Muidelaan, Muidepoort, Neuseplein, Sint-Salvatorstraat, Voormuide</t>
  </si>
  <si>
    <t>aanpassing aan Noord-Oost hoek van kruispunt: bypass aanpassen zodat deze veiliger wordt voor de fieters</t>
  </si>
  <si>
    <t>IN/000450</t>
  </si>
  <si>
    <t>PPS tram Gent  : Blaisantvest, Muidelaan, Muidepoort, Neuseplein, Sint-Salvatorstraat, Voormuide</t>
  </si>
  <si>
    <t>Verkennende studie Neuseplein en omgeving lopende</t>
  </si>
  <si>
    <t>KP/000444</t>
  </si>
  <si>
    <t>IN/000451</t>
  </si>
  <si>
    <t>Gent : Dampoortstraat, Dok-Zuid, Hagelandkaai, Kasteellaan, Oktrooiplein</t>
  </si>
  <si>
    <t>Uitrusten van Dampoort met VRI (opgelet, in 2 fases)  (2018)\n Aanpassing signalisatie en kleine infra aanpassingen (fietspad)  (2018)</t>
  </si>
  <si>
    <t>KP/000445</t>
  </si>
  <si>
    <t>IN/000452</t>
  </si>
  <si>
    <t>Gevaarlijk Punt: N60 Gent: plaatsen van verkeerslichten</t>
  </si>
  <si>
    <t>Plaatsen van verkeerslichten;\nVRI: nieuwe installatie plaatsen in Gent : N60 Krijgslaan met Achilles Musschestraat. (Relance Raamcontract)</t>
  </si>
  <si>
    <t>WOV/INV/N60/12</t>
  </si>
  <si>
    <t>KP/000446</t>
  </si>
  <si>
    <t>IN/000453</t>
  </si>
  <si>
    <t>in Gent : N70 Nieuwelaan met N70a Antwerpsesteenweg. (Relance Raamcontract)</t>
  </si>
  <si>
    <t>Lichten plaatsen?</t>
  </si>
  <si>
    <t>WOV/INV/N70/18</t>
  </si>
  <si>
    <t>KP/000447</t>
  </si>
  <si>
    <t>IN/000454</t>
  </si>
  <si>
    <t>in Gent : N70a Antwerpsesteenweg - Pitta Can. (Relance Raamcontract)</t>
  </si>
  <si>
    <t>KP/000448</t>
  </si>
  <si>
    <t>IN/000455</t>
  </si>
  <si>
    <t>Gevaarlijk Punt: N466 Gent: verticale signalisatie aanpassen</t>
  </si>
  <si>
    <t>Linksafbeweging verbieden;\nN466 Drongensesteenweg met Paddelstraat</t>
  </si>
  <si>
    <t>WOV/INV/N466/6</t>
  </si>
  <si>
    <t>KP/000449</t>
  </si>
  <si>
    <t>IN/000456</t>
  </si>
  <si>
    <t>Gevaarlijk Punt: N466xN461 Gent: aanpassen kruispunt VRI + Infra</t>
  </si>
  <si>
    <t>N466 Deinsesteenweg met N461 Antoon Catriestraat. (Relance Raamcontract);\nAanpassen kruispunt VRI + Infra</t>
  </si>
  <si>
    <t>WOV/INV/N466/7</t>
  </si>
  <si>
    <t>IN/000457</t>
  </si>
  <si>
    <t>in Gent : N466 Deinsesteenweg met N461 Antoon Catriestraat</t>
  </si>
  <si>
    <t>Lichtenregeling conflictvrij maken met complete heraanleg</t>
  </si>
  <si>
    <t>KP/000450</t>
  </si>
  <si>
    <t>IN/000458</t>
  </si>
  <si>
    <t>in Gent : N9 Brusselsesteenweg met Land van Rodelaan en op- en afrit E17</t>
  </si>
  <si>
    <t>IN/000459</t>
  </si>
  <si>
    <t>in Gent : N9 Brusselsesteenweg met Land van Rodelaan en op- en afrit E1711</t>
  </si>
  <si>
    <t>studie doorstroming tramlijn 2 (kruispunt zi hierbij)</t>
  </si>
  <si>
    <t>KP/000451</t>
  </si>
  <si>
    <t>IN/000460</t>
  </si>
  <si>
    <t>in Gent : N70 Land van Waaslaan met Pilorijnstraat</t>
  </si>
  <si>
    <t>De signalisatie duidelijker maken  (2018)</t>
  </si>
  <si>
    <t>KP/000452</t>
  </si>
  <si>
    <t>IN/000461</t>
  </si>
  <si>
    <t>in Gent : Pantserschipstraat, N458 Wondelgemkaai, N456 Zeeschipstraat</t>
  </si>
  <si>
    <t>heraanleg kruispunt in kader van herbouwen Meulestedebrug</t>
  </si>
  <si>
    <t>WOV/INV/N456/2</t>
  </si>
  <si>
    <t>KP/000453</t>
  </si>
  <si>
    <t>IN/000462</t>
  </si>
  <si>
    <t>Gevaarlijk punt: R40 Gent: aanpassen lichtenregeling</t>
  </si>
  <si>
    <t>Conflictvrij maken;\nVRI: aanpassen lichtenregeling in Gent : R40 Charles de Kerchovelaan / Citadellaan met Hofbouwlaan, Normaalschoolstraat, Overpoortstraat. (Relance Raamcontract)</t>
  </si>
  <si>
    <t>WOV/INV/R40/10</t>
  </si>
  <si>
    <t>KP/000454</t>
  </si>
  <si>
    <t>IN/000463</t>
  </si>
  <si>
    <t>Horizontale signalisatie aanpassen in Gent : R40 Ijzerlaan met Bijlokekaai en Henleykaai. (Relance Raamcontract)</t>
  </si>
  <si>
    <t>VRI plaatsen</t>
  </si>
  <si>
    <t>KP/000455</t>
  </si>
  <si>
    <t>IN/000464</t>
  </si>
  <si>
    <t>Gevaarlijk Punt: N9 Gent: markeringen aanpassen</t>
  </si>
  <si>
    <t>Alexis Dallièrestraat, Brusselsesteenweg, Langestraat. (Relance Raamcontract);\nMarkeringen aanpassen</t>
  </si>
  <si>
    <t>WOV/INV/N9/26</t>
  </si>
  <si>
    <t>KP/000456</t>
  </si>
  <si>
    <t>IN/000465</t>
  </si>
  <si>
    <t>VRI: aanpassen lichtenregeling in Geraardsbergen : N42 Astridlaan met N493 Oudenaardsestraat. (Relance Raamcontract)</t>
  </si>
  <si>
    <t>Ombouw actieplan</t>
  </si>
  <si>
    <t>WOV/INV/N42/13</t>
  </si>
  <si>
    <t>IN/000466</t>
  </si>
  <si>
    <t>in Geraardsbergen : N42 Astridlaan met N493 Oudenaardsestraat</t>
  </si>
  <si>
    <t>KP/000457</t>
  </si>
  <si>
    <t>IN/000467</t>
  </si>
  <si>
    <t>Gevaarlijk Punt: N8 Geraardsbergen: VRI en Infra aanpassen</t>
  </si>
  <si>
    <t>VRI en Infra: aanpassen lichtenregeling in Geraardsbergen : Brambroek, N42 Richting Lessines, N42 Richting Wetteren, Brakel (N8), N8 Richting Brussel, N8 Richting Koksijde. (Relance raamcontract);\nOmbouw naar slimme verkeerslichten</t>
  </si>
  <si>
    <t>WOV/INV/N8/10</t>
  </si>
  <si>
    <t>KP/000458</t>
  </si>
  <si>
    <t>IN/000468</t>
  </si>
  <si>
    <t>in Gistel : Hoogstraat, Kerkstraat, Markt</t>
  </si>
  <si>
    <t>in- en uitritconstructie aanpassen om verkeer uit Kerkstraat te remmen</t>
  </si>
  <si>
    <t>KP/000459</t>
  </si>
  <si>
    <t>IN/000469</t>
  </si>
  <si>
    <t>in Grimbergen : R0 Binnenring (MAG WEG - DOOR DWV)</t>
  </si>
  <si>
    <t>KP/000460</t>
  </si>
  <si>
    <t>IN/000470</t>
  </si>
  <si>
    <t>in Grimbergen : R0 Binnenring Oprit A12, R0 Rotonde - Verkeerswisselaar A12</t>
  </si>
  <si>
    <t>Toegelaten snelheid verlaagd naar 70km/u</t>
  </si>
  <si>
    <t>IN/000471</t>
  </si>
  <si>
    <t>in Grimbergen : R0 Binnenring Oprit A12, R0 Rotonde - Verkeerswisselaar A12 (MAG WEG - DOOR DWV)</t>
  </si>
  <si>
    <t>KP/000461</t>
  </si>
  <si>
    <t>IN/000472</t>
  </si>
  <si>
    <t>in Grobbendonk : A13-E313 Richting Antwerpen (herentals-West Grobbendonk)</t>
  </si>
  <si>
    <t>KP/000464</t>
  </si>
  <si>
    <t>IN/000473</t>
  </si>
  <si>
    <t>in Halle : A8-E429 Richting Brussel, A8-E429 Richting Lille (Fr), N203a Verbinding A7 - A8 te Halle, Nijvelsesteenweg</t>
  </si>
  <si>
    <t>Fiets- en voetgangersbrug</t>
  </si>
  <si>
    <t>IN/000474</t>
  </si>
  <si>
    <t>in Halle : A8-E429 Richting Brussel, A8-E429 Richting Lille (Fr), N203a Verbinding A7 - A8 te Halle, Nijvelsesteenweg (SCHRAPPEN - MAAKT DEEL UIT VAN WVB/INV/A8/1)</t>
  </si>
  <si>
    <t>er komt een voetgangers- en fietsersbrug</t>
  </si>
  <si>
    <t>KP/000465</t>
  </si>
  <si>
    <t>IN/000475</t>
  </si>
  <si>
    <t>Horizontale signalisatie aanpassen in Halle : Auguste Demaeghtlaan, Bergensesteenweg, Bevrijdingsplein, Edingensesteenweg</t>
  </si>
  <si>
    <t>zichtbaarheid wordt verbeterd door het weghalen van een cabine stroomvoorziening. Rotonde wordt teruggebracht naar 1 vak (nu veel breder) waardoor fietser beter in zicht komt</t>
  </si>
  <si>
    <t>KP/000466</t>
  </si>
  <si>
    <t>IN/000476</t>
  </si>
  <si>
    <t>in Halle : Auguste Demaeghtlaan (N28 Nijvelsestwg)</t>
  </si>
  <si>
    <t>Vrijliggende fietspaden, bushaltes aanpassen</t>
  </si>
  <si>
    <t>WVB/INV/N6/5</t>
  </si>
  <si>
    <t>KP/000467</t>
  </si>
  <si>
    <t>IN/000477</t>
  </si>
  <si>
    <t>in Harelbeke : Kortrijksesteenweg, Peter Benoitlaan, Vlasstraat</t>
  </si>
  <si>
    <t>conflictvrije fase voor voetgangers dwars over de N43</t>
  </si>
  <si>
    <t>WWV/INV/N43/3</t>
  </si>
  <si>
    <t>IN/000478</t>
  </si>
  <si>
    <t>in Harelbeke : Gentsesteenweg, Kortrijksesteenweg, N395a Parallelweg R8 Noord, N43 Richting Gent, N43 Richting Moeskroen, R8 Buitenring, R8 Buitenring Oprit 5 (Harelbeke)</t>
  </si>
  <si>
    <t>2022: circulatiemaatregelen:  conflictvrije linksaffasen (in combinatie met 2 andere kruispunten)\nLange termijn: realisatie R8 - MLT</t>
  </si>
  <si>
    <t>KP/000469</t>
  </si>
  <si>
    <t>IN/000479</t>
  </si>
  <si>
    <t>in Harelbeke : Groeningestraat, Kortrijksesteenweg</t>
  </si>
  <si>
    <t>Op- en afrit tankstation gestroomlijnd</t>
  </si>
  <si>
    <t>KP/000470</t>
  </si>
  <si>
    <t>IN/000480</t>
  </si>
  <si>
    <t>in Hasselt : Hendrik van Veldekesingel, Herkenrodesingel, Kuringersteenweg</t>
  </si>
  <si>
    <t>Aanpassen lichtenregeling (reeds uitgevoerd)  + markering wordt nog aangepast + signalisatie plaatsen (snelheidsverlaging naar 70 km/u)</t>
  </si>
  <si>
    <t>KP/000471</t>
  </si>
  <si>
    <t>IN/000481</t>
  </si>
  <si>
    <t>in Hasselt : de Gerlachestraat, Guffenslaan</t>
  </si>
  <si>
    <t>fietspad in tegenrichting aanglegd op promenade (middenberm)</t>
  </si>
  <si>
    <t>KP/000473</t>
  </si>
  <si>
    <t>IN/000482</t>
  </si>
  <si>
    <t>VRI: aanpassen lichtenregeling in Hasselt : Biezenstraat, Boerenkrijgsingel</t>
  </si>
  <si>
    <t>WL/INV/R71/20</t>
  </si>
  <si>
    <t>IN/000483</t>
  </si>
  <si>
    <t>in Hasselt : Genkersteenweg, Kempische steenweg</t>
  </si>
  <si>
    <t>KP/000474</t>
  </si>
  <si>
    <t>IN/000484</t>
  </si>
  <si>
    <t>Combi met 8137\nHerinrichting kruispunt tijdens verhogen Kanaalbrug</t>
  </si>
  <si>
    <t>KP/000475</t>
  </si>
  <si>
    <t>IN/000485</t>
  </si>
  <si>
    <t>in Hasselt : Gouverneur Roppesingel, Luikersteenweg, Prins-Bisschopssingel</t>
  </si>
  <si>
    <t>Ombouw volgens actieplan</t>
  </si>
  <si>
    <t>WL/INV/N20/9</t>
  </si>
  <si>
    <t>KP/000476</t>
  </si>
  <si>
    <t>IN/000486</t>
  </si>
  <si>
    <t>in Hasselt : Gouverneur Verwilghensingel, Hendrik van Veldekesingel, Herkenrodesingel, Kempische steenweg</t>
  </si>
  <si>
    <t>Kruispunt wordt herbekeken samen met verhoging brug over Albertkanaal door de Vlaamse Waterweg maar er was reeds een zeer sterke daling van de priorwaarde (van 88 naar 37) dankzij installatie RLC's</t>
  </si>
  <si>
    <t>WL/INV/N74/2</t>
  </si>
  <si>
    <t>KP/000478</t>
  </si>
  <si>
    <t>IN/000487</t>
  </si>
  <si>
    <t>in Hasselt : Gouverneur Roppesingel, Gouverneur Verwilghensingel, Koning Boudewijnlaan, Universiteitslaan</t>
  </si>
  <si>
    <t>Aanleg bustunnel</t>
  </si>
  <si>
    <t>KP/000479</t>
  </si>
  <si>
    <t>IN/000488</t>
  </si>
  <si>
    <t>in Hasselt : Gouverneur Roppesingel, Kroonwinningstraat</t>
  </si>
  <si>
    <t>Herinrichting kruispunt</t>
  </si>
  <si>
    <t>KP/000480</t>
  </si>
  <si>
    <t>IN/000489</t>
  </si>
  <si>
    <t>WL/INV/NX/3</t>
  </si>
  <si>
    <t>KP/000481</t>
  </si>
  <si>
    <t>IN/000490</t>
  </si>
  <si>
    <t>in Hasselt : de Geloesplein, Gouverneur Roppesingel, Kliniekstraat, Prins-Bisschopssingel</t>
  </si>
  <si>
    <t>aanbesteding lopende. uitvoering 2020</t>
  </si>
  <si>
    <t>KP/000482</t>
  </si>
  <si>
    <t>IN/000491</t>
  </si>
  <si>
    <t>Aanpassing naar i-VRI</t>
  </si>
  <si>
    <t>WL/INV/N80/3</t>
  </si>
  <si>
    <t>KP/000483</t>
  </si>
  <si>
    <t>IN/000492</t>
  </si>
  <si>
    <t>in Hasselt : Thonissenlaan (thv kmpt 0,3)</t>
  </si>
  <si>
    <t>uitgebreide aanpassing in uitvoering:  stuk van thonissenlaan is in herinrichting + manteliusstraat is éénrichting gemaakt</t>
  </si>
  <si>
    <t>KP/000484</t>
  </si>
  <si>
    <t>IN/000493</t>
  </si>
  <si>
    <t>in Hasselt : Trichterheideweg, Universiteitslaan, Via Media</t>
  </si>
  <si>
    <t>kruispunt in herinrichting</t>
  </si>
  <si>
    <t>KP/000485</t>
  </si>
  <si>
    <t>IN/000494</t>
  </si>
  <si>
    <t>Fietspad: aanpassen van ligging in Hasselt : Kempische steenweg, N74 Richting Eindhoven (Nl), Putvennestraat</t>
  </si>
  <si>
    <t>Fietspaden verleggen + aanpassen aansluiting putvennestraat ((nog asfalteren en markeren)</t>
  </si>
  <si>
    <t>KP/000486</t>
  </si>
  <si>
    <t>IN/000495</t>
  </si>
  <si>
    <t>in Hechtel-Eksel : Hasseltsebaan, N74 (NOORD-ZUID VERBINDING), N74 Richting Hasselt</t>
  </si>
  <si>
    <t>Noord-zuidverbinding: uitvoering binnen compelx project van DWV</t>
  </si>
  <si>
    <t>KP/000488</t>
  </si>
  <si>
    <t>IN/000496</t>
  </si>
  <si>
    <t>in Heist-op-den-Berg : Liersesteenweg, Schoorstraat</t>
  </si>
  <si>
    <t>KP/000489</t>
  </si>
  <si>
    <t>IN/000497</t>
  </si>
  <si>
    <t>Verlagen toegelaten snelheid in Heusden-Zolder : Meylandtlaan</t>
  </si>
  <si>
    <t>Snelheidsverlaging</t>
  </si>
  <si>
    <t>WL/INV/N72/14</t>
  </si>
  <si>
    <t>KP/000490</t>
  </si>
  <si>
    <t>IN/000498</t>
  </si>
  <si>
    <t>VRI: aanpassen lichtenregeling in Heusden-Zolder : Bieststraat, Meylandtlaan, O.L. Vrouwstraat</t>
  </si>
  <si>
    <t>snelheidsverlaging + slimme VRI</t>
  </si>
  <si>
    <t>WL/INV/N72/15</t>
  </si>
  <si>
    <t>KP/000491</t>
  </si>
  <si>
    <t>IN/000499</t>
  </si>
  <si>
    <t>VRI: aanpassen lichtenregeling in Hoeilaart : Groenendaalsesteenweg, Leopold II laan, R0 Binnenring Uitrit N275, Terhulpsesteenweg</t>
  </si>
  <si>
    <t>aanpassen lichtenregeling, zebrapaden worden weggehaald (zie punt 24889)</t>
  </si>
  <si>
    <t>WVB/INV/N275/3</t>
  </si>
  <si>
    <t>IN/000500</t>
  </si>
  <si>
    <t>PROJECT VAN DWV DUS GEEN AID NR // VRI: aanpassen lichtenregeling in Hoeilaart : Groenendaalsesteenweg, Leopold II laan, R0 Binnenring Uitrit N275, Terhulpsesteenweg</t>
  </si>
  <si>
    <t>KP/000492</t>
  </si>
  <si>
    <t>IN/000501</t>
  </si>
  <si>
    <t>VRI: aanpassen lichtenregeling in Hoeilaart : Duboislaan, Leopold II laan, R0 Buitenring Uitrit N275, Terhulpsesteenweg</t>
  </si>
  <si>
    <t>aanpassing lichtenregeling volgens actieplan</t>
  </si>
  <si>
    <t>WVB/INV/N275/4</t>
  </si>
  <si>
    <t>KP/000493</t>
  </si>
  <si>
    <t>IN/000502</t>
  </si>
  <si>
    <t>VRI: aanpassen lichtenregeling in Houthalen-Helchteren : Grote Baan, Helzoldstraat, Kazernelaan, Sint-Trudoplein</t>
  </si>
  <si>
    <t>Plaatsen van knipperlicht (Q1 2021 uitgevoerd)</t>
  </si>
  <si>
    <t>IN/000503</t>
  </si>
  <si>
    <t>Dubbelrichtingsfietspaden, lichtenregeling 4 kruispunten (de Werkvennootschap)</t>
  </si>
  <si>
    <t>\n</t>
  </si>
  <si>
    <t>KP/000494</t>
  </si>
  <si>
    <t>IN/000504</t>
  </si>
  <si>
    <t>Uitvoering complex project NZ (door de Werkvennootschap)</t>
  </si>
  <si>
    <t>KP/000495</t>
  </si>
  <si>
    <t>IN/000505</t>
  </si>
  <si>
    <t>in Houthulst : Klerkenstraat, Torhoutstraat</t>
  </si>
  <si>
    <t>aanpassing asmarkering en voorzien stopstreep en B5 in zijtak</t>
  </si>
  <si>
    <t>IN/000506</t>
  </si>
  <si>
    <t>Projectnota goedgekeurd, wacht op studie DT Klerken. Eventueel los te koppelen omwille van gevaarlijk punt. In fietspadenproject wordt zicht gecreëerd voor en op verkeer uit de Torhoutstraat</t>
  </si>
  <si>
    <t>WWV/INV/N301/1</t>
  </si>
  <si>
    <t>KP/000496</t>
  </si>
  <si>
    <t>IN/000507</t>
  </si>
  <si>
    <t>in Ingelmunster : De Ring, Meulebekestraat, N50 Richting Brugge</t>
  </si>
  <si>
    <t>bypass afschaffen en vrijliggende fietspaden op rotonde</t>
  </si>
  <si>
    <t>WWV/INV/N399/1</t>
  </si>
  <si>
    <t>IN/000508</t>
  </si>
  <si>
    <t>KP/000497</t>
  </si>
  <si>
    <t>IN/000509</t>
  </si>
  <si>
    <t>in Jabbeke : Gistelsteenweg, Kerkeweg, N367 Brugge (N32) - Nieuwpoort (N380)</t>
  </si>
  <si>
    <t>- rijbaan versmallen</t>
  </si>
  <si>
    <t>KP/000498</t>
  </si>
  <si>
    <t>IN/000510</t>
  </si>
  <si>
    <t>in Kampenhout : Haachtsesteenweg, Kerkstraat, Tiendeschuurstraat</t>
  </si>
  <si>
    <t>extra zebra Kerkstraat + fietslgeleidingsmarkering+B1s</t>
  </si>
  <si>
    <t>KP/000499</t>
  </si>
  <si>
    <t>IN/000511</t>
  </si>
  <si>
    <t>in Kampenhout : Haachtsesteenweg, Oudestraat</t>
  </si>
  <si>
    <t>Middenberm wordt aangelegd met oversteek in 2 delen</t>
  </si>
  <si>
    <t>IN/000512</t>
  </si>
  <si>
    <t>Kruispunt wordt uitgerust met VRI</t>
  </si>
  <si>
    <t>KP/000501</t>
  </si>
  <si>
    <t>IN/000513</t>
  </si>
  <si>
    <t>in Kaprijke : A11-E34 Richting Antwerpen, A11-E34 Richting Knokke-Heist, N49, Vaartstraat</t>
  </si>
  <si>
    <t>werd conflictvrijer gemaakt (2020)</t>
  </si>
  <si>
    <t>KP/000502</t>
  </si>
  <si>
    <t>IN/000514</t>
  </si>
  <si>
    <t>Fietspad: aanpassen van ligging in Kinrooi : Breeërsteenweg, Dorpsplein, Weertersteenweg</t>
  </si>
  <si>
    <t>Fietspaden vrijliggend aanleggen</t>
  </si>
  <si>
    <t>WL/INV/N762/2</t>
  </si>
  <si>
    <t>KP/000503</t>
  </si>
  <si>
    <t>IN/000515</t>
  </si>
  <si>
    <t>in Knokke-Heist : Elizabetlaan, Krommedijk</t>
  </si>
  <si>
    <t>herinrichting Elisabethlaan door gemeente.VRI buiten werking vanaf 1/1/2020</t>
  </si>
  <si>
    <t>KP/000504</t>
  </si>
  <si>
    <t>IN/000516</t>
  </si>
  <si>
    <t>in Knokke-Heist : Kalvekeetdijk, Natiënlaan</t>
  </si>
  <si>
    <t>Rotonde met ongelijkgrondse kruising voor zwakke weggebruikers (TV3V)</t>
  </si>
  <si>
    <t>WWV/INV/N49/1</t>
  </si>
  <si>
    <t>KP/000505</t>
  </si>
  <si>
    <t>IN/000517</t>
  </si>
  <si>
    <t>in Knokke-Heist : Elizabetlaan, Kardinaal Mercierstraat</t>
  </si>
  <si>
    <t>Volledige herinrichting (gefinancierd door Knokke).</t>
  </si>
  <si>
    <t>KP/000506</t>
  </si>
  <si>
    <t>IN/000518</t>
  </si>
  <si>
    <t>in Kontich : Drabstraat, N171 Edegem (N1) - Krekelenberg (Niel), Pierstraat</t>
  </si>
  <si>
    <t>Herhalingslichten opnieuw geplaatst (werden weggehaald rond 2017)</t>
  </si>
  <si>
    <t>IN/000519</t>
  </si>
  <si>
    <t>Uitgebreide werken gepland: fietstunnel</t>
  </si>
  <si>
    <t>KP/000507</t>
  </si>
  <si>
    <t>IN/000520</t>
  </si>
  <si>
    <t>Ombouw naar lichtengeregeld kruispunt</t>
  </si>
  <si>
    <t>WA/INV/N173/4</t>
  </si>
  <si>
    <t>IN/000521</t>
  </si>
  <si>
    <t>in Kontich : De Villermontstraat, Prins Boudewijnlaan VIA PCV  BESTEK</t>
  </si>
  <si>
    <t>wordt een lichtengeregeld kruispunt</t>
  </si>
  <si>
    <t>KP/000508</t>
  </si>
  <si>
    <t>IN/000522</t>
  </si>
  <si>
    <t>Aanpassen/vernieuwing van verharding in Kontich : A1-E19 Richting Brussel Uitrit 7, N171 Edegem (N1) - Krekelenberg (Niel)</t>
  </si>
  <si>
    <t>QW, haaks aansluiten van de uitrit, maken intern plan op en bereiden PCV dossier voor (samen met aanpassingen van P&amp;R)</t>
  </si>
  <si>
    <t>WA/INV/N171/9</t>
  </si>
  <si>
    <t>KP/000509</t>
  </si>
  <si>
    <t>IN/000523</t>
  </si>
  <si>
    <t>Circulatiemaatregelen in Kortrijk : Monseigneur De Haernelaan, N43 Richting Gent, N43 Richting Moeskroen</t>
  </si>
  <si>
    <t>Wegvak van 400 m: parkeerstrook weghalen en fietspaden + versmalde rijweg, 1 van de takken (westelijke tak) wordt éénrichting (175.000)</t>
  </si>
  <si>
    <t>WWV/INV/N43/2</t>
  </si>
  <si>
    <t>KP/000510</t>
  </si>
  <si>
    <t>IN/000524</t>
  </si>
  <si>
    <t>Fietspad: coating in Kortrijk : Minister Tacklaan, N50h Tacklaan-Wandelweg, N50 Richting Mons, R36 Buitenring, Wandelweg</t>
  </si>
  <si>
    <t>Dubbelrichtingsfietspad zal geaccentueerd worden. (20.000)</t>
  </si>
  <si>
    <t>WWV/INV/N50/6</t>
  </si>
  <si>
    <t>KP/000511</t>
  </si>
  <si>
    <t>IN/000525</t>
  </si>
  <si>
    <t>in Kortrijk : Minister Vanden Peereboomlaan, N43 Richting Moeskroen, R36 Binnenring, R36 Buitenring</t>
  </si>
  <si>
    <t>Herinrichting stationsomgeving Kortrijk. Afsluiten Minister VAnden Peereboomlaan voor auto's. Weghalen conflict fietsers met verkeer komende uit de tunnels onder de sporen.</t>
  </si>
  <si>
    <t>KP/000512</t>
  </si>
  <si>
    <t>IN/000526</t>
  </si>
  <si>
    <t>in Kortrijk : R36 Binnenring, R36 Buitenring, Sint-Sebastiaanslaan</t>
  </si>
  <si>
    <t>inkorten BOB, rustpunt voor overstekende fietsers en voertuigen (mei 2019)</t>
  </si>
  <si>
    <t>KP/000513</t>
  </si>
  <si>
    <t>IN/000527</t>
  </si>
  <si>
    <t>Aanpassen/vernieuwing van verharding in Kortrijk : A14-E17 Richting Frankrijk Oprit 3 N8 Brussel, A14-E17 Richting Frankrijk Uitrit 3, N8 Richting Brussel</t>
  </si>
  <si>
    <t>Fietspaden accentueren en conform uitvoeren (2019) Proefproject</t>
  </si>
  <si>
    <t>WWV/INV/N8/16</t>
  </si>
  <si>
    <t>IN/000528</t>
  </si>
  <si>
    <t>langetermijnsoplossing in kader van KR8</t>
  </si>
  <si>
    <t>KP/000468</t>
  </si>
  <si>
    <t>IN/000529</t>
  </si>
  <si>
    <t>in Kortrijk : N395b Parallelweg R8 Zuid, R8 Binnenring, Zandbergstraat</t>
  </si>
  <si>
    <t>dichten middengeleider voor voertuigen van Hippodroomstraat en Zandbergstraat\naanpassen VRI naar maximaal conflictvrij\naanpassen afslagstroken N43\nrenovatie fietspaden N43 Gentsesteenweg</t>
  </si>
  <si>
    <t>WWV/INV/N395B/1</t>
  </si>
  <si>
    <t>KP/000514</t>
  </si>
  <si>
    <t>KP/001013</t>
  </si>
  <si>
    <t>KS300 - Fietsinfrastructuur is in erbarmelijke staat tussen de R8 en KP Deerlijksestraat. Dit is een belangrijke fietsroute tussen Kortrijk en Harelbeke</t>
  </si>
  <si>
    <t>IN/000530</t>
  </si>
  <si>
    <t>2022: circulatiemaatregelen. Hier gaat middenberm dicht. in combinatie met 2 andere kruispunten\nLange termijn: realisatie R8 (Kanaal Bossuyt-Kortrijk)</t>
  </si>
  <si>
    <t>KP/000515</t>
  </si>
  <si>
    <t>IN/000531</t>
  </si>
  <si>
    <t>Handhaving in Kortrijk : A14-E17 Richting Frankrijk</t>
  </si>
  <si>
    <t>dynamische signalisatie (snelheid) + extra ANPRcamera + toplaag vernieuwen</t>
  </si>
  <si>
    <t>WWV/INV/A14/2</t>
  </si>
  <si>
    <t>KP/000516</t>
  </si>
  <si>
    <t>IN/000532</t>
  </si>
  <si>
    <t>in Kortrijk : Beekstraat, Hugo Verriestlaan, N8 Richting Brussel, Oudenaardsesteenweg</t>
  </si>
  <si>
    <t>V-plan volgens actieplan, aanpassingen aan fietsinfrastructuur, fietspad, ...(mei 2020 uitgevoerd)</t>
  </si>
  <si>
    <t>KP/000517</t>
  </si>
  <si>
    <t>IN/000533</t>
  </si>
  <si>
    <t>VRI: aanpassen lichtenregeling in Kortrijk, Kuurne : Heirweg, N395b Parallelweg R8 Zuid, R8 Binnenring, R8 Buitenring, Ringlaan</t>
  </si>
  <si>
    <t>uitvoering conform actieplan</t>
  </si>
  <si>
    <t>WWV/INV/N395B/2</t>
  </si>
  <si>
    <t>KP/000518</t>
  </si>
  <si>
    <t>IN/000534</t>
  </si>
  <si>
    <t>in Kraainem : R0 Binnenring</t>
  </si>
  <si>
    <t>nazicht stroefheid  (bleek ok)+ verticale signalisatie</t>
  </si>
  <si>
    <t>KP/000520</t>
  </si>
  <si>
    <t>IN/000535</t>
  </si>
  <si>
    <t>in Kuurne : Kleine Ringlaan, Kortrijksestraat, Kuurnsesteenweg, N395a Parallelweg R8 Noord, R8 Buitenring, R8 Buitenring Uitrit 6 (Kuurne)</t>
  </si>
  <si>
    <t>Aanpassen markeringen (fietspaden en voorsorteerpijlen)</t>
  </si>
  <si>
    <t>KP/000521</t>
  </si>
  <si>
    <t>IN/000536</t>
  </si>
  <si>
    <t>in Kuurne : Brugsesteenweg, N395a Parallelweg R8 Noord, N50 Richting Brugge, R8 Buitenring</t>
  </si>
  <si>
    <t>conflictvrije fietsfase langsheen de N50.</t>
  </si>
  <si>
    <t>KP/000522</t>
  </si>
  <si>
    <t>IN/000537</t>
  </si>
  <si>
    <t>in Laakdal : Geelsebaan, Meerhoutstraat</t>
  </si>
  <si>
    <t>Zie struct ingreep</t>
  </si>
  <si>
    <t>IN/000538</t>
  </si>
  <si>
    <t>Heraanleg kruispunt N126 x Meerhoutstraat VIA PCV BESTEK</t>
  </si>
  <si>
    <t>Studie: klaar (2021)\nUitvoering: 2022 (2023) via PCV</t>
  </si>
  <si>
    <t>KP/000524</t>
  </si>
  <si>
    <t>IN/000539</t>
  </si>
  <si>
    <t>in Lebbeke : N47 Dendermondsesteenweg met Flor Hofmanslaan en Lindelaan</t>
  </si>
  <si>
    <t>Fietspaden vrijliggend? Rotonde groter? Onteigeningen nodig</t>
  </si>
  <si>
    <t>KP/000525</t>
  </si>
  <si>
    <t>IN/000540</t>
  </si>
  <si>
    <t>Verlagen toegelaten snelheid in Lennik : Assesteenweg, Ninoofsesteenweg</t>
  </si>
  <si>
    <t>snelheid verlagen naar 50 km/u</t>
  </si>
  <si>
    <t>KP/000527</t>
  </si>
  <si>
    <t>IN/000541</t>
  </si>
  <si>
    <t>VRI: aanpassen lichtenregeling + bijkomende aanpassingen infra in Leuven : Erasme Ruelensvest, Naamsesteenweg, Naamsestraat, Naamsevest, Tervuursevest</t>
  </si>
  <si>
    <t>Aanpassen lichtenregeling (maximaal conflictvrij), bypasses weghalen, asverschuiving</t>
  </si>
  <si>
    <t>WVB/INV/R23/8</t>
  </si>
  <si>
    <t>KP/000528</t>
  </si>
  <si>
    <t>IN/000542</t>
  </si>
  <si>
    <t>Horizontale signalisatie aanpassen in Leuven : Dekenstraat, Geldenaaksevest</t>
  </si>
  <si>
    <t>Gevleugeld zebrapad</t>
  </si>
  <si>
    <t>WVB/INV/R23/10</t>
  </si>
  <si>
    <t>KP/000529</t>
  </si>
  <si>
    <t>IN/000543</t>
  </si>
  <si>
    <t>Martelarenlaan, Tiensesteenweg</t>
  </si>
  <si>
    <t>fietstunnel + aanpassing lichtenregeling</t>
  </si>
  <si>
    <t>KP/000530</t>
  </si>
  <si>
    <t>IN/000544</t>
  </si>
  <si>
    <t>in Leuven : Bierbeekstraat, Blijde-Inkomststraat, Geldenaaksevest, Léon Schreursvest, Tiensesteenweg, Tiensestraat, Tiensevest</t>
  </si>
  <si>
    <t>FOP conform DO maken, B1s, stopstrepen, meer geleidingsmarkering LA uit Tiensestwg+RD uit centrum, fietslijnen bypass Bierbeekstraat,</t>
  </si>
  <si>
    <t>KP/000531</t>
  </si>
  <si>
    <t>IN/000545</t>
  </si>
  <si>
    <t>in Leuven : Diestsepoort, Martelarenplein</t>
  </si>
  <si>
    <t>Nieuwe lichtenregeling in 2019 uitgevoerd</t>
  </si>
  <si>
    <t>KP/000532</t>
  </si>
  <si>
    <t>IN/000546</t>
  </si>
  <si>
    <t>in Leuven : Kapucijnenvoer, Koning Boudewijnlaan, Tervuursevest</t>
  </si>
  <si>
    <t>FOP conform DO maken, B1s, stopstrepen, langere geleidingsmarkering +struiken verwijderen rechterhoek komende van E314</t>
  </si>
  <si>
    <t>KP/000533</t>
  </si>
  <si>
    <t>IN/000547</t>
  </si>
  <si>
    <t>in Lier : Antwerpsesteenweg, R16 Binnenring, R16 Buitenring</t>
  </si>
  <si>
    <t>KP/000535</t>
  </si>
  <si>
    <t>IN/000548</t>
  </si>
  <si>
    <t>in Lochristi : N70 Antwerpse Steenweg met Palingstraat</t>
  </si>
  <si>
    <t>WOV/INV/N70/1</t>
  </si>
  <si>
    <t>IN/000549</t>
  </si>
  <si>
    <t>in Lommel : N71 Richting Geel, N71 Richting Hamont - Maarheeze (Nl), N746 Leopoldsburg (N73) - Luyksgestel (Nl), Stationsstraat</t>
  </si>
  <si>
    <t>Ongelijkvloerse kruising R71 Stationsstraat Hollands complex aanbesteed maar door procedure tegen bouwvergunning vertraging. aanbesteed,  starten met werken in 2024</t>
  </si>
  <si>
    <t>KP/000538</t>
  </si>
  <si>
    <t>IN/000550</t>
  </si>
  <si>
    <t>in Lommel : Karrestraat, Loberg, Norbert Neeckxlaan</t>
  </si>
  <si>
    <t>KP/000539</t>
  </si>
  <si>
    <t>IN/000551</t>
  </si>
  <si>
    <t>VRI: aanpassen lichtenregeling in Lommel : Balendijk, N71 Richting Geel, N71 Richting Hamont - Maarheeze (Nl)</t>
  </si>
  <si>
    <t>Aanpassen lichtenregeling (aangepast in 2020) + aan markeringen (deels uitgevoerdin 2020)</t>
  </si>
  <si>
    <t>WL/INV/N71/5</t>
  </si>
  <si>
    <t>KP/000540</t>
  </si>
  <si>
    <t>IN/000552</t>
  </si>
  <si>
    <t>in Lummen : Blanklaarstraat, Grote Baan, Meldertsebaan</t>
  </si>
  <si>
    <t>Aanleg rotonde, overblijvend gevaarlijk punt van de originele lijst van 800. 21/01/2019: onteigeninen zijn lopende\nokt 2020: lopende. start werken juli 2021</t>
  </si>
  <si>
    <t>IN/000553</t>
  </si>
  <si>
    <t>in Maasmechelen : Koninginnelaan, Rijksweg</t>
  </si>
  <si>
    <t>IN/000554</t>
  </si>
  <si>
    <t>plannen om rotonde aan te leggen. staat op het programma, onteigeningen lopende.</t>
  </si>
  <si>
    <t>KP/000542</t>
  </si>
  <si>
    <t>IN/000555</t>
  </si>
  <si>
    <t>Ombouw volgens actieplan en herinrichting kruispunt</t>
  </si>
  <si>
    <t>WL/INV/N78/18</t>
  </si>
  <si>
    <t>IN/000556</t>
  </si>
  <si>
    <t>in Maasmechelen : Dokter Haubenlaan, Joseph Smeetslaan, Rijksweg</t>
  </si>
  <si>
    <t>Omgebouwd volgens actieplan. Fietspaden bijgelegd</t>
  </si>
  <si>
    <t>KP/000543</t>
  </si>
  <si>
    <t>IN/000557</t>
  </si>
  <si>
    <t>Quick win oplossing; aanpassing VRI</t>
  </si>
  <si>
    <t>WL/INV/N78/31</t>
  </si>
  <si>
    <t>KP/000544</t>
  </si>
  <si>
    <t>IN/000558</t>
  </si>
  <si>
    <t>in Machelen : Haachtsesteenweg, Woluwelaan</t>
  </si>
  <si>
    <t>IN/000559</t>
  </si>
  <si>
    <t>in Machelen : Haachtsesteenweg, Woluwelaan (SCHRAPPEN - MAAKT DEEL UIT VAN WVB/INV/R22/1)</t>
  </si>
  <si>
    <t>volledige heraanleg (oa met busbanen)</t>
  </si>
  <si>
    <t>KP/000546</t>
  </si>
  <si>
    <t>IN/000560</t>
  </si>
  <si>
    <t>in Machelen : Beaulieustraat, R0 Binnenring Uitrit 5 (Machelen), Woluwelaan</t>
  </si>
  <si>
    <t>Afrit wordt opgeheven</t>
  </si>
  <si>
    <t>IN/000561</t>
  </si>
  <si>
    <t>in Machelen : Beaulieustraat, R0 Binnenring Uitrit 5 (Machelen), Woluwelaan (SCHRAPPEN - MAAKT DEEL UIT VAN WVB/INV/R22/1)</t>
  </si>
  <si>
    <t>Afrit wordt opgeheven bij heraanleg Woluwelaan</t>
  </si>
  <si>
    <t>KP/000547</t>
  </si>
  <si>
    <t>IN/000562</t>
  </si>
  <si>
    <t>in Maldegem : wegvak N9 Koning Leopoldlaan van kruispunt met Kattewegel tot rotonde met N44a Aalterbaan</t>
  </si>
  <si>
    <t>Tijdens structureel onderhoud werd in- en uitgang winkelcentrum aangepast (2019)</t>
  </si>
  <si>
    <t>KP/000548</t>
  </si>
  <si>
    <t>IN/000563</t>
  </si>
  <si>
    <t>in Maldegem : N49 met Celieplas</t>
  </si>
  <si>
    <t>afsluiting (2020)</t>
  </si>
  <si>
    <t>KP/000549</t>
  </si>
  <si>
    <t>IN/000564</t>
  </si>
  <si>
    <t>in Maldegem : N49 met N410 Aardenburgkalseide</t>
  </si>
  <si>
    <t>KP/000550</t>
  </si>
  <si>
    <t>IN/000565</t>
  </si>
  <si>
    <t>VRI: aanpassen lichtenregeling in Malle : Antwerpsesteenweg, Nijverheidsstraat, Steenovenstraat RELANCE21</t>
  </si>
  <si>
    <t>Aanpassen lichtenregeling: conflictvrij regelen. Momenteel geen hoge prioriteit. er wordt bekeken of dit hoger op de lijst kan geplaatst worden</t>
  </si>
  <si>
    <t>WA/INV/N12/17</t>
  </si>
  <si>
    <t>KP/000551</t>
  </si>
  <si>
    <t>IN/000566</t>
  </si>
  <si>
    <t>in Mechelen : Guido Gezellelaan, Rode-Kruisplein</t>
  </si>
  <si>
    <t>middenberm afgesloten + lichtengeregelde oversteek (geannuleerd)</t>
  </si>
  <si>
    <t>IN/000567</t>
  </si>
  <si>
    <t>Tijdelijke herinrichting tegen maart 2022. vanaf dan komende 7 a 8 jaar volledige herinrichting;</t>
  </si>
  <si>
    <t>KP/000553</t>
  </si>
  <si>
    <t>IN/000568</t>
  </si>
  <si>
    <t>in Mechelen : Hanswijkstraat, Hendrik Speecqvest, Leuvensesteenweg, Raghenoplein, Zandpoortvest</t>
  </si>
  <si>
    <t>Heraanleg (oa betere fietsinfrastructuur, heraanleg speecqvest)</t>
  </si>
  <si>
    <t>WA/INV/N26/5</t>
  </si>
  <si>
    <t>KP/000554</t>
  </si>
  <si>
    <t>IN/000569</t>
  </si>
  <si>
    <t>in Mechelen : Antwerpsesteenweg, R6 Binnenring (Richting N15), R6 Buitenring (Richting A1)</t>
  </si>
  <si>
    <t>Aanleg flyover</t>
  </si>
  <si>
    <t>KP/000555</t>
  </si>
  <si>
    <t>IN/000570</t>
  </si>
  <si>
    <t>in Mechelen : Edgard Tinellaan, Guido Gezellelaan, Maurits Sabbestraat, Sint-Katelijnestraat</t>
  </si>
  <si>
    <t>IN/000571</t>
  </si>
  <si>
    <t>Herinrichting ring &gt; enkelrichting maken</t>
  </si>
  <si>
    <t>KP/000556</t>
  </si>
  <si>
    <t>IN/000572</t>
  </si>
  <si>
    <t>in Mechelen : Edgard Tinellaan, Frederik de Merodestraat, Liersesteenweg, Zwartzustersvest</t>
  </si>
  <si>
    <t>IN/000573</t>
  </si>
  <si>
    <t>KP/000557</t>
  </si>
  <si>
    <t>IN/000574</t>
  </si>
  <si>
    <t>in Mechelen : Hoogstratenplein, Keizerstraat, N15 Richting Mechelen, N15 Richting Westerlo, Zandpoortvest, Zwartzustersvest</t>
  </si>
  <si>
    <t>IN/000575</t>
  </si>
  <si>
    <t>KP/000558</t>
  </si>
  <si>
    <t>IN/000576</t>
  </si>
  <si>
    <t>in Meeuwen-Gruitrode : Genitsstraat, Genkerbaan, Hoogstraat, Kruisstraat</t>
  </si>
  <si>
    <t>reeds een snelheidsverlaging doorgevoerd nav GP 2018.</t>
  </si>
  <si>
    <t>KP/000559</t>
  </si>
  <si>
    <t>IN/000577</t>
  </si>
  <si>
    <t>in Meise : Kerkhofstraat, Londerzeelsesteenweg, A12 (SCHRAPPEN - MAAKT DEEL UIT VAN WVB/INV/A12/1)</t>
  </si>
  <si>
    <t>Volledige herinrichting van kruispunt. wordt ongelijkgronds kruispunt</t>
  </si>
  <si>
    <t>KP/000560</t>
  </si>
  <si>
    <t>IN/000578</t>
  </si>
  <si>
    <t>Handhaving in Meise : A12 Richting Brussel</t>
  </si>
  <si>
    <t>Aanpassen geleiding in bocht (geplaatst in najaar 2020) + trajectcontrole</t>
  </si>
  <si>
    <t>WVB/INV/A12/7</t>
  </si>
  <si>
    <t>KP/000563</t>
  </si>
  <si>
    <t>IN/000579</t>
  </si>
  <si>
    <t>in Merelbeke : N444 Hundelgemsesteenweg met Sallemeulekouter</t>
  </si>
  <si>
    <t>plaatsen trajectcontrole (lijst 2018) (2020)</t>
  </si>
  <si>
    <t>IN/000580</t>
  </si>
  <si>
    <t>Maakt deel uit van fietspadenproject N444</t>
  </si>
  <si>
    <t>WOV/INV/N444/1</t>
  </si>
  <si>
    <t>KP/000564</t>
  </si>
  <si>
    <t>IN/000581</t>
  </si>
  <si>
    <t>in Merelbeke : Guldensporenlaan / Heidestraat met op- en afrit R4 Buitenring</t>
  </si>
  <si>
    <t>verlenging linksafslagstrook. Onderdeel van herbouwen Bergwijkbrug + conflictvrije lichten</t>
  </si>
  <si>
    <t>WOV/INV/R4/1</t>
  </si>
  <si>
    <t>KP/000565</t>
  </si>
  <si>
    <t>IN/000582</t>
  </si>
  <si>
    <t>Plaatsen TC</t>
  </si>
  <si>
    <t>plaatsing TC</t>
  </si>
  <si>
    <t>IN/000583</t>
  </si>
  <si>
    <t>N132 - Merksplas &amp; Turnhout - Module 13</t>
  </si>
  <si>
    <t>Vrijliggende fietspaden</t>
  </si>
  <si>
    <t>WA/INV/N132/1</t>
  </si>
  <si>
    <t>KP/000566</t>
  </si>
  <si>
    <t>IN/000584</t>
  </si>
  <si>
    <t>in Middelkerke : Spermaliestraat</t>
  </si>
  <si>
    <t>uitbreiden signalisatie bocht en voorzien van ribbelstroken in nadering van de bocht.</t>
  </si>
  <si>
    <t>KP/000568</t>
  </si>
  <si>
    <t>IN/000585</t>
  </si>
  <si>
    <t>VRI: aanpassen lichtenregeling in Mol : Achterbos, N18 Richting Turnhout, Sluis, Turnhoutsebaan RELANCE21</t>
  </si>
  <si>
    <t>Volgens actieplan</t>
  </si>
  <si>
    <t>WA/INV/N18/8</t>
  </si>
  <si>
    <t>KP/000570</t>
  </si>
  <si>
    <t>IN/000586</t>
  </si>
  <si>
    <t>in Mortsel : Antwerpsestraat, Grotesteenweg, Hendrik Kuijpersstraat, Jozef Hermanslei</t>
  </si>
  <si>
    <t>het conflict tussen de linksaf en de tram wordt weggewerkt. Hiervoor moet de links afslagstrook verlengd worden. Uitvoering in 2018. Ook opgenomen in VLCC, uitrol in 2019</t>
  </si>
  <si>
    <t>KP/000571</t>
  </si>
  <si>
    <t>IN/000587</t>
  </si>
  <si>
    <t>in Mortsel : Antwerpsestraat, Edegemsestraat, Mechelsesteenweg, Statielei</t>
  </si>
  <si>
    <t>quick win reeds uitgevoerd: statielei heel filegevoelig + breed kruispunt &gt; met 4 of 5 naast elkaar tijdens spits. Ingekort met markering en paaltjes (uitgevoerd in maart 2020) + nog quick win gepland: oneigenlijk gebruik van busstrook &gt; daarom komt busstrook op bedding, waardoor linksafslagstrook gecreeërd wordt die conflictvrij geregeld worden (2020 gepland).</t>
  </si>
  <si>
    <t>KP/000572</t>
  </si>
  <si>
    <t>IN/000588</t>
  </si>
  <si>
    <t>VRI: aanpassen lichtenregeling + bijkomende aanpassingen infra in Mortsel : Antwerpsestraat, Krijgsbaan, Vredebaan</t>
  </si>
  <si>
    <t>Fietspaden zie plan Mortsel. ism Aannemer Mortsel.\n\nVLCC + infra</t>
  </si>
  <si>
    <t>WA/INV/N1/14</t>
  </si>
  <si>
    <t>KP/000573</t>
  </si>
  <si>
    <t>IN/000589</t>
  </si>
  <si>
    <t>VRI: aanpassen lichtenregeling in Mortsel : Drabstraat, Kerkstraat, Liersesteenweg RELANCE21</t>
  </si>
  <si>
    <t>Aanpassen lichtenregeling. VLCC:conflict met tram wordt er uitgehaald (tram wordt conflictvrij geregeld). onderzoek is lopende &gt; uitvoering is voor dit jaar (momenteel is dit een omleidingsroute). dd juni 2020: plan wordt opnieuw bekeken met Mortsel</t>
  </si>
  <si>
    <t>WA/INV/N10/15</t>
  </si>
  <si>
    <t>IN/000590</t>
  </si>
  <si>
    <t>in Nazareth : Grenadierslaan, N60 Richting Gent, N60 Richting Valenciennes (Fr), Nieuwe Steenweg, Stationsstraat. (Relance Raamcontract)</t>
  </si>
  <si>
    <t>KP/000575</t>
  </si>
  <si>
    <t>IN/000591</t>
  </si>
  <si>
    <t>in Nazareth : Gentsebaan, N35 Richting Gavere (N60), N60 Richting Gent, N60 Richting Valenciennes (Fr), Stationsstraat</t>
  </si>
  <si>
    <t>invoeren indonesisch kruisen is meestal beter voor de doorstroming, de invloed op verkeersveiligheid is mij niet bekend</t>
  </si>
  <si>
    <t>KP/000576</t>
  </si>
  <si>
    <t>IN/000592</t>
  </si>
  <si>
    <t>Horizontale signalisatie aanpassen in Neerpelt : Kolisbos, Peerderbaan, Torenstraat</t>
  </si>
  <si>
    <t>TC (historische lijst) + aanpassing markering + zichtafstanden bekijken (reeds uitgevoerd in 2020)\n&gt; enkel trajectcontrole nog uit te voeren</t>
  </si>
  <si>
    <t>KP/000578</t>
  </si>
  <si>
    <t>IN/000593</t>
  </si>
  <si>
    <t>in Ninove : Aalstersesteenweg, Expresweg, Koning Boudewijnlaan. (Relance Raamcontract)</t>
  </si>
  <si>
    <t>linksafslagstrook verdubbelen</t>
  </si>
  <si>
    <t>WOV/INV/N405/6</t>
  </si>
  <si>
    <t>IN/000594</t>
  </si>
  <si>
    <t>in Ninove : Aalstersesteenweg, Expresweg, Koning Boudewijnlaan</t>
  </si>
  <si>
    <t>volledig conflictvrij &gt; grondige infrawerken nodig</t>
  </si>
  <si>
    <t>WOV/INV/N405/1</t>
  </si>
  <si>
    <t>KP/000581</t>
  </si>
  <si>
    <t>IN/000595</t>
  </si>
  <si>
    <t>VRI: andere installatie (oa boogpalen, opschuiven drukknop, lichtengeregelde oversteek) in Oostende : Elisabethlaan, Gistelsesteenweg</t>
  </si>
  <si>
    <t>opschuiven drukknop en stopstreep fietsers op N346 (2/7/2018). Plaatsen RLC  in 2021 (historische lijst)</t>
  </si>
  <si>
    <t>IN/000596</t>
  </si>
  <si>
    <t>ontsluitingsstudie Oostende. Finalisering eind 2021</t>
  </si>
  <si>
    <t>KP/000582</t>
  </si>
  <si>
    <t>IN/000597</t>
  </si>
  <si>
    <t>in Oostkamp : Gaston Roelandtsstraat, Sint-Michielsestraat</t>
  </si>
  <si>
    <t>Vervangen brug + herinrichten omgeving. Drietakskruispunt wordt viertakskruispunt</t>
  </si>
  <si>
    <t>KP/000583</t>
  </si>
  <si>
    <t>IN/000598</t>
  </si>
  <si>
    <t>in Oostkamp : Albrecht Rodenbachstraat, Gruuthuselaan, Stationsstraat</t>
  </si>
  <si>
    <t>SB N50 + opmaak PCVnota voor dit krpt\nokt 2020: streefbeeldstudie moet nog opgestart worden\n2022: streefbeeldstudie is lopende</t>
  </si>
  <si>
    <t>IN/000599</t>
  </si>
  <si>
    <t>in Oostkamp : Gaston Roelandtsstraat, Kanaalstraat</t>
  </si>
  <si>
    <t>snelheidsverlaging - middengeleider als rustpunt voetgangers en verbetering oversteekbaarheid oprijdende voertuigen, markeringen (mei 2019)</t>
  </si>
  <si>
    <t>KP/000585</t>
  </si>
  <si>
    <t>IN/000600</t>
  </si>
  <si>
    <t>-</t>
  </si>
  <si>
    <t>IN/000601</t>
  </si>
  <si>
    <t>in Oostrozebeke : Gentstraat, Wakkensteenweg</t>
  </si>
  <si>
    <t>aanleg rotonde en fietspaden - is een infrastructuurwerk</t>
  </si>
  <si>
    <t>WWV/INV/N305/1</t>
  </si>
  <si>
    <t>KP/000586</t>
  </si>
  <si>
    <t>IN/000602</t>
  </si>
  <si>
    <t>in Opwijk : Steenweg op Vilvoorde, Stwg. op Brussel</t>
  </si>
  <si>
    <t>aanpassen middengeleider, toeleidende fietspaden, aanpassen bushalte ri Asse\naanleg linksafstrook naar Merchtem</t>
  </si>
  <si>
    <t>WVB/INV/N47/4</t>
  </si>
  <si>
    <t>KP/000587</t>
  </si>
  <si>
    <t>IN/000603</t>
  </si>
  <si>
    <t>zzzzzz X21/N251/4 Doortocht Blanden</t>
  </si>
  <si>
    <t>snoeien volgens aanbeveling rapport</t>
  </si>
  <si>
    <t>WVB/INV/N251/1</t>
  </si>
  <si>
    <t>KP/000588</t>
  </si>
  <si>
    <t>IN/000604</t>
  </si>
  <si>
    <t>in Oud-Turnhout : Staatsbaan, Steenweg op Mol</t>
  </si>
  <si>
    <t>TC geplaatst (opgeleverd: 5/12/2018)</t>
  </si>
  <si>
    <t>KP/000589</t>
  </si>
  <si>
    <t>IN/000605</t>
  </si>
  <si>
    <t>Gevaarlijk Punt: N8 Oudenaarde: markeringen aanpassen</t>
  </si>
  <si>
    <t>Kruispunt beter accentueren (stroefheid reeds aangepast);\nN8 Edelareberg (krpt met Hogeweg).</t>
  </si>
  <si>
    <t>KP/000591</t>
  </si>
  <si>
    <t>IN/000606</t>
  </si>
  <si>
    <t>in Overijse : IJseweg, Waversesteenweg</t>
  </si>
  <si>
    <t>KP/000592</t>
  </si>
  <si>
    <t>IN/000607</t>
  </si>
  <si>
    <t>Fietspad: coating in Overpelt : Hofweg, Leopoldlaan, Sellekaertsstraat</t>
  </si>
  <si>
    <t>Kruising fietspad in rode slem (slemlaag werd aangebracht in 2020 , maar signalisatie nog niet aangepast)</t>
  </si>
  <si>
    <t>WL/INV/N712/7</t>
  </si>
  <si>
    <t>KP/000593</t>
  </si>
  <si>
    <t>IN/000608</t>
  </si>
  <si>
    <t>Middeneiland aanleggen in Peer : Baan naar Bree, Erpekommerweg, Smeetshofweg</t>
  </si>
  <si>
    <t>2 FOP's met middeneiland + uitvlakken Smeetshofweg</t>
  </si>
  <si>
    <t>WL/INV/N73/19</t>
  </si>
  <si>
    <t>KP/000594</t>
  </si>
  <si>
    <t>IN/000609</t>
  </si>
  <si>
    <t>in Putte : Dokter Cornilstraat, Mechelbaan, N15 Richting Mechelen, N15 Richting Westerlo, Scherpstuklei</t>
  </si>
  <si>
    <t>KP/000595</t>
  </si>
  <si>
    <t>IN/000610</t>
  </si>
  <si>
    <t>in Puurs : Dendermondsesteenweg, N16 Richting Mechelen, N16 Richting Sint-Niklaas, N17 Richting Dendermonde, N17 Richting Puurs</t>
  </si>
  <si>
    <t>conflict met linksaf (komende van Willebroek) uitgehaald</t>
  </si>
  <si>
    <t>IN/000611</t>
  </si>
  <si>
    <t>A12.DP08 &amp; DP09 - Omvorming knooppunten N16 / N17</t>
  </si>
  <si>
    <t>Vervolgstudie is voorzien op 2019 (150), werken zullen later voorzien worden.</t>
  </si>
  <si>
    <t>WA/INV/A12/6</t>
  </si>
  <si>
    <t>KP/000596</t>
  </si>
  <si>
    <t>IN/000612</t>
  </si>
  <si>
    <t>in Puurs : Kleine Amer, N16 Richting Mechelen, N16 Richting Sint-Niklaas, Rijksweg</t>
  </si>
  <si>
    <t>is geanalyseerd maar voorgestelde quick wins zullen weinig doeltreffend zijn. Voorlopig blijven monitoren</t>
  </si>
  <si>
    <t>KP/000597</t>
  </si>
  <si>
    <t>IN/000613</t>
  </si>
  <si>
    <t>in Puurs, Willebroek : A12 Richting Antwerpen, A12 Richting Brussel, Breendonkstraat, Veurtstraat RELANCE21</t>
  </si>
  <si>
    <t>Aanpassen lichtenregeling :dilemmazonebewaking: 100 m voor de zone rijdt nog 90 km/u kan dan nog net door groen (om probleem te voorkomen dat bestuurders stoppen voor oranje terwijl anderen doorrijden)</t>
  </si>
  <si>
    <t>WA/INV/A12/12</t>
  </si>
  <si>
    <t>KP/000598</t>
  </si>
  <si>
    <t>IN/000614</t>
  </si>
  <si>
    <t>in Ranst : Liersesteenweg, N14 Richting Breda (Nl), N14 Richting Mechelen, Ranstsesteenweg</t>
  </si>
  <si>
    <t>Markering aanpassen, lichtvisie toepassen</t>
  </si>
  <si>
    <t>IN/000615</t>
  </si>
  <si>
    <t>KP/000599</t>
  </si>
  <si>
    <t>IN/000616</t>
  </si>
  <si>
    <t>in Ranst : Kempenlaan, Kromstraat, Schawijkstraat</t>
  </si>
  <si>
    <t>heraanleg N116, inclusief dit kruispunt (wordt aanbesteed in juli 2020)</t>
  </si>
  <si>
    <t>WA/INV/N116/1</t>
  </si>
  <si>
    <t>KP/000600</t>
  </si>
  <si>
    <t>IN/000617</t>
  </si>
  <si>
    <t>in Ranst : Mollentstraat, N14 Richting Breda (Nl), N14 Richting Mechelen, Nijlensesteenweg, Oostmalsesteenweg</t>
  </si>
  <si>
    <t>afsluiting Mollentstraat</t>
  </si>
  <si>
    <t>IN/000618</t>
  </si>
  <si>
    <t>MAG WEG in Ranst : Mollentstraat, N14 Richting Breda (Nl), N14 Richting Mechelen, Nijlensesteenweg, Oostmalsesteenweg</t>
  </si>
  <si>
    <t>Heraanleg N14 en aanpassen alignement N14. Zit mee in het project aanleg fietspaden N14.</t>
  </si>
  <si>
    <t>KP/000602</t>
  </si>
  <si>
    <t>IN/000619</t>
  </si>
  <si>
    <t>in Roeselare : Hippoliet Spilleboutdreef, Meensesteenweg, Meiboomlaan, Westlaan</t>
  </si>
  <si>
    <t>versmallen rijbaan op de rotonde en vergroten van de afstand tussen rijbaan en fietspad dmv markeringen en paaltjes.</t>
  </si>
  <si>
    <t>IN/000620</t>
  </si>
  <si>
    <t>opstarten simulatiestudie en PCV\n(te schrappen eens opgenomen als grote ingreep in projectcenter)</t>
  </si>
  <si>
    <t>KP/000603</t>
  </si>
  <si>
    <t>IN/000621</t>
  </si>
  <si>
    <t>N32 Roeselare : Structureel onderhoud met schoolomgeving</t>
  </si>
  <si>
    <t>Herinrichting van weg, met heraanleg kruispunten</t>
  </si>
  <si>
    <t>WWV/INV/N32/5</t>
  </si>
  <si>
    <t>KP/000604</t>
  </si>
  <si>
    <t>IN/000622</t>
  </si>
  <si>
    <t>in Roeselare : Meensesteenweg, Meiboomlaan, N32 Richting Menen-Halluin(F), Westlaan</t>
  </si>
  <si>
    <t>zelfde rotonde als punt 24946. zelfde maatregel. versmallen rijbaan rotonde, vergroten veiligheidsafstand naar fietsers</t>
  </si>
  <si>
    <t>IN/000623</t>
  </si>
  <si>
    <t>opstarten studie N32 tussen R32 en N37 inclusief dit gevaarlijk punt\n(te schrappen eens opgenomen als grote ingreep in projectcenter)</t>
  </si>
  <si>
    <t>KP/000605</t>
  </si>
  <si>
    <t>IN/000624</t>
  </si>
  <si>
    <t>N60 César Snoecklaan met N36 Zonnestraat</t>
  </si>
  <si>
    <t>aanpassing rotonde</t>
  </si>
  <si>
    <t>WOV/INV/N36/2</t>
  </si>
  <si>
    <t>KP/000606</t>
  </si>
  <si>
    <t>IN/000625</t>
  </si>
  <si>
    <t>in Rumst : A1-E19 Richting Breda (Nl) Oprit 8, A1-E19 Richting Breda (Nl) Uitrit 8, Autosnelweg E19, Bussestraat, Tiburstraat</t>
  </si>
  <si>
    <t>KP/000607</t>
  </si>
  <si>
    <t>IN/000626</t>
  </si>
  <si>
    <t>in Rumst : Antwerpsestraat, Boomsesteenweg, N177 Antwerpen - Breendonk (Puurs), Pierstraat</t>
  </si>
  <si>
    <t>KP/000608</t>
  </si>
  <si>
    <t>IN/000627</t>
  </si>
  <si>
    <t>in Scherpenheuvel-Zichem : Abdijstraat, Testeltsesteenweg, Westelsebaan</t>
  </si>
  <si>
    <t>aanpassen toeleidende fietspaden en VRI</t>
  </si>
  <si>
    <t>WVB/INV/N212/2</t>
  </si>
  <si>
    <t>KP/000611</t>
  </si>
  <si>
    <t>IN/000628</t>
  </si>
  <si>
    <t>VRI: aanpassen lichtenregeling in Schoten : Bredabaan, Fortsteenweg, Horstebaan RELANCE21</t>
  </si>
  <si>
    <t>VLCC in 22, aanpassen markering in 21</t>
  </si>
  <si>
    <t>WA/INV/N1/15</t>
  </si>
  <si>
    <t>KP/000614</t>
  </si>
  <si>
    <t>IN/000629</t>
  </si>
  <si>
    <t>Gevaarlijk Punt: N456 Sint-Laureins: markeringen aanpassen Ketterijstraat met Mariapolderdijk</t>
  </si>
  <si>
    <t>Markering aanpassen, paaltjes plaatsen;\nKetterijstraat met Mariapolderdijk. (Relance Raamcontract)</t>
  </si>
  <si>
    <t>WOV/INV/N456/11</t>
  </si>
  <si>
    <t>KP/000616</t>
  </si>
  <si>
    <t>IN/000630</t>
  </si>
  <si>
    <t>in Sint-Niklaas : R42 Singel met Raapstraat</t>
  </si>
  <si>
    <t>semi-conflictvrij gemaakt (2019)</t>
  </si>
  <si>
    <t>KP/000618</t>
  </si>
  <si>
    <t>IN/000631</t>
  </si>
  <si>
    <t>Gevaarlijk Punt: R42 Sint-Niklaas: aanpassen lichtenregeling</t>
  </si>
  <si>
    <t>Aanpassen lichtenregeling: Conflictvrije regeling;\nIn Sint-Niklaas : R42 Singel met N451 Vijfstraten. (Relance Raamcontract)</t>
  </si>
  <si>
    <t>WOV/INV/R42/2</t>
  </si>
  <si>
    <t>KP/000619</t>
  </si>
  <si>
    <t>IN/000632</t>
  </si>
  <si>
    <t>Gevaarlijk Punt: R42 Sint-Niklaas : VRI aanpassen</t>
  </si>
  <si>
    <t>VRI aangepast (conflictvrij);\nR42 Guido Gezellelaan / Spoorweglaan met N403 Plezantstraat</t>
  </si>
  <si>
    <t>WOV/INV/R42/3</t>
  </si>
  <si>
    <t>KP/000620</t>
  </si>
  <si>
    <t>IN/000633</t>
  </si>
  <si>
    <t>in Sint-Niklaas : N70 Koningin Astridlaan met N16 Parklaan. (Relance Raamcontract)</t>
  </si>
  <si>
    <t>KP/000621</t>
  </si>
  <si>
    <t>IN/000634</t>
  </si>
  <si>
    <t>VRI en Infra: aanpassen lichtenregeling + bijkomende aanpassingen infra in Sint-Niklaas, Waasmunster : N70 Grote Baan met N446 Schrijberg. (Relance raamcontract)</t>
  </si>
  <si>
    <t>Aanpassen lichtenregeling + voorsorteerstrook verlengen</t>
  </si>
  <si>
    <t>KP/000622</t>
  </si>
  <si>
    <t>IN/000635</t>
  </si>
  <si>
    <t>in Sint-Pieters-Leeuw : Albert Van Cotthemstraat, Bergensesteenweg, Eugène Ghijsstraat (N6) (SCHRAPPEN - MAAKT DEEL UIT VAN WVB/INV/N6/1)</t>
  </si>
  <si>
    <t>TV3V plan uitvoeren samen met doortocht</t>
  </si>
  <si>
    <t>KP/000623</t>
  </si>
  <si>
    <t>IN/000636</t>
  </si>
  <si>
    <t>in Sint-Pieters-Leeuw : Bergensesteenweg, PARKING SHOPPING PAJOT (SCHRAPPEN - MAAKT DEEL UIT VAN WVB/INV/N6/1)</t>
  </si>
  <si>
    <t>KP/000624</t>
  </si>
  <si>
    <t>IN/000637</t>
  </si>
  <si>
    <t>in Sint-Pieters-Leeuw : Bergensesteenweg, Ruisbroeksesteenweg</t>
  </si>
  <si>
    <t>IN/000638</t>
  </si>
  <si>
    <t>in Sint-Pieters-Leeuw : Bergensesteenweg, Ruisbroeksesteenweg (SCHRAPPEN - MAAKT DEEL UIT VAN WVB/INV/N6/1)</t>
  </si>
  <si>
    <t>wegvak wordt volledig heringericht</t>
  </si>
  <si>
    <t>KP/000625</t>
  </si>
  <si>
    <t>IN/000639</t>
  </si>
  <si>
    <t>in Sint-Truiden : Hasseltsesteenweg, Melveren-Centrum, Terbiest</t>
  </si>
  <si>
    <t>IN/000640</t>
  </si>
  <si>
    <t>N722 : St. Truiden : aanleg fietspaden</t>
  </si>
  <si>
    <t>Fietspad in de voorrang op de rotonde. Studie fietspaden Sint-Truiden tot Hasselt. Er worden bepaalde delen in voorrang genomen. Reeds in projectnota voorzien: vrijliggende fietspaden voorzien. Zit in fase 1 van het project</t>
  </si>
  <si>
    <t>WL/INV/N722/1</t>
  </si>
  <si>
    <t>KP/000626</t>
  </si>
  <si>
    <t>IN/000641</t>
  </si>
  <si>
    <t>in Stabroek : A12 Ri. Brussel oprit 13 Stabroek ri knp Ant-Haven, A12 Richting Brussel afrit 13 Stabroek, Laageind</t>
  </si>
  <si>
    <t>midden 2019 werden aanpassingen uitgevoerd aan markering, zichtbaarheid borden verbeterd (audit uitgevoerd) volgens politie: vrachtwagenschauffeurs  vergissen zich tussen afrit Stabroek en afrit naar R2 en rijden gewoon kruispûnt over. Bewegwijzering normaal maart 2020, vermoedelijk juni/juli2020</t>
  </si>
  <si>
    <t>KP/000627</t>
  </si>
  <si>
    <t>IN/000642</t>
  </si>
  <si>
    <t>Handhaving in Staden : Provinciebaan, 's Gravenstraat, Westrozebekestraat</t>
  </si>
  <si>
    <t>TC lijst 2019</t>
  </si>
  <si>
    <t>WWV/INV/N313/2</t>
  </si>
  <si>
    <t>KP/000628</t>
  </si>
  <si>
    <t>IN/000643</t>
  </si>
  <si>
    <t>in Steenokkerzeel : Haachtsesteenweg, Tervuursesteenweg</t>
  </si>
  <si>
    <t>FP omleggen langsheen de gewestweg (westelijke tak)</t>
  </si>
  <si>
    <t>KP/000629</t>
  </si>
  <si>
    <t>IN/000644</t>
  </si>
  <si>
    <t>N16 Temse aanpassingen kruispunt Hoogkamerstraat</t>
  </si>
  <si>
    <t>Aanpassing van de aansluiting van Hoogkamerstraat op N16. Deel van budget gev ptn gaat naar dit project</t>
  </si>
  <si>
    <t>WOV/INV/N16/1</t>
  </si>
  <si>
    <t>KP/000630</t>
  </si>
  <si>
    <t>IN/000645</t>
  </si>
  <si>
    <t>in Temse : N16 met Doornstraat en Gasthuisstraat</t>
  </si>
  <si>
    <t>lichtenregeling aangepast (nog 1 conflict) (2019)</t>
  </si>
  <si>
    <t>KP/000631</t>
  </si>
  <si>
    <t>IN/000646</t>
  </si>
  <si>
    <t>Nieuw lichtengeregeld kruispunt ter vervanging van de aansluiting Galgeveldstraat.</t>
  </si>
  <si>
    <t>Uitbreiding aan industrieterrein gepland, gevraagd om bestaande in- en uitrit te sluiten, en een nieuwe ontsluiting te maken. wordt lichtengeregeld.\n- Aanleg nieuw kruispunt, met VRI\n-afsluiten Galgeveldstraat thv N37, voor gemotoriseerd verkeer</t>
  </si>
  <si>
    <t>WWV/INV/N37/3</t>
  </si>
  <si>
    <t>IN/000647</t>
  </si>
  <si>
    <t>Middeneiland aanleggen in Tielt : Galgenveldstraat, Ruiseleedsesteenweg</t>
  </si>
  <si>
    <t>Uitbreiding aan industrieterrein gepland, gevraagd om bestaande in- en uitrit te sluiten, en een nieuwe ontsluiting te maken. wordt lichtengeregeld. Deze ingreep betreft de voorlopige QW ter hoogte van de te sluiten Galgeveldstraat.\n- rustpunt voor fietsers\n- fietspad accentueren (20.000)</t>
  </si>
  <si>
    <t>WWV/INV/N37/2</t>
  </si>
  <si>
    <t>KP/000633</t>
  </si>
  <si>
    <t>IN/000648</t>
  </si>
  <si>
    <t>in Tielt : Wakkensesteenweg</t>
  </si>
  <si>
    <t>uitbreiden signalisatie bocht en voorzien van ribbelstroken in nadering van de bocht. Eén van de 20 van 2018 trajectcontroles.</t>
  </si>
  <si>
    <t>KP/000634</t>
  </si>
  <si>
    <t>IN/000649</t>
  </si>
  <si>
    <t>in Tienen : Groot Overlaar, Westelijke Ring, Zuidelijke Ring</t>
  </si>
  <si>
    <t>Aanpassen lichtenregeling (maximaal conflictvrij)</t>
  </si>
  <si>
    <t>KP/000635</t>
  </si>
  <si>
    <t>IN/000650</t>
  </si>
  <si>
    <t>in Tongeren : Cottalaan, Koninksemsteenweg, Koninksemstraat, Sabinuslaan</t>
  </si>
  <si>
    <t>KP/000636</t>
  </si>
  <si>
    <t>IN/000651</t>
  </si>
  <si>
    <t>VRI: aanpassen lichtenregeling in Tongeren : Eeuwfeestwal, Elisabethwal, Sint-Truidersteenweg</t>
  </si>
  <si>
    <t>Aanpassen lichtenregeling + middeneilanden voor voetgangers zodat in 2 keer kan overgestoken worden  + voetgangersuitstulping</t>
  </si>
  <si>
    <t>WL/INV/R72/2</t>
  </si>
  <si>
    <t>KP/000889</t>
  </si>
  <si>
    <t>KP/000637</t>
  </si>
  <si>
    <t>IN/000652</t>
  </si>
  <si>
    <t>in Tongeren : Achttiende - Oogstwal, Jaminéstraat, Leopoldwal, Maastrichterstraat, Stationslaan</t>
  </si>
  <si>
    <t>Markeringen aanpassen</t>
  </si>
  <si>
    <t>KP/000638</t>
  </si>
  <si>
    <t>IN/000653</t>
  </si>
  <si>
    <t>in Turnhout : Nassaulaan, Steenweg op Merksplas</t>
  </si>
  <si>
    <t>KP/000639</t>
  </si>
  <si>
    <t>IN/000654</t>
  </si>
  <si>
    <t>in Turnhout : Kempenlaan, Parklaan, Steenweg op Gierle</t>
  </si>
  <si>
    <t>IN/000655</t>
  </si>
  <si>
    <t>De N140 wordt volledig heraangelegd en studie om VRI conflictvrij\ntiming afhankelijk van onteigeningen. (dus 2023 of 2024)</t>
  </si>
  <si>
    <t>WA/INV/N140/2</t>
  </si>
  <si>
    <t>KP/000640</t>
  </si>
  <si>
    <t>IN/000656</t>
  </si>
  <si>
    <t>in Turnhout : Graatakker, Parklaan, Steenweg op Zevendonk RELANCE21</t>
  </si>
  <si>
    <t>weghalen voorlooppijl (gelijktijdig groen voor bestuurders en fietsers)</t>
  </si>
  <si>
    <t>WA/INV/R13/3</t>
  </si>
  <si>
    <t>KP/000643</t>
  </si>
  <si>
    <t>IN/000657</t>
  </si>
  <si>
    <t>in Turnhout : R013 x Graatakker, Parklaan, Steenweg op Zevendonk</t>
  </si>
  <si>
    <t>Volledig conflictvrij + aanpassen lichtenregeling (+ 200 m verderop een nieuwe VRI op kruispunt met Carrefour)</t>
  </si>
  <si>
    <t>KP/000641</t>
  </si>
  <si>
    <t>IN/000658</t>
  </si>
  <si>
    <t>in Turnhout : Kempenlaan, Nassaulaan, Steenweg op Antwerpen</t>
  </si>
  <si>
    <t>IN/000659</t>
  </si>
  <si>
    <t>X10/R13/22 (Kspt R13/N12 - Turnhout - Van Roey)</t>
  </si>
  <si>
    <t>herinrichting. 2020 beginnen met onteigeningen. (geplande indienstname VRI 2023)</t>
  </si>
  <si>
    <t>WA/INV/R013/3</t>
  </si>
  <si>
    <t>KP/000642</t>
  </si>
  <si>
    <t>IN/000660</t>
  </si>
  <si>
    <t>VRI: aanpassen lichtenregeling in Turnhout : Steenweg op Diest, Tielendijk RELANCE21</t>
  </si>
  <si>
    <t>Inrichten volgens actieplan + rekening houden met resultaten Vias</t>
  </si>
  <si>
    <t>WA/INV/N19/10</t>
  </si>
  <si>
    <t>KP/001077</t>
  </si>
  <si>
    <t>KS424 - hier werden in 2016 nieuwe verkeerslichten geplaatst, maar niet conflictvrij. Er zijn dus nog steeds conflicten tussen overstekende fietsers en afslaand autoverkeer</t>
  </si>
  <si>
    <t>IN/000661</t>
  </si>
  <si>
    <t>in Turnhout : Parklaan</t>
  </si>
  <si>
    <t>IN/000662</t>
  </si>
  <si>
    <t>mag weg - zit mee in IN/000657    in Turnhout : Parklaan</t>
  </si>
  <si>
    <t>er wordt een aparte oprit voor de supermarkt voorzien, want nu maken voertugien een U-turn. zit samen in aanpassing in kruispunt (24624). realisatie kortetermijnsoplossingen via PCVmiddelen &gt; plaatsen VRI</t>
  </si>
  <si>
    <t>KP/000644</t>
  </si>
  <si>
    <t>IN/000663</t>
  </si>
  <si>
    <t>in Turnhout : Noord-Brabantlaan, Parklaan, Steenweg op Mol, Steenweg op Turnhout</t>
  </si>
  <si>
    <t>IN/000664</t>
  </si>
  <si>
    <t>Herinrichting R013 x N018</t>
  </si>
  <si>
    <t>Studie Lopende: 2021\nuitvoering 2025</t>
  </si>
  <si>
    <t>WA/INV/R013/2</t>
  </si>
  <si>
    <t>KP/000645</t>
  </si>
  <si>
    <t>IN/000665</t>
  </si>
  <si>
    <t>in Turnhout : Everdongenlaan, Steenweg op Diest, Steenweg op Zevendonk</t>
  </si>
  <si>
    <t>Aanpassing VRI. conflict rechtsaf en linksaf met fietsers en voetgangers uitgehaald.</t>
  </si>
  <si>
    <t>KP/000646</t>
  </si>
  <si>
    <t>IN/000666</t>
  </si>
  <si>
    <t>Horizontale signalisatie aanpassen in Veurne : N35 Richting Gavere (N60), N39 Richting Dunkerque(F), Nieuwpoortkeiweg, Statiestraat, Vaartstraat</t>
  </si>
  <si>
    <t>aanpassingen markeringen op alle takken van de rotonde</t>
  </si>
  <si>
    <t>WWV/INV/N35/4</t>
  </si>
  <si>
    <t>KP/000647</t>
  </si>
  <si>
    <t>IN/000667</t>
  </si>
  <si>
    <t>in Veurne : A18-E40 Richting Brugge</t>
  </si>
  <si>
    <t>inzagen asfalt voor verbeterde waterafvoer</t>
  </si>
  <si>
    <t>KP/000648</t>
  </si>
  <si>
    <t>IN/000668</t>
  </si>
  <si>
    <t>in Vilvoorde : Rubensstraat, Vlierkensstraat</t>
  </si>
  <si>
    <t>Nieuwe lichten geplaatst. Aanpassing lichtenregeling moet nog gebeuren</t>
  </si>
  <si>
    <t>KP/000649</t>
  </si>
  <si>
    <t>IN/000669</t>
  </si>
  <si>
    <t>in Vosselaar : Antwerpsesteenweg, Jagerslaan, Weigang</t>
  </si>
  <si>
    <t>Aanpassing VRI (oa vonflictvrije linksaf)</t>
  </si>
  <si>
    <t>KP/000650</t>
  </si>
  <si>
    <t>IN/000670</t>
  </si>
  <si>
    <t>in Waregem : Gentseweg, Posterijstraat, Vijfseweg</t>
  </si>
  <si>
    <t>aanpassingen cyclus en kleine infrastructurele ingreep. Onder andere conflictvrij maken van de linksaf op de N43.</t>
  </si>
  <si>
    <t>KP/000651</t>
  </si>
  <si>
    <t>IN/000671</t>
  </si>
  <si>
    <t>Verlagen toegelaten snelheid in Wemmel : R0 Buitenring</t>
  </si>
  <si>
    <t>IN/000672</t>
  </si>
  <si>
    <t>Herinrichting R0</t>
  </si>
  <si>
    <t>KP/000652</t>
  </si>
  <si>
    <t>IN/000673</t>
  </si>
  <si>
    <t>Fietspad: aanpassen van ligging in Wemmel : de Limburg Stirumlaan, R0 Buitenring Oprit 8 (Wemmel), R0 Buitenring Uitrit 8 (Wemmel)</t>
  </si>
  <si>
    <t>Fietspad verplaatsen (verdere aanpassingen beperkt)</t>
  </si>
  <si>
    <t>KP/000653</t>
  </si>
  <si>
    <t>IN/000674</t>
  </si>
  <si>
    <t>IN/000675</t>
  </si>
  <si>
    <t>KP/000654</t>
  </si>
  <si>
    <t>IN/000676</t>
  </si>
  <si>
    <t>Infra allerlei (oa brugvoegen vernieuwen, middenberm sluiten) in Westerlo : A13-E313 Richting Antwerpen</t>
  </si>
  <si>
    <t>Brugvoegen werden vernieuwd (maart 2019)</t>
  </si>
  <si>
    <t>WA/INV/A13/6</t>
  </si>
  <si>
    <t>KP/000655</t>
  </si>
  <si>
    <t>IN/000677</t>
  </si>
  <si>
    <t>Gevaarlijk Punt: N42 Wetteren: middeneiland aanleggen</t>
  </si>
  <si>
    <t>Er kan niet meer naar links worden afgeslagen (2020);\nOosterzelesteenweg thv Frunpark</t>
  </si>
  <si>
    <t>KP/000657</t>
  </si>
  <si>
    <t>IN/000678</t>
  </si>
  <si>
    <t>VERWIJDEREN INBEGREPEN IN ANDERE INGREEP in Wetteren : N417 Zuidlaan met N462 Massemsesteenweg en Korte Massemsesteenweg</t>
  </si>
  <si>
    <t>Ombouw VRI + aanpassingen rijstrook</t>
  </si>
  <si>
    <t>KP/000658</t>
  </si>
  <si>
    <t>IN/000679</t>
  </si>
  <si>
    <t>in Wetteren : N9 Brusselsesteenweg met N42 Oosterzelesteenweg en N417 Zuidlaan</t>
  </si>
  <si>
    <t>Heraanleg. Haalbaarheidsstudie</t>
  </si>
  <si>
    <t>WOV/INV/N42/6</t>
  </si>
  <si>
    <t>KP/000659</t>
  </si>
  <si>
    <t>IN/000680</t>
  </si>
  <si>
    <t>in Wetteren : N400 Felix Beernaertsplein met N407 Koningin Astridlaan, Nieuwstraat en Moerstraat. (Relance Raamcontract)</t>
  </si>
  <si>
    <t>Voetpaden aanleggen</t>
  </si>
  <si>
    <t>WOV/INV/N407/4</t>
  </si>
  <si>
    <t>KP/000660</t>
  </si>
  <si>
    <t>IN/000681</t>
  </si>
  <si>
    <t>Gevaarlijk Punt: N9 Wetteren: aanpassen lichtenregeling + bijkomende aanpassingen infra</t>
  </si>
  <si>
    <t>Ombouw VRI + infra;\nVRI: aanpassen lichtenregeling + bijkomende aanpassingen infra in Wetteren : N9 Brusselsesteenweg met N462 Keiberg en Massemsesteenweg. (Relance Raamcontract)</t>
  </si>
  <si>
    <t>WOV/INV/N9/16</t>
  </si>
  <si>
    <t>KP/000017</t>
  </si>
  <si>
    <t>IN/000682</t>
  </si>
  <si>
    <t>in Wetteren : N417 Zuidlaan met Biezeweg</t>
  </si>
  <si>
    <t>Heraanleg kruispunt door AWV, Biezeweg door gemeente. Maar onduidelijk wanneer weg wordt heraangelegd.</t>
  </si>
  <si>
    <t>KP/000661</t>
  </si>
  <si>
    <t>KP/000662</t>
  </si>
  <si>
    <t>IN/000683</t>
  </si>
  <si>
    <t>in Wevelgem : A17 Richting Tournai Oprit 5, A17 Richting Tournai Uitrit 5, Kortrijkstraat</t>
  </si>
  <si>
    <t>WWV/INV/A17/4</t>
  </si>
  <si>
    <t>IN/000684</t>
  </si>
  <si>
    <t>zit in doorstromingsproject N8, rotonde met vrijliggende fietspaden en fietstunnel onder de op- en afrit.</t>
  </si>
  <si>
    <t>KP/000664</t>
  </si>
  <si>
    <t>IN/000685</t>
  </si>
  <si>
    <t>VRI: aanpassen lichtenregeling + bijkomende aanpassingen infra in Wijnegem : Houtlaan, 's Gravenwezelsteenweg RELANCE21</t>
  </si>
  <si>
    <t>Aanpassen lichtenregeling + bypass wordt in lichten gestoken waarvoor een invoegstrook gemaakt wordt om gelijktijdig groen te krijgen met de gewestweg</t>
  </si>
  <si>
    <t>WA/INV/N12/9</t>
  </si>
  <si>
    <t>KP/000665</t>
  </si>
  <si>
    <t>IN/000686</t>
  </si>
  <si>
    <t>in Wijnegem : Turnhoutsebaan (shopping)</t>
  </si>
  <si>
    <t>Inrit is heringericht</t>
  </si>
  <si>
    <t>KP/000666</t>
  </si>
  <si>
    <t>IN/000687</t>
  </si>
  <si>
    <t>in Wijnegem : Deurnesteenweg, Merksemsebaan</t>
  </si>
  <si>
    <t>Meer conflictvrije lichtenregeling zal geïnstalleerd worden in 2019 (VLCC)</t>
  </si>
  <si>
    <t>IN/000688</t>
  </si>
  <si>
    <t>Heraanleg kruispunt. Er wordt momenteel ook een nieuw kruispunt ernaast aangelegd (finaal af in 2023/2024)</t>
  </si>
  <si>
    <t>WA/INV/N120/2</t>
  </si>
  <si>
    <t>KP/000667</t>
  </si>
  <si>
    <t>IN/000689</t>
  </si>
  <si>
    <t>VRI: aanpassen lichtenregeling in Wommelgem : Autolei, Frans Beirenslaan, Herentalsebaan</t>
  </si>
  <si>
    <t>Aanpassen lichtenregeling (momenteel problemen met galgpalen + fundering) (V015287)</t>
  </si>
  <si>
    <t>WA/INV/R11/6</t>
  </si>
  <si>
    <t>KP/000668</t>
  </si>
  <si>
    <t>IN/000690</t>
  </si>
  <si>
    <t>Groenbeheer in Zaventem : R0 Buitenring</t>
  </si>
  <si>
    <t>Er worden bomen gekapt voorjaar 2020, vervolgens worden borden geplaatst (juni 2020 borden besteld)</t>
  </si>
  <si>
    <t>WVB/INV/R0/10</t>
  </si>
  <si>
    <t>IN/000691</t>
  </si>
  <si>
    <t>Groenbeheer in Zaventem : R0 Buitenring (MAG WEG - DOOR DWV)</t>
  </si>
  <si>
    <t>Herinrichting R0 door de Werkvenootschap</t>
  </si>
  <si>
    <t>KP/000670</t>
  </si>
  <si>
    <t>IN/000692</t>
  </si>
  <si>
    <t>in Zaventem : Leuvensesteenweg, Woluwedal (MAG WEG - DOOR DWV)</t>
  </si>
  <si>
    <t>werken herinrichting zijn lopende &gt; werkvenootschap</t>
  </si>
  <si>
    <t>KP/000671</t>
  </si>
  <si>
    <t>IN/000693</t>
  </si>
  <si>
    <t>Horizontale signalisatie aanpassen in Zaventem : Mechelsesteenweg, Nieuwstraat, Walenhof</t>
  </si>
  <si>
    <t>Horizontale markering aanpassen (parkeerstrook inkorten)\nverdere oplossing in kader van herinrichting plein door Zaventem\nverschuiven bushalte ri Nossegem</t>
  </si>
  <si>
    <t>WVB/INV/NX/6</t>
  </si>
  <si>
    <t>KP/000672</t>
  </si>
  <si>
    <t>IN/000694</t>
  </si>
  <si>
    <t>VRI: andere installatie (oa boogpalen, opschuiven drukknop, lichtengeregelde oversteek) in Zaventem : Hoge Wei, Leuvensesteenweg</t>
  </si>
  <si>
    <t>Plaatsen van boogpalen, plastieken paaltjes naast afslagstrook, volgens actieplan</t>
  </si>
  <si>
    <t>WVB/INV/N2/15</t>
  </si>
  <si>
    <t>KP/000673</t>
  </si>
  <si>
    <t>IN/000695</t>
  </si>
  <si>
    <t>in Zaventem : R0 Buitenring</t>
  </si>
  <si>
    <t>er werden vangrails geplaatst om de brug af te schermen</t>
  </si>
  <si>
    <t>IN/000696</t>
  </si>
  <si>
    <t>in Zaventem : R0 Buitenring (MAG WEG - DOOR DWV)</t>
  </si>
  <si>
    <t>KP/000674</t>
  </si>
  <si>
    <t>IN/000697</t>
  </si>
  <si>
    <t>Verticale signalisatie aanpassen in Zaventem : R0 Buitenring</t>
  </si>
  <si>
    <t>wit bord naar km 31.150 + splitsingsbaken plaatsen + rechts bord op portiek aanpassen + naderingsmarkeringen naar 150m verlengen. juni 2020: borden zijn besteld,  timing uitvoering onduidelijk</t>
  </si>
  <si>
    <t>WVB/INV/R0/11</t>
  </si>
  <si>
    <t>IN/000698</t>
  </si>
  <si>
    <t>Verticale signalisatie aanpassen in Zaventem : R0 Buitenring (MAG WEG - DOOR DWV)</t>
  </si>
  <si>
    <t>KP/000675</t>
  </si>
  <si>
    <t>IN/000699</t>
  </si>
  <si>
    <t>in Zaventem : Leuvensesteenweg, Mechelsesteenweg</t>
  </si>
  <si>
    <t>WVB/INV/N227/8</t>
  </si>
  <si>
    <t>KP/000677</t>
  </si>
  <si>
    <t>IN/000700</t>
  </si>
  <si>
    <t>in Zaventem : A3-E40 Richting Brussel</t>
  </si>
  <si>
    <t>Rijstrooksignalisatie</t>
  </si>
  <si>
    <t>WVB/INV/A3/16</t>
  </si>
  <si>
    <t>KP/000678</t>
  </si>
  <si>
    <t>IN/000701</t>
  </si>
  <si>
    <t>in Zelzate : R4 Pres. J.F. Kennedylaan met Rijkswachtlaan en Akker</t>
  </si>
  <si>
    <t>Aanpassing verkeerslichtenregeling (2019)</t>
  </si>
  <si>
    <t>IN/000702</t>
  </si>
  <si>
    <t>PPS R4WO   Zelzate : R4 Pres. J.F. Kennedylaan met Rijkswachtlaan en Akker</t>
  </si>
  <si>
    <t>KP/000679</t>
  </si>
  <si>
    <t>IN/000703</t>
  </si>
  <si>
    <t>VRI: nieuwe installatie plaatsen in Zelzate : R4 Kanaalstraat met Vredekaai en Westkade</t>
  </si>
  <si>
    <t>WOV/INV/NX/1</t>
  </si>
  <si>
    <t>IN/000704</t>
  </si>
  <si>
    <t>KP/000680</t>
  </si>
  <si>
    <t>IN/000705</t>
  </si>
  <si>
    <t>in Zemst : Brusselsesteenweg, Damstraat, Guldenboomlaan, N1 Richting Antwerpen - Breda (Nl), Robert Schumanlaan</t>
  </si>
  <si>
    <t>Fietsoversteek werd conflictvrij gemaakt (nav een dodelijk ongeval met fietser)</t>
  </si>
  <si>
    <t>KP/000682</t>
  </si>
  <si>
    <t>IN/000706</t>
  </si>
  <si>
    <t>in Zonhoven : Beringersteenweg, Donkweg, Stationsstraat, Wijerstraat</t>
  </si>
  <si>
    <t>Beveiliging kruispunt met veilige fietspaden en oversteekplaatsen</t>
  </si>
  <si>
    <t>KP/000685</t>
  </si>
  <si>
    <t>IN/000707</t>
  </si>
  <si>
    <t>in Zottegem : N42 Europaweg met Buke</t>
  </si>
  <si>
    <t>Aanpassen VRI volgens actieplan</t>
  </si>
  <si>
    <t>KP/000686</t>
  </si>
  <si>
    <t>IN/000708</t>
  </si>
  <si>
    <t>in Zottegem : N46 Provinciebaan met Balegemstraat en Elenestraat</t>
  </si>
  <si>
    <t>heraanleg kruispunt (in kader van heraanleg volledig wegvak)</t>
  </si>
  <si>
    <t>WOV/INV/N46/1</t>
  </si>
  <si>
    <t>KP/000687</t>
  </si>
  <si>
    <t>IN/000709</t>
  </si>
  <si>
    <t>in Zottegem : N42 Europaweg met Leenstraat</t>
  </si>
  <si>
    <t>semi-conflictvrij (reeds aangepakt vooraleer bekend was dat dit een gevaarlijk punt is)</t>
  </si>
  <si>
    <t>KP/000688</t>
  </si>
  <si>
    <t>IN/000710</t>
  </si>
  <si>
    <t>in Zottegem : N42 Europaweg met N46 Steenweg op Aalst</t>
  </si>
  <si>
    <t>VRI ombouwen naar actieplan + in,frastructuur aangepast (vluchtheuvels aanpass). Niet volledig conflictvrij wegens onteigeningen</t>
  </si>
  <si>
    <t>KP/000689</t>
  </si>
  <si>
    <t>IN/000711</t>
  </si>
  <si>
    <t>in Zuienkerke : Blankenbergse Steenweg, N371 Brugge (N9) - Blankenberge (N34), Statiesteenweg</t>
  </si>
  <si>
    <t>uitvoering PCV op bushaltebestek, fietsroute verleggen, rustpunt bij oversteken (12/10/2020)</t>
  </si>
  <si>
    <t>KP/000690</t>
  </si>
  <si>
    <t>IN/000712</t>
  </si>
  <si>
    <t>in Zulte : N43 Grote Steenweg met N459 Centrumstraat</t>
  </si>
  <si>
    <t>herinrichting doortocht</t>
  </si>
  <si>
    <t>WOV/INV/N43/2</t>
  </si>
  <si>
    <t>KP/003945</t>
  </si>
  <si>
    <t>KP/000691</t>
  </si>
  <si>
    <t>IN/000713</t>
  </si>
  <si>
    <t>in Zwijndrecht : A14-E17 Richting Antwerpen</t>
  </si>
  <si>
    <t>oosterweel. afgesloten in 2022</t>
  </si>
  <si>
    <t>KP/000692</t>
  </si>
  <si>
    <t>IN/000714</t>
  </si>
  <si>
    <t>in Zwijndrecht : A11-E34 Richting Antwerpen, A14-E17 Richting Antwerpen Oprit 17, A14-E17 Richting Antwerpen Uitrit 17, Pastoor Coplaan, Zwijndrechtsestraat</t>
  </si>
  <si>
    <t>KP/000734</t>
  </si>
  <si>
    <t>IN/000715</t>
  </si>
  <si>
    <t>WL/INV/N78/30</t>
  </si>
  <si>
    <t>KP/000753</t>
  </si>
  <si>
    <t>IN/000716</t>
  </si>
  <si>
    <t>Fietstunnel ter hoogte van Elfde Liniestraat</t>
  </si>
  <si>
    <t>WL/INV/R71/4</t>
  </si>
  <si>
    <t>KP/001139</t>
  </si>
  <si>
    <t>IN/000717</t>
  </si>
  <si>
    <t>N6 Bergensteenweg</t>
  </si>
  <si>
    <t>WVB/INV/N6/1</t>
  </si>
  <si>
    <t>KP/000786</t>
  </si>
  <si>
    <t>KP/000723</t>
  </si>
  <si>
    <t>IN/000718</t>
  </si>
  <si>
    <t>wachten op budget</t>
  </si>
  <si>
    <t>WA/INV/N16/7</t>
  </si>
  <si>
    <t>KP/000759</t>
  </si>
  <si>
    <t>IN/000719</t>
  </si>
  <si>
    <t>IN/000720</t>
  </si>
  <si>
    <t>Herinrichting Vesten (met beperkte middelen)</t>
  </si>
  <si>
    <t>Enkelrichting maken vesten (R12)</t>
  </si>
  <si>
    <t>WA/INV/R12/1</t>
  </si>
  <si>
    <t>KP/000769</t>
  </si>
  <si>
    <t>KP/001036</t>
  </si>
  <si>
    <t>KS332 - Diverse conflicten binnen de lichtenregeling tussen zachte weggebruikers en gemotoriseerd verkeer.  In het bijzonder op de loop- en fietsroute van station naar centrum. Op dezelfde plek is er de vraag om de oversteek voor fietsers in beide richtingen toe te laten. Scholieren komende van het station richting scholen in de binnenstad maken massaal gebruik van deze oversteek. Het is immers een belangrijke toegangsweg naar de scholen in stadscentrum.</t>
  </si>
  <si>
    <t>KP/001037</t>
  </si>
  <si>
    <t>KS338 - De oversteekplaats is klein gedimensioneerd voor het grote aantal overstekende fietsers. Dit is een belangrijke toegangsweg naar de scholen in stadscentrum.</t>
  </si>
  <si>
    <t>KP/001038</t>
  </si>
  <si>
    <t>KS339 - Aansluiting van het fietspad richting de brug is zeer oncomfortabel: haakse bochten + riooldeksel zit in de rijlijn. Dit maakt deel uit van de fietsring rond het stadscentrum, een veelgebruikte route door scholieren.</t>
  </si>
  <si>
    <t>KP/001368</t>
  </si>
  <si>
    <t>KS331 - Voorrangsregeling op bypass is onduidelijk. Dit een belangrijke oversteek voor alle scholen in het centrum, met in het bijzonder de Bim-Sem hier vlakbij gelegen.</t>
  </si>
  <si>
    <t>KP/001369</t>
  </si>
  <si>
    <t>KS340 - Conflicten tussen fietsers van Liersesteenweg richting centrum en rechts afslaand gemotoriseerd verkeer. Hier gebeurden al dode-hoek-ongevallen. Het is een belangrijke toegangsweg naar de scholen in stadscentrum.</t>
  </si>
  <si>
    <t>KP/000739</t>
  </si>
  <si>
    <t>IN/000721</t>
  </si>
  <si>
    <t>studie herinrichting R014 x Pas KT</t>
  </si>
  <si>
    <t>Studie voor KT herinrichting.\nEr volgt nog studie voor ingrijpendere oplossing (eventueel tunnel ed....)</t>
  </si>
  <si>
    <t>WA/INV/N19/4</t>
  </si>
  <si>
    <t>KP/000716</t>
  </si>
  <si>
    <t>IN/000722</t>
  </si>
  <si>
    <t>Afsluiten Zijstraat voor vrachtverkeer</t>
  </si>
  <si>
    <t>PCV beslissing PCV 1326 (zitting 11/05/2016)\nLater volgt nog een module13 voor structurele oplossing.</t>
  </si>
  <si>
    <t>KP/000789</t>
  </si>
  <si>
    <t>IN/000723</t>
  </si>
  <si>
    <t>Studie N19 -  Complex 24 Turnhout-Centrum</t>
  </si>
  <si>
    <t>Studie begin 2022 - uitvoering 2024</t>
  </si>
  <si>
    <t>WA/INV/N019/2</t>
  </si>
  <si>
    <t>KP/000775</t>
  </si>
  <si>
    <t>IN/000724</t>
  </si>
  <si>
    <t>Oversteekplaats</t>
  </si>
  <si>
    <t>- Punctueleverlichting (Lichvisie E2)\n- Zichtbaarheid verbetere, parkeerplaatsen verwijderen</t>
  </si>
  <si>
    <t>KP/000720</t>
  </si>
  <si>
    <t>IN/000725</t>
  </si>
  <si>
    <t>Studie Schoolomgeving door Gemeente Balen</t>
  </si>
  <si>
    <t>Studie: 2022\nUitvoering: 2025</t>
  </si>
  <si>
    <t>WA/INV/N018/4</t>
  </si>
  <si>
    <t>IN/000726</t>
  </si>
  <si>
    <t>Herinrichting Kruispunt R013 x N124</t>
  </si>
  <si>
    <t>N124 anders aansluiten aan R13 (Voorrang)\nStudie: loopt 2021 (aan hold --&gt; gemeente onderzoek)\nUitvoering: nog niet gekend.\n</t>
  </si>
  <si>
    <t>WA/INV/R013/4</t>
  </si>
  <si>
    <t>KP/000745</t>
  </si>
  <si>
    <t>IN/000727</t>
  </si>
  <si>
    <t>Gent tijdelijke heraanleg Dampoort</t>
  </si>
  <si>
    <t>Zie ProjectCenter</t>
  </si>
  <si>
    <t>WOV/INV/R40/3</t>
  </si>
  <si>
    <t>KP/000750</t>
  </si>
  <si>
    <t>IN/000728</t>
  </si>
  <si>
    <t>Gevaarlijk Punt: R40 Gent: plaatsen kegels rondom laadzone</t>
  </si>
  <si>
    <t>Plaatsen kegels rondom laadzone (2020)</t>
  </si>
  <si>
    <t>KP/000751</t>
  </si>
  <si>
    <t>IN/000729</t>
  </si>
  <si>
    <t>Gevaarlijk Punt: N414 Gent: aanleg bijkomende middeneilanden</t>
  </si>
  <si>
    <t>Aanleg bijkomende middeneilanden (2020)</t>
  </si>
  <si>
    <t>IN/000730</t>
  </si>
  <si>
    <t>N50 - Brugge Steenbruggebrug</t>
  </si>
  <si>
    <t>N50 - Brugge Steenbruggebrug - werken DVW</t>
  </si>
  <si>
    <t>WWV/INV/N50/5</t>
  </si>
  <si>
    <t>KP/000727</t>
  </si>
  <si>
    <t>KP/000797</t>
  </si>
  <si>
    <t>KS001 - Bij school</t>
  </si>
  <si>
    <t>IN/000731</t>
  </si>
  <si>
    <t>Horizontale signalisatie in Oudenburg op Hoogstraat</t>
  </si>
  <si>
    <t>WWV/INV/N368/7</t>
  </si>
  <si>
    <t>KP/000798</t>
  </si>
  <si>
    <t>KS002 - Aan school in Roksem</t>
  </si>
  <si>
    <t>IN/000732</t>
  </si>
  <si>
    <t>Horizontale signalisatie in Oudenburg op Brugsesteenweg</t>
  </si>
  <si>
    <t>WWV/INV/N367/10</t>
  </si>
  <si>
    <t>KP/000799</t>
  </si>
  <si>
    <t>IN/000733</t>
  </si>
  <si>
    <t>Ingreep schoolroute in Wevelgem op Kruispunt Menenstraat - Heilige Theresiastraat</t>
  </si>
  <si>
    <t>WWV/INV/N8/17</t>
  </si>
  <si>
    <t>KP/000801</t>
  </si>
  <si>
    <t>KS006 - Op dit fietspad zit veel (functioneel) fietsverkeer. De combinatie met het vele auto- en vrachtverkeer die afslaan (naar de autostrade) zorgt vaak voor gevaarlijke situaties.</t>
  </si>
  <si>
    <t>IN/000734</t>
  </si>
  <si>
    <t>Ingreep schoolroute in Wevelgem op Kruispunt oprit A19-Koningin Fabiolastraat</t>
  </si>
  <si>
    <t>KP/000802</t>
  </si>
  <si>
    <t>KS008 - Trage weg die door de fietsers gebruikt wordt om van Rummen oa. naar de school in Herk-de-Stad te rijden. Ook de inwoners van de Grote Steenweg en Bergeneinde steken op dit punt over om met -12 jarigen naar de school in Rummen te fietsen. De N716 moet steeds overgestoken worden.</t>
  </si>
  <si>
    <t>IN/000735</t>
  </si>
  <si>
    <t>Nieuwe FOP met punctuele verlichting</t>
  </si>
  <si>
    <t>WL/INV/N716/2</t>
  </si>
  <si>
    <t>KP/000803</t>
  </si>
  <si>
    <t>KS009 - Vanuit het woongedeelte Strodorp gaan heel wat kinderen richting de lagere en kleuterschool in de Berenhofstraat daarnaast gaan ook heel wat middelbare scholieren naar de Bushalte op de Kiezelweg. Er is momenteel een oversteekvoorziening aanwezig op deze locatie, maar de snelheden zijn hier veel te hoog en de zichtbaarheid te laat. Mede door de implementatie van de rotonde in Veldwezelt (wat een grote vooruitgang is in kader van doorstroming en veiligheid) zorgt het volgens de bewoners en gebruikers ook voor een iets te vlot verkeer (hoge snelheden) op de gewestwegen rondom de rotonde. Dit heeft als gevolg dat deze oversteek al zeer onveilig wordt ervaren door ouders, kinderen en andere gebruikers. KS009</t>
  </si>
  <si>
    <t>IN/000736</t>
  </si>
  <si>
    <t>VVOP</t>
  </si>
  <si>
    <t>WL/INV/N78/19</t>
  </si>
  <si>
    <t>IN/000737</t>
  </si>
  <si>
    <t>Ingreep schoolroute in Dilsen-Stokkem op N742</t>
  </si>
  <si>
    <t>KP/000813</t>
  </si>
  <si>
    <t>KS023 - De fietsoversteek aan het keerpunt N78 – Hoogbaan/Heerstraat is thans onveilig aangezien de fietsers telkens de toeleveringsweg richting ontgrindingsgebied Elerweerd dienen te kruisen, waar dagelijks veel vrachtverkeer passeert. Dit is een belangrijke oversteek voor scholieren van Elen richting Stedelijke Humaniora te Dilsen.</t>
  </si>
  <si>
    <t>IN/000738</t>
  </si>
  <si>
    <t>fietsoversteek en stukje dubbelrichtingsfietspad</t>
  </si>
  <si>
    <t>WL/INV/N78/20</t>
  </si>
  <si>
    <t>KP/000816</t>
  </si>
  <si>
    <t>KS026 - Er rijden veel scholieren via de Hoogledestraat naar het MMI middelbaar (Handzamestraat). Er zijn OFOS vakken voorzien in de Hoogledestraat voor fietsers. Dit zou nochtans een grote meerwaarde kunnen betekenen voor de zachte weggebruikers. Dan kunnen ze zich voor een vrachtwagen of traktor opstellen in plaats van rechts er naast, iets die heel gevaarlijk is voor dode hoek ongevallen.</t>
  </si>
  <si>
    <t>IN/000739</t>
  </si>
  <si>
    <t>Ingreep schoolroute in Kortemark op kruispunt Hoogledestraat x Staatsbaan</t>
  </si>
  <si>
    <t>WWV/INV/N35/5</t>
  </si>
  <si>
    <t>KP/000817</t>
  </si>
  <si>
    <t>KS028 - Gevaarlijke fietsoversteekplaats (beperkte zichtbaarheid voor aankomend verkeer, geen verlichting aanwezig, ...)</t>
  </si>
  <si>
    <t>IN/000740</t>
  </si>
  <si>
    <t>Contrastverlichting FOP</t>
  </si>
  <si>
    <t>WL/INV/N716/3</t>
  </si>
  <si>
    <t>KP/000820</t>
  </si>
  <si>
    <t>KS033 - Fietsroute voor de leerlingen van Blanden die naar Leuven moeten</t>
  </si>
  <si>
    <t>IN/000741</t>
  </si>
  <si>
    <t>Ingreep schoolroute in Oud-Heverlee op kruispunt Naamsesteenweg - Brainestraat - Duivenstraat</t>
  </si>
  <si>
    <t>VOP, aanpassen voetpaden, punctuele verlichting</t>
  </si>
  <si>
    <t>WVB/INV/N251/3</t>
  </si>
  <si>
    <t>KP/000822</t>
  </si>
  <si>
    <t>KS035 - Oversteek over de gewestweg vanuit Halle-Booienhoven naar het scholencentrum</t>
  </si>
  <si>
    <t>IN/000742</t>
  </si>
  <si>
    <t>Ingreep schoolroute in Zoutleeuw op kruispunt Asbroekstraat - n3</t>
  </si>
  <si>
    <t>WVB/INV/N3/8</t>
  </si>
  <si>
    <t>KP/000824</t>
  </si>
  <si>
    <t>IN/000743</t>
  </si>
  <si>
    <t>Ingreep schoolroute in Pepingen op Kruispunt N28 met de Eikstraat</t>
  </si>
  <si>
    <t>WVB/INV/N28/5</t>
  </si>
  <si>
    <t>KP/000826</t>
  </si>
  <si>
    <t>KS039 - zeer druk kruispunt met veel schoolverkeer</t>
  </si>
  <si>
    <t>IN/000744</t>
  </si>
  <si>
    <t>Ingreep schoolroute in Hove op hoek N1-Edegemsestraat</t>
  </si>
  <si>
    <t>PCV dossier</t>
  </si>
  <si>
    <t>KP/000827</t>
  </si>
  <si>
    <t>KS040 - Oversteekplaatsen op Provinciale Baan - N17 (Doelstraat en wegje voor fietsers en voetgangers naar Oppuurse Weg)</t>
  </si>
  <si>
    <t>IN/000745</t>
  </si>
  <si>
    <t>Ingreep schoolroute in Puurs-Sint-Amands op N17 (Provinciale Baan) - Lippelo</t>
  </si>
  <si>
    <t>WA/INV/N17/5</t>
  </si>
  <si>
    <t>KP/000829</t>
  </si>
  <si>
    <t>KS043 - Onbeveiligde voetgangersoversteekplaatss Nieuwelaan/Bouchoutlaan zebrapad naar de Carpoolparking is ook slecht verlicht. Graag verkeerslicht of oplaaiende verkeersborden om de overstekende voetgangers aan te kondigen. Dit in afwachting van de uitvoering van de module 10 die nog wel enkele jaren op zich kan laten wachten.</t>
  </si>
  <si>
    <t>IN/000746</t>
  </si>
  <si>
    <t>Ingreep schoolroute in Meise op Nieuwelaan/Bouchoutlaan</t>
  </si>
  <si>
    <t>WVB/INV/N277/4</t>
  </si>
  <si>
    <t>KP/000830</t>
  </si>
  <si>
    <t>KS044 -  Er is heel wat vrachtverkeer op het rondpunt van Sleihage (rondpunt langs N36 op de grens van Staden, Roeselare en Hooglede). Vrachtverkeer kan men zeker niet vermijden. Kan de rode coating op het rondpunt dikwijls niet doorgetrokken worden om de aanwezigheid van fietsers te benadrukken. Ter hoogte van de vrije basisschool De Mozaïek een gevleugeld zebrapad, dit is ter hoogte van de Diksmuidsesteenweg  93. De oversteekbaarheid van de N32 Hooglede, er zijn daar niet meteen scholen. Wel veel bewgingen van het schoolverkeer. Er is daar echter ook heel wat bedrijvigheid gezien het daar ambachtelijke zone is en men wilt dan ook niet het gemotoriseerd verkeer belemmeren. Dit voor de oversteekplaats Middenstraat, Gudrunstraat en de Gitsbergstraat.</t>
  </si>
  <si>
    <t>IN/000747</t>
  </si>
  <si>
    <t>Ingreep schoolroute in Hooglede op Rotonde Sleihage</t>
  </si>
  <si>
    <t>WWV/INV/N36/4</t>
  </si>
  <si>
    <t>KP/000833</t>
  </si>
  <si>
    <t>KS048 - Hier werkt AWv al enige tijd aan een oversteekplaats die gefinancierd zou worden met PCV-middelen. Graag zien wij deze de komende jaren gerealiseerd, aangezien de gemeente de noordelijk buurtweg (Daalstraat) gaat verharden.</t>
  </si>
  <si>
    <t>IN/000748</t>
  </si>
  <si>
    <t>Oversteekbaarheid kruispunt (PM studiebureau aan te stellen via MC3)</t>
  </si>
  <si>
    <t>- Enkelrichtingsfietsoversteken met toeleidende fietspaden\n- verhoogd plateau</t>
  </si>
  <si>
    <t>WL/INV/N777/2</t>
  </si>
  <si>
    <t>KP/000834</t>
  </si>
  <si>
    <t>KS049 - Fietser komen plots in volle vaart op de weg, komend vanachter geparkeerde auto's. Indien je als autobestuurder ook een tegenligger hebt, kan je niet weg en scheer je rakelings langs de fietser.</t>
  </si>
  <si>
    <t>IN/000749</t>
  </si>
  <si>
    <t>Ingreep schoolroute in Wellen op Dorpsstraat einde fietspad</t>
  </si>
  <si>
    <t>uitvoeren oversteek volgens resultaat studie Sweco</t>
  </si>
  <si>
    <t>WL/INV/N754/6</t>
  </si>
  <si>
    <t>KP/000836</t>
  </si>
  <si>
    <t>KS051 - Oversteekbaarheid fietsers. Ligt op schoolroute.</t>
  </si>
  <si>
    <t>IN/000750</t>
  </si>
  <si>
    <t>Ingreep schoolroute in Knokke-Heist op Kruispunt N300 Heistlaan x Sasstraat</t>
  </si>
  <si>
    <t>WWV/INV/N300/1</t>
  </si>
  <si>
    <t>KP/000837</t>
  </si>
  <si>
    <t>KS052 - Oversteekbaarheid fietsers. Ligt op schoolroute.</t>
  </si>
  <si>
    <t>IN/000751</t>
  </si>
  <si>
    <t>WWV/INV/N300/2</t>
  </si>
  <si>
    <t>KP/000838</t>
  </si>
  <si>
    <t>KS053 - Oversteekbaarheid fietsers  - schoolroute Ramskapelle/Heist</t>
  </si>
  <si>
    <t>IN/000752</t>
  </si>
  <si>
    <t>Ingreep schoolroute in Knokke-Heist op Kruispunt N300 Heistlaan x Moerstraat</t>
  </si>
  <si>
    <t>WWV/INV/N300/3</t>
  </si>
  <si>
    <t>KP/000839</t>
  </si>
  <si>
    <t>KS054 - Oversteekbaarheid fietsers</t>
  </si>
  <si>
    <t>IN/000753</t>
  </si>
  <si>
    <t>Ingreep schoolroute in Knokke-Heist op Kruispunt N34 Elizabetlaan x Arcadenlaan</t>
  </si>
  <si>
    <t>Insnoeren Arcadelaan. Fietsgeleiding.</t>
  </si>
  <si>
    <t>WWV/INV/N34/16</t>
  </si>
  <si>
    <t>KP/000841</t>
  </si>
  <si>
    <t>KS057 - De bushalte t.h.v. de Tussenstraat gaat in het nieuwe OV-plan2021 een belangrijke afstapplaats worden voor leerlingen die school lopen in het Don Boscocollege. Momenteel is hier geen beveiligde VOP. + VFOP</t>
  </si>
  <si>
    <t>IN/000754</t>
  </si>
  <si>
    <t>oversteekbaarheid: omvang ingreep nog te bepalen</t>
  </si>
  <si>
    <t>WL/INV/N715/8</t>
  </si>
  <si>
    <t>KP/000842</t>
  </si>
  <si>
    <t>KS058 - De oostelijke afslag: VOP en opstelstrook zijn te dicht bij het kruispunt ingetekend. Afslaand verkeer (trailers en landbouwvoertuigen) vanuit het noorden en zuiden hebben een te grote draaicirkel en hinderen de opgestelde fietsers in de OFOS.</t>
  </si>
  <si>
    <t>IN/000755</t>
  </si>
  <si>
    <t>Aanpassen 2 fietsopstelstroken (PM studiebureau aan te stellen via MC3)</t>
  </si>
  <si>
    <t>Fietsopstelplaatsen verplaatsen; daardoor detectielusverplaatsen en dwarsprofiel aanpassen</t>
  </si>
  <si>
    <t>WL/INV/N747/6</t>
  </si>
  <si>
    <t>KP/000843</t>
  </si>
  <si>
    <t>KS059 - Fietsers moeten van het aanliggend fietspad naar de fietssuggestiestrook rijden. Hier ontbreekt er rugdekking voor fietsers.</t>
  </si>
  <si>
    <t>IN/000756</t>
  </si>
  <si>
    <t>Ingreep schoolroute in Hechtel-Eksel op kruispunt Kerkstraat en Stationstraat</t>
  </si>
  <si>
    <t>WL/INV/N747/4</t>
  </si>
  <si>
    <t>KP/000844</t>
  </si>
  <si>
    <t>KS060 - Geen duidelijk wegbeeld voor de fietser.  Hier liggen grijze suggestiestroken.</t>
  </si>
  <si>
    <t>IN/000757</t>
  </si>
  <si>
    <t>Ingreep schoolroute in Hechtel-Eksel op Groenstraat (tussen kruispunt Overpelterbaan en de Stationsstraat)</t>
  </si>
  <si>
    <t>grijze fietssuggestiestroken in oker gezet</t>
  </si>
  <si>
    <t>WL/INV/N747/5</t>
  </si>
  <si>
    <t>KP/000846</t>
  </si>
  <si>
    <t>KS063 - Hier steken veel fietsers (school) de N313 over op hun route naar Roeslare</t>
  </si>
  <si>
    <t>IN/000758</t>
  </si>
  <si>
    <t>Ingreep schoolroute in Staden op N313 thv Vijverbosstraat</t>
  </si>
  <si>
    <t>VVOP ter hoogte van nabijgelegen zebrapad.\nAsverschuiving met rustpunt.</t>
  </si>
  <si>
    <t>WWV/INV/N313/3</t>
  </si>
  <si>
    <t>KP/000849</t>
  </si>
  <si>
    <t>KS066 - De vrijliggende enkelrichting fietspaden langs de Roeselaarseweg, tussen de grens met Lichtervelde en de rotonde van de Vredelaan zijn in heel slechte staat.</t>
  </si>
  <si>
    <t>IN/000759</t>
  </si>
  <si>
    <t>Ingreep schoolroute in Torhout op Toestand fietspaden Roeselaarseweg N32</t>
  </si>
  <si>
    <t>voorstel vernieuwen fietspad nog niet weerhouden</t>
  </si>
  <si>
    <t>KP/000850</t>
  </si>
  <si>
    <t>IN/000760</t>
  </si>
  <si>
    <t>Ingreep schoolroute in Westerlo op De Merodedreef N19 - Bistplein</t>
  </si>
  <si>
    <t>WA/INV/N19/7</t>
  </si>
  <si>
    <t>KP/000851</t>
  </si>
  <si>
    <t>IN/000761</t>
  </si>
  <si>
    <t>Ingreep schoolroute in Westerlo op kruising Zoerlering N152 - Stippelberg</t>
  </si>
  <si>
    <t>Vier palen</t>
  </si>
  <si>
    <t>KP/000852</t>
  </si>
  <si>
    <t>KS069 - Fietspaden langs deze gewestweg is aan renovatie, herstel of vernieuwing toe.  Gezien er 2 vestigingen van SILA, basisschool het Rietje en Daltonschool het Leerlabo toegang kent langs de gewestweg zeker en vast op te nemen als schoolroute.</t>
  </si>
  <si>
    <t>IN/000762</t>
  </si>
  <si>
    <t>Ingreep schoolroute in Westerlo op N19 - De Merodedreef</t>
  </si>
  <si>
    <t>WA/INV/N19/8</t>
  </si>
  <si>
    <t>KP/000853</t>
  </si>
  <si>
    <t>IN/000763</t>
  </si>
  <si>
    <t>Ingreep schoolroute in Westerlo op kruising N152 Olenseweg en Geneinde/Ter Voort</t>
  </si>
  <si>
    <t>WA/INV/N152/4</t>
  </si>
  <si>
    <t>KP/000854</t>
  </si>
  <si>
    <t>IN/000764</t>
  </si>
  <si>
    <t>Ingreep schoolroute in Kortessem op Fiets- en voetgangersoversteekplaats kruispunt Kerkplein en N76</t>
  </si>
  <si>
    <t>WL/INV/N76/15</t>
  </si>
  <si>
    <t>IN/000765</t>
  </si>
  <si>
    <t>Ingreep schoolroute in Bekkevoort op N2 tussen Schillkensberg/Robbesrodestraat en grens Tielt-Winge</t>
  </si>
  <si>
    <t>KP/000861</t>
  </si>
  <si>
    <t>KS085 - Gevaarlijke oversteek voor fietsers</t>
  </si>
  <si>
    <t>IN/000766</t>
  </si>
  <si>
    <t>Ingreep schoolroute in Torhout op Kruispunt Vredelaan / Molenstraat</t>
  </si>
  <si>
    <t>WWV/INV/R34/2</t>
  </si>
  <si>
    <t>KP/000862</t>
  </si>
  <si>
    <t>KS087 - Toestand van het fietspad op de brug over de E403 is in heel slechte staat. Gevaarlijk met putten en putdeksels. Uitzettingsvoegen zorgen voor onveilig fietsen.</t>
  </si>
  <si>
    <t>IN/000767</t>
  </si>
  <si>
    <t>Ingreep schoolroute in Torhout op Toestand fietspaden brug over E403 in Ruddervoordestraat (fietspad bovenop kunstwerk)</t>
  </si>
  <si>
    <t>WWV/INV/A17/3</t>
  </si>
  <si>
    <t>KP/000863</t>
  </si>
  <si>
    <t>KS088 - Oversteek verduidelijken</t>
  </si>
  <si>
    <t>IN/000768</t>
  </si>
  <si>
    <t>Ingreep schoolroute in Lier op N10 x Sander De Vosstraat</t>
  </si>
  <si>
    <t>WA/INV/N10/11</t>
  </si>
  <si>
    <t>KP/000864</t>
  </si>
  <si>
    <t>KS089 - Doorsteek door de middenberm is te smal voor dubbelrichtingsgebruik</t>
  </si>
  <si>
    <t>IN/000769</t>
  </si>
  <si>
    <t>Ingreep schoolroute in Lier op Middeneiland N10 (thv Sander De Vosstraat)</t>
  </si>
  <si>
    <t>Fouten in markering weggewerkt</t>
  </si>
  <si>
    <t>WA/INV/N10/12</t>
  </si>
  <si>
    <t>KP/000865</t>
  </si>
  <si>
    <t>KS092 - In de Wezestraat bevindt zich de middelbare school IHK. Er komen heel wat kinderen met de fiets naar school, die het heel drukke kruispunt (veel vrachtverkeer) van de N37 over dienen te steken naar school.Het is ook zo dat er plannen zijn om het traject van de Lijn langs de N37(Oostlaan) te voorzien waardoor een bushalte komt langs de Oostlaan en ook de kinderen daar veilig de straat zouden moeten kunnen oversteken.</t>
  </si>
  <si>
    <t>IN/000770</t>
  </si>
  <si>
    <t>Ingreep schoolroute in Ardooie op kruispunt N37/Wezestraat</t>
  </si>
  <si>
    <t>beperkte ingrepen verlichting. Vraag naar VRI wordt opgenomen via PCV, na tellingen en simulatie.</t>
  </si>
  <si>
    <t>WWV/INV/N37/6</t>
  </si>
  <si>
    <t>KP/000866</t>
  </si>
  <si>
    <t>KS094 - Het fietspad is in erbarmelijke staat, heel wat kinderen komen met de fiets vanuit Roeselare naar het IHK. Cijfers kunnen verkregen worden bij het IHK of opgevraagd worden door de gemeente indien gewenst.</t>
  </si>
  <si>
    <t>IN/000771</t>
  </si>
  <si>
    <t>Ingreep schoolroute in Ardooie op Fietspad Roeselaarsestraat tussen kruispunt R32/Roeselaarsestraat en de Tassche</t>
  </si>
  <si>
    <t>Groot hoogteverschil tussen parkeerstrook en fietspad - Kasseien aantrekken naar het fietspad + fietspad plaatselijk herstellen</t>
  </si>
  <si>
    <t>WWV/INV/N37/5</t>
  </si>
  <si>
    <t>KP/000869</t>
  </si>
  <si>
    <t>KS099 - Oversteek te smal voor dubbelrichtingsgebruik</t>
  </si>
  <si>
    <t>IN/000772</t>
  </si>
  <si>
    <t>Ingreep schoolroute in Lier op R16 x Hagenbroeksesteenweg</t>
  </si>
  <si>
    <t>KP/000870</t>
  </si>
  <si>
    <t>KS101 - Bijzonder onduidelijk kruispunt gewestweg Beerstraat met  gemeenteweg Schoolstraat (zeer onduidelijk voor fietsers, enkelrichtingsfietspad in bocht die in realiteit als dubbelrichtingsfietspad wordt gebruikt). Onmiddellijke interferentie met passerend vrachtverkeer, fietsers moeten aldaar tevens op de rijbaan komen.</t>
  </si>
  <si>
    <t>IN/000773</t>
  </si>
  <si>
    <t>Ingreep schoolroute in Meerhout op Beerstraat (N102) - kruispunt met Schoolstraat</t>
  </si>
  <si>
    <t>WA/INV/N102/2</t>
  </si>
  <si>
    <t>KP/000872</t>
  </si>
  <si>
    <t>KS103 - Schoolomgeving langs Bevrijdingslaan (gewestweg N102), zone-30 zonder aangepast wegbeeld. Bijzonder hoge verkeersintensiteit en passerend vrachtverkeer.</t>
  </si>
  <si>
    <t>IN/000774</t>
  </si>
  <si>
    <t>Ingreep schoolroute in Meerhout op Bevrijdingslaan (thv kruispunt met Baleman)</t>
  </si>
  <si>
    <t>WA/INV/N102/3</t>
  </si>
  <si>
    <t>KP/000873</t>
  </si>
  <si>
    <t>IN/000775</t>
  </si>
  <si>
    <t>Ingreep schoolroute in Oostkamp op Kortrijksestraat</t>
  </si>
  <si>
    <t>VVOP, variabele zone 30, verkeersgeleider, markeringen.</t>
  </si>
  <si>
    <t>WWV/INV/N50/7</t>
  </si>
  <si>
    <t>KP/000875</t>
  </si>
  <si>
    <t>IN/000776</t>
  </si>
  <si>
    <t>Ingreep schoolroute in Oostkamp op N50 - Albrecht Rodenbachstraat</t>
  </si>
  <si>
    <t>WWV/INV/N50/8</t>
  </si>
  <si>
    <t>KP/000878</t>
  </si>
  <si>
    <t>KS111 - Beperkte zichtbaarheid - geen markering</t>
  </si>
  <si>
    <t>IN/000777</t>
  </si>
  <si>
    <t>Ingreep schoolroute in Alken op N754/Oude Baan</t>
  </si>
  <si>
    <t>WL/INV/N754/8</t>
  </si>
  <si>
    <t>KP/000879</t>
  </si>
  <si>
    <t>KS112 - Geen markering, niet overzichtelijk ?</t>
  </si>
  <si>
    <t>IN/000778</t>
  </si>
  <si>
    <t>FOP met middengeleider (PM studiebureau aan te stellen via MC3)</t>
  </si>
  <si>
    <t>- snelheidsverlaging &gt; 50 km/u in ruimere zone dan kruispunt\n- dubbelrichtingsfietsoversteek met middengeleider</t>
  </si>
  <si>
    <t>WL/INV/N754/11</t>
  </si>
  <si>
    <t>KP/000880</t>
  </si>
  <si>
    <t>KS113 - Geen fietsmarkering - op deze plaats steeds gemachtigd opzichter aanwezig</t>
  </si>
  <si>
    <t>IN/000779</t>
  </si>
  <si>
    <t>Ingreep schoolroute in Alken op N754 x Bosveldstraat</t>
  </si>
  <si>
    <t>WL/INV/N754/7</t>
  </si>
  <si>
    <t>KP/000881</t>
  </si>
  <si>
    <t>KS114 - Geen fietsmarkering aanwezig - steeds aanwezigheid van gemachtigd opzichter noodzakelijk</t>
  </si>
  <si>
    <t>IN/000780</t>
  </si>
  <si>
    <t>Ingreep schoolroute in Alken op N754 x Parkstraat</t>
  </si>
  <si>
    <t>bijkomende VOP te markeren</t>
  </si>
  <si>
    <t>WL/INV/N754/4</t>
  </si>
  <si>
    <t>KP/000882</t>
  </si>
  <si>
    <t>KS115 - Via Rode Kruisplein is recent via de nieuwe verkaveling Kerkveld een fietsverbinding gerealiseerd</t>
  </si>
  <si>
    <t>IN/000781</t>
  </si>
  <si>
    <t>Ingreep schoolroute in Alken op N754 Motstraat x Rode Kruisplein</t>
  </si>
  <si>
    <t>bijkomende wegwijzer (centrum via trage verbinding)</t>
  </si>
  <si>
    <t>WL/INV/N754/5</t>
  </si>
  <si>
    <t>KP/000885</t>
  </si>
  <si>
    <t>IN/000782</t>
  </si>
  <si>
    <t>halte toegankelijk inrichten en fietsinfra aanpassen (PM studiebureau aan te stellen MC3)</t>
  </si>
  <si>
    <t>WL/INV/N79/7</t>
  </si>
  <si>
    <t>KP/000886</t>
  </si>
  <si>
    <t>KS132 - Ter hoogte van beide kruispunten is er telkens één centrale oversteek (verstopt achter de haag) ipv de gebruikelijke oversteken in een richting langs beide zijden.</t>
  </si>
  <si>
    <t>IN/000783</t>
  </si>
  <si>
    <t>Ingreep schoolroute in Tongeren op N614 x Wilstraat en N614 x Kraaibornstraat</t>
  </si>
  <si>
    <t>WL/INV/N614/2</t>
  </si>
  <si>
    <t>KP/000887</t>
  </si>
  <si>
    <t>KS133 - Ter hoogte van beide kruispunten is er telkens één centrale oversteek (verstopt achter de haag) ipv de gebruikelijke oversteken in een richting langs beide zijden.</t>
  </si>
  <si>
    <t>IN/000784</t>
  </si>
  <si>
    <t>WL/INV/N614/1</t>
  </si>
  <si>
    <t>KP/000888</t>
  </si>
  <si>
    <t>KS134 - Dagelijks veel oversteken tussen bushalte St-Maternuswal en campus Plinius gelegen te Keversstraat. Op deze plek zou een voetpaduitstulping op zijn plaats zijn en dan kan de oversteek op de N730 ook een beetje opschuiven. De Keversstraat is eenrichtingsverkeer richting N730 dus er zijn zeker ontwerpmogelijkheden.</t>
  </si>
  <si>
    <t>IN/000785</t>
  </si>
  <si>
    <t>Aanpassen VOP met voetgangersuitstulping (PM studiebureau aan te stellen via MC3)</t>
  </si>
  <si>
    <t>WL/INV/N730/14</t>
  </si>
  <si>
    <t>KP/000891</t>
  </si>
  <si>
    <t>KS137 - Onveilige verkeerssituatie in de dorpskern voor de schoolgaande jeugd en de zwakke gebruikers (is ook gebleken uit een enquête i.k.v. meerjarenplan).</t>
  </si>
  <si>
    <t>IN/000786</t>
  </si>
  <si>
    <t>Ingreep schoolroute in Zuienkerke op De  schoolomgeving (schoolroute) t.h.v. de gemeentelijk basisschool gelegen te Zuienkerke langs de gewestweg de Nieuwe Steenweg (N326)</t>
  </si>
  <si>
    <t>WWV/INV/N326/2</t>
  </si>
  <si>
    <t>KP/000892</t>
  </si>
  <si>
    <t>er is geen beveiligde oversteek N10/veldstraat voor fietsers van en naar school De Puzzel</t>
  </si>
  <si>
    <t>IN/000787</t>
  </si>
  <si>
    <t>Ingreep schoolroute in Begijnendijk op Oversteek N10 met veldstraat</t>
  </si>
  <si>
    <t>Aanbrengen van middeneiland</t>
  </si>
  <si>
    <t>WVB/INV/N10/3</t>
  </si>
  <si>
    <t>KP/000894</t>
  </si>
  <si>
    <t>IN/000788</t>
  </si>
  <si>
    <t>Ingreep schoolroute in Beernem op Zebrapad Sint-Andreaslaan (N368) ter hoogte van Kleuterweelde</t>
  </si>
  <si>
    <t>WWV/INV/N368/9</t>
  </si>
  <si>
    <t>KP/000895</t>
  </si>
  <si>
    <t>KS143 - Het gaat om de straat waar de school is gelegen. Alle fietsers naar en van de school moeten hier door om de schoolpoort te bereiken. Het is een drukke weg, in het centrum van Oedelem met veel auto's en vrachtvervoer. De fietser wordt er wat verdrukt.</t>
  </si>
  <si>
    <t>IN/000789</t>
  </si>
  <si>
    <t>Ingreep schoolroute in Beernem op Knesselarestraat (N337) tussen Beernemstraat en Oudezakstraat</t>
  </si>
  <si>
    <t>fietslogo's</t>
  </si>
  <si>
    <t>WWV/INV/N337/4</t>
  </si>
  <si>
    <t>KP/000896</t>
  </si>
  <si>
    <t>IN/000790</t>
  </si>
  <si>
    <t>Ingreep schoolroute in Zwijndrecht op N70 Dorp oost Dorp West Zwijndrecht (pioriteit 1)</t>
  </si>
  <si>
    <t>WA/INV/N70/2</t>
  </si>
  <si>
    <t>KP/000897</t>
  </si>
  <si>
    <t>IN/000791</t>
  </si>
  <si>
    <t>Ingreep schoolroute in Zwijndrecht op N419 (Krijgsbaan) kruispunt met Melselestraat Zwijndrecht(prioriteit 2)</t>
  </si>
  <si>
    <t>PCV dossier\nKS147 wordt geschrapt, KS145 opgewaardeerd</t>
  </si>
  <si>
    <t>KP/000899</t>
  </si>
  <si>
    <t>KS147 - Een aangeduide fietsoversteek op de N70 (Beversebaan, buiten zone dertig) wordt deels aan het zicht onttrokken door onoordeelkundig geplaatste aanwijzingsborden en signalisatie. Er gebeurde recent een zwaar ongeval op deze plaats. AWV werd hiervan in kennis gesteld met de vraag tot oplossing.</t>
  </si>
  <si>
    <t>KP/000900</t>
  </si>
  <si>
    <t>IN/000792</t>
  </si>
  <si>
    <t>Ingreep schoolroute in Zonhoven op Kruispunt N74 met de Donkweg</t>
  </si>
  <si>
    <t>KP/000901</t>
  </si>
  <si>
    <t>IN/000793</t>
  </si>
  <si>
    <t>Aanpassen fietsinfrastructuur (PM Jan Nijsen Sweco)</t>
  </si>
  <si>
    <t>WL/INV/N29/3</t>
  </si>
  <si>
    <t>KP/000902</t>
  </si>
  <si>
    <t>IN/000794</t>
  </si>
  <si>
    <t>Ingreep schoolroute in Beringen op Diestersesteenweg x Schaffensesteenweg</t>
  </si>
  <si>
    <t>paaltjes</t>
  </si>
  <si>
    <t>WL/INV/N29/2</t>
  </si>
  <si>
    <t>KP/000903</t>
  </si>
  <si>
    <t>IN/000795</t>
  </si>
  <si>
    <t>Oversteekbaarheid verbeteren</t>
  </si>
  <si>
    <t>Knip Wijerstraat\nVOP verplaatsen, verbreden, punctueel verlichten\nOmegabeugels dichten voor betere looplijn naar VOP\n</t>
  </si>
  <si>
    <t>WL/INV/N29/5</t>
  </si>
  <si>
    <t>KP/000905</t>
  </si>
  <si>
    <t>KS156 - Oversteekplaats onvoldoende zichtbaar</t>
  </si>
  <si>
    <t>IN/000796</t>
  </si>
  <si>
    <t>Ingreep schoolroute in Wezembeek-Oppem op Mechelsesteenweg thv Koningsstraatje</t>
  </si>
  <si>
    <t>VVOP met aanpassing wegenis</t>
  </si>
  <si>
    <t>WVB/INV/N227/4</t>
  </si>
  <si>
    <t>KP/000906</t>
  </si>
  <si>
    <t>KS157 - Prior 15.  Aan de oversteekplaats staan heggen waardoor de kleine fietsers niet gezien worden en niets kunnen zien, waardoor ze genoodzaakt zijn bijna op de weg te staan om het aankomend verkeer te zien. Zeker in de zomermaanden is deze heg ronduit gevaarlijk, daar ze zo hoog is en het zicht belemmert.</t>
  </si>
  <si>
    <t>IN/000797</t>
  </si>
  <si>
    <t>Ingreep schoolroute in Lommel op N712 Werkplaatsen x Martinus Van Gurplaan</t>
  </si>
  <si>
    <t>WL/INV/N712/4</t>
  </si>
  <si>
    <t>KP/000908</t>
  </si>
  <si>
    <t>IN/000798</t>
  </si>
  <si>
    <t>Ingreep schoolroute in Lommel op N712 x N769</t>
  </si>
  <si>
    <t>WL/INV/N712/8</t>
  </si>
  <si>
    <t>KP/000913</t>
  </si>
  <si>
    <t>KS169 - prior 11.</t>
  </si>
  <si>
    <t>IN/000799</t>
  </si>
  <si>
    <t>Blokkenmarkering aanbrengen</t>
  </si>
  <si>
    <t>blokkenmarkering aanbrengen + punctuele verlichting</t>
  </si>
  <si>
    <t>WL/INV/N746/3</t>
  </si>
  <si>
    <t>KP/000914</t>
  </si>
  <si>
    <t>KS170 - prior 20.  Zeer ongelijke aansluiting van fietspad en wegdek. 'boekentassenwipper' Oversteekplaats voor fietsers is niet duidelijk genoeg aangegeven. Bij donker en mistig weer is het een gevaarlijk punt om over te steken voor de zwakke weggebruikers.</t>
  </si>
  <si>
    <t>IN/000800</t>
  </si>
  <si>
    <t>Ingreep schoolroute in Lommel op N746 x Gelderhorsten</t>
  </si>
  <si>
    <t>stukje fietspad herstellen/effenen</t>
  </si>
  <si>
    <t>WL/INV/N746/1</t>
  </si>
  <si>
    <t>KP/000915</t>
  </si>
  <si>
    <t>KS171 - prior 9.  Een kruispunt waar veel ongelukken gebeuren. Het is een zeer druk kruispunt waar autobestuurders vaak geen aandacht hebben voor de fietsers die op het fietspad rijden. Fietspad in slechte staat</t>
  </si>
  <si>
    <t>IN/000801</t>
  </si>
  <si>
    <t>Ingreep schoolroute in Lommel op N712 x Koning Leopoldlaan thv Texaco</t>
  </si>
  <si>
    <t>herstelling fietspad en extra VOP</t>
  </si>
  <si>
    <t>WL/INV/N712/6</t>
  </si>
  <si>
    <t>KP/000916</t>
  </si>
  <si>
    <t>KS172 - Prior 24. Geen voetgangersoversteek naar de bushalte voor schoolkinderen.</t>
  </si>
  <si>
    <t>IN/000802</t>
  </si>
  <si>
    <t>Nieuwe VOP (PM Jordy Weckx Sweco)</t>
  </si>
  <si>
    <t>WL/INV/N712/9</t>
  </si>
  <si>
    <t>KP/000918</t>
  </si>
  <si>
    <t>KS174 - Prior 23.  Veel voetgangers willen hier oversteken. Zeer drukke oversteekplaats, autoverkeer aan hoge snelheid</t>
  </si>
  <si>
    <t>IN/000803</t>
  </si>
  <si>
    <t>Ingreep schoolroute in Lommel op N712 Molsekiezel x Sterstraat</t>
  </si>
  <si>
    <t>snelheidsverlaging &gt; 50 (samen met KS 175)</t>
  </si>
  <si>
    <t>WL/INV/N712/5</t>
  </si>
  <si>
    <t>KP/000919</t>
  </si>
  <si>
    <t>KS175 - Prior 16.  Slechte zichtbaarheid van fietsers voor auto's.</t>
  </si>
  <si>
    <t>IN/000804</t>
  </si>
  <si>
    <t>Ingreep schoolroute in Lommel op N712 Molsekiezel x Wijerken</t>
  </si>
  <si>
    <t>snelheidsverlaging &gt; 50</t>
  </si>
  <si>
    <t>KP/000921</t>
  </si>
  <si>
    <t>KS177 - Gevaarlijke oversteek van de gewestweg. De schoolroute van Moelingen naar Voeren verloopt via Mescherstraat, Weg van Mesch op Moelingen, Grijzegraaf, Oude Linde, Hoeneveldje.</t>
  </si>
  <si>
    <t>IN/000805</t>
  </si>
  <si>
    <t>Aangepaste markeringen</t>
  </si>
  <si>
    <t>volle aslijn in aanloop naar het kruispunt (beide richtingen).</t>
  </si>
  <si>
    <t>WL/INV/N627/1</t>
  </si>
  <si>
    <t>KP/000924</t>
  </si>
  <si>
    <t>KS180 - prior 6. Onveilige oversteekplaats/ de fietsoversteekplaats is niet zichtbaar voor auto’s omwille van de bomen. Geen zebrapad.</t>
  </si>
  <si>
    <t>IN/000806</t>
  </si>
  <si>
    <t>nieuwe VRI + verlagen snelheid</t>
  </si>
  <si>
    <t>WL/INV/N746/13</t>
  </si>
  <si>
    <t>KP/000925</t>
  </si>
  <si>
    <t>IN/000807</t>
  </si>
  <si>
    <t>Ingreep schoolroute in Voeren op Kruising N648-Plankerweg-De Plank</t>
  </si>
  <si>
    <t>WL/INV/N648/3</t>
  </si>
  <si>
    <t>KP/000929</t>
  </si>
  <si>
    <t>IN/000808</t>
  </si>
  <si>
    <t>Ingreep schoolroute in Kampenhout op N26 Leuvensesteenweg</t>
  </si>
  <si>
    <t>WVB/INV/N26/9</t>
  </si>
  <si>
    <t>KP/000932</t>
  </si>
  <si>
    <t>KS190 - Kruispunt N14 x Albertstraat: oversteekplaats voor fietsers voorzien en heel het kruispunt onder de lichtenregeling brengen waardoor er geen conflict meer is tussen de Hogevelden en de overstekende voetgangers op de N14 + Kruispunt N15a x Ijzerenveld: onduidelijke situatie hoe de fietsers hier moeten oversteken.</t>
  </si>
  <si>
    <t>IN/000809</t>
  </si>
  <si>
    <t>Ingreep schoolroute in Sint-Katelijne-Waver op Conforme fietspaden voorzien op N14 en N15a + Veiligheid kruispunt Albertstraat x N14 + Veiligheid kruispunt Ijzerenveld x N15a</t>
  </si>
  <si>
    <t>Heraanleg kruisput + VRI + Toeganelijkehaltes</t>
  </si>
  <si>
    <t>WA/INV/N14/9</t>
  </si>
  <si>
    <t>KP/000931</t>
  </si>
  <si>
    <t>KS189 - Kruispunt N14 x Albertstraat: oversteekplaats voor fietsers voorzien en heel het kruispunt onder de lichtenregeling brengen waardoor er geen conflict meer is tussen de Hogevelden en de overstekende voetgangers op de N14 + Kruispunt N15a x Ijzerenveld: onduidelijke situatie hoe de fietsers hier moeten oversteken.</t>
  </si>
  <si>
    <t>IN/000810</t>
  </si>
  <si>
    <t>PCV AN313</t>
  </si>
  <si>
    <t>KP/000933</t>
  </si>
  <si>
    <t>KS191 - Kruispunt N14 x Albertstraat: oversteekplaats voor fietsers voorzien en heel het kruispunt onder de lichtenregeling brengen waardoor er geen conflict meer is tussen de Hogevelden en de overstekende voetgangers op de N14 + Kruispunt N15a x Ijzerenveld: onduidelijke situatie hoe de fietsers hier moeten oversteken.</t>
  </si>
  <si>
    <t>KP/000936</t>
  </si>
  <si>
    <t>KS194 - Gevaarlijke oversteekplaats voor schoolgaande jeugd. De gewestweg loopt dwars door de kern van Lozen. Aanwezigheid van zwaar verkeer. Geen logische route voor fietsers langsheen dit gebied. Op het gemengd voet- en fietspad staan diverse verticale elementen (paaltjes, bomen, verlichtingspalen) schijnbaar lukraak geplaatst waardoor de aangewezen route onduidelijk blijkt voor zowel voetganger als fietser.</t>
  </si>
  <si>
    <t>IN/000811</t>
  </si>
  <si>
    <t>Trajectcontrole in Bocholt op Hamonterweg N76 t.h.v. basisschool 'de Boomhut'</t>
  </si>
  <si>
    <t>Trajectcontrole: geen actie nodig; gemeente gaat zelf installeren onder GAS5</t>
  </si>
  <si>
    <t>WL/INV/N76/22</t>
  </si>
  <si>
    <t>KP/000937</t>
  </si>
  <si>
    <t>KS195 - Geen logische oversteekplaats voor fietsers voor beweging Smoutmolendreef - Oude Bevelsesteenweg (ifv basisschool Bisterveld)</t>
  </si>
  <si>
    <t>IN/000812</t>
  </si>
  <si>
    <t>Ingreep schoolroute in Nijlen op Kruispunt Smoutmolendreef - N13 - Oude Bevelsesteenweg</t>
  </si>
  <si>
    <t>WA/INV/N13/9</t>
  </si>
  <si>
    <t>KP/000939</t>
  </si>
  <si>
    <t>KS197 - Geen toelichting door gemeente</t>
  </si>
  <si>
    <t>IN/000813</t>
  </si>
  <si>
    <t>Ingreep schoolroute in Nijlen op Kruispunt De Hollekens - N13 - Voetweg</t>
  </si>
  <si>
    <t>WA/INV/N13/10</t>
  </si>
  <si>
    <t>KP/000940</t>
  </si>
  <si>
    <t>KS198 - Dit kruispunt vormt de verbinding tussen 2 belangrijke fietsdoorsteken (ifv KFC Nijlen, recreatieroute en verbinding woonwijk - centrum/scholen), maar er zijn geen oversteekvoorzieningen. hoge prioriteit voor de gemeente</t>
  </si>
  <si>
    <t>IN/000814</t>
  </si>
  <si>
    <t>Ingreep schoolroute in Nijlen op Kruispunt N13 - Ophoven - doorsteek Azalealaan</t>
  </si>
  <si>
    <t>WA/INV/N13/8</t>
  </si>
  <si>
    <t>KP/000941</t>
  </si>
  <si>
    <t>KS199 - Geen oversteekvoorzieningen aanwezig voor fietsers ifv schoolomgeving GOEZO Kerkeblokken en centrum van Nijlen. Hoge prioriteit voor de gemeente</t>
  </si>
  <si>
    <t>IN/000815</t>
  </si>
  <si>
    <t>Ingreep schoolroute in Nijlen op Kruispunt G. Gezellestraat - N13 - Molenstraat</t>
  </si>
  <si>
    <t>WA/INV/N13/11</t>
  </si>
  <si>
    <t>KP/000942</t>
  </si>
  <si>
    <t>IN/000816</t>
  </si>
  <si>
    <t>Ingreep schoolroute in Nijlen op Kruispunt N13 - Elsendonkstraat</t>
  </si>
  <si>
    <t>WA/INV/N13/12</t>
  </si>
  <si>
    <t>KP/000943</t>
  </si>
  <si>
    <t>KS201 - Op heel dit segment is er geen enkele oversteek ingericht. hoge prioriteit voor de gemeente.</t>
  </si>
  <si>
    <t>IN/000817</t>
  </si>
  <si>
    <t>Ingreep schoolroute in Nijlen op Segment N13 tussen Elsendonkstraat en Klokkenlaan</t>
  </si>
  <si>
    <t>WA/INV/N13/13</t>
  </si>
  <si>
    <t>KP/000944</t>
  </si>
  <si>
    <t>KS202 - Enkel zebrapad voorzien op dit moment</t>
  </si>
  <si>
    <t>IN/000818</t>
  </si>
  <si>
    <t>Ingreep schoolroute in Nijlen op Kruispunt Klokkenlaan - N13</t>
  </si>
  <si>
    <t>KP/000945</t>
  </si>
  <si>
    <t>KS203 - Belangrijk kruispunt ifv verschillende scholen in centrum van Nijlen</t>
  </si>
  <si>
    <t>IN/000819</t>
  </si>
  <si>
    <t>Ingreep schoolroute in Nijlen op Kruispunt N13 - N116 - Nonnenstraat - Kerkstraat</t>
  </si>
  <si>
    <t>KP/000947</t>
  </si>
  <si>
    <t>KS205 - Fietspad eindigt hier abrupt</t>
  </si>
  <si>
    <t>KP/000948</t>
  </si>
  <si>
    <t>KS206 - Geen oversteekvoorzieningen aanwezig ifv doorsteek naar station en GOEZO Kerkeblokken</t>
  </si>
  <si>
    <t>KP/000949</t>
  </si>
  <si>
    <t>KS207 - Geen oversteekvoorzieningen aanwezig ifv bouw nieuwe school en nieuwe ontwikkeling Pastoriepark</t>
  </si>
  <si>
    <t>IN/000820</t>
  </si>
  <si>
    <t>Ingreep schoolroute in Nijlen op Kessel-Dorp thv huisnummer 61</t>
  </si>
  <si>
    <t>WA/INV/N13/14</t>
  </si>
  <si>
    <t>KP/000951</t>
  </si>
  <si>
    <t>KS209 - Op deze locatie, waar veel fietsers oversteken, wordt heel hard gereden.  Bovendien mogen de automobilisten hier elkaar voorbijsteken.  Het is voor scholieren niet mogelijk om hier veilig over te steken.</t>
  </si>
  <si>
    <t>IN/000821</t>
  </si>
  <si>
    <t>FOP met middengeleider (PM  studiebureau aan te stellen)</t>
  </si>
  <si>
    <t>Fietsoversteek met middengeleider en aanleg noodzakelijke stukjes dubbelrichtingsfietspad + VFOP</t>
  </si>
  <si>
    <t>WL/INV/N717/5</t>
  </si>
  <si>
    <t>KP/000953</t>
  </si>
  <si>
    <t>KS212 - Het oversteken van de N717 thv de Geneikenstraat vormt voor veel scholieren een probleem</t>
  </si>
  <si>
    <t>IN/000822</t>
  </si>
  <si>
    <t>Ingreep schoolroute in Lummen op kruispunt N717 - Geneikenstraat</t>
  </si>
  <si>
    <t>punctuele verlichting</t>
  </si>
  <si>
    <t>WL/INV/N717/8</t>
  </si>
  <si>
    <t>KP/000955</t>
  </si>
  <si>
    <t>IN/000823</t>
  </si>
  <si>
    <t>Ingreep schoolroute in Boortmeerbeek op Kruispunt N267 x F8</t>
  </si>
  <si>
    <t>WVB/INV/N267/3</t>
  </si>
  <si>
    <t>KP/001366</t>
  </si>
  <si>
    <t>KS327 - Oversteekbaarheid van N267 parallel aan de vaart is ondermaats. Dit is een fietssnelweg die met een drukke gewestweg kruist. Via deze fietssnelweg zijn scholen in Muizen en Coloma vlot bereikbaar. Schoolroute van bvb Schiplaken en Boortmeerbeek richting Mechelen.</t>
  </si>
  <si>
    <t>KP/000956</t>
  </si>
  <si>
    <t>IN/000824</t>
  </si>
  <si>
    <t>Ingreep schoolroute in Boortmeerbeek op Oversteekplaats N267 x Goorweg</t>
  </si>
  <si>
    <t>WVB/INV/N267/5</t>
  </si>
  <si>
    <t>IN/000825</t>
  </si>
  <si>
    <t>Ingreep schoolroute in Boortmeerbeek op Kruispunt N267 x Terlindenlaan</t>
  </si>
  <si>
    <t>WVB/INV/NX/4</t>
  </si>
  <si>
    <t>KP/000958</t>
  </si>
  <si>
    <t>KS217 - N26 x Kwaenijkstraat  Is nodig omdat er dat veel jongeren uit de wijken ten noorden van de N26 daar zouden kunnen oversteken om langs de Vaart naar het school in Mechelen te rijden.</t>
  </si>
  <si>
    <t>IN/000826</t>
  </si>
  <si>
    <t>Ingreep schoolroute in Boortmeerbeek op N26 x Kwaenijkstraat</t>
  </si>
  <si>
    <t>Korte afslagstrook in belijning</t>
  </si>
  <si>
    <t>KP/000959</t>
  </si>
  <si>
    <t>KS218 - N26 x G Gezellestraat Oversteekplaats ontbreekt. Minder hectische locatie dan bij kruispunt Bieststraat, verbinding Hever met Schiplaken.</t>
  </si>
  <si>
    <t>IN/000827</t>
  </si>
  <si>
    <t>Ingreep schoolroute in Boortmeerbeek op N26 x Bieststraat</t>
  </si>
  <si>
    <t>WVB/INV/N26/10</t>
  </si>
  <si>
    <t>KP/000960</t>
  </si>
  <si>
    <t>KS218 + KS219 - N26 x Bieststraat Prioriteit. Daar is nu een fietsoversteek voorzien, die niet goed zichtbaar is. De vluchtheuvel wordt beter zichtbaar indien de rand ervan wit geverfd wordt. Bij de gesprekken met AWV werd ook gezegd dat hier een lichtarmatuur (galg) zou komen, nog niets van gezien.</t>
  </si>
  <si>
    <t>IN/000828</t>
  </si>
  <si>
    <t>WVB/INV/N26/11</t>
  </si>
  <si>
    <t>IN/000829</t>
  </si>
  <si>
    <t>Ingreep schoolroute in Boortmeerbeek op N26 x Audenhovenlaan</t>
  </si>
  <si>
    <t>WVB/INV/N26/12</t>
  </si>
  <si>
    <t>KP/000962</t>
  </si>
  <si>
    <t>KS221 - N26x Molenbeek Zowel in het VLP als in het trage wegenplan (in opmaak) is het wegje langs de Molenbeek een belangrijke ontsluiting voor schoolgaande kinderen. Voor wie van de overkant komt, moet echter de N26 veilig over geraken. En aangezien langs de N26 niet direct een herinrichting van de fietspaden voorzien is, voorzien wij veilige trajecten evenwijdig met de N26 (Vaart, trage wegen) maar moet dan wel de N26 op een aantal plaatsen veilig gekruist kunnen worden.</t>
  </si>
  <si>
    <t>IN/000830</t>
  </si>
  <si>
    <t>Ingreep schoolroute in Boortmeerbeek op N26 oversteek Molenbeek</t>
  </si>
  <si>
    <t>recht of schuin oversteken afhankelijk van ontwikkelaar of niet</t>
  </si>
  <si>
    <t>WVB/INV/N26/13</t>
  </si>
  <si>
    <t>KP/000963</t>
  </si>
  <si>
    <t>KS222 - oversteek Beringstraat (is gemeenteschool gelegen)</t>
  </si>
  <si>
    <t>IN/000831</t>
  </si>
  <si>
    <t>Ingreep schoolroute in Boortmeerbeek op N26 x Beringstraat</t>
  </si>
  <si>
    <t>WVB/INV/N26/18</t>
  </si>
  <si>
    <t>KP/000964</t>
  </si>
  <si>
    <t>KS223 - Oversteek N26 x Laarstraat.</t>
  </si>
  <si>
    <t>IN/000832</t>
  </si>
  <si>
    <t>Ingreep schoolroute in Boortmeerbeek op N26 x Laarstraat</t>
  </si>
  <si>
    <t>WVB/INV/N26/14</t>
  </si>
  <si>
    <t>KP/000965</t>
  </si>
  <si>
    <t>KS224 - Versleten of niet aangebrachte fietspadmarkering en rode slemlaag op fietspaden thv aansluiting gewestwegen met gemeentewegen.</t>
  </si>
  <si>
    <t>IN/000833</t>
  </si>
  <si>
    <t>Ingreep schoolroute in Oudsbergen op N76 aansluiting met gemeentewegen</t>
  </si>
  <si>
    <t>WL/INV/N76/13</t>
  </si>
  <si>
    <t>KP/000966</t>
  </si>
  <si>
    <t>KS225 - Versleten of niet aangebrachte fietspadmarkering en rode slemlaag op fietspaden thv aansluiting gewestwegen met gemeentewegen.</t>
  </si>
  <si>
    <t>IN/000834</t>
  </si>
  <si>
    <t>Ingreep schoolroute in Oudsbergen op N719: aansluiting met gemeentewegen</t>
  </si>
  <si>
    <t>WL/INV/N719/4</t>
  </si>
  <si>
    <t>KP/000967</t>
  </si>
  <si>
    <t>KS226 - Versleten of niet aangebrachte fietspadmarkering en rode slemlaag op fietspaden thv aansluiting gewestwegen met gemeentewegen.</t>
  </si>
  <si>
    <t>IN/000835</t>
  </si>
  <si>
    <t>Ingreep schoolroute in Oudsbergen op N730: aansluiting met gemeentewegen</t>
  </si>
  <si>
    <t>WL/INV/N730/11</t>
  </si>
  <si>
    <t>KP/000968</t>
  </si>
  <si>
    <t>KS227 - Versleten of niet aangebrachte fietspadmarkering en rode slemlaag op fietspaden thv aansluiting gewestwegen met gemeentewegen.</t>
  </si>
  <si>
    <t>IN/000836</t>
  </si>
  <si>
    <t>Ingreep schoolroute in Oudsbergen op N771: aansluiting met gemeentewegen</t>
  </si>
  <si>
    <t>WL/INV/N771/3</t>
  </si>
  <si>
    <t>KP/000969</t>
  </si>
  <si>
    <t>KS228 - VOP ifv woonschoolverkeer: weinig zichtbare / onopvallende VOP</t>
  </si>
  <si>
    <t>IN/000837</t>
  </si>
  <si>
    <t>Wegnemen VOP en aanpassen andere VOP</t>
  </si>
  <si>
    <t>WL/INV/N730/15</t>
  </si>
  <si>
    <t>KP/000971</t>
  </si>
  <si>
    <t>KS230 - Geen fietscomfort bij oversteek Warande, teveel oneffenheden en putten bij de aansluiting richting brug</t>
  </si>
  <si>
    <t>IN/000838</t>
  </si>
  <si>
    <t>Ingreep schoolroute in Mol op Donk: oversteek Warande</t>
  </si>
  <si>
    <t>WA/INV/N18/9</t>
  </si>
  <si>
    <t>KP/000973</t>
  </si>
  <si>
    <t>KS233 - VOP niet zichtbaar genoeg als het donker is.</t>
  </si>
  <si>
    <t>IN/000839</t>
  </si>
  <si>
    <t>Ingreep schoolroute in Mol op Turnhoutsebaan ter hoogte va nr. 20</t>
  </si>
  <si>
    <t>WA/INV/N18/7</t>
  </si>
  <si>
    <t>KP/000974</t>
  </si>
  <si>
    <t>KS234 - De school wordt ontsloten via 2 gemeentewegen. De kinderen die via Lichte Hoeve, Ginderbuiten moeten oversteken rijden niet eerst naar de rotonde om daar de VOP te nemen.Ginderbuiten is een zeer drukke rijbaan voor doorgaand verkeer en sluit via Toemaathoek aan op een primaire weg.</t>
  </si>
  <si>
    <t>IN/000840</t>
  </si>
  <si>
    <t>Ingreep schoolroute in Mol op Ginderbuiten</t>
  </si>
  <si>
    <t>WA/INV/N103/2</t>
  </si>
  <si>
    <t>KP/000975</t>
  </si>
  <si>
    <t>KS235 - De drukste oversteek voor de schoolkinderen bevindt zich momenteel thv Kiezelweg/Gemeenteheistraat. 's Avonds steken alle kinderen hier over en rijden dan ten zuiden van de Kiezelweg tegen de richting in via de Populierenstraat naar de achterliggende woonstraten.</t>
  </si>
  <si>
    <t>IN/000841</t>
  </si>
  <si>
    <t>Ingreep schoolroute in Mol op Kiezelweg</t>
  </si>
  <si>
    <t>WA/INV/N712/1</t>
  </si>
  <si>
    <t>KP/000976</t>
  </si>
  <si>
    <t>KS236 - slechte conflictpresentatie fietsers en voetgangers thv FOP en VOP</t>
  </si>
  <si>
    <t>IN/000842</t>
  </si>
  <si>
    <t>Aanpassen fietspad/plantvak (PM Jan Nijsen Sweco)</t>
  </si>
  <si>
    <t>WL/INV/N730/21</t>
  </si>
  <si>
    <t>KP/000979</t>
  </si>
  <si>
    <t>KS239 - Naast de N730 liggen voetpaden, maar er is geen voorziening thv voornoemde kruispunten.</t>
  </si>
  <si>
    <t>IN/000843</t>
  </si>
  <si>
    <t>Inpassen VOP's zijstraat (PM Jan Nijsen Sweco)</t>
  </si>
  <si>
    <t>WL/INV/N730/16</t>
  </si>
  <si>
    <t>KP/000982</t>
  </si>
  <si>
    <t>KS242 - weinig en verzakte verharding thv opstelruimte FOP</t>
  </si>
  <si>
    <t>IN/000844</t>
  </si>
  <si>
    <t>Aanpassen fietsoversteekplaatsen (PM Jan Nijsen Sweco)</t>
  </si>
  <si>
    <t>opstelruimte verbeteren</t>
  </si>
  <si>
    <t>WL/INV/N730/17</t>
  </si>
  <si>
    <t>KP/000983</t>
  </si>
  <si>
    <t>KS243 - Ontbreken VOP's en FOP's '((deels) + te hoog snelheidsregime</t>
  </si>
  <si>
    <t>IN/000845</t>
  </si>
  <si>
    <t>Aanpassen oversteekvoorzieningen</t>
  </si>
  <si>
    <t>toevoegen VOP's thv beide kruispunten</t>
  </si>
  <si>
    <t>WL/INV/N771/4</t>
  </si>
  <si>
    <t>KP/000984</t>
  </si>
  <si>
    <t>KS245 - Ontbreken VOP en FOP op schoolroute.</t>
  </si>
  <si>
    <t>IN/000846</t>
  </si>
  <si>
    <t>Ingreep schoolroute in Oudsbergen op N76-Hoogstraat - Kiëstraat</t>
  </si>
  <si>
    <t>extra VOP</t>
  </si>
  <si>
    <t>WL/INV/N76/14</t>
  </si>
  <si>
    <t>KP/000985</t>
  </si>
  <si>
    <t>KS246 - Ontbreken van VOP en FOP.</t>
  </si>
  <si>
    <t>IN/000847</t>
  </si>
  <si>
    <t>Ingreep schoolroute in Oudsbergen op N76-Weg naar Zwartberg - Dampstraat</t>
  </si>
  <si>
    <t>WL/INV/N76/23</t>
  </si>
  <si>
    <t>KP/000986</t>
  </si>
  <si>
    <t>KS247 - In de kern van Oostduinkerke-Dorp langs de Dorpsstraat tussen de Toekomstlaan en de S. Declerckstraat, is er geen fietsinfrastructuur. Er zijn langs beide zijden voetpaden en aan de noordkant een parkeerstrook. Er is druk verkeer en in de dichte omgeving 2 basisscholen. De fietser zit er gekneld tussen de auto's. Dikwijls nemen de fietsers het voetpad.</t>
  </si>
  <si>
    <t>IN/000848</t>
  </si>
  <si>
    <t>Ingreep schoolroute in Koksijde op Dorpsstraat tussen Declerckstraat en Toekomstlaan</t>
  </si>
  <si>
    <t>WWV/INV/N396/3</t>
  </si>
  <si>
    <t>KP/000988</t>
  </si>
  <si>
    <t>KS249 - 2/ Vraag om fietsoversteek in te richten om N152 over te steken (van/naar Boerenkrijglaan) - wijkontsluiting voor schoolgaande kinderen basisschool Willem Tell. Nu ontbreekt deze.</t>
  </si>
  <si>
    <t>IN/000849</t>
  </si>
  <si>
    <t>Ingreep schoolroute in Olen op 2/ kruispunt N152 - Boerenkrijglaan</t>
  </si>
  <si>
    <t>KP/000989</t>
  </si>
  <si>
    <t>KS253 - De wettelijke regeling is rond waardoor het mogelijk wordt dat voetgangers en fietsers op bepaalde kruispunten tegelijk groen licht krijgen. Auto's, moto's en vrachtwagens staan dan in alle richtingen voor het rode licht. De nieuwe wet kan een antwoord bieden op de vraag van veel bewoners in onze gemeente naar zogenaamde conflictvrije kruispunten. Kruispunten die met dit principe werken, worden uitgerust met verkeerslichten die pijltjes laten zien rond het fietssilhouet op die verkeerslichten. Het gemeentebestuur van Arendonk stelt voor om voor drie kruispunten in Arendonk - waar momenteel verkeerslichten staan - zo in te stellen dat voetgangers en fietsers daar tegelijk groen licht krijgen. Tevens wordt het voorstel gedaan om op deze drie kruispunten ten behoeve van fietsers en voetgangers wensafhankelijke regelingen te bewerkstellingen.</t>
  </si>
  <si>
    <t>IN/000850</t>
  </si>
  <si>
    <t>Ingreep schoolroute in Arendonk op Kruispunt N139 Wampenberg-Hokken-Kapelstraat</t>
  </si>
  <si>
    <t>WA/INV/N139/5</t>
  </si>
  <si>
    <t>KP/000995</t>
  </si>
  <si>
    <t>KS261 - Achterkant school ter hoogte van Watermolenstraat, oversteekplaats voor voetgangers/fietsers ontbreekt. Het plan is er om bij de aanpak veilige schoolomgevingen de fietsers langs deze in- uitgang toegang tot de school te verlenen. De kant Hoogstraat wordt dan niet meer belast met gemengd fiets- en voertuigenverkeer.</t>
  </si>
  <si>
    <t>IN/000851</t>
  </si>
  <si>
    <t>Ingreep schoolroute in Galmaarden op N272 ter hoogte van kruispunt Kapellestraat met Watermolenstraat (achterkant school)</t>
  </si>
  <si>
    <t>WVB/INV/N272/3</t>
  </si>
  <si>
    <t>KP/000996</t>
  </si>
  <si>
    <t>KS262 - Kant Hoogstraat, kruispunt met Marktplein N272, snelheid ligt te hoog.</t>
  </si>
  <si>
    <t>IN/000852</t>
  </si>
  <si>
    <t>Ingreep schoolroute in Galmaarden op kruispunt Kapellestraat-Marktplein met Hoogstraat.</t>
  </si>
  <si>
    <t>zone 30 aan Marktplein</t>
  </si>
  <si>
    <t>WVB/INV/N272/4</t>
  </si>
  <si>
    <t>KP/000997</t>
  </si>
  <si>
    <t>KS263 - Oversteekplaats tussen twee trage wegen over gewestweg</t>
  </si>
  <si>
    <t>IN/000853</t>
  </si>
  <si>
    <t>Ingreep schoolroute in Hulshout op Stationsstraat 28</t>
  </si>
  <si>
    <t>WA/INV/N15/6</t>
  </si>
  <si>
    <t>KP/000998</t>
  </si>
  <si>
    <t>KS264 - openbaar domein is heel smal, geen ruimte voor de fietsers</t>
  </si>
  <si>
    <t>IN/000854</t>
  </si>
  <si>
    <t>Ingreep schoolroute in Kalmthout op N133 - Nieuwmoer-Dorp</t>
  </si>
  <si>
    <t>Gemeente maakt aanvullend reglement op voor zone 30. Fietssuggestiestroken zijn heel moeilijk te markeren op klinkers. Thermoplasten brokkelen af. Verf vergaat snel waardoor dit zeer onderhoudsintensief is.</t>
  </si>
  <si>
    <t>WA/INV/N133/7</t>
  </si>
  <si>
    <t>KP/000999</t>
  </si>
  <si>
    <t>KS265 - veel fietsers op de rijweg, smalle fietssuggestiestroken aanwezig</t>
  </si>
  <si>
    <t>IN/000855</t>
  </si>
  <si>
    <t>MAG WEG Ingreep schoolroute in Kalmthout op N122 - Kapellensteenweg tussen Kijkuitstraat en Vogelenzangstraat</t>
  </si>
  <si>
    <t>KP/001000</t>
  </si>
  <si>
    <t>KS268 - oversteekplaats valt onvoldoende op</t>
  </si>
  <si>
    <t>IN/000856</t>
  </si>
  <si>
    <t>Gevleugeld zebrapad in Zemst op oversteekplaats N1 ter hoogte van Beekstraat</t>
  </si>
  <si>
    <t>WVB/INV/N1/3</t>
  </si>
  <si>
    <t>KP/001001</t>
  </si>
  <si>
    <t>KS270 - veel oversteekbewegingen richting scholen GO Wonderwijs en VBS Tuimeling</t>
  </si>
  <si>
    <t>IN/000857</t>
  </si>
  <si>
    <t>Ingreep schoolroute in Zemst op N1 tussen Leopoldstraat en Kloosterstraat</t>
  </si>
  <si>
    <t>Vernieuwen oversteekvoorzieningen en bushaltes + plaatsen VVOP</t>
  </si>
  <si>
    <t>WVB/INV/N1/4</t>
  </si>
  <si>
    <t>KP/001002</t>
  </si>
  <si>
    <t>KS272 - nood aan veiligere oversteek</t>
  </si>
  <si>
    <t>IN/000858</t>
  </si>
  <si>
    <t>Ingreep schoolroute in Zemst op N227 Hofstade, aan kruispunt de Tilbourgstraat</t>
  </si>
  <si>
    <t>WVB/INV/N227/3</t>
  </si>
  <si>
    <t>KP/001005</t>
  </si>
  <si>
    <t>KS282 - Nieuwbouw sociale woningen tussen 2 scholen (1 kleuter + 1 lager)</t>
  </si>
  <si>
    <t>IN/000859</t>
  </si>
  <si>
    <t>Markeren regenboogzebrapad</t>
  </si>
  <si>
    <t>WL/INV/N719/5</t>
  </si>
  <si>
    <t>KP/001008</t>
  </si>
  <si>
    <t>IN/000860</t>
  </si>
  <si>
    <t>Ingreep schoolroute in Tienen op N223 - Aarschotsesteenweg 638, Vissenaken vlak voor schoolpoort</t>
  </si>
  <si>
    <t>VVOP indien niet op kruispunt?</t>
  </si>
  <si>
    <t>WVB/INV/N223/4</t>
  </si>
  <si>
    <t>KP/003401</t>
  </si>
  <si>
    <t>KP/001009</t>
  </si>
  <si>
    <t>KS286 - School De Toermalijn heeft twee locaties in Bost: één langs de Hannuitsesteenweg en één in de Potstraat. De locatie langs de Hannuitsesteenweg 213 heeft een zebrapad voor de schoolpoort. Deze zou nog zichtbaarder, meer beveiligd kunnen worden. Voor fietsers is de Hannuitsesteenweg ter hoogte van het kruispunt met de Potstraat moeilijk oversteekbaar, wat een drempel vormt voor fietsgebruik.</t>
  </si>
  <si>
    <t>IN/000861</t>
  </si>
  <si>
    <t>Horizontale signalisatie in Tienen op Kruispunt Hannuitsesteenweg met Potstraat</t>
  </si>
  <si>
    <t>VVOP voorzien + thermoplast markering "SCHOOL"</t>
  </si>
  <si>
    <t>WVB/INV/N64/2</t>
  </si>
  <si>
    <t>KP/001011</t>
  </si>
  <si>
    <t>KS298 - Missing link in kwalitatieve fietsinfrastructuur in een onleesbare omgeving. Zeer veel scholen in de nabije omgeving. Er is een variabele zone 30 op 500m van het complex R8-E17 'ei'. Zone 30 en schoolomgevingen worden zijn niet fysiek zichtbaar. Fietsers kunnen moeilijk oversteken.</t>
  </si>
  <si>
    <t>IN/000862</t>
  </si>
  <si>
    <t>Ingreep schoolroute in Kortrijk op N323b Condedreef</t>
  </si>
  <si>
    <t>WWV/INV/N323/1</t>
  </si>
  <si>
    <t>KP/001012</t>
  </si>
  <si>
    <t>KS299 - Als je vanuit Beringen-Mijn richting scholencampus fietst, kan je na het oversteken van de Kasteletsingel niet rechtstreeks het nieuwe fietspad op. Je moet via de rotonde wat heel wat draai- en keerwerk eist.</t>
  </si>
  <si>
    <t>IN/000863</t>
  </si>
  <si>
    <t>Aanleg missing link fietspad (PM Jan Nijsen Sweco)</t>
  </si>
  <si>
    <t>klein stukje extra fietspad (= vandaag een olifantenpad door de berm) om fietspad Kasteletsingel te verbinden met fietsroute richting school</t>
  </si>
  <si>
    <t>WL/INV/N72/16</t>
  </si>
  <si>
    <t>KP/001016</t>
  </si>
  <si>
    <t>KS304 - Ter hoogte van de Koningin Elizabethlaan steken zeer veel fietsers over richting het Guldensporencollege en de Collegebrug over de Leie. De oversteek is niet beveiligd en zeer lang.</t>
  </si>
  <si>
    <t>IN/000864</t>
  </si>
  <si>
    <t>Ingreep schoolroute in Kortrijk op N50 Brugse Poort</t>
  </si>
  <si>
    <t>WWV/INV/N50/13</t>
  </si>
  <si>
    <t>KP/001019</t>
  </si>
  <si>
    <t>KS307 - Stedelijke fietsroute 10 (Don Bosco) kruist de N50 (BFF). De oversteek is breed en wordt niet gefaciliteerd. Er zijn 2 rijstoken en een afslagstrook zonder middeneilanden.</t>
  </si>
  <si>
    <t>IN/000865</t>
  </si>
  <si>
    <t>Ingreep schoolroute in Kortrijk op N50 - Elleboogstraat - Schaapsdreef</t>
  </si>
  <si>
    <t>WWV/INV/N50/12</t>
  </si>
  <si>
    <t>KP/001020</t>
  </si>
  <si>
    <t>KS308 - Fietsers richting Zwevegem &amp; scholen nabij Oudenaardsesteenweg Rhizo - Gusco - ... worden zonder rugdekking van fietsinfrastructuur op in het gemengd verkeer gevoegd.</t>
  </si>
  <si>
    <t>IN/000866</t>
  </si>
  <si>
    <t>Ingreep schoolroute in Kortrijk op N8 - Oudenaardsesteenweg - Zwevegemsepoort rotonde</t>
  </si>
  <si>
    <t>WWV/INV/N8/18</t>
  </si>
  <si>
    <t>KP/001024</t>
  </si>
  <si>
    <t>KS313 - Oversteekbaarheid route naar school /sportsite / bushalte</t>
  </si>
  <si>
    <t>IN/000867</t>
  </si>
  <si>
    <t>Herinrichting FOP's met middengeleider (PM studiebureau aan te stellen via MC3)</t>
  </si>
  <si>
    <t>Opheffen afslagstroken; twee FOP's met middengeleider</t>
  </si>
  <si>
    <t>WL/INV/N745/2</t>
  </si>
  <si>
    <t>KP/001025</t>
  </si>
  <si>
    <t>KS314 - Oversteekbaarheid</t>
  </si>
  <si>
    <t>IN/000868</t>
  </si>
  <si>
    <t>Punctuele verlichting VOP</t>
  </si>
  <si>
    <t>WL/INV/N671/3</t>
  </si>
  <si>
    <t>KP/001026</t>
  </si>
  <si>
    <t>KS315 - Oversteekbaarheid bushaltes schoolgaande jeugd</t>
  </si>
  <si>
    <t>IN/000869</t>
  </si>
  <si>
    <t>WL/INV/N78/21</t>
  </si>
  <si>
    <t>KP/001027</t>
  </si>
  <si>
    <t>KS316 - Oversteekbaarheid</t>
  </si>
  <si>
    <t>IN/000870</t>
  </si>
  <si>
    <t>WL/INV/N671/1</t>
  </si>
  <si>
    <t>KP/001028</t>
  </si>
  <si>
    <t>KS320 - oncomfortabele fietsinfrastructuur op diverse plaatsen. Knelpunten al doorgenomen met AWV-MOW. Trekken rol wordt echter niet opgenomen door AWV.</t>
  </si>
  <si>
    <t>IN/000871</t>
  </si>
  <si>
    <t>Ingreep schoolroute in Kortrijk op N8 tussen complex oost en Q8 rotonde</t>
  </si>
  <si>
    <t>Wordt meegenomen in uitvoering met IN/001323</t>
  </si>
  <si>
    <t>KP/001030</t>
  </si>
  <si>
    <t>KS323 - In de buurt van dit kruispunt is onvoldoende veilige oversteekgelegenheid. Voor verkeer komende van de brug moet de zwakke weggebruiker beter in het oog springen bij oversteken.</t>
  </si>
  <si>
    <t>IN/000872</t>
  </si>
  <si>
    <t>Fietslogoverbindingsmarkeringen als quick win</t>
  </si>
  <si>
    <t>WA/INV/NX/3</t>
  </si>
  <si>
    <t>KP/001031</t>
  </si>
  <si>
    <t>KS324 - Oversteekbaarheid van N1 thv Galgestraat. De ingang voor fietsers naar PTS ligt in de Galgestraat.</t>
  </si>
  <si>
    <t>IN/000873</t>
  </si>
  <si>
    <t>Ingreep schoolroute in Mechelen op N1 thv Galgestraat</t>
  </si>
  <si>
    <t>Doortrekken dubbelrichtingsfietspad tot aan galgestraat</t>
  </si>
  <si>
    <t>WA/INV/N1/16</t>
  </si>
  <si>
    <t>KP/001033</t>
  </si>
  <si>
    <t>KS326 - Oversteekbaarheid van N1 thv Oude Antwerpsebaan is hier onvoldoende veilig. Dubbelrichtingsfietspad ligt aan de overkant. Via deze route een belangrijke doorsteek naar de scholen in wijk Nekkerspoel.</t>
  </si>
  <si>
    <t>IN/000874</t>
  </si>
  <si>
    <t>Ingreep schoolroute in Mechelen op N1 thv Oude Antwerpsebaan</t>
  </si>
  <si>
    <t>WA/INV/N1/17</t>
  </si>
  <si>
    <t>KP/001034</t>
  </si>
  <si>
    <t>KS328 - Conflicten binnen lichtenregeling tussen gemotoriseerd verkeer en fietsers/voetgangers. Hier zijn veel fietsers en voetgangers van Sint-Lambertusschool, gelegen op dit kruispunt.</t>
  </si>
  <si>
    <t>IN/000875</t>
  </si>
  <si>
    <t>Ingreep Schoolroute in Mechelen op N26 Leuvensesteenweg x Stationsberg</t>
  </si>
  <si>
    <t>WA/INV/N26/6</t>
  </si>
  <si>
    <t>KP/001035</t>
  </si>
  <si>
    <t>KS330 - Oversteekplaatsen  fietsers en voetgangers wordt als onveilig ervaren. Onvoldoende verlicht, onvoldoende opvallend. Verkeer komende van de brug Battelsesteenweg merkt vaak te laat de overstekende fietser of voetganger op. Ook komende van de Baroniestraat valt de eerste oversteek onvoldoende op. School De Ark is hier vlakbij, maar het is ook een belangrijke route van Heffen en Leest richting Mechelen centrum, wat dit ook een erg druk kruispunt maakt.</t>
  </si>
  <si>
    <t>IN/000876</t>
  </si>
  <si>
    <t>Ingreep schoolroute in Mechelen op N109 x Battelbrug en Gentsesteenweg</t>
  </si>
  <si>
    <t>VVOP\n+ markering VVOP\n</t>
  </si>
  <si>
    <t>WA/INV/N109/2</t>
  </si>
  <si>
    <t>IN/000877</t>
  </si>
  <si>
    <t>MAG WEG Ingreep schoolroute in Mechelen op R12 x N1 Hendrik Consciencestraat</t>
  </si>
  <si>
    <t>IN/000878</t>
  </si>
  <si>
    <t>MAG WEG Ingreep schoolroute in Mechelen op R12 x Mgr. Van Nuffelstraat</t>
  </si>
  <si>
    <t>IN/000879</t>
  </si>
  <si>
    <t>MAG WEG Ingreep schoolroute in Mechelen op R12 Olivetenvest</t>
  </si>
  <si>
    <t>KP/001040</t>
  </si>
  <si>
    <t>KS342 - De fietspaden zij daar zeer smal (90cm en minder) op een drukke gewestweg.  Scholieren vanuit Zandhoven wonen op een goede fietsafstand van het GITHO in Nijlen, anderen lopen school in Lier.   Allen passeren dit gedeelte met smalle fietspaden.</t>
  </si>
  <si>
    <t>IN/000880</t>
  </si>
  <si>
    <t>Ingreep schoolroute in Zandhoven op Liersebaan tussen het kruispunt met de Herentalsebaan en het kruispunt met de Nijlensesteenweg</t>
  </si>
  <si>
    <t>WA/INV/N14/10</t>
  </si>
  <si>
    <t>KP/001041</t>
  </si>
  <si>
    <t>KS343 - Graag scalafens center geleidehekkens tussen voetpadzone en rijweg over de lengte van de kerkhofmuur kerk Loonbeek langs St Jansbergsteenweg. Regelmatig gaan er wagens op de N253 op deze locatie uit de bocht en we willen schoolgaande kinderen op het voetpad beschermen. Voetganger kan niet opzij want lopen er ook langsheen de kerkhofmuur kerk Loonbeek.</t>
  </si>
  <si>
    <t>IN/000881</t>
  </si>
  <si>
    <t>Ingreep schoolroute in Huldenberg op Voetpad tussen parking AWV en kerk Loonbeek</t>
  </si>
  <si>
    <t>QW1: signalisatie met borden en F49 borden met bi-flashes\nQW2: markeren van verdrijvingsvlak</t>
  </si>
  <si>
    <t>WVB/INV/N253/6</t>
  </si>
  <si>
    <t>IN/000882</t>
  </si>
  <si>
    <t>Ingreep schoolroute in Malle op Fietspad langsheen de N12 - gedeelte tussen Nijverheidsstraat en ingang school Marisstella (bij uitbreiding tot Oostmalle Dorp)</t>
  </si>
  <si>
    <t>WA/INV/N12/12</t>
  </si>
  <si>
    <t>KP/001048</t>
  </si>
  <si>
    <t>KS361 - De fietspaden werden slechts gedeeltelijk rood ingekleurd.</t>
  </si>
  <si>
    <t>IN/000883</t>
  </si>
  <si>
    <t>Ingreep schoolroute in De Panne op Veurnestraat N35</t>
  </si>
  <si>
    <t>WWV/INV/N35/6</t>
  </si>
  <si>
    <t>KP/001049</t>
  </si>
  <si>
    <t>KS362 - Op de Koninklijke Baan ligt een school. De omgeving rond de school is niet veilig voor fietsers. De wegen zijn smal en de automobilisten houden weinig rekening met de schoolgaande jeugd.</t>
  </si>
  <si>
    <t>IN/000884</t>
  </si>
  <si>
    <t>Ingreep schoolroute in De Panne op fietssuggestiestroken Koninklijke Baan</t>
  </si>
  <si>
    <t>WWV/INV/N34/9</t>
  </si>
  <si>
    <t>IN/000885</t>
  </si>
  <si>
    <t>Ingreep schoolroute in Grobbendonk op Lierse steenweg ter hoogte van nr. 40</t>
  </si>
  <si>
    <t>IN/000886</t>
  </si>
  <si>
    <t>Ingreep schoolroute in Grobbendonk op Herentalse steenweg thv kruispunt Nieuwendijk</t>
  </si>
  <si>
    <t>WA/INV/N13/15</t>
  </si>
  <si>
    <t>KP/001052</t>
  </si>
  <si>
    <t>KS380 - Weinig tot geen infrastructuur aanwezig voor fietsers en voetgangers</t>
  </si>
  <si>
    <t>IN/000887</t>
  </si>
  <si>
    <t>Ingreep schoolroute in Scherpenheuvel-Zichem op Turnhoutsebaan x P. Brissacstraat</t>
  </si>
  <si>
    <t>WVB/INV/N127/1</t>
  </si>
  <si>
    <t>KP/001058</t>
  </si>
  <si>
    <t>IN/000888</t>
  </si>
  <si>
    <t>versmallen rijstroken - afschermen voetgangers (PM studiebureau aan te stellen via MC3)</t>
  </si>
  <si>
    <t>- versmallen rijweg\n- (al dan niet met snelheidsverlaging naar 50 km/u = nog op te starten)\n- voetpad scheiden van fietspad met omegabeugels (hiertoe inname landbouwperceel nodig</t>
  </si>
  <si>
    <t>WL/INV/N79/8</t>
  </si>
  <si>
    <t>KP/001059</t>
  </si>
  <si>
    <t>IN/000889</t>
  </si>
  <si>
    <t>Ingreep schoolroute in Brugge op Station Zeebrugge -&gt; Meeuwenstraat Zeebrugge</t>
  </si>
  <si>
    <t>Wandelroute verduidelijken en beveiligen. Oversteken beveiligen.</t>
  </si>
  <si>
    <t>WWV/INV/N34/10</t>
  </si>
  <si>
    <t>KP/001060</t>
  </si>
  <si>
    <t>KS389 - Ouders parkeren bij begin en einde van de school op middenberm en op de onverharde zijbermen. Hierdoor is de zichtbaarheid op de voetgangers die oversteken niet goed en wordt ook het zicht van de uitrijdende wagens beperkt.</t>
  </si>
  <si>
    <t>IN/000890</t>
  </si>
  <si>
    <t>Ingreep schoolroute in Sint-Truiden op •Hasp-O stadsrand, (Tuinbouwschool), Diestersteenweg</t>
  </si>
  <si>
    <t>WL/INV/N716/4</t>
  </si>
  <si>
    <t>KP/001061</t>
  </si>
  <si>
    <t>IN/000891</t>
  </si>
  <si>
    <t>Ingreep schoolroute in Herselt op Blauberg 1</t>
  </si>
  <si>
    <t>WA/INV/N212/2</t>
  </si>
  <si>
    <t>KP/001063</t>
  </si>
  <si>
    <t>KS396 - De school is gelegen op het kruispunt Boekweitstraat- Haverstraat. Kinderen komen van het noorden van de N18 samen ter hoogte van  de Boekweitstraat om over te steken Op deze locatie, gelegen vlak bij een zwart punt is geen oversteekplaats voor voetgangers voorzien</t>
  </si>
  <si>
    <t>IN/000892</t>
  </si>
  <si>
    <t>Ingreep schoolroute in Balen op prioriteit 1: oversteek N18(Molsesteenweg) ter hoogte kruispunt Boekweitstr- Kolfstraat</t>
  </si>
  <si>
    <t>WA/INV/N18/10</t>
  </si>
  <si>
    <t>KP/001064</t>
  </si>
  <si>
    <t>KS397 - De school is gelegen op het kruispunt Sint Rochusstraat met  Sinterveld. Kinderen komen van de school via Sinterveld en steken N18 over naar Schoormolenstraat om zo verder naar het gehucht Scheps te gaan. Momenteel is er op deze locatie geen bescherming voor de zwakke weggebruikers om over te steken, aangezien er enkel een grasberm is, is het veiliger dat de kinderen zich dadelijk via Schoormolenstraat naar het gehucht scheps kunnen begeven in plaats van over het fietspad te wandelen.</t>
  </si>
  <si>
    <t>IN/000893</t>
  </si>
  <si>
    <t>Ingreep schoolroute in Balen op prioriteit 2. oversteek N18 (Schoor)ter hoogte van Sinterveld</t>
  </si>
  <si>
    <t>WA/INV/N18/11</t>
  </si>
  <si>
    <t>KP/001065</t>
  </si>
  <si>
    <t>KS398 - Ontbrekende markering fietsoversteek.</t>
  </si>
  <si>
    <t>IN/000894</t>
  </si>
  <si>
    <t>herinrichten kruispunt met 2 FOP's</t>
  </si>
  <si>
    <t>WL/INV/N77/2</t>
  </si>
  <si>
    <t>KP/001067</t>
  </si>
  <si>
    <t>KS401 - Schoolkinderen die vanuit regio Hoogeind en Meersel-Dreef komen, moeten aan dit kruispunt oversteken. Het kruispunt is gelegen aan een bocht in de gewestweg en een veilige oversteekplaats ontbreekt. Slechte zichtbaarheid op dit kruispunt.</t>
  </si>
  <si>
    <t>IN/000895</t>
  </si>
  <si>
    <t>Ingreep schoolroute in Hoogstraten op Kruispunt John Lijsenstraat - Hoogeind Meer</t>
  </si>
  <si>
    <t>WA/INV/N146/2</t>
  </si>
  <si>
    <t>KP/001068</t>
  </si>
  <si>
    <t>KS403 - Fietsers vanuit de omgeving Meerleseweg steken hier de baan over richting school. De Meerleseweg heeft een hele brede aansluiting met passage verkeer in beide richtingen. Gevaarlijk oversteekpunt. Vlak tegen dit punt zijn 2 nieuwe private ontwikkelingen in uitvoering, waardoor de verkeersdruk op dit kruispunt enorm zal stijgen.</t>
  </si>
  <si>
    <t>IN/000896</t>
  </si>
  <si>
    <t>Ingreep schoolroute in Hoogstraten op Kruispunt Meerdorp - Meerleseweg</t>
  </si>
  <si>
    <t>WA/INV/N146/3</t>
  </si>
  <si>
    <t>KP/001069</t>
  </si>
  <si>
    <t>KS407 - De schoolroute loopt van de Katelijnestraat naar de Heuvelstraat. De Heuvelstraat is autoluw. De kruispunten liggen net aan het begin van de bebouwde kom, waardoor voertuigen juist aan het optrekken zijn, of nog hun volle snelheid hebben.</t>
  </si>
  <si>
    <t>IN/000897</t>
  </si>
  <si>
    <t>Ingreep schoolroute in Hoogstraten op Kruispunt Loenhoutseweg - Heuvelstraat</t>
  </si>
  <si>
    <t>KP/001070</t>
  </si>
  <si>
    <t>KS415 - Ter hoogte van de school de Bilter is er geen fietspad aanwezig. Veel kinderen worden afgezet met de wagens, waardoor op ogenblik dat school start en eindigt er veel op en aan gereden wordt.</t>
  </si>
  <si>
    <t>IN/000898</t>
  </si>
  <si>
    <t>Ingreep schoolroute in Heers op Nieuwe Steenweg 20, 3870 Heers</t>
  </si>
  <si>
    <t>WL/INV/N784/1</t>
  </si>
  <si>
    <t>KP/001071</t>
  </si>
  <si>
    <t>KS416 - Bij start en einde van school Kers en Pit, gelegen in de Ridderstraat, dienen kinderen vaak over te steken van Nieuwe Steenweg naar Ridderstraat (parkeergelegenheid die vaak gebruikt wordt is gelegen op centrumplein, Nieuwe Steenweg)</t>
  </si>
  <si>
    <t>IN/000899</t>
  </si>
  <si>
    <t>Ingreep schoolroute in Heers op Kruispunt Ridderstraat - Nieuwe Steenweg</t>
  </si>
  <si>
    <t>WL/INV/N784/2</t>
  </si>
  <si>
    <t>KP/001074</t>
  </si>
  <si>
    <t>KS420 - Er zijn op deze plaats veel overstekende kinderen (Basisschool De Zevensprong). Er staat dus reeds een gemachtigd opzichter; Het kruispunt ligt echter in een bocht en is zeer breed maar de kinderen zouden in 1 beweging in de zone 70km/u moeten oversteken. Aangezien het jonge kinderen zijn (basisschool) is dit niet evident.</t>
  </si>
  <si>
    <t>IN/000900</t>
  </si>
  <si>
    <t>Ingreep schoolroute (PM studiebureau aan te stellen via MC3)</t>
  </si>
  <si>
    <t>WL/INV/N141/9</t>
  </si>
  <si>
    <t>KP/001076</t>
  </si>
  <si>
    <t>KS423 - belangrijke verdeelweg =&gt; zorgt voor verbinding woonwijken (noorden) met centrum, op vandaag  er is geen uniform wegbeeld = fietser een plaats geven + schoolomgeving extra accentueren, voetgangersoversteken liggen niet logisch en bepaalde oversteekplaatsen zijn niet zichtbaar op de Speldenstraat</t>
  </si>
  <si>
    <t>IN/000901</t>
  </si>
  <si>
    <t>Ingreep schoolroute in Wervik op As Geluwesesteenweg (N311) Speldenstraat (N515) Komenstraat</t>
  </si>
  <si>
    <t>WWV/INV/N515/1</t>
  </si>
  <si>
    <t>KP/001078</t>
  </si>
  <si>
    <t>KS426 - Er ontbreekt degelijke fietsinfrastructuur</t>
  </si>
  <si>
    <t>IN/000902</t>
  </si>
  <si>
    <t>Ingreep schoolroute in Leuven op Sint-Jansberg (Deel ten noorden van Koning Boudewijnlaan en nr. 146)</t>
  </si>
  <si>
    <t>WVB/INV/N253/7</t>
  </si>
  <si>
    <t>KP/001083</t>
  </si>
  <si>
    <t>KS431 - Slechte zichtbaarheid fietsers en voetgangers op kruising met afrit ring (vanuit noord-oostelijke richting).</t>
  </si>
  <si>
    <t>IN/000903</t>
  </si>
  <si>
    <t>Ingreep schoolroute in Leuven op Brusselsepoort</t>
  </si>
  <si>
    <t>KP/001087</t>
  </si>
  <si>
    <t>IN/000904</t>
  </si>
  <si>
    <t>Ingreep schoolroute in Anzegem op Diverse locaties -zie toelichting en voorstel oplossing.</t>
  </si>
  <si>
    <t>WWV/INV/N382/7</t>
  </si>
  <si>
    <t>KP/001088</t>
  </si>
  <si>
    <t>KS436 - Gevaarlijke oversteekplaats voor lagere en middelbare scholieren</t>
  </si>
  <si>
    <t>IN/000905</t>
  </si>
  <si>
    <t>Ingreep schoolroute in Hamont-Achel op N76 oversteekplaats t.h.v. Inkensven</t>
  </si>
  <si>
    <t>WL/INV/N76/24</t>
  </si>
  <si>
    <t>KP/001089</t>
  </si>
  <si>
    <t>KS437 - Dagelijks steken hier honderden kinderen over naar de school Sint-Michiel.  's Morgens worden ze hierbij geholpen door gemachtigde opzichters maar 's avonds niet.  De zichtbaarheid van deze oversteekplaats is beperkt.</t>
  </si>
  <si>
    <t>IN/000906</t>
  </si>
  <si>
    <t>WL/INV/N73/20</t>
  </si>
  <si>
    <t>KP/001090</t>
  </si>
  <si>
    <t>KS438 - Oversteekplaats voor scholieren maar ook naar het fietsroutenetwerk en de sportclubs die daar gevestigd zijn. De tennisclub verhuist op korte termijn ook nog naar deze locatie. Vele kinderen fietsen zelfstandig naar deze locatie over de vrijliggende fietspaden maar moeten wel de drukke gewestweg oversteken.</t>
  </si>
  <si>
    <t>IN/000907</t>
  </si>
  <si>
    <t>Nieuwe VOP (PM Sweco Jan Nijsen)</t>
  </si>
  <si>
    <t>WL/INV/N748/5</t>
  </si>
  <si>
    <t>KP/001091</t>
  </si>
  <si>
    <t>KS439 - Er is recent een middeneiland aangelegd zodat fietsers in 2 keer kunnen oversteken maar helaas is dat veel te klein. Fietsers voelen zich niet veilig om hier over te steken.</t>
  </si>
  <si>
    <t>IN/000908</t>
  </si>
  <si>
    <t>FOP (PM studiebureau aan te stellen via MC3)</t>
  </si>
  <si>
    <t>WL/INV/N71/9</t>
  </si>
  <si>
    <t>KP/001092</t>
  </si>
  <si>
    <t>KS441 - geen oversteekbaarheid voor voetgangers en fietsers</t>
  </si>
  <si>
    <t>IN/000909</t>
  </si>
  <si>
    <t>Ingreep schoolroute in Herent op kruispunt Diependaalweg met N2 Brusselsesteenweg</t>
  </si>
  <si>
    <t>WVB/INV/N2/17</t>
  </si>
  <si>
    <t>IN/000910</t>
  </si>
  <si>
    <t>Ingreep schoolroute in Herent op N26 (Leuven-Mechelen)</t>
  </si>
  <si>
    <t>KP/001094</t>
  </si>
  <si>
    <t>KS451 - Hier zijn 2 oversteekplaatsen heel kort bij elkaar waar dagelijks heel veel schoolgaande kinderen oversteken.  Doordat er 2 oversteekplaatsen kort bij elkaar liggen zorgt dit voor onduidelijkheid en frustratie bij automobilisten.  De zichtbaarheid van en op deze oversteekplaatsen is beperkt.</t>
  </si>
  <si>
    <t>IN/000911</t>
  </si>
  <si>
    <t>WL/INV/N73/24</t>
  </si>
  <si>
    <t>KP/001096</t>
  </si>
  <si>
    <t>KS455 - Oversteek met midden-eiland, maar slechte zichtbaarheid op de oversteekplaats. Graag bijkomende items ter verhoging van de waakzaamheid van de voertuigen</t>
  </si>
  <si>
    <t>IN/000912</t>
  </si>
  <si>
    <t>Ingreep schoolroute in Brecht op N115, oversteekplaats thv Canadalaan</t>
  </si>
  <si>
    <t>WA/INV/N115/6</t>
  </si>
  <si>
    <t>KP/001097</t>
  </si>
  <si>
    <t>KS456 - Dagelijks steken hier honderden kinderen over naar de school De Heppening. 's Morgens worden ze hierbij geholpen door gemachtigde opzichters maar 's avonds niet. De zichtbaarheid van deze oversteekplaats is beperkt.  Er zijn veel voertuigbewegingen op het zebrapad door terugdraaiende voertuigen.</t>
  </si>
  <si>
    <t>IN/000913</t>
  </si>
  <si>
    <t>Aanpassingen thv schoolpoort de Heppening (PM studiebureau aan te stellen via MC3)</t>
  </si>
  <si>
    <t>WL/INV/N72/17</t>
  </si>
  <si>
    <t>KP/001098</t>
  </si>
  <si>
    <t>KS457 - Voetgangers -en fietsoversteken aan schoolomgeving -en route. Graag bijkomende items ter verhoging van de waakzaamheid van de voertuigen.</t>
  </si>
  <si>
    <t>IN/000914</t>
  </si>
  <si>
    <t>Horizontale signalisatie in Brecht op Oversteek Venusstraat kp Molenstraat</t>
  </si>
  <si>
    <t>WA/INV/N133/8</t>
  </si>
  <si>
    <t>KP/001099</t>
  </si>
  <si>
    <t>KS464 - Hoewel de voetgangersoversteekplaats binnen een variabele zone 30 ligt wordt hier snel gereden. Bovendien is er geen middengeleider waardoor schoolgaande kinderen de 2 rijvakken van de gewestweg, de parkeerstroken en fietspaden in 1 keer moeten oversteken. De zichtbaarheid van deze oversteekplaats is beperkt.</t>
  </si>
  <si>
    <t>IN/000915</t>
  </si>
  <si>
    <t>Ingreep Hoppinpunt/schoolroutes.</t>
  </si>
  <si>
    <t>WL/INV/N746/5</t>
  </si>
  <si>
    <t>IN/000916</t>
  </si>
  <si>
    <t>Ingreep schoolroute in Herentals op In volgorde van prioriteit: 1) Kruispunt Herenthoutseweg – Ringlaan</t>
  </si>
  <si>
    <t>KP/001101</t>
  </si>
  <si>
    <t>KS467 - 2)        Fietsers mogen op sommige delen van de ovonde in beide richtingen fietsen, op andere delen niet. Dit is zowel voor fietsers als voor automobilisten onduidelijk gezien de borden en de markering niet altijd overeenstemmen. Zeker voor kinderen en jongeren is dit verwarrend.</t>
  </si>
  <si>
    <t>IN/000917</t>
  </si>
  <si>
    <t>Ingreep schoolroute in Herentals op In volgorde van prioriteit: 2) Ovonde Ringlaan (kruising met Poederleeseweg, Lichtaartseweg en Nederrij)</t>
  </si>
  <si>
    <t>WA/INV/N153/12</t>
  </si>
  <si>
    <t>KP/001108</t>
  </si>
  <si>
    <t>KS475 - 10)        Groentijd voor mensen die de Poederleeseweg willen oversteken is te kort.</t>
  </si>
  <si>
    <t>IN/000918</t>
  </si>
  <si>
    <t>Ingreep schoolroute in Herentals op In volgorde van prioriteit: 10) Kruispunt Poederleeseweg met Olympiadelaan</t>
  </si>
  <si>
    <t>WA/INV/N153/13</t>
  </si>
  <si>
    <t>KP/001109</t>
  </si>
  <si>
    <t>KS476 - beperkte opstelruimte voor fietsers</t>
  </si>
  <si>
    <t>IN/000919</t>
  </si>
  <si>
    <t>Ingreep schoolroute in Tervuren op Kruispunt Tervurenlaan - Oppemstraat</t>
  </si>
  <si>
    <t>WVB/INV/NX/1</t>
  </si>
  <si>
    <t>KP/000787</t>
  </si>
  <si>
    <t>IN/000920</t>
  </si>
  <si>
    <t>Ingreep schoolroute in Tervuren op Oversteek N3 ter hoogte van Soetemanslaan</t>
  </si>
  <si>
    <t>WVB/INV/N3/9</t>
  </si>
  <si>
    <t>KP/001114</t>
  </si>
  <si>
    <t>KS481 - belangrijke oversteekplaats vanuit woonwijken (noorden) naar veilige fietsverbinding in het park (zuiden) richting de (middelbare) scholen in het centrum van Tervuren.</t>
  </si>
  <si>
    <t>KP/001116</t>
  </si>
  <si>
    <t>IN/000921</t>
  </si>
  <si>
    <t>Punctuele verlichting VOP thv Rijkelstraat (+ wegnemen biflash)</t>
  </si>
  <si>
    <t>WL/INV/N729/10</t>
  </si>
  <si>
    <t>KP/001118</t>
  </si>
  <si>
    <t>KS487 - De schoolfietsroute vanuit Rosmeer gaat vanuit de Hoogstraat richting ruilverkaveling Kallereveld. Deze route passeert de Rode Kruislaan. De Rode Kruislaan is een lange rechte baan, 70kmu met belijnde fietspaden. Hier is geen enkele vorm van beveiliging of vertragend element voor de fietser om over te steken.</t>
  </si>
  <si>
    <t>IN/000922</t>
  </si>
  <si>
    <t>oversteekvoorziening met middengeleider én extra verlichting (PM studiebureau aan te stellen MC3)</t>
  </si>
  <si>
    <t>WL/INV/N758/3</t>
  </si>
  <si>
    <t>KP/001119</t>
  </si>
  <si>
    <t>KS491 - Kruispunt en oversteekplaats onveilig door hoge snelheden op gewestweg</t>
  </si>
  <si>
    <t>IN/000923</t>
  </si>
  <si>
    <t>FOP + dubbelrichtingsfietspad (PM studiebureau aan te stellen MC3)</t>
  </si>
  <si>
    <t>WL/INV/N762/3</t>
  </si>
  <si>
    <t>KP/001122</t>
  </si>
  <si>
    <t>KS495 - Veel jongeren steken hier over om via de Noordstraat - Karpelstraat naar het centrum te rijden.  Hier is geen veilige oversteekplaats.    Deze oversteekplaats zou ook nuttig zijn voor fietsers die naar station Koksijde willen.</t>
  </si>
  <si>
    <t>IN/000924</t>
  </si>
  <si>
    <t>Ingreep schoolroute in Veurne op N8 - Sint Idesbaldusstraat ter hoogte van station Koksijde</t>
  </si>
  <si>
    <t>WWV/INV/N8/19</t>
  </si>
  <si>
    <t>KP/001124</t>
  </si>
  <si>
    <t>KS497 - Het zebrapad dwars over de N2 (Wijkstraat) is een gelijkgrondse oversteekplaats die werd aangelegd in materialen die vervagen in kleur (klinkers?) en ligt op enkele meters maar van de uitrit van de Shopping Diepenbeek parking. De N2 is een drukke verbindingsweg en beschikt over aanliggende fietspaden aan weerszijden, bevindt zich aan de uitrit van de parking waar er zowel rechts als links ingevoegd wordt en op zeer korte afstand gebeuren er ook nog oversteekbewegingen van schoolgaande kinderen. Door de inrichting van het openbaar domein en de ruimtelijke toedeling zijn er veel bewegingen in verkeer en veel prikkels op een zeer korte afstand die zorgen voor een versnipperde aandacht waarbij er een gevaar ontstaat voor de zwakke weggebruiker.</t>
  </si>
  <si>
    <t>IN/000925</t>
  </si>
  <si>
    <t>Ingreep schoolroute in Diepenbeek op Oversteekplaats over de N2 - Vrij basisonderwijs Paleis en BKO centrum</t>
  </si>
  <si>
    <t>WL/INV/N2/11</t>
  </si>
  <si>
    <t>KP/001125</t>
  </si>
  <si>
    <t>KS498 - Schoolomgeving onvoldoende duidelijk zichtbaar</t>
  </si>
  <si>
    <t>IN/000926</t>
  </si>
  <si>
    <t>Ingreep schoolroute in Brasschaat op N11 Kapelsesteenweg ter hoogte van Sint Michielscollege</t>
  </si>
  <si>
    <t>WA/INV/N11/3</t>
  </si>
  <si>
    <t>IN/000927</t>
  </si>
  <si>
    <t>mag weg - is vervat in andere ingreep - Ingreep schoolroute in Herenthout op kruising N13 met Staionlei Bouwel (Grobbendonk)</t>
  </si>
  <si>
    <t>KP/001128</t>
  </si>
  <si>
    <t>KS501 - Het fietspad ligt daar vlak naast de rijbaan en wordt door vele kinderen gebruikt om naar school te gaan of via de Partizanenstraat of via het Vincent Mercierplein, overstekende kinderen vanuit de Moretuslei.</t>
  </si>
  <si>
    <t>IN/000928</t>
  </si>
  <si>
    <t>Ingreep schoolroute in Kapellen op Ertbrandstraat tussen Partizanenstraat en Vincent Mercierplein</t>
  </si>
  <si>
    <t>WA/INV/N11/4</t>
  </si>
  <si>
    <t>KP/001133</t>
  </si>
  <si>
    <t>KS506 - Na schooltijd steekt men hier willekeurig de straat over op weg naar de bushalte die aan de overzijde ligt.</t>
  </si>
  <si>
    <t>IN/000929</t>
  </si>
  <si>
    <t>Ingreep schoolroute in Kapellen op Kapelsestraat - De Masten</t>
  </si>
  <si>
    <t>KP/001134</t>
  </si>
  <si>
    <t>KS507 - Het zou goed zijn mocht het fietspad in voorrang ook rood gemarkeerd worden, naar analogie met het nabij gelegen kruispunt Meensesteenweg-Oude Zilverbergstraat.</t>
  </si>
  <si>
    <t>IN/000930</t>
  </si>
  <si>
    <t>Ingreep schoolroute in Roeselare op Kruispunt Meensesteenweg - Kerklaan</t>
  </si>
  <si>
    <t>WWV/INV/N32/7</t>
  </si>
  <si>
    <t>KP/001135</t>
  </si>
  <si>
    <t>KS508 - In- en uitrijdend autoverkeer versus overstekende fietsers</t>
  </si>
  <si>
    <t>IN/000931</t>
  </si>
  <si>
    <t>Ingreep schoolroute in Brasschaat op Kruispunt N11 Kapelsesteenweg x Acacialei</t>
  </si>
  <si>
    <t>KP/001136</t>
  </si>
  <si>
    <t>KS509 - In- en uitrijdend autoverkeer versus overstekende fietsers</t>
  </si>
  <si>
    <t>IN/000932</t>
  </si>
  <si>
    <t>Ingreep schoolroute in Brasschaat op Kruispunt N11 Kapelsesteenweg x Kastanjelei</t>
  </si>
  <si>
    <t>KP/001137</t>
  </si>
  <si>
    <t>KS510 - De school werkt momenteel aan een masterplan voor de verdere ontwikkeling van het schoolterrein</t>
  </si>
  <si>
    <t>IN/000933</t>
  </si>
  <si>
    <t>Horizontale signalisatie in Kapellen op Kapelsestraat - Irishof en kruispunt Streepstraat</t>
  </si>
  <si>
    <t>WA/INV/N11/5</t>
  </si>
  <si>
    <t>KP/001138</t>
  </si>
  <si>
    <t>IN/000934</t>
  </si>
  <si>
    <t>Ingreep schoolroute in Hasselt op Luikersteenweg Rapertingen</t>
  </si>
  <si>
    <t>WL/INV/N20/8</t>
  </si>
  <si>
    <t>KP/001140</t>
  </si>
  <si>
    <t>KS515 - Het lichtengeregeld kruispunt op de N76 met de Pastorijsstraat en het Lutselusplein is een belangrijke oversteekplaats in veel schoolroutes van/naar de Lutselus school met een hoge afwisseling in verkeersdrukte tijdens de ochtend- en avondspits voor het doorgaand verkeer richting Genk, evenzeer op de drukke afzet- en ophaal momenten tijdens de schooluren. Hier gebeuren heel veel oversteek bewegingen door kinderen te voet en met de fiets. De toegang tot de parking van de school gebeurt ook via de Pastorijstraat, met als gevolg file vorming vanaf de afslag op de N76.</t>
  </si>
  <si>
    <t>IN/000935</t>
  </si>
  <si>
    <t>Ingreep schoolroute in Diepenbeek: gemeenteweg afsluiten thv N76 (PM Sweco Jan Nijsen)</t>
  </si>
  <si>
    <t>WL/INV/N76/28</t>
  </si>
  <si>
    <t>KP/001141</t>
  </si>
  <si>
    <t>KS516 - Slechte zichtbaarheid van het fietspad aan kruispunten en de fietsoversteekplaatsen.</t>
  </si>
  <si>
    <t>IN/000936</t>
  </si>
  <si>
    <t>Ingreep schoolroute in Roeselare op Brugsesteenweg</t>
  </si>
  <si>
    <t>WWV/INV/N32/8</t>
  </si>
  <si>
    <t>KP/001142</t>
  </si>
  <si>
    <t>KS518 - Veiligere schoolomgeving Kester omgeving Bruneaustraat (N272)</t>
  </si>
  <si>
    <t>IN/000937</t>
  </si>
  <si>
    <t>Ingreep schoolroute in Gooik op Kester deelgemeente Gooik</t>
  </si>
  <si>
    <t>WVB/INV/N272/5</t>
  </si>
  <si>
    <t>KP/001147</t>
  </si>
  <si>
    <t>IN/000938</t>
  </si>
  <si>
    <t>Ingreep schoolroute in Diksmuide op 1. N35 Esenweg kp Tuinwijk</t>
  </si>
  <si>
    <t>WWV/INV/N35/7</t>
  </si>
  <si>
    <t>KP/001148</t>
  </si>
  <si>
    <t>IN/000939</t>
  </si>
  <si>
    <t>Ingreep schoolroute in Hasselt op Kuringersteenweg</t>
  </si>
  <si>
    <t>WL/INV/N2/12</t>
  </si>
  <si>
    <t>KP/001153</t>
  </si>
  <si>
    <t>KS536 - Dit is een belangrijke oversteekplaats voor de vrije bassischool. Verbind de zuidelijke helft van Esen met het plein.</t>
  </si>
  <si>
    <t>IN/000940</t>
  </si>
  <si>
    <t>Gevleugeld zebrapad in Diksmuide op 4.N35 Esenplein ( rp 26.6)</t>
  </si>
  <si>
    <t>WWV/INV/N35/8</t>
  </si>
  <si>
    <t>KP/001158</t>
  </si>
  <si>
    <t>KS542 - Dit kruispunt werd een 10-tal jaar gelden heringericht.  De inrichting heeft echter niet het gewenste resultaat.  De inrichting is slecht leesbaar voor de gebruikers waardoor dit verkeerd gebruikt wordt en er veel conflicten ontstaan ter hoogte van dit kruispunt.</t>
  </si>
  <si>
    <t>IN/000941</t>
  </si>
  <si>
    <t>aanpassen markeringen (PM Jan Nijsen Sweco)</t>
  </si>
  <si>
    <t>WL/INV/N73/21</t>
  </si>
  <si>
    <t>KP/001161</t>
  </si>
  <si>
    <t>KS545 - Ranonkelstraat/Zavelvennenstraat oversteek voor fietser: zeer onveilig</t>
  </si>
  <si>
    <t>IN/000942</t>
  </si>
  <si>
    <t>Ingreep schoolroute in Hasselt op Kempische steenweg Kiewit</t>
  </si>
  <si>
    <t>KP/001165</t>
  </si>
  <si>
    <t>IN/000943</t>
  </si>
  <si>
    <t>Ingreep schoolroute in Heuvelland op Dikkebusstraat De Klijte</t>
  </si>
  <si>
    <t>WWV/INV/N375/4</t>
  </si>
  <si>
    <t>KP/001166</t>
  </si>
  <si>
    <t>KS554 - gemengd verkeer, gevaarlijke overgang van fietspad naar gemengd verkeer</t>
  </si>
  <si>
    <t>IN/000944</t>
  </si>
  <si>
    <t>Ingreep schoolroute in Heuvelland op Kemmel - doortocht N304</t>
  </si>
  <si>
    <t>plaatsen fietslogo's</t>
  </si>
  <si>
    <t>WWV/INV/N304/2</t>
  </si>
  <si>
    <t>KP/001168</t>
  </si>
  <si>
    <t>KS558 - Oversteek gewestweg van kinderopvang naar school. Zebrapad in bocht met proefproject 3D zebrapad.</t>
  </si>
  <si>
    <t>IN/000945</t>
  </si>
  <si>
    <t>Aanpassen VOP</t>
  </si>
  <si>
    <t>3D-VOP vervangen door gewone VOP + enkele meters verplaatst</t>
  </si>
  <si>
    <t>WL/INV/N730/10</t>
  </si>
  <si>
    <t>KP/001169</t>
  </si>
  <si>
    <t>KS559 - gevaar door gemengd verkeer</t>
  </si>
  <si>
    <t>IN/000946</t>
  </si>
  <si>
    <t>Ingreep schoolroute in Heuvelland op doortocht Westouter - N315</t>
  </si>
  <si>
    <t>WWV/INV/N315/1</t>
  </si>
  <si>
    <t>KP/001170</t>
  </si>
  <si>
    <t>KS563 - combinatie middellijn en suggestiestroken =&gt; fietser in verdrukking</t>
  </si>
  <si>
    <t>IN/000947</t>
  </si>
  <si>
    <t>Ingreep schoolroute in Menen op Ieperstraat (tussen nr. 205 en overweg)</t>
  </si>
  <si>
    <t>WWV/INV/N8/20</t>
  </si>
  <si>
    <t>KP/001171</t>
  </si>
  <si>
    <t>KS564 - tweerichtingspad, extra aanduiding voor het gemotoriseerd verkeer vanuit Westouter/Reningelst dat men hier op een weg met een tweerichtingsfietspad komt, gelegen op de dichtste zijde.</t>
  </si>
  <si>
    <t>IN/000948</t>
  </si>
  <si>
    <t>Ingreep schoolroute in Heuvelland op N375, kruispunt met N315</t>
  </si>
  <si>
    <t>WWV/INV/N315/2</t>
  </si>
  <si>
    <t>KP/001172</t>
  </si>
  <si>
    <t>KS565 - slechte staat aanliggend betonnen fietspad</t>
  </si>
  <si>
    <t>IN/000949</t>
  </si>
  <si>
    <t>Ingreep schoolroute in Heuvelland op N365-N336</t>
  </si>
  <si>
    <t>WWV/INV/N365/1</t>
  </si>
  <si>
    <t>KP/001173</t>
  </si>
  <si>
    <t>KS568 - Het kruispunt van de N78 met de Looheuvelstraat is niet conflictvrij. Doordat het fietspad verder af ligt van de N78, worden automobilisten vaak verrast dat er een (brom-)fietser het kruispunt oversteekt. De verlichtingspaal op de N78 zou ook iets verder naar het zuiden geplaatst dienen te worden omdat bestuurders makkelijk verblind worden door de zon en de bocht dan verkeerd inschatten omdat deze paal ver naar het midden van het kruispunt ligt. Er is ook de gekende problematiek met het kruispunt Looheuvelstraat – Groenstraat.</t>
  </si>
  <si>
    <t>IN/000950</t>
  </si>
  <si>
    <t>Aanpassen verkeerslichten</t>
  </si>
  <si>
    <t>- conflictvrij regelen linksaf N78 &gt; Looheuvelstraat\n- wegnemen herhalingslicht linkerzijde N78 in zuidelijke richting + toevoegen herhalingslicht op ooghoogte\n- optimaliseren groentijd vanuit Looheuvelstraat obv tellingen</t>
  </si>
  <si>
    <t>WL/INV/N78/34</t>
  </si>
  <si>
    <t>IN/000951</t>
  </si>
  <si>
    <t>Ingreep schoolroute in Heuvelland op N331</t>
  </si>
  <si>
    <t>KP/001175</t>
  </si>
  <si>
    <t>KS572 - Veel wildparkeren in de berm door ouders die hun kinderen naar school brengen en halen.</t>
  </si>
  <si>
    <t>IN/000952</t>
  </si>
  <si>
    <t>Ingreep schoolroute in Maasmechelen op School Mikado, N736</t>
  </si>
  <si>
    <t>parkeerverbod</t>
  </si>
  <si>
    <t>WL/INV/N736/1</t>
  </si>
  <si>
    <t>KP/001176</t>
  </si>
  <si>
    <t>KS575 - Op zebrapad zijn huidige oversteekbewegingen niet altijd goed zichtbaar. Het zebrapad wordt druk gebruikt door overstekende leerlingen naar school in Kasteeldreef en door fietsende leerlingen (naar en van Menen) om drukke straat veilig te kruisen.</t>
  </si>
  <si>
    <t>IN/000953</t>
  </si>
  <si>
    <t>Ingreep schoolroute in Menen op Moeskroenstraat (zebrapad voor Sint-Niklaaskerk)</t>
  </si>
  <si>
    <t>WWV/INV/N366/3</t>
  </si>
  <si>
    <t>IN/000954</t>
  </si>
  <si>
    <t>Horizontale signalisatie in Poperinge op Baljuwstraat (N304) en Prof. Rubbrechtstraat (N308)</t>
  </si>
  <si>
    <t>WWV/INV/N304/3</t>
  </si>
  <si>
    <t>IN/000955</t>
  </si>
  <si>
    <t>WWV/INV/N308/2</t>
  </si>
  <si>
    <t>KP/001185</t>
  </si>
  <si>
    <t>KS585 - Zichtbaarheid oversteekplaats</t>
  </si>
  <si>
    <t>IN/000956</t>
  </si>
  <si>
    <t>Ingreep schoolroute in Poperinge op Burgemeester Bertenplein (N304)</t>
  </si>
  <si>
    <t>WWV/INV/N304/4</t>
  </si>
  <si>
    <t>KP/001188</t>
  </si>
  <si>
    <t>KS590 - De fietsoversteek situeert zich op 130 meter van het begin van de bebouwde kom van deelgemeente Waarmaarde, ter hoogte van Oudenaardsesteenweg 388. Fietsers vanuit deelgemeente Kerkhove moeten op deze locatie de rijbaan oversteken om verder richting centrum Avelgem te fietsen. De oversteek wordt momenteel gesignaleerd met de borden A25 en F50 en bevindt zich ter hoogte van een paal van de openbare straatverlichting. De toegelaten snelheid ter hoogte van de fietsoversteek bedraagt 50 km/u. Echter wordt deze snelheid vaak overschreden wat de oversteekbeweging voor fietsers gevaarlijk maakt. De te hoge snelheid blijkt uit gegevens van de politiezone en recente snelheidsmetingen met behulp van het snelheidsinformatiebord van de gemeente.</t>
  </si>
  <si>
    <t>IN/000957</t>
  </si>
  <si>
    <t>Ingreep schoolroute in Avelgem op Fietsoversteek centrum Waarmaarde (thv Oudenaardsesteenweg 388)</t>
  </si>
  <si>
    <t>WWV/INV/N8/21</t>
  </si>
  <si>
    <t>KP/001189</t>
  </si>
  <si>
    <t>KS591 - Hier gaat dubbelrichtingsfietspad over in een 2 aanliggende eenrichtingsfietspaden</t>
  </si>
  <si>
    <t>IN/000958</t>
  </si>
  <si>
    <t>Ingreep schoolroute in Izegem op N357 - Gentseheerweg thv. 51 (slachthuis Verbist)</t>
  </si>
  <si>
    <t>Ontwikkelaar van de IZ voert uit en betaalt de werken</t>
  </si>
  <si>
    <t>WWV/INV/N357/2</t>
  </si>
  <si>
    <t>KP/001190</t>
  </si>
  <si>
    <t>KS593 - Een lokale fietsroute type 1 sluit hier aan op de gewestweg.</t>
  </si>
  <si>
    <t>IN/000959</t>
  </si>
  <si>
    <t>Ingreep schoolroute in Izegem op N357 - Gentseheerweg kp Boomforeeststraat</t>
  </si>
  <si>
    <t>WWV/INV/N357/3</t>
  </si>
  <si>
    <t>KP/001191</t>
  </si>
  <si>
    <t>IN/000960</t>
  </si>
  <si>
    <t>Ingreep schoolroute in Holsbeek op N19 Aarschotsesteenweg, kruispunt met de Pleinstraat</t>
  </si>
  <si>
    <t>WVB/INV/N19/6</t>
  </si>
  <si>
    <t>KP/001193</t>
  </si>
  <si>
    <t>KS596 - De fietsoversteek situeert zich buiten de bebouwde kom. De toegelaten snelheid ter hoogte van de fietsoversteek bedraagt 70 km/u. Fietsers vanuit de deelgemeentes Kerkhove en Waarmaarde moeten op deze locatie de rijbaan oversteken om verder richting centrum Avelgem te fietsen. De oversteek beschikt reeds over een middengeleider. Deze middengeleider werd ontworpen om de oversteekbeweging van fietsers vanuit de Lindestraat te faciliteren. Echter zijn er veel meer oversteekbewegingen van fietsers komende uit Kerkhove en Waarmaarde.</t>
  </si>
  <si>
    <t>IN/000961</t>
  </si>
  <si>
    <t>Ingreep schoolroute in Avelgem op Fietsoversteek Oudenaardsesteenweg ter hoogte van het kruispunt met de Hulstraat/Lindestraat</t>
  </si>
  <si>
    <t>WWV/INV/N8/14</t>
  </si>
  <si>
    <t>KP/001194</t>
  </si>
  <si>
    <t>KS598 - De fietsoversteek situeert zich buiten de bebouwde kom. De toegelaten snelheid ter hoogte van de fietsoversteek bedraagt 70 km/u. De oversteek beschikt reeds over een middengeleider.</t>
  </si>
  <si>
    <t>IN/000962</t>
  </si>
  <si>
    <t>VVOP ter hoogte van het kruispunt met de Ruggestraat/Langestraat</t>
  </si>
  <si>
    <t>WWV/INV/N8/22</t>
  </si>
  <si>
    <t>KP/001195</t>
  </si>
  <si>
    <t>KS599 - De oversteekplaats ter hoogte van de Westendelaan 344 is onvoldoende verlicht. Het zebrapad bevindt zich net tussen twee OV-punten waardoor het zebrapad zelf niet goed zichtbaar is als het donker is.</t>
  </si>
  <si>
    <t>IN/000963</t>
  </si>
  <si>
    <t>Ingreep schoolroute in Middelkerke op Westendelaan 344</t>
  </si>
  <si>
    <t>WWV/INV/N318/4</t>
  </si>
  <si>
    <t>KP/001197</t>
  </si>
  <si>
    <t>KS602 - Het aanliggende fietspad aan de zuidelijke kant van de Oudenaardsesteenweg wordt op verschillende locaties afgeschermd met biggenruggen uit beton. Op het deel dubbelrichtingsfietspad (tussen Oudenaardsesteenweg 245 en Oudenaardsesteenweg 411) is het kruisen van een tegenliggende fietser moeilijk door de beperkte breedte van het fietspad waardoor veel fietsers slalommen tussen de biggenruggen en deels op de rijbaan terechtkomen.</t>
  </si>
  <si>
    <t>IN/000964</t>
  </si>
  <si>
    <t>Ingreep schoolroute in Avelgem op Aanliggend fietspad langs de Oudenaardsesteenweg tussen het kruispunt met de Hulstraat/Lindestraat en de Brugstraat</t>
  </si>
  <si>
    <t>WWV/INV/N8/23</t>
  </si>
  <si>
    <t>KP/001199</t>
  </si>
  <si>
    <t>IN/000965</t>
  </si>
  <si>
    <t>Ingreep schoolroute in Meise op Nieuwelaan (MAG AANGEMAAKT WORDEN ALS KLEINE INGREEP - SCHOOLROUTES)</t>
  </si>
  <si>
    <t>KP/001200</t>
  </si>
  <si>
    <t>KS605 - opstekende betonplaten op fietspad langs de N50 (vooral omgeving aviflora en omgeving N399)</t>
  </si>
  <si>
    <t>IN/000966</t>
  </si>
  <si>
    <t>Ingreep schoolroute in Ingelmunster op N50</t>
  </si>
  <si>
    <t>WWV/INV/N50/9</t>
  </si>
  <si>
    <t>KP/001201</t>
  </si>
  <si>
    <t>KS606 - Onveilige situatie voor fietsers  - breed wegbeeld waardoor fietsers naar de rand gedrukt worden - snelheid wordt er ook niet gerespecteerd (bebouwde kom)</t>
  </si>
  <si>
    <t>IN/000967</t>
  </si>
  <si>
    <t>Ingreep schoolroute in Ingelmunster op N357 Oostrozebekestraat (tussen Bollewerpstraat en N50)</t>
  </si>
  <si>
    <t>Aanbrengen van fietslogo's op vraag van de gemeente ikv schoolroutes</t>
  </si>
  <si>
    <t>WWV/INV/N357/4</t>
  </si>
  <si>
    <t>KP/001202</t>
  </si>
  <si>
    <t>KS608 - Fietssuggestiestrook bij druk verkeer, 2 veelgebruikte oversteekplaatsen i.f.v. school in Ter Laken (1 t.h.v. Ter Laken, 1 t.h.v. huisnr 67 (bij begin fietssuggestiestrook</t>
  </si>
  <si>
    <t>IN/000968</t>
  </si>
  <si>
    <t>Ingreep schoolroute in Heist-op-den-Berg op N15 Dorpsstraat Booischot</t>
  </si>
  <si>
    <t>WA/INV/N15/7</t>
  </si>
  <si>
    <t>KP/001203</t>
  </si>
  <si>
    <t>KS609 - Oversteekplaatsen voor voetgangers extra accentueren</t>
  </si>
  <si>
    <t>IN/000969</t>
  </si>
  <si>
    <t>plaatsing VVOP</t>
  </si>
  <si>
    <t>WA/INV/N15/8</t>
  </si>
  <si>
    <t>KP/001204</t>
  </si>
  <si>
    <t>KS610 - Oversteekplaats extra accentueren, schoolomgeving is niet duidelijk aanwezig in wegbeeld</t>
  </si>
  <si>
    <t>IN/000970</t>
  </si>
  <si>
    <t>Ingreep schoolroute in Heist-op-den-Berg op N15 Mechelsesteenweg t.h.v. IMG</t>
  </si>
  <si>
    <t>WA/INV/N15/5</t>
  </si>
  <si>
    <t>KP/001206</t>
  </si>
  <si>
    <t>KS612 - rotonde moeilijk leesbaar voor fietsers - opstelstrook te kort in het midden van de rijweg</t>
  </si>
  <si>
    <t>IN/000971</t>
  </si>
  <si>
    <t>GEEN E1 KLEINE INGREEP Ingreep schoolroute in Ingelmunster op rotonde N50-N357</t>
  </si>
  <si>
    <t>IN/000972</t>
  </si>
  <si>
    <t>Ingreep schoolroute in Antwerpen op 1. Bredabaan diverse oversteekplaatsen</t>
  </si>
  <si>
    <t>- VVOP 2de oversteekplaats (deze zonder VRI)\n- markering "School" plaatsen</t>
  </si>
  <si>
    <t>WA/INV/N1/18</t>
  </si>
  <si>
    <t>IN/000973</t>
  </si>
  <si>
    <t>MAG WEG Ingreep schoolroute in Antwerpen op 3. Boomsesteenweg diverse aansluitingen</t>
  </si>
  <si>
    <t>IN/000974</t>
  </si>
  <si>
    <t>MAG WEG Ingreep schoolroute in Antwerpen op 4. Grote Steenweg-Koninklijkelaan</t>
  </si>
  <si>
    <t>KP/001211</t>
  </si>
  <si>
    <t>KS627 - Veel schoolgaande fietsers komen van de Overleiestraat richting Guldensporencollege in de Ballingenweg. Ter hoogte van Marktstraat 64 steken zij de straat over om via een doorsteek de Ballingenweg te bereiken.</t>
  </si>
  <si>
    <t>IN/000975</t>
  </si>
  <si>
    <t>Ingreep schoolroute in Harelbeke op Oversteken Marktstraat thv Marktstraat 64</t>
  </si>
  <si>
    <t>Aanleg van het dubbelrichtingsfietspad aan de zijde van de doorsteek naar de\nBallingweg.</t>
  </si>
  <si>
    <t>WWV/INV/N43/4</t>
  </si>
  <si>
    <t>KP/001212</t>
  </si>
  <si>
    <t>KS628 - De afstellingen van de lichten zorgt ervoor dat het onveilig is voor de fietsers om over te steken.</t>
  </si>
  <si>
    <t>IN/000976</t>
  </si>
  <si>
    <t>VRI thv Marktstraat 29, stadhuis</t>
  </si>
  <si>
    <t>WWV/INV/N43/8</t>
  </si>
  <si>
    <t>KP/001213</t>
  </si>
  <si>
    <t>KS629 - Veel fietsers kunnen van de fietssnelweg F371 via het Marktplein doorsteken naar de Gavers. Echter is er geen veilige fietsoversteek ter hoogte van de Stationsstraat.</t>
  </si>
  <si>
    <t>IN/000977</t>
  </si>
  <si>
    <t>Ingreep schoolroute in Harelbeke op Oversteek marktstraat-Stationsstraat</t>
  </si>
  <si>
    <t>Voorzien van fietsoversteek thv de bestaande voetgangersoversteek. Aanpassen middengeleider en aanbrengen markeringen.\nAlsook het aanpassen van de signlisatie en de bewegwijzering naar de verschillende fietsroute.</t>
  </si>
  <si>
    <t>WWV/INV/N43/5</t>
  </si>
  <si>
    <t>KP/001216</t>
  </si>
  <si>
    <t>KS640 - Een plaats waar veel scholieren van het Sint-Franciscuscollege de gewestweg dienen over te steken. Er is al een fietsoversteekplaats ingericht, maar desondanks gebeuren er nog steeds vaak (bijna) ongevallen met fietsers. In september 2020 gebeurde er nog een zwaar ongeval met een fietser.</t>
  </si>
  <si>
    <t>IN/000978</t>
  </si>
  <si>
    <t>Ingreep schoolroute in Heusden-Zolder op Knelpunt prioriteit 1: Koolmijnlaan x Pater Amideuslaan</t>
  </si>
  <si>
    <t>KP/001217</t>
  </si>
  <si>
    <t>KS642 - Een plaats waar leerlingen van dorpskernen Bolderberg, Viversel en Boekt de gewestweg dienen over te steken naar Heusden. Op hetzelfde traject dan knelpunt 2.</t>
  </si>
  <si>
    <t>IN/000979</t>
  </si>
  <si>
    <t>Ingreep schoolroute in Heusden-Zolder op Knelpunt prioriteit 3: Onze-Lieve-Straat x Eikhof</t>
  </si>
  <si>
    <t>WL/INV/N729/7</t>
  </si>
  <si>
    <t>KP/001218</t>
  </si>
  <si>
    <t>KS646 - Wegbreedte is zeer beperkt door holleweg karakter. Aanwezige fietspad varieert tussen 85cm en 100cm en kan niet verbreed worden omwille van oplopende taluds</t>
  </si>
  <si>
    <t>IN/000980</t>
  </si>
  <si>
    <t>Ingreep schoolroute in Overijse op Waversesteenweg N4, deel tussen Grotstraat en Vossebeekweg</t>
  </si>
  <si>
    <t>QW2: aanleg middeneilanden\nQW3: aanleg toeleidende fietspaden op Hertstraat\n+ verschuiven bushalte 30 m naar zuiden\n\nAndere ingrepen is:\nQW1: verplaatsen bebouwde kom, verlagen snelheidslimiet naar 50 km/u\n\n\n</t>
  </si>
  <si>
    <t>WVB/INV/N4/2</t>
  </si>
  <si>
    <t>KP/001219</t>
  </si>
  <si>
    <t>KS648 - De Lanestraat is de ontsluiting van het gehucht Tombeek richting scholen in Overijse. Geen (fiets-)oversteekplaats aanwezig. Voorstel tot aanleg oversteek met rustpunt werd eerder onderzocht maar niet weerhouden, wegens te weinig plaats voor middeneiland met volwaardige breedte. Om het fietsen tussen de gehuchten te verbeteren is dit punt een sterk knelpunt voor kinderen (en volwassenen).</t>
  </si>
  <si>
    <t>IN/000981</t>
  </si>
  <si>
    <t>Ingreep schoolroute in Overijse op Waversesteenweg kruispunt met Lanestraat (en Leemveldstraat)</t>
  </si>
  <si>
    <t>Oversteekplaats fietsers met middeneiland, aanpassen van het fietspad, aanbrengen van overrijdbare rammelstrook</t>
  </si>
  <si>
    <t>WVB/INV/N4/3</t>
  </si>
  <si>
    <t>KP/001220</t>
  </si>
  <si>
    <t>KS649 - Ondanks reeds genomen maatregelen (aanbrengen van puntverlichting en versmalling markering rijbaan) blijft dit een gevaarlijk kruispunt. Er wordt te snel gereden omwille van dalende traject ondanks het kruispunt in een bochtig tracé is gelegen.</t>
  </si>
  <si>
    <t>IN/000982</t>
  </si>
  <si>
    <t>Ingreep schoolroute in Overijse op Waversesteenweg kruispunt met Abstraat/Kerkstraat</t>
  </si>
  <si>
    <t>WVB/INV/N4/4</t>
  </si>
  <si>
    <t>KP/001221</t>
  </si>
  <si>
    <t>KS650 - Geen fietsinfrastructtur tussen kruispunt met N253 en Schavei. Zeer hoge intensiteit</t>
  </si>
  <si>
    <t>IN/000983</t>
  </si>
  <si>
    <t>Ingreep schoolroute in Overijse op N4 -Waversesteenweg/Brusselsesteenweg</t>
  </si>
  <si>
    <t>Voetpad aanpassen tot gedeeld fiets en voetpad</t>
  </si>
  <si>
    <t>WVB/INV/N4/5</t>
  </si>
  <si>
    <t>KP/001222</t>
  </si>
  <si>
    <t>KS651 - Fietspad voor rechts afslaande fietsers vanaf Dreef (N253) stopt abrupt en komen zonder rugdekking op de straat in gemengd verkeer. De fietser zou kunnen voorrang aan rechts inroepen.</t>
  </si>
  <si>
    <t>IN/000984</t>
  </si>
  <si>
    <t>Ingreep schoolroute in Overijse op Waversesteenweg N4 kruispunt N253</t>
  </si>
  <si>
    <t>Markering haaientanden</t>
  </si>
  <si>
    <t>WVB/INV/N253/8</t>
  </si>
  <si>
    <t>KP/001223</t>
  </si>
  <si>
    <t>KS652 - Zeer onduidelijke fietssuggestiestrook op het deel tussen Gr. De Meeusstraat en Kerk</t>
  </si>
  <si>
    <t>IN/000985</t>
  </si>
  <si>
    <t>Ingreep schoolroute in Overijse op Brusselsesteenweg n4</t>
  </si>
  <si>
    <t>Plaatsen van fietslogo's (na vernieuwing asfalt)</t>
  </si>
  <si>
    <t>WVB/INV/N4/6</t>
  </si>
  <si>
    <t>KP/001226</t>
  </si>
  <si>
    <t>KS655 - 3.Kruispunt N3/Kloosterstraat: ingang Kloosterstraat t.h.v. aansluiting is (te) breed, waardoor de afslagbeweging van voertuigen uit de N3 te vlot (te snel) kan.</t>
  </si>
  <si>
    <t>IN/000986</t>
  </si>
  <si>
    <t>Ingreep schoolroute in Bierbeek op Tiensesteenweg (N3) te Bierbeek thv de omgeving van de Sint-Pietersschool (Kloosterstraat 2)</t>
  </si>
  <si>
    <t>Aansluiting met de heraangelegde Kloosterstraat (herinrichting kruispunt)</t>
  </si>
  <si>
    <t>KP/001228</t>
  </si>
  <si>
    <t>IN/000987</t>
  </si>
  <si>
    <t>Ingreep schoolroute in Pepingen op EikstraatxN28</t>
  </si>
  <si>
    <t>WVB/INV/N28/6</t>
  </si>
  <si>
    <t>KP/001229</t>
  </si>
  <si>
    <t>IN/000988</t>
  </si>
  <si>
    <t>Ingreep schoolroute in Pepingen op gemarkeerde oversteken van doortocht N28 in Pepingen-centrum</t>
  </si>
  <si>
    <t>WVB/INV/N28/4</t>
  </si>
  <si>
    <t>KP/001230</t>
  </si>
  <si>
    <t>IN/000989</t>
  </si>
  <si>
    <t>Ingreep schoolroute in Pepingen op doortocht Pepingen - N28 (tussen Okay en Palokenstraat)</t>
  </si>
  <si>
    <t>QW1: Extra signalisatie plaatsen bij de oversteek\nQW2: Beide oversteekplaatsen éénrichting maken</t>
  </si>
  <si>
    <t>WVB/INV/N28/7</t>
  </si>
  <si>
    <t>KP/001231</t>
  </si>
  <si>
    <t>IN/000990</t>
  </si>
  <si>
    <t>Ingreep schoolroute in Spiere-Helkijn op Het knelpunt situeert zich langs de N512 ter hoogte van de Heilig-Hartkerk van Spiere. Nabij gelegen bevinden zich de Sint-Amandswijk en de Grote Spierebeek. Het betreft het Robecijnplein.</t>
  </si>
  <si>
    <t>KP/001232</t>
  </si>
  <si>
    <t>KS666 - aangepaste veilige oversteekplaats</t>
  </si>
  <si>
    <t>IN/000991</t>
  </si>
  <si>
    <t>Alternatief voor gevleugeld zebrapad in Ichtegem op kruispunt N368 - 's gravendriesschelaan</t>
  </si>
  <si>
    <t>WWV/INV/N368/10</t>
  </si>
  <si>
    <t>KP/001236</t>
  </si>
  <si>
    <t>KS671 - GVBS 't Klavernest zal vanaf 1/09/2021 volledig ontsloten worden via de achterliggende straat het Kerkepad. De kinderen die wonen aan de westzijde van de Oostmalsebaan N153 moeten de gewestweg oversteken thv het kruispunt Bergpad-Stepke. Op deze locatie ligt momenteel geen oversteekvoorziening. De huidige oversteek ligt een 25-tal meter verderop thv van de voormalige hoofdingang van de school, waardoor de kinderen moeten omlopen langs de drukke gewestweg.</t>
  </si>
  <si>
    <t>IN/000992</t>
  </si>
  <si>
    <t>Ingreep schoolroute in Lille op Oostmalsebaan N153 thv het kruispunt Bergpad-Stepke</t>
  </si>
  <si>
    <t>WA/INV/N153/14</t>
  </si>
  <si>
    <t>KP/001237</t>
  </si>
  <si>
    <t>KS672 - Het zebrapad op de gewestweg, dat ligt in het verlengde van de schoolingang van GVBS De Wingerd, is onvoldoende zichtbaar voor het vele doorgaand verkeer door de dorpskom. De langsparkeervakken</t>
  </si>
  <si>
    <t>IN/000993</t>
  </si>
  <si>
    <t>Ingreep schoolroute in Lille op Dorp N153 thv kruispunt Slaaplaken-doorsteekje Wijngaard</t>
  </si>
  <si>
    <t>WA/INV/N153/11</t>
  </si>
  <si>
    <t>KP/001238</t>
  </si>
  <si>
    <t>KS673 - Het zebrapad op de gewestweg, dat ligt op een schoolroute, is onvoldoende zichtbaar voor het vele doorgaand verkeer door de dorpskom.</t>
  </si>
  <si>
    <t>IN/000994</t>
  </si>
  <si>
    <t>Ingreep schoolroute in Lille op Rechtestraat N153 thv kruispunt Wasserijstraat</t>
  </si>
  <si>
    <t>WA/INV/N153/15</t>
  </si>
  <si>
    <t>KP/001240</t>
  </si>
  <si>
    <t>KS675 - Heel wat scholieren en inwoners gebruiken deze alternatieve route tussen de dorpskern van Boutersem en de Nieuwstraat (aan de noorkant van de steenweg ligt start van de trage weg tussen de Argenta kantoren en het monument). Momenteel is hier geen enkele maatregel om veilig over te steken.</t>
  </si>
  <si>
    <t>IN/000995</t>
  </si>
  <si>
    <t>Ingreep schoolroute in Boutersem op Korte Steeg - N3 - Nieuwstraat (N3 tussen km 35,2 en 35,3)</t>
  </si>
  <si>
    <t>Fietsoversteekplaats met fietslogo verbindingsmarkering zonder VOP</t>
  </si>
  <si>
    <t>WVB/INV/N3/10</t>
  </si>
  <si>
    <t>KP/001241</t>
  </si>
  <si>
    <t>KS676 - T-kruispunt van de N234 met de N3 met verkeerslichten en oversteekplaatsen en voorsorteervakken. Verkeer komende van E40 en N234 richting Tienen kan rechtsaf richting Tienen via een groene pijl tijdens de spitsuren. Verkeer op de N3 komende van Leuven  en rechtsafslaand naar N234/E40 kan voorsorteren en heeft geen verkeerslichten. Door de afstelling van de verkeerslichten heeft het verkeer dat komt vanuit Stationsstraat en naar rechts (Richting Tienen) groen (dmv groene pijl naar rechts) net voordat ook de voetgangers die de N3 op die plek oversteken zelf ook groen licht krijgen. Beide hebben dan tegelijkertijd groen, gehaaste chauffeurs houden weinig tot geen rekening met voetgangers die daar willen oversteken. Voorsortering voor wagenverkeer op de N234 is ook onvoldoende: daar men door de groene pijl sneller richting Tienen kan afslaan dan in de richting van Leuven, gebruiken veel bestuurders het fietspad om de rij naar Leuven voorbij te steken en naar Tienen af te slaan. Het kruispunt zal mee aangepakt worden met de doortocht van de N3 door Roosbeek waardoor verschillende conflicten kunnen aangepakt worden. De uitvoering van de doortocht is nog niet voor meteen dus willen we tijdelijk toch een aantal aanpassingen laten doorvoeren.</t>
  </si>
  <si>
    <t>IN/000996</t>
  </si>
  <si>
    <t>Verlichting (OV, VVOP/VFOP...) in Boutersem op Kruispunt Stationsstraat met Leuvensesteenweg N3</t>
  </si>
  <si>
    <t>WVB/INV/N3/11</t>
  </si>
  <si>
    <t>KP/001243</t>
  </si>
  <si>
    <t>KS678 - Momenteel zijn hier geen maatregelen. Nabijgelegen oversteekplaatsen liggen 811m richting Leuven en 315m richting Tienen. Momenteel ligt er tussen twee oversteekplaatsen ongeveer 1,2 km. In de plannen van de doortocht N3 worden hier oversteekplaatsen voorzien in het kader van bushaltes. Ook wordt hier een zone 50 voorzien.  De Kolemveldstraat en andere wegen van de ruilverkaveling worden gebruikt voor fietsers en zwakke weggebruikers van en naar de school in de Lubbeekstraat maar ook naar het Sint janscollege te Meldert. Momenteel kunnen deze scholieren op geen enkele mogelijkheid veilig oversteken.</t>
  </si>
  <si>
    <t>IN/000997</t>
  </si>
  <si>
    <t>Ingreep schoolroute in Boutersem op Oversteek Kolemveld naar Oude Baan Leuvensesteenweg N3 tussen km 36,9 en km 37</t>
  </si>
  <si>
    <t>QW1 snelheidsverlaging 50km/u wordt weerhouden.\nQW2 oversteekplaats voor voetgangers aan de westzijde van kruispunt</t>
  </si>
  <si>
    <t>WVB/INV/N3/12</t>
  </si>
  <si>
    <t>KP/001246</t>
  </si>
  <si>
    <t>KS681 - Op het fietspad langs de Stationsstraat  zijn er verschillende verzakkingen. Deels veroorzaakt door werken maar op "natuurlijke" wijze. Los van het feit dat deze het fietscomfort verlagen, vormen ze een gevaar voor jonge, minder ervaren fietssers, verzakkingen in de lengterichting kunnen daarbij ook makkelijk tot valpartijen leiden wanneer fietsers elkaar inhalen of van hun traject afwijken.</t>
  </si>
  <si>
    <t>IN/000998</t>
  </si>
  <si>
    <t>Ingreep schoolroute in Boutersem op Verzakkingen fietspad Stationsstraat - N234 tussen km 0 en 0,9</t>
  </si>
  <si>
    <t>Nieuwe toplaag asfalt + slemlaag</t>
  </si>
  <si>
    <t>WVB/INV/N234/3</t>
  </si>
  <si>
    <t>KP/001249</t>
  </si>
  <si>
    <t>KS707- Er is een bestaand zebrapad ter hoogte van dit kruispunt, inclusief een wegversmalling. Deze oversteek vormt nog een knelpunt gelet het vele verkeer dat daar dwarst</t>
  </si>
  <si>
    <t>IN/000999</t>
  </si>
  <si>
    <t>Ingreep schoolroute in Wielsbeke op kruispunt N357 ter hoogte van De Baron Vanderbruggenlaan</t>
  </si>
  <si>
    <t>WWV/INV/N357/9</t>
  </si>
  <si>
    <t>KP/001250</t>
  </si>
  <si>
    <t>IN/001000</t>
  </si>
  <si>
    <t>Ingreep schoolroute in Duffel op Fietsoversteekplaats Oude Liersebaan-Binnenweg</t>
  </si>
  <si>
    <t>WA/INV/N108/5</t>
  </si>
  <si>
    <t>KP/001251</t>
  </si>
  <si>
    <t>KS712 - De fietsoversteekplaats is beveiligd met gele paaltjes maar die worden regelmatig omver gereden.</t>
  </si>
  <si>
    <t>IN/001001</t>
  </si>
  <si>
    <t>Ingreep schoolroute in Duffel op fietsoversteekplaats kruispunt N14-N108</t>
  </si>
  <si>
    <t>KP/001253</t>
  </si>
  <si>
    <t>KS715 - Hier steken veel schoolkinderen over van het dubbelrichtingsfietspad langs de N14 naar de Molenstraat. Dit is visueel niet echt duidelijk als oversteekplaats.</t>
  </si>
  <si>
    <t>IN/001002</t>
  </si>
  <si>
    <t>Ingreep schoolroute in Duffel op kruispunt N14 (Kiliaanstraat) - Molenstraat</t>
  </si>
  <si>
    <t>WA/INV/N14/11</t>
  </si>
  <si>
    <t>KP/001254</t>
  </si>
  <si>
    <t>KS716 - Vroeger was deze oversteekplaats visueel duidelijk maar door het verwijderen van de blokmarkering valt deze helemaal niet meer op</t>
  </si>
  <si>
    <t>IN/001003</t>
  </si>
  <si>
    <t>Ingreep schoolroute in Duffel op fietsoversteekplaats N108 (Berkhoevelaan) - Lindenlei</t>
  </si>
  <si>
    <t>KP/001255</t>
  </si>
  <si>
    <t>KS720- Dit stuk N396 (Canadalaan) ligt op een fietsroute en het wegbeeld is voor de fietsers onduidelijk. Aan de ene zijde een fietspad en aan de andere zijde niet. wat verder een smalle parkeerstrook waar lichte vrachtwagens het fietspad versmallen</t>
  </si>
  <si>
    <t>IN/001004</t>
  </si>
  <si>
    <t>Ingreep schoolroute in Nieuwpoort op N396 – tussen kmpt. Tussen +/- 0.0 en +/- 0,7 - Canadalaan, Nieuwpoort</t>
  </si>
  <si>
    <t>aslijn verwijderen, aanbrengen fietslogo's en overgang van fietspad naar logo's met okerstrook.</t>
  </si>
  <si>
    <t>WWV/INV/N396/4</t>
  </si>
  <si>
    <t>KP/001256</t>
  </si>
  <si>
    <t>KS721 - Gebrek aan oversteekmogelijkheden voor fietsers. Gladde boorden aan rand van de weg waar fietsers over vallen. Gevaarlijke aansluiting op de Opstraat.</t>
  </si>
  <si>
    <t>IN/001005</t>
  </si>
  <si>
    <t>3 FOP's + natuursteen stroever maken</t>
  </si>
  <si>
    <t>fietsoversteekplaatsen (3 x) inclusief afschuinen boordstenen + boorden ruwer maken</t>
  </si>
  <si>
    <t>WL/INV/N721/2</t>
  </si>
  <si>
    <t>IN/001006</t>
  </si>
  <si>
    <t>Ingreep schoolroute in Schoten op Kruispunt Eksterdreef - Kopstraat N115</t>
  </si>
  <si>
    <t>IN/001007</t>
  </si>
  <si>
    <t>Ingreep schoolroute in Schoten op Brechtsebaan N115 – oversteekbaarheid &amp; bereikbaarheid bushaltes</t>
  </si>
  <si>
    <t>WA/INV/N115/7</t>
  </si>
  <si>
    <t>KP/001260</t>
  </si>
  <si>
    <t>IN/001008</t>
  </si>
  <si>
    <t>Ingreep schoolroute in Nieuwpoort op N367 - rond kmpt 33.4 - Brugse Steenweg (nabij School De Pagaaier)</t>
  </si>
  <si>
    <t>WWV/INV/N367/11</t>
  </si>
  <si>
    <t>KP/001261</t>
  </si>
  <si>
    <t>KS726 - Reeds verschillende jaren wordt de oversteekbaarheid van de Elshoutbaan ter hoogte van Fortbaan aangekaart. Deze bushaltes worden eveneens frequent gebruikt door leerlingen van scholen richting Brasschaat.</t>
  </si>
  <si>
    <t>IN/001009</t>
  </si>
  <si>
    <t>MAG WEG Ingreep schoolroute in Schoten op Elshoutbaan N121 – oversteekbaarheid &amp; bereikbaarheid bushalte</t>
  </si>
  <si>
    <t>KP/001264</t>
  </si>
  <si>
    <t>KS742 - Het betreffende kruispunt voorziet een dubbel fietspad dewelke de gewestweg kruist. Omdat het kruispunt verbinding maakt met de schoolroute richting Aldeneik/Ophoven maakt de schoolgaande jeugd hier veelvuldig gebruik van. Ook is dit een druk kruispunt met betrekking tot autoverkeer en zwaar vervoer. Er is dus een grote kans op conflict tussen de gebruikers, dit werd recent bevestigd door een ongeval met een auto en een jonge fietser. Wij zouden dit kruispunt graag herinrichten zodat de fietser hier een veilige verbinding heeft naar het centrum en de verschillende scholen.</t>
  </si>
  <si>
    <t>IN/001010</t>
  </si>
  <si>
    <t>aanpassen fietsinfra kruispunt Van Eycklaan - Venlosesteenweg</t>
  </si>
  <si>
    <t>- fietspad verbreden\n- fietspad asfaltere\n- hagen inkorten</t>
  </si>
  <si>
    <t>WL/INV/N78/22</t>
  </si>
  <si>
    <t>KP/001267</t>
  </si>
  <si>
    <t>KS751 - Het verkeer wordt nog te weinig attent gemaakt dat ze in een een schoomgeving zijn.</t>
  </si>
  <si>
    <t>IN/001011</t>
  </si>
  <si>
    <t>Horizontale signalisatie in Arendonk op Zebrapaden in schoolomgevingen</t>
  </si>
  <si>
    <t>WA/INV/N139/6</t>
  </si>
  <si>
    <t>KP/001268</t>
  </si>
  <si>
    <t>KS752 - Het verkeer wordt nog te weinig attent gemaakt dat ze in een een schoomgeving zijn.</t>
  </si>
  <si>
    <t>IN/001012</t>
  </si>
  <si>
    <t>WA/INV/N139/7</t>
  </si>
  <si>
    <t>KP/001269</t>
  </si>
  <si>
    <t>KS753 - Het verkeer wordt nog te weinig attent gemaakt dat ze in een een schoomgeving zijn.</t>
  </si>
  <si>
    <t>IN/001013</t>
  </si>
  <si>
    <t>KP/001270</t>
  </si>
  <si>
    <t>KS754 - Het verkeer wordt nog te weinig attent gemaakt dat ze in een een schoolomgeving zijn.</t>
  </si>
  <si>
    <t>IN/001014</t>
  </si>
  <si>
    <t>WA/INV/N118/7</t>
  </si>
  <si>
    <t>KP/001271</t>
  </si>
  <si>
    <t>KS755 - Het verkeer wordt nog te weinig attent gemaakt dat ze in een een schoomgeving zijn.</t>
  </si>
  <si>
    <t>IN/001015</t>
  </si>
  <si>
    <t>KP/001272</t>
  </si>
  <si>
    <t>KS756 - Het verkeer wordt nog te weinig attent gemaakt dat ze in een een schoomgeving zijn.</t>
  </si>
  <si>
    <t>IN/001016</t>
  </si>
  <si>
    <t>WA/INV/N118/8</t>
  </si>
  <si>
    <t>KP/001273</t>
  </si>
  <si>
    <t>KS760 - Vanuit de Stadstraat komen er meerdere fietsende schoolkinderen die de Peelsestraat (N137) dienen over te steken. Ter hoote van dit kruispunt ligt geen oversteekplaats en wordt er vrij snel gereden.</t>
  </si>
  <si>
    <t>IN/001017</t>
  </si>
  <si>
    <t>Ingreep schoolroute in Ravels op Kruispunt Peelsestraat (N137)-Stadstraat</t>
  </si>
  <si>
    <t>WA/INV/N137/2</t>
  </si>
  <si>
    <t>KP/001276</t>
  </si>
  <si>
    <t>KS763 - Oversteekplaats voor fietsers en voetgangers is ongunstig aangelegd. Automobilisten krijgen daardoor slecht of te laat zicht op overstekende fietsers en voetgangers. Bevelen van gemachtigde opzichters worden geregeld genegeerd.</t>
  </si>
  <si>
    <t>IN/001018</t>
  </si>
  <si>
    <t>Ingreep schoolroute in Zoersel op Dorp (N14) - Westmallebaan</t>
  </si>
  <si>
    <t>WA/INV/N179/1</t>
  </si>
  <si>
    <t>KP/001278</t>
  </si>
  <si>
    <t>KS765 - Aan dit kruispunt is geen oversteekplaats en kan men niet veilig oversteken.</t>
  </si>
  <si>
    <t>IN/001019</t>
  </si>
  <si>
    <t>Ingreep schoolroute in Zoersel op Kruispunt Westmallebaan (N179) - Kievit en Meerheide</t>
  </si>
  <si>
    <t>KP/001280</t>
  </si>
  <si>
    <t>KS767 - Voetgangers steken zebrapad N12 over, maar auto's uit Zoerselsteenweg krijgen tegelijkertijd groen. (Heel kort) Hierdoordoor er vaak gevaarlijke situaties ontstaan.</t>
  </si>
  <si>
    <t>IN/001020</t>
  </si>
  <si>
    <t>Verlichting (OV, VVOP/VFOP...) in Zoersel op kruispunt Handelslei (N12) - Zoerselsteenweg</t>
  </si>
  <si>
    <t>KP/001284</t>
  </si>
  <si>
    <t>KS846 - Smalle tweerichtingsfietsoversteekplaats (2 à 2,5m) zonder opstelruimte. Gelegen in omgeving van lagere school De Puzzel en op fietsroute van meerdere scholen (inclusief de grote middelbare school Don Bosco).</t>
  </si>
  <si>
    <t>IN/001021</t>
  </si>
  <si>
    <t>Ingreep schoolroute in Haacht op Werchtersesteenweg/Scharent</t>
  </si>
  <si>
    <t>Aanpassen middenberm fietsoversteek</t>
  </si>
  <si>
    <t>WVB/INV/N21/10</t>
  </si>
  <si>
    <t>KP/001286</t>
  </si>
  <si>
    <t>KS848 - Rotondes met fietsers in de voorrang geeft conflicten tussen auto's en fietsers. Meerdere verkeersongevallen met gewonde(n) de voorbije jaren.</t>
  </si>
  <si>
    <t>IN/001022</t>
  </si>
  <si>
    <t>Ingreep schoolroute in Haacht op Rotonde Stationsstraat/Zoellaan en rotonde Werchtersesteenweg/Kloosterstraat</t>
  </si>
  <si>
    <t>QW1 en QW2 uitvoeren\nQW1: Bestaande scheidingselementen tussen het fietspad en de rijbaan verbreden en zodoende de breedte van de rijbaan verkleinen tot 5.5 meter. Initieel via verdrijvingsvakken in markeringen.\nQW2: asfaltlaag van het fietspad op de rotonde vernieuwen en een nieuwe rode slemlaag aanbrengen</t>
  </si>
  <si>
    <t>WVB/INV/N21/11</t>
  </si>
  <si>
    <t>KP/001290</t>
  </si>
  <si>
    <t>KS853 - De oversteek over een drukke steenweg is onvoldoende beveiligd.</t>
  </si>
  <si>
    <t>IN/001023</t>
  </si>
  <si>
    <t>Ingreep schoolroute in Kortenberg op Leuvensesteenweg x Kerkstraat</t>
  </si>
  <si>
    <t>WVB/INV/N2/16</t>
  </si>
  <si>
    <t>KP/001291</t>
  </si>
  <si>
    <t>KS854 - Ondanks alle voorzieningen heeft  er nog een dodelijk ongeval plaats gevonden met een fietser</t>
  </si>
  <si>
    <t>IN/001024</t>
  </si>
  <si>
    <t>Ingreep schoolroute in Diest op R26: O.Vanaudenhovelaan fietsoversteek thv Ezeldijk</t>
  </si>
  <si>
    <t>WVB/INV/R26/3</t>
  </si>
  <si>
    <t>KP/001294</t>
  </si>
  <si>
    <t>KS857 - Fietsoversteek ligt maar langs één zijde</t>
  </si>
  <si>
    <t>IN/001025</t>
  </si>
  <si>
    <t>Ingreep schoolroute in Diest op N2  Kruispunt Halensebaan-Webbekomstraat</t>
  </si>
  <si>
    <t>Doorsteek maken in de middenberm</t>
  </si>
  <si>
    <t>WVB/INV/N2/18</t>
  </si>
  <si>
    <t>KP/001295</t>
  </si>
  <si>
    <t>KS858 - geen beveiligde oversteek</t>
  </si>
  <si>
    <t>IN/001026</t>
  </si>
  <si>
    <t>Ingreep schoolroute in Diest op N10  kruispunt Ed. Robeynslaan  -Beukenplein</t>
  </si>
  <si>
    <t>WVB/INV/NX/5</t>
  </si>
  <si>
    <t>KP/001299</t>
  </si>
  <si>
    <t>Ontbreken van fietsinfrastructuur op quasi alle toegangswegen richting centrum.</t>
  </si>
  <si>
    <t>IN/001027</t>
  </si>
  <si>
    <t>Ingreep schoolroute in Wellen op Overbroekstraat, Langstraat (N777), Veerstraat, Russelt, Notelarestraat (N754)</t>
  </si>
  <si>
    <t>WL/INV/N754/9</t>
  </si>
  <si>
    <t>KP/001301</t>
  </si>
  <si>
    <t>KS789 - Quickwins op de Schaarbeeklei inzake veiligheid voor de zwakke weggebruiker zijn al zo goed als ontworpen. Met extra budget</t>
  </si>
  <si>
    <t>IN/001028</t>
  </si>
  <si>
    <t>N1 - Vilvoorde - Fietspaden en Schaarbeeklei</t>
  </si>
  <si>
    <t>WVB/INV/N1/1</t>
  </si>
  <si>
    <t>KP/001302</t>
  </si>
  <si>
    <t>KS790 - Langs de N211 loopt een bovenlokale fietsroute die ook geldt als drukke schoolroute (Grimbergen - Vilvoorde in beide richtingen). De route heeft van Vilvoorde tot Grimbergen een hoge continuïteit behalve één punt: in de richting van Vilvoorde naar Grimbergen zit er één haakse hoek (90°) ter hoogte van Teniersstraat (David).</t>
  </si>
  <si>
    <t>IN/001029</t>
  </si>
  <si>
    <t>Ingreep schoolroute in Vilvoorde op Kruispunt N211 met Teniersstraat (David) (noordelijke deel)</t>
  </si>
  <si>
    <t>Stukje groenzone te verharden, boordstenen te verlagen + aanbrengen van markeringen</t>
  </si>
  <si>
    <t>WVB/INV/NX/3</t>
  </si>
  <si>
    <t>KP/001304</t>
  </si>
  <si>
    <t>KS792 - De oversteekbaarheid van de N1 is niet optimaal. De Hendrik I-lei loopt door een deel van de stad dat relatief dichtbevolkt is met scholen aan beide zijden van de weg. Enkele oversteekplaatsen kunnen verbeterd worden: geen fietsoversteekplaats bij de Benoitstraat (Peter) (van Groenstraat en Benoitstraat richting westzijde N1 en dus centrum)</t>
  </si>
  <si>
    <t>IN/001030</t>
  </si>
  <si>
    <t>Ingreep schoolroute in Vilvoorde op N1 (Hendrik I-lei)</t>
  </si>
  <si>
    <t>zie foto</t>
  </si>
  <si>
    <t>WVB/INV/N1/5</t>
  </si>
  <si>
    <t>KP/001305</t>
  </si>
  <si>
    <t>KS793 - De oversteekbaarheid van de N1 is niet optimaal. De Hendrik I-lei loopt door een deel van de stad dat relatief dichtbevolkt is met scholen aan beide zijden van de weg. Enkele oversteekplaatsen kunnen verbeterd worden: geen fietsoversteekplaats bij de Gezellestraat en de Tinelstraat (voornamelijk in de richting van de Gezellestraat naar de Tinelstraat ontbreekt deze oversteek, in de andere richting kan men de voetgangersoversteekplaats gebruiken) (deze oversteek past in de geplande fiets-as in de Tinel- en Sobrystraat richting wijk Faubourg die waarschijnlijk vormt krijgt als fietsstraat)</t>
  </si>
  <si>
    <t>IN/001031</t>
  </si>
  <si>
    <t>WVB/INV/NX/2</t>
  </si>
  <si>
    <t>KP/001308</t>
  </si>
  <si>
    <t>KS802 - verkeersveiligheid</t>
  </si>
  <si>
    <t>IN/001032</t>
  </si>
  <si>
    <t>Ingreep schoolroute in Schilde op oversteekbaarheid N12 ter hoogte van de Termaelenbaan,</t>
  </si>
  <si>
    <t>KP/001309</t>
  </si>
  <si>
    <t>KS803 - verkeersveiligheid</t>
  </si>
  <si>
    <t>IN/001033</t>
  </si>
  <si>
    <t>Ingreep schoolroute in Schilde op verbetering van de aansluiting van het fietspad ter hoogte van de laterale weg en N12 aan de overkant van de Kasteeldreef,</t>
  </si>
  <si>
    <t>KP/001310</t>
  </si>
  <si>
    <t>KS804 - verkeersveiligheid</t>
  </si>
  <si>
    <t>IN/001034</t>
  </si>
  <si>
    <t>Ingreep schoolroute in Schilde op aanpak kruispunt ter hoogte van de Moerstraat en de N121,</t>
  </si>
  <si>
    <t>KP/001311</t>
  </si>
  <si>
    <t>IN/001035</t>
  </si>
  <si>
    <t>Ingreep schoolroute in Gingelom op GO! De Kleurenboom Montenaken, Hannuitstraat 4, 3890 Gingelom</t>
  </si>
  <si>
    <t>WL/INV/N765/1</t>
  </si>
  <si>
    <t>KP/001312</t>
  </si>
  <si>
    <t>KS811 - Beveiligen van fietsoversteekplaatsen</t>
  </si>
  <si>
    <t>IN/001036</t>
  </si>
  <si>
    <t>Ingreep schoolroute in Retie op 1) oversteekplaatsen op N18(Provinciebaan) t.h.v. Hofstraat</t>
  </si>
  <si>
    <t>WA/INV/N18/5</t>
  </si>
  <si>
    <t>KP/001313</t>
  </si>
  <si>
    <t>KS812 - Beveiligen van fietsoversteekplaatsen</t>
  </si>
  <si>
    <t>IN/001037</t>
  </si>
  <si>
    <t>Ingreep schoolroute in Retie op 1) oversteekplaatsen op N18(Provinciebaan) t.h.v.  Hesstraat</t>
  </si>
  <si>
    <t>KP/001314</t>
  </si>
  <si>
    <t>KS813 - Beveiligen van fietsoversteekplaatsen</t>
  </si>
  <si>
    <t>IN/001038</t>
  </si>
  <si>
    <t>Ingreep schoolroute in Retie op 2) oversteekplaats op N123(Kloosterstraat) t.h.v. Vrije Basisschool Trapop</t>
  </si>
  <si>
    <t>WA/INV/N123/7</t>
  </si>
  <si>
    <t>KP/001315</t>
  </si>
  <si>
    <t>KS814 - Beveiligen van fietsoversteekplaatsen</t>
  </si>
  <si>
    <t>IN/001039</t>
  </si>
  <si>
    <t>Ingreep schoolroute in Retie op 3) oversteekplaats op N118(Kerkhofstraat) t.h.v. Hovenstraat</t>
  </si>
  <si>
    <t>WA/INV/N118/9</t>
  </si>
  <si>
    <t>KP/001316</t>
  </si>
  <si>
    <t>KS815 - Beveiligen van fietsoversteekplaatsen</t>
  </si>
  <si>
    <t>IN/001040</t>
  </si>
  <si>
    <t>Ingreep schoolroute in Retie op 4) fietscirculatie t.h.v. rotonde R18/Turnhoutsebaan</t>
  </si>
  <si>
    <t>WA/INV/R018/1</t>
  </si>
  <si>
    <t>KP/001317</t>
  </si>
  <si>
    <t>KS817 - Locatie 1: gevaarlijke situatie wanneer er schoolgaande kinderen en werkers onderweg zijn. Verdere info kan u bekomen bij mijn collega (gert.van.echelpoel@oud-turnhout.be)</t>
  </si>
  <si>
    <t>IN/001041</t>
  </si>
  <si>
    <t>Ingreep schoolroute in Oud-Turnhout op Locatie 1: Steenweg op Mol --&gt; verkeerslichten basisschool het Zwaneven</t>
  </si>
  <si>
    <t>WA/INV/N18/12</t>
  </si>
  <si>
    <t>KP/001318</t>
  </si>
  <si>
    <t>KS818 - Locatie 2: spreekt voor zich. Dit t-kruispunt is zeer gevaarlijk.</t>
  </si>
  <si>
    <t>IN/001042</t>
  </si>
  <si>
    <t>Ingreep schoolroute in Oud-Turnhout op Locatie 2: Steenweg op Ravels ter hoogte van +- nr 186</t>
  </si>
  <si>
    <t>KP/001319</t>
  </si>
  <si>
    <t>KS819 - Locatie 3: ook hiervoor stuur ik u door naar mijn collega Gert Van Echelpoel</t>
  </si>
  <si>
    <t>IN/001043</t>
  </si>
  <si>
    <t>Ingreep schoolroute in Oud-Turnhout op Locatie 3: Steenweg op Mol ter hoogte van Vibo De Brem</t>
  </si>
  <si>
    <t>WA/INV/N18/13</t>
  </si>
  <si>
    <t>KP/001320</t>
  </si>
  <si>
    <t>KS828 - instellen van een dynamische zone 30 aan de N223 ter hoogte van school De Stip in Binkom. Met oversteekplaats tussen Santro en kerk Sint-Jan.</t>
  </si>
  <si>
    <t>IN/001044</t>
  </si>
  <si>
    <t>Ingreep schoolroute in Lubbeek op instellen van een dynamische zone 30 aan de N223 ter hoogte van school De Stip in Binkom. Met oversteekplaats tussen Santro en kerk Sint-Jan.</t>
  </si>
  <si>
    <t>IN/001045</t>
  </si>
  <si>
    <t>Ingreep schoolroute in Herenthout op N13 x Herenthoutseweg</t>
  </si>
  <si>
    <t>IN/001046</t>
  </si>
  <si>
    <t>Ingreep schoolroute in Herenthout op N13 x Stationlei (Grobbendonk)</t>
  </si>
  <si>
    <t>WA/INV/N13/1</t>
  </si>
  <si>
    <t>KP/001326</t>
  </si>
  <si>
    <t>KS840 - 3.        Oversteekplaats voor voetgangers N72-Kievitveldstraat. Aan deze oversteekplaats wordt er nog steeds veel te snel gereden. De zichtbaarheid van de oversteekplaats, zeker bij slecht weer is niet goed. Het is nodig om te zorgen voor een betere zichtbaarheid van de oversteekplaats.</t>
  </si>
  <si>
    <t>IN/001047</t>
  </si>
  <si>
    <t>WL/INV/N72/18</t>
  </si>
  <si>
    <t>KP/001327</t>
  </si>
  <si>
    <t>KS841 - 4.        Oversteekplaats voor voetgangers N72-Kortestraat. Aan deze oversteekplaats wordt er nog steeds veel te snel gereden. De zichtbaarheid van de oversteekplaats, zeker bij slecht weer is niet goed. Het is nodig om te zorgen voor een betere zichtbaarheid van de oversteekplaats.</t>
  </si>
  <si>
    <t>IN/001048</t>
  </si>
  <si>
    <t>Gevleugeld zebrapad in Zonhoven op Kruispunt N74 met de Donkweg</t>
  </si>
  <si>
    <t>regenboogzebrapad thv bestaand zebrapad</t>
  </si>
  <si>
    <t>WL/INV/N72/10</t>
  </si>
  <si>
    <t>KP/001328</t>
  </si>
  <si>
    <t>KS842 - 5.        Oversteekplaats voor voetgangers N715-De Zonnewijzer. Om de veiligheid voor de voetgangers te verhogen zou het aangewezen zijn om een oversteekplaats voor voetgangers in te richten op de N715 Dorpsstraat ter hoogte van basisschool De Zonnewijzer (voor kruispunt). Momenteel wordt de aanduiding van de plateau gebruikt als oversteekplaats, wat conflicten geeft met het autoverkeer.</t>
  </si>
  <si>
    <t>IN/001049</t>
  </si>
  <si>
    <t>Extra VOP + aanpassen groene bermen (PM Jan Nijsen Sweco)</t>
  </si>
  <si>
    <t>WL/INV/N715/6</t>
  </si>
  <si>
    <t>KP/001329</t>
  </si>
  <si>
    <t>KS843 - 6.        Oversteekplaats voor voetgangers N715-Kerkplein. Om de veiligheid voor de voetgangers te verhogen zou het aangewezen zijn om een oversteekplaats voor voetgangers in te richten op het kruispunt N715 met Kerkplein. Momenteel wordt de aanduiding van de plateau gebruikt als oversteekplaats, wat conflicten geeft met het autoverkeer. Deze oversteekplaats ligt op de georganiseerde en begeleide route van de schoolkinderen.</t>
  </si>
  <si>
    <t>IN/001050</t>
  </si>
  <si>
    <t>WL/INV/N715/2</t>
  </si>
  <si>
    <t>KP/001331</t>
  </si>
  <si>
    <t>KS027 - Dit kruispunt was te groot en AWV heeft dit met enkele betonblokken verkleind. Dit is goed als een voorlopige opstelling maar we hopen toch op een meer duurzame oplossing in de toekomst die vooral beter leesbaar is voor alle weggebruikers. Het grootste probleem nu is de locatie van de fietsers op dit kruispunt.</t>
  </si>
  <si>
    <t>IN/001051</t>
  </si>
  <si>
    <t>Ingreep schoolroute in Kortemark op kruispunt Staatsbaan X Gouden-Hoofdstraat</t>
  </si>
  <si>
    <t>WWV/INV/N35/9</t>
  </si>
  <si>
    <t>KP/001332</t>
  </si>
  <si>
    <t>KS055 - Oversteekbaarheid fietsers zeer slecht. Kwaliteit van fietsinfra op dit kruispunt laat te wensen over. Om naar de bushalte te gaan wordt de middenberm gebruikt als oversteekplaats, wat zeer onveilige situaties met zich meebrengt.</t>
  </si>
  <si>
    <t>IN/001052</t>
  </si>
  <si>
    <t>Ingreep schoolroute in Knokke-Heist op Kruispunt N49 Natiënlaan x Sluisstraat</t>
  </si>
  <si>
    <t>optimaliseren fietsgeleiding op kruispunt.</t>
  </si>
  <si>
    <t>KP/001335</t>
  </si>
  <si>
    <t>KS076 - Zeer druk kruispunt om over te steken.</t>
  </si>
  <si>
    <t>IN/001053</t>
  </si>
  <si>
    <t>Ingreep schoolroute in Wuustwezel op Kruispunt N1 - Arthur Boelstraat - Bosduinstraat</t>
  </si>
  <si>
    <t>WA/INV/N1/19</t>
  </si>
  <si>
    <t>KP/001336</t>
  </si>
  <si>
    <t>KS086 - Gevaarlijke oversteek voor fietsers</t>
  </si>
  <si>
    <t>IN/001054</t>
  </si>
  <si>
    <t>Ingreep schoolroute in Torhout op Kruispunt Rijksweg / Bakvoordestraat</t>
  </si>
  <si>
    <t>KP/001337</t>
  </si>
  <si>
    <t>KS090 - Rode kleur helemaal afgesleten aan alle oversteken</t>
  </si>
  <si>
    <t>IN/001055</t>
  </si>
  <si>
    <t>Ingreep schoolroute in Lier op N10 x Misstraat x Bernard Van Hoolstraat</t>
  </si>
  <si>
    <t>Rodeslemlaag wegnemen.</t>
  </si>
  <si>
    <t>WA/INV/N10/13</t>
  </si>
  <si>
    <t>KP/001338</t>
  </si>
  <si>
    <t>KS091 - Oversteekplaatsen voorzien van rode kleur en bijhorende markering</t>
  </si>
  <si>
    <t>IN/001056</t>
  </si>
  <si>
    <t>Ingreep schoolroute in Lier op N10 x Spreet</t>
  </si>
  <si>
    <t>WA/INV/N10/8</t>
  </si>
  <si>
    <t>KP/001339</t>
  </si>
  <si>
    <t>KS093 - Oversteek met de Schollebeekstraat verduidelijken</t>
  </si>
  <si>
    <t>IN/001057</t>
  </si>
  <si>
    <t>Ingreep schoolroute in Lier op N10 x Schollebeekstraat</t>
  </si>
  <si>
    <t>KP/001340</t>
  </si>
  <si>
    <t>KS095 - Zoals eerder aangegeven komen heel wat kinderen met fiets naar school of rijden langs deze weg naar een school Tielt-Ardooie-Roeselare. Momenteel staan heel wat vrachtwagens/opleggers geparkeerd langs de N37 kort voor of na een kruispunt die de zichtbaarheid sterk vermindert voor het verkeer dat de N37 wenst op te rijden.</t>
  </si>
  <si>
    <t>IN/001058</t>
  </si>
  <si>
    <t>Ingreep schoolroute in Ardooie op Zijstraten N37</t>
  </si>
  <si>
    <t>Arcering plaatsen conform overleg</t>
  </si>
  <si>
    <t>WWV/INV/N37/8</t>
  </si>
  <si>
    <t>KP/001343</t>
  </si>
  <si>
    <t>KS104 - Variabele zone-30 schoolomgeving zonder daarbij passend wegbeeld. (zit tevens in een module 10-13 project)</t>
  </si>
  <si>
    <t>IN/001059</t>
  </si>
  <si>
    <t>Ingreep schoolroute in Meerhout op Gestelsesteenweg (N110) tussen kruispunt Waterstraat-Kerkstraat</t>
  </si>
  <si>
    <t>Markeringen "school"</t>
  </si>
  <si>
    <t>WA/INV/N110/3</t>
  </si>
  <si>
    <t>KP/001344</t>
  </si>
  <si>
    <t>IN/001060</t>
  </si>
  <si>
    <t>Ingreep schoolroute in Oostkamp op N368 Sint-Elooisstraat</t>
  </si>
  <si>
    <t>WWV/INV/N368/11</t>
  </si>
  <si>
    <t>KP/001345</t>
  </si>
  <si>
    <t>KS131 - Het bestaande kruispunt zijde Driesenstraat is breed gedimensioneerd. Het zebrapad is vrij lang en aan de oostzijde takt dit aan op een zeer smal voetpad. Een goed voorbeeld in Tongeren is het kruispunt Gulden-Bodemweg, wat in een recent verleden werd heringericht ten behoeve van de fietser en er uitzag zoals dit onderhavige kruispunt.</t>
  </si>
  <si>
    <t>IN/001061</t>
  </si>
  <si>
    <t>Beperkte herinrichting inclusief 2 FOP's (PM studiebureau aan te stellen via MC3)</t>
  </si>
  <si>
    <t>WL/INV/N730/18</t>
  </si>
  <si>
    <t>KP/001348</t>
  </si>
  <si>
    <t>KS161 - Prior 14.Zeer onveilig kruispunt voor fietsers en voetgangers. Zeker om met kleine kinderen op tijd over te steken. Beperkte tijd groen licht. Middenstuk zeer onveilig om te wachten.</t>
  </si>
  <si>
    <t>IN/001062</t>
  </si>
  <si>
    <t>Ingreep schoolroute in Lommel op N71 x Hoeverdijk</t>
  </si>
  <si>
    <t>KP/001352</t>
  </si>
  <si>
    <t>KS181 - Prior 3. Automobilisten die afdraaien, hebben de zwakke weggebruikers vaak niet gezien. Dit probleem doet zich voor op alle takken van het kruispunt. Chauffeurs op de bypass kijken naar het aankomend verkeer van links en vergeten de voetgangers die van rechts komen. Slechte zichtbaarheid. Krantenwinkel reclame-vlaggen en -borden belemmeren het zicht op de zwakker weggebruiker Relatief veel ongevallen op route2school vaak gemeld als knelpunt.</t>
  </si>
  <si>
    <t>IN/001063</t>
  </si>
  <si>
    <t>Aanpassen bypasses en ombouw volgens actieplan</t>
  </si>
  <si>
    <t>WL/INV/NX/6</t>
  </si>
  <si>
    <t>KP/001353</t>
  </si>
  <si>
    <t>KS187 - prior 7.  Onveilige oversteekplaats voor voetgangers door te hoge snelheid. Fietsers en voetgangers hebben geen ruimte om te wachten voor de verkeerslichten en mogen niet rechtsafslaan bij rood.</t>
  </si>
  <si>
    <t>IN/001064</t>
  </si>
  <si>
    <t>Vrij rechtsaf door rood voor fietsers</t>
  </si>
  <si>
    <t>WL/INV/N746/4</t>
  </si>
  <si>
    <t>KP/001355</t>
  </si>
  <si>
    <t>KS250 - 3/ Niet-conforme fietspaden N152 (breedte, tussenstrook, trilcomfort) - dieprode score via fietsbarometer vanuit provincie. Vraag om deze conform aan te leggen. Sommige segmenten zijn relatief recent onder handen genomen, als de andere nog zouden kunnen volgen? Op sommige locaties kan het supprimeren van het vrachtwagen-parkeren een oplossing bieden. Ze staan nu vaak op het fietspad geparkeerd. Op andere locaties is dat geen optie (vb op de flanken ten noorden van de brug over E313). Daar staat de aanleg van de carpoolparking op relatief korte termijn op de planning. Kan de aanleg van conforme fietspaden hier bvb in opgenomen worden?</t>
  </si>
  <si>
    <t>IN/001065</t>
  </si>
  <si>
    <t>Ingreep schoolroute in Olen op 3/ fietspaden langs N152 (tussen kern Olen-Centrum en kruispunt met Hezewijk/Industrielaan)</t>
  </si>
  <si>
    <t>WA/INV/N152/5</t>
  </si>
  <si>
    <t>KP/001356</t>
  </si>
  <si>
    <t>IN/001066</t>
  </si>
  <si>
    <t>Ingreep schoolroute in Koksijde op Toekomstlaan ter hoogte van de Nieuwstraat</t>
  </si>
  <si>
    <t>KP/001357</t>
  </si>
  <si>
    <t>KS252 - Gezien de hoge snelheid van het verkeer en de beperkte zichtbaarheid is het moeilijk om hier over te steken over de N39.</t>
  </si>
  <si>
    <t>IN/001067</t>
  </si>
  <si>
    <t>Ingreep schoolroute in Koksijde op N39 x Kortestraat</t>
  </si>
  <si>
    <t>WWV/INV/N39/4</t>
  </si>
  <si>
    <t>KP/001360</t>
  </si>
  <si>
    <t>KS302 - De fietsinfrastructuur van de rotonde is niet verbonden met de fietsinfrastructuur van de ventweg. Er zijn overal hoge borduren.</t>
  </si>
  <si>
    <t>IN/001068</t>
  </si>
  <si>
    <t>Ingreep schoolroute in Kortrijk op N50 Benelux Rotonde</t>
  </si>
  <si>
    <t>Verlagen boordstenen</t>
  </si>
  <si>
    <t>WWV/INV/N50/10</t>
  </si>
  <si>
    <t>KP/001361</t>
  </si>
  <si>
    <t>KS310 - Ontbrekende fietsinfrastructuur aan op en afritten R8</t>
  </si>
  <si>
    <t>IN/001069</t>
  </si>
  <si>
    <t>Ingreep schoolroute in Kortrijk op R8 - Spinnerijstraat - Stasegemsesteenweg</t>
  </si>
  <si>
    <t>KP/001363</t>
  </si>
  <si>
    <t>KS318 - Fietspadinfrastructuur is gebrekkig, de overgangen van fietspaden naar suggestiestroken zijn niet volledig uitgewerkt, de overgangen van geschilderde fietspaden naar aanliggende fietspaden zijn niet volledig drempelvrij en het wegdek is op bepaalde plaatsen in slechte staat waardoor fietsers de infrastructuur niet correct gebruiken. De zebrapaden brengen voetgangers naar onverharde bermen.</t>
  </si>
  <si>
    <t>IN/001070</t>
  </si>
  <si>
    <t>Ingreep schoolroute in Kortrijk op R8 - Gullegemsestraat</t>
  </si>
  <si>
    <t>KP/001364</t>
  </si>
  <si>
    <t>KS319 - Gebrekkige fietsinfrastructuur op BFF</t>
  </si>
  <si>
    <t>IN/001071</t>
  </si>
  <si>
    <t>Ingreep schoolroute in Kortrijk op N8 tussen Bissegem en Kortrijk</t>
  </si>
  <si>
    <t>Hermarkeren</t>
  </si>
  <si>
    <t>WWV/INV/N8/24</t>
  </si>
  <si>
    <t>IN/001072</t>
  </si>
  <si>
    <t>MAG WEG Ingreep schoolroute in Mechelen op R12 x N15 (vlak voor Voochtstraat)</t>
  </si>
  <si>
    <t>IN/001073</t>
  </si>
  <si>
    <t>MAG WEG Ingreep schoolroute in Mechelen op R12 x N14 Liersesteenweg</t>
  </si>
  <si>
    <t>KP/001370</t>
  </si>
  <si>
    <t>KS345 - Standaard hebben wij voor LED zebrapadverlichting aan het schoolzebrapad voor al onze scholen op gemeentewegen. Op de drukste en gevaarlijkste plaats, nl de bochtige N253 gewestweg is er geen extra zebrapadverlichting voor onze lagere schoolkinderen.</t>
  </si>
  <si>
    <t>IN/001074</t>
  </si>
  <si>
    <t>Ingreep schoolroute in Huldenberg op Voetgangersoversteek school Loonbeek N253</t>
  </si>
  <si>
    <t>WVB/INV/N253/9</t>
  </si>
  <si>
    <t>KP/001371</t>
  </si>
  <si>
    <t>KS346 - Overal in onze gemeente hebben wij voor onze scholen LED zebrapadverlichting op het zebrapad aan de schoolinkom. Enkel op de meest gevaarlijke plaats (N253 - drukke en bochtige gewestweg) mankeert dit.</t>
  </si>
  <si>
    <t>IN/001075</t>
  </si>
  <si>
    <t>Ingreep schoolroute in Huldenberg op Oversteekplaats N253 Dorpstraat school Neerijse</t>
  </si>
  <si>
    <t>WVB/INV/N253/10</t>
  </si>
  <si>
    <t>KP/001372</t>
  </si>
  <si>
    <t>KS356 - De oversteekplaats in de Duinkerkekeiweg- ter hoogte  van de Garzebekeveldstraat dient bijkomend beveiligd te worden. De verlichting is verouderd en onvoldoende.</t>
  </si>
  <si>
    <t>IN/001076</t>
  </si>
  <si>
    <t>Ingreep schoolroute in De Panne op Oversteekplaats Dijk N39- Duinkerkekeiweg</t>
  </si>
  <si>
    <t>KP/001373</t>
  </si>
  <si>
    <t>KS379 - 3. In de Hermeslaan werd recent een woonzone ontwikkeld met voornamelijk gezinnen met jonge kinderen. Er werd ook een trage weg aangelegd om verbinding te maken naar de N13 en het Dorp in Bouwel waar 2 scholen aanwezig zijn. Het paadje staat dan ook aangeduid op onze schoolroutekaart. Hier steken veel mensen over te voet en/of met de fiets. Zij mogen/kunnen hier vandaag ook al oversteken maar dit wordt als onveilig ervaren.  AWV verwijst naar het nabijgelegen kruispunt Lindekens om over te steken maar fietsers dienen dan in de verkeerde richting te rijden om hun route verder te zetten naar Dorp dus steken beter over aan het Hermespaadje. Dit gebeurt nu ook al en we willen de situatie veiliger maken.</t>
  </si>
  <si>
    <t>IN/001077</t>
  </si>
  <si>
    <t>Ingreep schoolroute in Grobbendonk op Lierse steenweg thv kruispunt Dorp en Hermespaadje</t>
  </si>
  <si>
    <t>WA/INV/N13/16</t>
  </si>
  <si>
    <t>KP/001374</t>
  </si>
  <si>
    <t>KS381 - Er is onvoldoende infrastructuur aanwezig voor overstekende fietsers en voetgangers</t>
  </si>
  <si>
    <t>IN/001078</t>
  </si>
  <si>
    <t>Ingreep schoolroute in Scherpenheuvel-Zichem op Turnhoutsebaan x Brabantsebaan</t>
  </si>
  <si>
    <t>Oversteekplaats voor fietsers en vernieuwen fietspad thv kruispunt</t>
  </si>
  <si>
    <t>WVB/INV/N127/2</t>
  </si>
  <si>
    <t>KP/001376</t>
  </si>
  <si>
    <t>KS399 - Markering fietsoversteek ontbreekt en 50m dubbelrichting fietspad.</t>
  </si>
  <si>
    <t>IN/001079</t>
  </si>
  <si>
    <t>twee enkelrichtingsfietspaden met FOP's</t>
  </si>
  <si>
    <t>WL/INV/N77/3</t>
  </si>
  <si>
    <t>KP/001377</t>
  </si>
  <si>
    <t>KS419 - Oversteek N748 Peerderbaan in Sint-Huibrechts-Lille thv rotonde Venderstraat/Jos Verlindenstraat : Dit is een schoolroute naar de lagere school is onveilig voor fietsers owv. fietsers in de voorrang gecombineerd met druk auto- en vooral vrachtverkeer. De fietser komt hier te weinig in beeld. Momenteel is de fietser in de voorrang op de rotonde hetgeen niet in overeenstemming is met de huidige principes voor het aanleggen van rotondes.</t>
  </si>
  <si>
    <t>IN/001080</t>
  </si>
  <si>
    <t>Aanpassen fietspaden (PM studiebureau aan te stellen via MC3)</t>
  </si>
  <si>
    <t>fietsers uit de voorrang op rotonde</t>
  </si>
  <si>
    <t>WL/INV/NX/5</t>
  </si>
  <si>
    <t>KP/001378</t>
  </si>
  <si>
    <t>KS421 - Er zijn twee zebrapaden beschikbaar met een middengeleider maar een van de oversteekplaatsen ligt buiten de Z30km/u. Dit is wel de drukste oversteekplaats. Verder is de zichtbaarheid  niet altijd even duidelijk.</t>
  </si>
  <si>
    <t>IN/001081</t>
  </si>
  <si>
    <t>Ingreep schoolroute in Ham op Kruispunt N110 x N141</t>
  </si>
  <si>
    <t>WL/INV/N141/10</t>
  </si>
  <si>
    <t>KP/001383</t>
  </si>
  <si>
    <t>KS468 - 3)        Fietsers hebben voorrang op het rondpunt, maar automobilisten geven hen niet steeds voorrang. Er zijn ook onderlinge conflicten tussen (brom)fietsers aangezien de verplichte rijrichting niet steeds gerespecteerd wordt.</t>
  </si>
  <si>
    <t>IN/001082</t>
  </si>
  <si>
    <t>Ingreep schoolroute in Herentals op In volgorde van prioriteit: 3) Rondpunt Ringlaan – Augustijnenlaan</t>
  </si>
  <si>
    <t>WA/INV/N153/16</t>
  </si>
  <si>
    <t>KP/001384</t>
  </si>
  <si>
    <t>KS482 - de scholieren van HT²O steken hier dagelijks meerdere keren over met de fiets (verplaatsen zich tussen verschillende vestigingen). dit is nu een onbeveiligde oversteek over de R13 (2x2) met toegelaten snelheid van 70 km/u.</t>
  </si>
  <si>
    <t>IN/001083</t>
  </si>
  <si>
    <t>Ingreep schoolroute in Turnhout op kruispunt R13 - Speelkaartenstraat/Gierledreef. onderdeel van de schoolfietsroute richting campus HT²O (ingang fietsenstalling is voorzien in de Speelkaartenstraat). Deze scholieren dienen ook overdag regelmatig een verplaatsing te maken naar een andere campus in het centrum van Turnhout.</t>
  </si>
  <si>
    <t>oplossing beslist in PCV</t>
  </si>
  <si>
    <t>WA/INV/R13/4</t>
  </si>
  <si>
    <t>KP/001385</t>
  </si>
  <si>
    <t>KS484 - Langs de N8 te Wevelgem liggen veel scholen. Scholieren moeten de N8 dus dagelijks meerdere keren oversteken. De oversteekbaarheid wordt niet als veilig ervaren door de burgers van Wevelgem. Vaak gebeuren er dan ook ongevallen tussen overstekende voetgangers en auto's.</t>
  </si>
  <si>
    <t>IN/001084</t>
  </si>
  <si>
    <t>Ingreep schoolroute in Wevelgem op Oversteekbaarheid N8</t>
  </si>
  <si>
    <t>Aanleg 3 middengeleiders en 7 VVOP's</t>
  </si>
  <si>
    <t>WWV/INV/N8/25</t>
  </si>
  <si>
    <t>KP/001386</t>
  </si>
  <si>
    <t>KS488 - Vanuit Membruggen is de schoolfietsroute richting Bilzen centrum over de Bammestraat. Hier is geen enkele beveiliging voor fietsers. Bovendien is hier een probleem van hoge snelheden (jaren geleden plaatsen van camera iets verderop goedgekeurd op PCV, nog niet uitgevoerd)</t>
  </si>
  <si>
    <t>IN/001085</t>
  </si>
  <si>
    <t>Herinrichting met middengeleider (PM studiebureau aan te stellen via MC3)</t>
  </si>
  <si>
    <t>WL/INV/NX/4</t>
  </si>
  <si>
    <t>KP/001387</t>
  </si>
  <si>
    <t>IN/001086</t>
  </si>
  <si>
    <t>Ingreep schoolroute in Hasselt op Diestersteenweg Kermt</t>
  </si>
  <si>
    <t>WL/INV/N2/13</t>
  </si>
  <si>
    <t>KP/001388</t>
  </si>
  <si>
    <t>IN/001087</t>
  </si>
  <si>
    <t>Ingreep schoolroute in Hasselt op Kolmenstraat Stevoort</t>
  </si>
  <si>
    <t>geen quick win mogelijk</t>
  </si>
  <si>
    <t>WL/INV/N754/10</t>
  </si>
  <si>
    <t>KP/001391</t>
  </si>
  <si>
    <t>KS513 - Biezenstraat/Slagerslaan oversteek over grote Ring duurtijd te kort.</t>
  </si>
  <si>
    <t>IN/001088</t>
  </si>
  <si>
    <t>Ombouw VRI volgens actieplan</t>
  </si>
  <si>
    <t>KP/001392</t>
  </si>
  <si>
    <t>KS534 - Kruising tuikabelbrug (Berenbroekstraat) / nieuw aangelegd (nood)fietspad: zeer onveilig: er wordt te snel gereden en kinderen moeten vanop helling terug de berg op fietsen + bocht + te veel struikgewas</t>
  </si>
  <si>
    <t>IN/001089</t>
  </si>
  <si>
    <t>Ingreep schoolroute in Hasselt op Omgeving Wolske</t>
  </si>
  <si>
    <t>KP/001393</t>
  </si>
  <si>
    <t>KS540 - Infrastructureel: paaltjes op 1 van de twee stroken van het dubbelzijdig fietspad, alsook de vraag of een dubbelzijdig fietspad op deze locatie wenselijk is</t>
  </si>
  <si>
    <t>IN/001090</t>
  </si>
  <si>
    <t>Verlichting (OV, VVOP/VFOP...) in Oostende op Ringlaan (R31), ter hoogte van kruispunt met de Zandvoordestraat</t>
  </si>
  <si>
    <t>KP/001394</t>
  </si>
  <si>
    <t>IN/001091</t>
  </si>
  <si>
    <t>KP/001395</t>
  </si>
  <si>
    <t>KS549 - Deze oversteek ligt aan de bushalte waar leerlingen van PPSB afstappen om via de Zavelstraat naar school te wandelen. De oversteek is onvoldoende zichtbaar. Bovendien is er aan 1 kant een opstaande boordsteen</t>
  </si>
  <si>
    <t>IN/001092</t>
  </si>
  <si>
    <t>Punctuele verlichting (niet conform nieuw DO)</t>
  </si>
  <si>
    <t>WL/INV/2021/22</t>
  </si>
  <si>
    <t>KP/001396</t>
  </si>
  <si>
    <t>KS552 - gevaar door gemengd verkeer</t>
  </si>
  <si>
    <t>IN/001093</t>
  </si>
  <si>
    <t>Ingreep schoolroute in Heuvelland op Dranouter, doortocht gewestweg N322</t>
  </si>
  <si>
    <t>WWV/INV/N322/1</t>
  </si>
  <si>
    <t>KP/001398</t>
  </si>
  <si>
    <t>KS556 - gevaar door gemengd verkeer</t>
  </si>
  <si>
    <t>IN/001094</t>
  </si>
  <si>
    <t>Ingreep schoolroute in Heuvelland op N375 - doortocht Loker</t>
  </si>
  <si>
    <t>WWV/INV/N375/5</t>
  </si>
  <si>
    <t>KP/001399</t>
  </si>
  <si>
    <t>IN/001095</t>
  </si>
  <si>
    <t>Ingreep schoolroute in Heuvelland op doortocht N314-N331 door Nieuwkerke</t>
  </si>
  <si>
    <t>WWV/INV/N322/2</t>
  </si>
  <si>
    <t>KP/001400</t>
  </si>
  <si>
    <t>IN/001096</t>
  </si>
  <si>
    <t>Ingreep schoolroute in Heuvelland op doortocht Wijtschate N365</t>
  </si>
  <si>
    <t>WWV/INV/N365/2</t>
  </si>
  <si>
    <t>KP/001401</t>
  </si>
  <si>
    <t>IN/001097</t>
  </si>
  <si>
    <t>Ingreep schoolroute in Heuvelland op doortocht Wulvergem N365</t>
  </si>
  <si>
    <t>WWV/INV/N314/1</t>
  </si>
  <si>
    <t>KP/001402</t>
  </si>
  <si>
    <t>KS566 - slechte staat aanliggend betonnen fietspad</t>
  </si>
  <si>
    <t>IN/001098</t>
  </si>
  <si>
    <t>Ingreep schoolroute in Heuvelland op N65-N336</t>
  </si>
  <si>
    <t>WWV/INV/N336/2</t>
  </si>
  <si>
    <t>KP/001403</t>
  </si>
  <si>
    <t>KS571 - Huidige suggestiestroken zijn niet conform. Fietsers komen hierdoor in verdrukking en visuele rijbaanversmalling is maar beperkt. Auto's worden maar beperkt geremd.</t>
  </si>
  <si>
    <t>IN/001099</t>
  </si>
  <si>
    <t>Ingreep schoolroute in Menen op Ieperstraat (tussen overweg en Yv. Serruysstraat)</t>
  </si>
  <si>
    <t>WWV/INV/N8/26</t>
  </si>
  <si>
    <t>KP/001404</t>
  </si>
  <si>
    <t>KS573 - Huidig kruispunt is erg groot waardoor fietsers die kruispunt kruisen en/of afslaan op dit kruispunt over grote afstanden in conflict kunnen komen met gemotoriseerd verkeer.</t>
  </si>
  <si>
    <t>IN/001100</t>
  </si>
  <si>
    <t>Ingreep schoolroute in Menen op Kruispunt met Guido Gezellelaan</t>
  </si>
  <si>
    <t>WWV/INV/N8/33</t>
  </si>
  <si>
    <t>KP/001406</t>
  </si>
  <si>
    <t>KS587 - Ontbrekend voetpad naar Vlinderstraat</t>
  </si>
  <si>
    <t>IN/001101</t>
  </si>
  <si>
    <t>Aanleg D9 gemengd fiets- voetpad + beperkte verbreding ervan (PM studiebureau aan te stellen in MC3)</t>
  </si>
  <si>
    <t>WL/INV/N110/1</t>
  </si>
  <si>
    <t>KP/001409</t>
  </si>
  <si>
    <t>IN/001102</t>
  </si>
  <si>
    <t>Ingreep schoolroute in Antwerpen op 6. Hendrick Markstraat-Prins Boudewijnlaan-Hindenstraat</t>
  </si>
  <si>
    <t>WA/INV/N173/3</t>
  </si>
  <si>
    <t>KP/001412</t>
  </si>
  <si>
    <t>IN/001103</t>
  </si>
  <si>
    <t>Ingreep schoolroute in Antwerpen op 9.  Scholen aan Gewestwegen algemeen</t>
  </si>
  <si>
    <t>KP/001413</t>
  </si>
  <si>
    <t>KS631 - Onveilig rond punt voor fietsers door de verschillende conflicten op het ronde punt op de drukste verkeersader van de stad.</t>
  </si>
  <si>
    <t>IN/001104</t>
  </si>
  <si>
    <t>Ingreep schoolroute in Harelbeke op rond punt Schipstraat-A Pevernagestraat-N43</t>
  </si>
  <si>
    <t>rode slem plaatsen op dwarsingen</t>
  </si>
  <si>
    <t>WWV/INV/N43/6</t>
  </si>
  <si>
    <t>KP/001414</t>
  </si>
  <si>
    <t>KS632 - Onveilig voor fietsers, geen fietspad of aanduiding voor fietsers waar dit toch een belangrijke fietsverbinding is naar het centrum via de Hoge brug.</t>
  </si>
  <si>
    <t>IN/001105</t>
  </si>
  <si>
    <t>Ingreep schoolroute in Harelbeke op Molenhuys, Overleiestraat 137 -Hoge Brug, Overleiestraat 2</t>
  </si>
  <si>
    <t>WWV/INV/N36/5</t>
  </si>
  <si>
    <t>KP/001419</t>
  </si>
  <si>
    <t>KS647 - Prioriteit gemeente 7. Een plaats waar leerlingen van de woonstraten aan beide zijdes de gewestweg dienen over te steken van of naar Heusden of Eversel. De N719 is een barrière voor de overstekende leerlingen aangezien het eerder een verbindende, dan een verzamelende wegfunctie heeft. De hoge intensiteit van het wegverkeer bemoeilijkt de huidige, directe oversteek als fietser of voetganger.</t>
  </si>
  <si>
    <t>IN/001106</t>
  </si>
  <si>
    <t>snelheidsregime van 70 verlaagd naar 50</t>
  </si>
  <si>
    <t>KP/001420</t>
  </si>
  <si>
    <t>KS668 - geen voorzieningen langs deze schoolroute voor fietsers en wandelaars om veilig over te steken</t>
  </si>
  <si>
    <t>IN/001107</t>
  </si>
  <si>
    <t>verdrijvingsvlak met doorsteek voor voetgangers + FSS</t>
  </si>
  <si>
    <t>WWV/INV/N368/12</t>
  </si>
  <si>
    <t>KP/001421</t>
  </si>
  <si>
    <t>KS708 - op dit kruispunt kan men vanaf de Rijksweg naar de achterkant van de school fietsen. op heden is daar geen ingerichte oversteekplaats voorzien</t>
  </si>
  <si>
    <t>IN/001108</t>
  </si>
  <si>
    <t>Ingreep schoolroute in Wielsbeke op kruispunt N357 ter hoogte van de Abeelestraat</t>
  </si>
  <si>
    <t>WWV/INV/N357/5</t>
  </si>
  <si>
    <t>KP/001422</t>
  </si>
  <si>
    <t>KS709 - ter hoogte van dit kruispunt is een fietsoversteek aangebracht, maar gelet het vele verkeer( vrachtverkeer) ware het wenselijk deze oversteek beter in te richten/ aan te duiden</t>
  </si>
  <si>
    <t>IN/001109</t>
  </si>
  <si>
    <t>Ingreep schoolroute in Wielsbeke op kruispunt Wakkensesteenweg met de Roterijstraat</t>
  </si>
  <si>
    <t>KP/001423</t>
  </si>
  <si>
    <t>KS710 - oversteekplaats dmv zebrapad,</t>
  </si>
  <si>
    <t>IN/001110</t>
  </si>
  <si>
    <t>Opfrissen markeringen (standaard werking onderhoud)</t>
  </si>
  <si>
    <t>wordt uitgevoerd Q4-2021</t>
  </si>
  <si>
    <t>WWV/INV/N357/6</t>
  </si>
  <si>
    <t>KP/001424</t>
  </si>
  <si>
    <t>IN/001111</t>
  </si>
  <si>
    <t>Toeleidende fietspaden naar kruispunt (PM studiebureau aan te stellen via MC3)</t>
  </si>
  <si>
    <t>uitvoering voorstel Sweco</t>
  </si>
  <si>
    <t>WL/INV/N722/4</t>
  </si>
  <si>
    <t>KP/001425</t>
  </si>
  <si>
    <t>KS717 - Deze baan is niet verlicht. Dit geeft de fietsers een onveilig gevoel.</t>
  </si>
  <si>
    <t>IN/001112</t>
  </si>
  <si>
    <t>Ingreep schoolroute in Duffel op N108 Oude Liersebaan</t>
  </si>
  <si>
    <t>WA/INV/N108/6</t>
  </si>
  <si>
    <t>KP/001426</t>
  </si>
  <si>
    <t>KS718 - De fietsers komen hier van een lokale weg zonder fietspad en dienen naar een dubbelrichtingsfietspad over te gaan. Daardoor stellen fietsers zich vaak links op de baan op  in de Hoogstraat (als ze uit het centrum van Duffel komen). Dit is gevaarlijk.</t>
  </si>
  <si>
    <t>IN/001113</t>
  </si>
  <si>
    <t>Ingreep schoolroute in Duffel op kruispunt Berkhoevelaan (N108) - Hoogstraat</t>
  </si>
  <si>
    <t>WA/INV/N108/7</t>
  </si>
  <si>
    <t>KP/001427</t>
  </si>
  <si>
    <t>KS727 - Veel fietsers vinden dit een gevaarlijk punt om over te steken wegens de snelheid van het verkeer en het feit dat zij meerdere rijstroken in één keer moeten oversteken.</t>
  </si>
  <si>
    <t>IN/001114</t>
  </si>
  <si>
    <t>FOP/VOP met middengeleider</t>
  </si>
  <si>
    <t>WL/INV/NX/7</t>
  </si>
  <si>
    <t>KP/001428</t>
  </si>
  <si>
    <t>KS737 - Suggestiestroken zijn smal, alsook de middenstrook (tussen beide fietssuggestiestroken) is erg breed. Dit zorgt ervoor dat fietsers in de verdrukking komen. Bovendien is ook de visuele rijbaanversmalling beperkt. Auto's worden dan ook maar beperkt geremd.</t>
  </si>
  <si>
    <t>IN/001115</t>
  </si>
  <si>
    <t>Ingreep schoolroute in Menen op Ieperstraat (Tussen overweg en Yv. Serruysstraat)</t>
  </si>
  <si>
    <t>WWV/INV/N8/27</t>
  </si>
  <si>
    <t>KP/001430</t>
  </si>
  <si>
    <t>KS758 - Onveilige verkeerssituatie op het kruispunt N12 (Turnhoutseweg-Weeldestraat)-N118 (Moleneinde)-Gemeentelaan, voornamelijk veroorzaakt door de vrij hoge verkeerssnelheid op de N12 waardoor het moeilijk en gevaarlijk is om, komende vanaf de N118 of de Gemeentelaan, het kruispunt op te rijden of over te steken, zowel voor gemotoriseerd verkeer als voor zwakke weggebruikers. Vanaf de N118 en de Gemeentelaan is er ook een zeer slecht zicht op de N12, wat het oprijden van het kruispunt extra moeilijk maakt. Op dit kruispunten zijn in het verleden dan ook al veel ongevallen gebeurd, gelukkig meestal enkel met stoffelijke schade.</t>
  </si>
  <si>
    <t>IN/001116</t>
  </si>
  <si>
    <t>Ingreep schoolroute in Ravels op Kruispunt N12-N118-Gemeentelaan</t>
  </si>
  <si>
    <t>WA/INV/N12/13</t>
  </si>
  <si>
    <t>KP/001431</t>
  </si>
  <si>
    <t>KS759 - De Kerkhofstraat is een trage verbinding die vanuit basisschool De Verrekijker gepromoot wordt als veilige schoolroute richting Weeldestraat en achterliggende straten. Ter hoogte van dit kruispunt ligt echter geen oversteekplaats en wordt er door de lange rechte rijbaan met ver zicht vrij snel gereden, wat het voor de zwakke weggebruiker gevaarlijk maakt om hier de N12 over te steken.</t>
  </si>
  <si>
    <t>IN/001117</t>
  </si>
  <si>
    <t>Ingreep schoolroute in Ravels op Kruispunt Weeldestraat (N12)-Kerkhofstraat</t>
  </si>
  <si>
    <t>Eerst op PCV\n\n- VFOP\n- fietslogoverbindingsmarkering\n- uitbuigen fietspad mogelijk? (OV paal opschuiven)</t>
  </si>
  <si>
    <t>WA/INV/N12/14</t>
  </si>
  <si>
    <t>KP/001435</t>
  </si>
  <si>
    <t>KS849 - Rotondes met fietsers in de voorrang geeft conflicten tussen auto's en fietsers. Meerdere verkeersongevallen met gewonde(n) de voorbije jaren.</t>
  </si>
  <si>
    <t>IN/001118</t>
  </si>
  <si>
    <t>QW1 en QW3 uitvoeren in markering:\nQW1: rand van de rijbaan aangeven met witte randmarkering\nQW3: verwijderen van de VOP-markering t.h.v. de middenberm</t>
  </si>
  <si>
    <t>WVB/INV/N21/12</t>
  </si>
  <si>
    <t>KP/001436</t>
  </si>
  <si>
    <t>IN/001119</t>
  </si>
  <si>
    <t>Trajectcontrole N382 Anzegem</t>
  </si>
  <si>
    <t>TC2021_322</t>
  </si>
  <si>
    <t>KP/001437</t>
  </si>
  <si>
    <t>IN/001120</t>
  </si>
  <si>
    <t>WWV/INV/N382/8</t>
  </si>
  <si>
    <t>KP/001438</t>
  </si>
  <si>
    <t>IN/001121</t>
  </si>
  <si>
    <t>WWV/INV/N382/9</t>
  </si>
  <si>
    <t>KP/001439</t>
  </si>
  <si>
    <t>IN/001122</t>
  </si>
  <si>
    <t>TC2021_338 in centraal register</t>
  </si>
  <si>
    <t>WWV/INV/N382/10</t>
  </si>
  <si>
    <t>KP/001440</t>
  </si>
  <si>
    <t>IN/001123</t>
  </si>
  <si>
    <t>WWV/INV/N36/15</t>
  </si>
  <si>
    <t>KP/001441</t>
  </si>
  <si>
    <t>IN/001124</t>
  </si>
  <si>
    <t>Trajectcontrole schoolroute Anzegem Westdorp 42.7-43.3</t>
  </si>
  <si>
    <t>Nog geen aanvraag van het lokaal bestuur ontvangen voor deze trajectcontrole</t>
  </si>
  <si>
    <t>WWV/INV/N36/6</t>
  </si>
  <si>
    <t>KP/001442</t>
  </si>
  <si>
    <t>IN/001125</t>
  </si>
  <si>
    <t>Flitspaal schoolroute Anzegem Oostdorp thv 43.6 richting Kaster</t>
  </si>
  <si>
    <t>SNC2021_014 aanvraag was initieel omgevormd naar TC2021_337 maar lokaal bestuur wenst expliciet een flitspaal</t>
  </si>
  <si>
    <t>WWV/INV/N36/7</t>
  </si>
  <si>
    <t>KP/001443</t>
  </si>
  <si>
    <t>IN/001126</t>
  </si>
  <si>
    <t>WWV/INV/N494/1</t>
  </si>
  <si>
    <t>KP/001444</t>
  </si>
  <si>
    <t>IN/001127</t>
  </si>
  <si>
    <t>WWV/INV/N382/11</t>
  </si>
  <si>
    <t>KP/001445</t>
  </si>
  <si>
    <t>IN/001128</t>
  </si>
  <si>
    <t>Trajectcontrole schoolroute Anzegem Peter Benoitstraat</t>
  </si>
  <si>
    <t>Trajectcontrole\naanvraag voor SNC2021_016 omgevormd naar TC2021_321. zie centraal register</t>
  </si>
  <si>
    <t>WWV/INV/N36/8</t>
  </si>
  <si>
    <t>KP/001446</t>
  </si>
  <si>
    <t>IN/001129</t>
  </si>
  <si>
    <t>WWV/INV/N36/9</t>
  </si>
  <si>
    <t>KP/001447</t>
  </si>
  <si>
    <t>IN/001130</t>
  </si>
  <si>
    <t>WWV/INV/N36/14</t>
  </si>
  <si>
    <t>KP/001450</t>
  </si>
  <si>
    <t>IN/001131</t>
  </si>
  <si>
    <t>Ingreep schoolroute in Gingelom op GO! De Groeiboog Borlo, Jeuksestraat 24, 3891 Gingelom</t>
  </si>
  <si>
    <t>- dynamische zone 30 \n\n</t>
  </si>
  <si>
    <t>WL/INV/N755/1</t>
  </si>
  <si>
    <t>KP/001451</t>
  </si>
  <si>
    <t>IN/001132</t>
  </si>
  <si>
    <t>Dynamische zone 30</t>
  </si>
  <si>
    <t>WL/INV/N789/1</t>
  </si>
  <si>
    <t>KP/001452</t>
  </si>
  <si>
    <t>KS836 - De verkeerslichtenregeling laat niet toe om veel voetgangers ineens te laten oversteken. Hierdoor moeten er altijd een aantal voetgangers in het midden van de rijweg blijven wachten.</t>
  </si>
  <si>
    <t>IN/001133</t>
  </si>
  <si>
    <t>Aanpassen V-plan Koolmijnlaan x Oosthamsesteenweg</t>
  </si>
  <si>
    <t>WL/INV/N719/6</t>
  </si>
  <si>
    <t>IN/001134</t>
  </si>
  <si>
    <t>KP/001454</t>
  </si>
  <si>
    <t>KS861 - (Schoolomgeving), er starten daar eind dit jaar of begin volgend jaar werken voor heraanleg van het rondpunt en Langemarkstraat. Het verkeer rijdt er tijdens de spitsuren heel traag en er ontbreken fietssuggestiestroken. Zouden we via het PVC een oplossing hier kunnen krijgen met fietssuggestiestroken vanaf het kerkhof in de Roeselarestraat tot en met de kruising Berten-Pilstraat - N332 ? Kan een permanente zone 30 hier eventueel de fietser prioritair maken of is dit nog steeds niet mogelijk ? We zouden ook de zebrapaden willen verlichten in deze ?</t>
  </si>
  <si>
    <t>IN/001135</t>
  </si>
  <si>
    <t>Ingreep schoolroute in Zonnebeke op Ieperstraat en Roeselarestraat te Zonnebeke (N332) ter hoogte van het rondpunt</t>
  </si>
  <si>
    <t>WWV/INV/N332/1</t>
  </si>
  <si>
    <t>KP/001455</t>
  </si>
  <si>
    <t>KS869 - Geen toelichting door gemeente</t>
  </si>
  <si>
    <t>IN/001136</t>
  </si>
  <si>
    <t>Ingreep schoolroute in Zonnebeke op Passendalestraat en Molenstraat te Passendale (N303) ter hoogte van het centrum (bocht).</t>
  </si>
  <si>
    <t>WWV/INV/N303/2</t>
  </si>
  <si>
    <t>KP/001457</t>
  </si>
  <si>
    <t>IN/001137</t>
  </si>
  <si>
    <t>Ingreep schoolroute in Herzele op Provincieweg Borsbeke (N46)</t>
  </si>
  <si>
    <t>WOV/INV/N46/9</t>
  </si>
  <si>
    <t>KP/001458</t>
  </si>
  <si>
    <t>IN/001138</t>
  </si>
  <si>
    <t>Ingreep schoolroute in Hamme op Kruispunt N41 met Broekstraat/Hooirt</t>
  </si>
  <si>
    <t>WOV/INV/N41/3</t>
  </si>
  <si>
    <t>KP/001460</t>
  </si>
  <si>
    <t>IN/001139</t>
  </si>
  <si>
    <t>SRK: N415 Oosterzele: duurzame markeringen</t>
  </si>
  <si>
    <t>WOV/INV/N415/6</t>
  </si>
  <si>
    <t>KP/001465</t>
  </si>
  <si>
    <t>IN/001140</t>
  </si>
  <si>
    <t>Ingreep schoolroute in Kruibeke op N419 - oversteekplaats ter hoogte  van Kemphoekstraat</t>
  </si>
  <si>
    <t>WOV/INV/N419/3</t>
  </si>
  <si>
    <t>KP/001466</t>
  </si>
  <si>
    <t>IN/001141</t>
  </si>
  <si>
    <t>Horizontale signalisatie in Oosterzele op N465</t>
  </si>
  <si>
    <t>WOV/INV/N465/3</t>
  </si>
  <si>
    <t>KP/001472</t>
  </si>
  <si>
    <t>IN/001142</t>
  </si>
  <si>
    <t>VERWIJDEREN knelpunt onder WOV/INV/N446/1 toegevoegd  Ingreep schoolroute in Waasmunster op N446 - kruispunt Pontravelaan/Kerkstraat</t>
  </si>
  <si>
    <t>IN/001143</t>
  </si>
  <si>
    <t>Ingreep schoolroute in Waasmunster op N446 - kruispunt Hoogstraat</t>
  </si>
  <si>
    <t>WOV/INV/N446/1</t>
  </si>
  <si>
    <t>KP/001473</t>
  </si>
  <si>
    <t>KP/001475</t>
  </si>
  <si>
    <t>IN/001144</t>
  </si>
  <si>
    <t>Ingreep schoolroute in Brakel op Kruispunt N415-Lepelstraat/Pottenberg</t>
  </si>
  <si>
    <t>KP/001477</t>
  </si>
  <si>
    <t>IN/001145</t>
  </si>
  <si>
    <t>Ingreep schoolroute in Brakel op Kruispunt N8-Meerbeekstraat/Haeyershoek</t>
  </si>
  <si>
    <t>KP/001479</t>
  </si>
  <si>
    <t>IN/001146</t>
  </si>
  <si>
    <t>Horizontale signalisatie in Maldegem op Wijkschool Strobrugge toegang situeert zich in de Aardenburgkalseide tussen huisnummer 369 en 371</t>
  </si>
  <si>
    <t>WOV/INV/N410/1</t>
  </si>
  <si>
    <t>KP/001481</t>
  </si>
  <si>
    <t>IN/001147</t>
  </si>
  <si>
    <t>Ingreep schoolroute in Evergem op Gewestweg N458 Noordlaan westzijde tussen kruispunt Kloosterstraat en kruispunt Hoogstraat (kmp10.47-10.52)</t>
  </si>
  <si>
    <t>WOV/INV/N458/5</t>
  </si>
  <si>
    <t>KP/001482</t>
  </si>
  <si>
    <t>IN/001148</t>
  </si>
  <si>
    <t>N436 Zelzate-Assenede milderende maatregelen</t>
  </si>
  <si>
    <t>Milderende maatregelen i.k.v. Project E34 Stoepestraat met inbegrip van structureel onderhoud van rijweg en fietspaden langsheen de N436 Assenedesteenweg-Zelzatestraat te Zelzate en Assenede</t>
  </si>
  <si>
    <t>WOV/INV/N436/1</t>
  </si>
  <si>
    <t>KP/001483</t>
  </si>
  <si>
    <t>IN/001149</t>
  </si>
  <si>
    <t>Ingreep schoolroute in Zelzate op N436 Assenedesteenweg en kruispunt met de R4</t>
  </si>
  <si>
    <t>KP/001484</t>
  </si>
  <si>
    <t>IN/001150</t>
  </si>
  <si>
    <t>PPS R4WO Ingreep schoolroute in Zelzate op R4 t.h.v. het kruispunt Koning Albertlaan - Emiel Caluslaan</t>
  </si>
  <si>
    <t>KP/001485</t>
  </si>
  <si>
    <t>IN/001151</t>
  </si>
  <si>
    <t>Ingreep schoolroute in Zelzate op R4 kruispunt t.h.v. Zelzatebrug</t>
  </si>
  <si>
    <t>WOV/INV/R4/6</t>
  </si>
  <si>
    <t>KP/001488</t>
  </si>
  <si>
    <t>IN/001152</t>
  </si>
  <si>
    <t>SRK: R4 Zelzate: duurzame markeringen, t.h.v. de kruispunten Oostkade, Kerkstraat en Grote Markt</t>
  </si>
  <si>
    <t>WOV/INV/R4/5</t>
  </si>
  <si>
    <t>KP/001489</t>
  </si>
  <si>
    <t>KP/001490</t>
  </si>
  <si>
    <t>IN/001153</t>
  </si>
  <si>
    <t>Ingreep schoolroute in Zelzate op R4 t.h.v. de kruispunten Grote Markt</t>
  </si>
  <si>
    <t>IN/001154</t>
  </si>
  <si>
    <t>Ingreep schoolroute in Zelzate op R4 t.h.v. de kruispunten Kerkstraat</t>
  </si>
  <si>
    <t>KP/001491</t>
  </si>
  <si>
    <t>IN/001155</t>
  </si>
  <si>
    <t>PPS R4WO  Ingreep schoolroute in Zelzate op kruispunt R4 - Leegstraat</t>
  </si>
  <si>
    <t>KP/001493</t>
  </si>
  <si>
    <t>IN/001156</t>
  </si>
  <si>
    <t>Ingreep schoolroute in Dendermonde op Het fietspad op de Baasrodestraat stopt ter hoogte van de Rosstraat.</t>
  </si>
  <si>
    <t>WOV/INV/N17/4</t>
  </si>
  <si>
    <t>IN/001157</t>
  </si>
  <si>
    <t>Ingreep schoolroute in Dendermonde op Kruispunt Grootzand – Martelarenlaan – Zeelsebaan</t>
  </si>
  <si>
    <t>KP/001496</t>
  </si>
  <si>
    <t>IN/001158</t>
  </si>
  <si>
    <t>Ingreep schoolroute in Ronse op 1 SM Glorieuxlaan&amp;Bruul</t>
  </si>
  <si>
    <t>WOV/INV/N48/2</t>
  </si>
  <si>
    <t>KP/001497</t>
  </si>
  <si>
    <t>IN/001159</t>
  </si>
  <si>
    <t>Ingreep schoolroute in Ronse op 2 Kruisstraat</t>
  </si>
  <si>
    <t>WOV/INV/N60B/1</t>
  </si>
  <si>
    <t>KP/001498</t>
  </si>
  <si>
    <t>IN/001160</t>
  </si>
  <si>
    <t>SRK: N36 Ronse: plaatsen van punctuele verlichting</t>
  </si>
  <si>
    <t>Plaatsen van punctuele verlichting op 3 Zonnestraat</t>
  </si>
  <si>
    <t>WOV/INV/N36/1</t>
  </si>
  <si>
    <t>KP/001499</t>
  </si>
  <si>
    <t>IN/001161</t>
  </si>
  <si>
    <t>SRK: N57 Ronse: plaatsen van punctuele verlichting</t>
  </si>
  <si>
    <t>Plaatsen van punctuele verlichting op Elzeelsesteenweg</t>
  </si>
  <si>
    <t>WOV/INV/N57/2</t>
  </si>
  <si>
    <t>KP/001500</t>
  </si>
  <si>
    <t>IN/001162</t>
  </si>
  <si>
    <t>SRK: N48 Ronse: plaatsen punctuele verlichting</t>
  </si>
  <si>
    <t>Plaatsen van punctuele verlichting in Ninovestraat</t>
  </si>
  <si>
    <t>WOV/INV/N48/3</t>
  </si>
  <si>
    <t>KP/001501</t>
  </si>
  <si>
    <t>IN/001163</t>
  </si>
  <si>
    <t>Horizontale signalisatie in Assenede op Schoolstraat 1</t>
  </si>
  <si>
    <t>WOV/INV/N436/2</t>
  </si>
  <si>
    <t>KP/001502</t>
  </si>
  <si>
    <t>IN/001164</t>
  </si>
  <si>
    <t>Horizontale signalisatie in Assenede op Leegstraat 17B</t>
  </si>
  <si>
    <t>WOV/INV/N436/3</t>
  </si>
  <si>
    <t>KP/001503</t>
  </si>
  <si>
    <t>IN/001165</t>
  </si>
  <si>
    <t>Horizontale signalisatie in Assenede op Weststraat 7</t>
  </si>
  <si>
    <t>WOV/INV/N458/6</t>
  </si>
  <si>
    <t>KP/001504</t>
  </si>
  <si>
    <t>IN/001166</t>
  </si>
  <si>
    <t>Horizontale signalisatie in Assenede op Oosteeklo-Dorp 58A</t>
  </si>
  <si>
    <t>WOV/INV/N448/4</t>
  </si>
  <si>
    <t>KP/001505</t>
  </si>
  <si>
    <t>IN/001167</t>
  </si>
  <si>
    <t>Horizontale signalisatie in Assenede op Ertveldesteenweg 22</t>
  </si>
  <si>
    <t>WOV/INV/N448/5</t>
  </si>
  <si>
    <t>KP/001506</t>
  </si>
  <si>
    <t>IN/001168</t>
  </si>
  <si>
    <t>Ingreep schoolroute in Assenede op Kruispunt Diederikstraat (N436) - Kriekerijstraat en Elsburgstraat</t>
  </si>
  <si>
    <t>KP/001507</t>
  </si>
  <si>
    <t>IN/001169</t>
  </si>
  <si>
    <t>Ingreep schoolroute in Wachtebeke op fietspad doorheen Kloosterbos naar Zelzate</t>
  </si>
  <si>
    <t>WOV/INV/N449/2</t>
  </si>
  <si>
    <t>KP/001509</t>
  </si>
  <si>
    <t>IN/001170</t>
  </si>
  <si>
    <t>Ingreep schoolroute in Wachtebeke op diverse oversteekplaatsen (Melkerijstraat)</t>
  </si>
  <si>
    <t>WOV/INV/N449/4</t>
  </si>
  <si>
    <t>KP/001511</t>
  </si>
  <si>
    <t>IN/001171</t>
  </si>
  <si>
    <t>Ingreep schoolroute in Wachtebeke op diverse oversteekplaatsen (Groenstraat)</t>
  </si>
  <si>
    <t>WOV/INV/N449/5</t>
  </si>
  <si>
    <t>KP/001512</t>
  </si>
  <si>
    <t>IN/001172</t>
  </si>
  <si>
    <t>Ingreep schoolroute in Wachtebeke op Rechtstro: overgang fietspaden naar fietssuggestiestroken</t>
  </si>
  <si>
    <t>WOV/INV/N449/6</t>
  </si>
  <si>
    <t>KP/001513</t>
  </si>
  <si>
    <t>IN/001173</t>
  </si>
  <si>
    <t>Ingreep schoolroute in Wachtebeke op Dorpskern Wachtebeke</t>
  </si>
  <si>
    <t>WOV/INV/N449/1</t>
  </si>
  <si>
    <t>KP/001514</t>
  </si>
  <si>
    <t>IN/001174</t>
  </si>
  <si>
    <t>Horizontale signalisatie in Wachtebeke op Overledebrug</t>
  </si>
  <si>
    <t>WOV/INV/N449/7</t>
  </si>
  <si>
    <t>KP/001515</t>
  </si>
  <si>
    <t>IN/001175</t>
  </si>
  <si>
    <t>Ingreep schoolroute in Wachtebeke op Walderdonkbrug</t>
  </si>
  <si>
    <t>KP/001518</t>
  </si>
  <si>
    <t>IN/001176</t>
  </si>
  <si>
    <t>Ingreep schoolroute in Wortegem-Petegem op Anzegemseweg – Wortegemplein.</t>
  </si>
  <si>
    <t>KP/001519</t>
  </si>
  <si>
    <t>IN/001177</t>
  </si>
  <si>
    <t>SRK: N494 Wortegem-Petegem: herinrichting van het wegvak tussen Vrouweneikstraat en Groenstraat</t>
  </si>
  <si>
    <t>Aanpassen wegbeeld volgens PCV</t>
  </si>
  <si>
    <t>WOV/INV/N494/3</t>
  </si>
  <si>
    <t>KP/001520</t>
  </si>
  <si>
    <t>KP/001521</t>
  </si>
  <si>
    <t>IN/001178</t>
  </si>
  <si>
    <t>Ingreep schoolroute in Haaltert op Kruispunt Krakeelstraat/Stationsstraat</t>
  </si>
  <si>
    <t>WOV/INV/N460/6</t>
  </si>
  <si>
    <t>KP/001522</t>
  </si>
  <si>
    <t>IN/001179</t>
  </si>
  <si>
    <t>Ingreep schoolroute in Sint-Laureins op Moerstraat, Sint-Jan-In-Eremo</t>
  </si>
  <si>
    <t>WOV/INV/N434/2</t>
  </si>
  <si>
    <t>KP/001523</t>
  </si>
  <si>
    <t>IN/001180</t>
  </si>
  <si>
    <t>SRK: N445 Sint-Laureins: markeringen - attentieverhogende maatregelen</t>
  </si>
  <si>
    <t>WOV/INV/N455/3</t>
  </si>
  <si>
    <t>KP/001528</t>
  </si>
  <si>
    <t>IN/001181</t>
  </si>
  <si>
    <t>SRK: N455 Eeklo: gevleugeld zebrapad op Sint-Laureinsesteenweg - Balgerhoeke / omgeving kerk en kruispunt Pastoor Bontestraat</t>
  </si>
  <si>
    <t>WOV/INV/N455/2</t>
  </si>
  <si>
    <t>KP/001531</t>
  </si>
  <si>
    <t>IN/001182</t>
  </si>
  <si>
    <t>GEEN E1 KLEINE INGREEP Ingreep schoolroute in Eeklo op N9, Koningin Astridplein stationsomgeving</t>
  </si>
  <si>
    <t>KP/001533</t>
  </si>
  <si>
    <t>IN/001183</t>
  </si>
  <si>
    <t>SRK: N447 Melle: fietspaden verbeteren op kruispunt Heusdenbaan met Oude Brusselse Weg</t>
  </si>
  <si>
    <t>WOV/INV/N447/3</t>
  </si>
  <si>
    <t>KP/001537</t>
  </si>
  <si>
    <t>IN/001184</t>
  </si>
  <si>
    <t>Ingreep schoolroute in Melle op Kruispunt Zwaanhoeklos Brusselsesteenweg</t>
  </si>
  <si>
    <t>KP/001538</t>
  </si>
  <si>
    <t>IN/001185</t>
  </si>
  <si>
    <t>Ingreep schoolroute in Melle op Brusselsesteenweg ter hoogte van Ringlaan, middeneilanden</t>
  </si>
  <si>
    <t>WOV/INV/N9/18</t>
  </si>
  <si>
    <t>KP/001539</t>
  </si>
  <si>
    <t>IN/001186</t>
  </si>
  <si>
    <t>Ingreep schoolroute in Melle op Brusselsesteenweg ter hoogte van station Kwatrecht (grondgebied Wetteren)</t>
  </si>
  <si>
    <t>WOV/INV/N9/19</t>
  </si>
  <si>
    <t>KP/001541</t>
  </si>
  <si>
    <t>IN/001187</t>
  </si>
  <si>
    <t>Ingreep schoolroute in Melle op Geraardsbergsesteenweg kruispunt met Ovenveldstraat</t>
  </si>
  <si>
    <t>WOV/INV/N465/2</t>
  </si>
  <si>
    <t>KP/001544</t>
  </si>
  <si>
    <t>IN/001188</t>
  </si>
  <si>
    <t>Ingreep schoolroute in Lochristi op N70 Dorp-West - Schoolstraat</t>
  </si>
  <si>
    <t>KP/001545</t>
  </si>
  <si>
    <t>IN/001189</t>
  </si>
  <si>
    <t>SRK: N419 Kruibeke: plaatsen punctuele verlichting en kleine aanpassing aan oversteek</t>
  </si>
  <si>
    <t>Plaatsen punctuele verlichting en kleine aanpassing aan oversteek volgens rapport;\nOp Oversteek plaats Bazelstraat Camille-Huysmanstraat</t>
  </si>
  <si>
    <t>WOV/INV/N419/2</t>
  </si>
  <si>
    <t>KP/001547</t>
  </si>
  <si>
    <t>IN/001190</t>
  </si>
  <si>
    <t>Ingreep schoolroute in Kruibeke op Kruispunt Kemphoekstraat-Kruibekestraat</t>
  </si>
  <si>
    <t>WOV/INV/N419/4</t>
  </si>
  <si>
    <t>KP/001549</t>
  </si>
  <si>
    <t>IN/001191</t>
  </si>
  <si>
    <t>SRK: N70 Lochristi: verlichting (OV, VVOP/VFOP...) N70 x Bosdreef</t>
  </si>
  <si>
    <t>WOV/INV/N70/9</t>
  </si>
  <si>
    <t>KP/001550</t>
  </si>
  <si>
    <t>IN/001192</t>
  </si>
  <si>
    <t>Gevleugeld zebrapad in Lievegem op Hendrik Consciencelaan (N9) - Toekomststraat</t>
  </si>
  <si>
    <t>KP/001551</t>
  </si>
  <si>
    <t>IN/001193</t>
  </si>
  <si>
    <t>Ingreep schoolroute in Lievegem op Oude Staatsbaan/Beke - N9 - Legevoorde</t>
  </si>
  <si>
    <t>WOV/INV/N9/20</t>
  </si>
  <si>
    <t>KP/001554</t>
  </si>
  <si>
    <t>IN/001194</t>
  </si>
  <si>
    <t>SRK: N35 Deinze: verlichting (OV, VVOP/VFOP...) op kruispunt Gaversesteenweg/Ten Rodelaan</t>
  </si>
  <si>
    <t>WOV/INV/N35/3</t>
  </si>
  <si>
    <t>KP/001560</t>
  </si>
  <si>
    <t>IN/001195</t>
  </si>
  <si>
    <t>SRK: N454 Maarkedal: fietssuggestiestroken aanbrengen</t>
  </si>
  <si>
    <t>Fietssuggestiestroken aanbrengen;\nOp school met toegang langs de Hofveldstraat (gewestweg) alsook Kolpaarstraat (gemeenteweg)</t>
  </si>
  <si>
    <t>WOV/INV/NX/3</t>
  </si>
  <si>
    <t>KP/001566</t>
  </si>
  <si>
    <t>IN/001196</t>
  </si>
  <si>
    <t>Ingreep schoolroute in Merelbeke op Kruispunt Molenhoek: Hundelgemsesteenweg - Poelstraat - Potaardeberg</t>
  </si>
  <si>
    <t>WOV/INV/N444/3</t>
  </si>
  <si>
    <t>KP/001571</t>
  </si>
  <si>
    <t>IN/001197</t>
  </si>
  <si>
    <t>Ingreep schoolroute in Aalst op N411 - Moorsel Dorp</t>
  </si>
  <si>
    <t>WOV/INV/N411/2</t>
  </si>
  <si>
    <t>KP/001572</t>
  </si>
  <si>
    <t>IN/001198</t>
  </si>
  <si>
    <t>Horizontale signalisatie in Horebeke op N454 tussen 'Ketse' en lagere school</t>
  </si>
  <si>
    <t>WOV/INV/N454/8</t>
  </si>
  <si>
    <t>KP/001573</t>
  </si>
  <si>
    <t>IN/001199</t>
  </si>
  <si>
    <t>SRK: N43 Geraardsbergen: markeren fietspad</t>
  </si>
  <si>
    <t>markeren fietspad op klinkers</t>
  </si>
  <si>
    <t>WOV/INV/N42/8</t>
  </si>
  <si>
    <t>KP/001578</t>
  </si>
  <si>
    <t>IN/001200</t>
  </si>
  <si>
    <t>Ingreep schoolroute in Geraardsbergen op N460 - Aalstsesteenweg</t>
  </si>
  <si>
    <t>KP/001580</t>
  </si>
  <si>
    <t>IN/001201</t>
  </si>
  <si>
    <t>VERWIJDEREN inbegrepen in andere ingreep Ingreep schoolroute in Geraardsbergen op kruispunt N42/Molendreef</t>
  </si>
  <si>
    <t>IN/001202</t>
  </si>
  <si>
    <t>Ingreep schoolroute in Geraardsbergen op Kruispunt N42 (Astridlaan)/ Felicien Cauwelstraat</t>
  </si>
  <si>
    <t>WOV/INV/N42/2</t>
  </si>
  <si>
    <t>KP/001581</t>
  </si>
  <si>
    <t>KP/001646</t>
  </si>
  <si>
    <t>KP/001586</t>
  </si>
  <si>
    <t>IN/001203</t>
  </si>
  <si>
    <t>Ingreep schoolroute in Lebbeke op Rondpunt Brusselsesteenweg - Flor Hofmanslaan</t>
  </si>
  <si>
    <t>WOV/INV/N47/7</t>
  </si>
  <si>
    <t>KP/001588</t>
  </si>
  <si>
    <t>IN/001204</t>
  </si>
  <si>
    <t>Ingreep schoolroute in Ninove op Locatie – N405 Albertlaan (ter hoogte van Snoekgrachtweg)</t>
  </si>
  <si>
    <t>KP/001589</t>
  </si>
  <si>
    <t>IN/001205</t>
  </si>
  <si>
    <t>Gevleugeld zebrapad in Ninove op Locatie N405 Aalstersesteenweg ter hoogte van huisnummer 24</t>
  </si>
  <si>
    <t>WOV/INV/N405/5</t>
  </si>
  <si>
    <t>KP/001591</t>
  </si>
  <si>
    <t>IN/001206</t>
  </si>
  <si>
    <t>Ingreep schoolroute in Ninove op Geraardsbergsesteenweg, thv De Hazelaar</t>
  </si>
  <si>
    <t>WOV/INV/N460/7</t>
  </si>
  <si>
    <t>KP/001593</t>
  </si>
  <si>
    <t>IN/001207</t>
  </si>
  <si>
    <t>Ingreep schoolroute in Wetteren op Lokaal thv alle schoolomgevingen</t>
  </si>
  <si>
    <t>WOV/INV/N400/2</t>
  </si>
  <si>
    <t>KP/001594</t>
  </si>
  <si>
    <t>IN/001208</t>
  </si>
  <si>
    <t>WOV/INV/N407/3</t>
  </si>
  <si>
    <t>KP/001605</t>
  </si>
  <si>
    <t>IN/001209</t>
  </si>
  <si>
    <t>Ingreep schoolroute in Oudenaarde op Abdijstraat N46) x Lotharingenstraat</t>
  </si>
  <si>
    <t>WOV/INV/N46/10</t>
  </si>
  <si>
    <t>KP/001606</t>
  </si>
  <si>
    <t>IN/001210</t>
  </si>
  <si>
    <t>Ingreep schoolroute in Oudenaarde op Weldenstraat (N46) x M. Lambrechtsstraat x Sleegstraat</t>
  </si>
  <si>
    <t>WOV/INV/N46/4</t>
  </si>
  <si>
    <t>KP/001611</t>
  </si>
  <si>
    <t>IN/001211</t>
  </si>
  <si>
    <t>Ingreep schoolroute in Lede op Kruispunt N442 Wichelse steenweg x Meirveld</t>
  </si>
  <si>
    <t>KP/001612</t>
  </si>
  <si>
    <t>IN/001212</t>
  </si>
  <si>
    <t>Ingreep schoolroute in Gavere op Kruispunt N444 - N415 (Staatsbaan)</t>
  </si>
  <si>
    <t>WOV/INV/N415/7</t>
  </si>
  <si>
    <t>KP/001615</t>
  </si>
  <si>
    <t>IN/001213</t>
  </si>
  <si>
    <t>Ingreep schoolroute in Brakel op Kruispunt N8-Heyveld</t>
  </si>
  <si>
    <t>KP/001616</t>
  </si>
  <si>
    <t>IN/001214</t>
  </si>
  <si>
    <t>Ingreep schoolroute in Brakel op Kruispunt N462-Driehoekstraat/Molenhoekstraat</t>
  </si>
  <si>
    <t>WOV/INV/N462/5</t>
  </si>
  <si>
    <t>KP/001617</t>
  </si>
  <si>
    <t>IN/001215</t>
  </si>
  <si>
    <t>Ingreep schoolroute in Berlare op N445: Kruisstraat, Fortstraat, Burgs. De Lausnaystraat schoolomgeving vrije basisschool Sint-Jozef</t>
  </si>
  <si>
    <t>WOV/INV/N445/4</t>
  </si>
  <si>
    <t>KP/001619</t>
  </si>
  <si>
    <t>IN/001216</t>
  </si>
  <si>
    <t>Ingreep schoolroute in Dendermonde op Kruispunt Mevrouw Courtmanspark - Ouburg</t>
  </si>
  <si>
    <t>WOV/INV/N406/3</t>
  </si>
  <si>
    <t>KP/001620</t>
  </si>
  <si>
    <t>IN/001217</t>
  </si>
  <si>
    <t>Ingreep schoolroute in Dendermonde op Kruispunt Sint-Gillislaan - Weggevoerdenstraat - Cleophas Heyvaertstraat</t>
  </si>
  <si>
    <t>KP/001621</t>
  </si>
  <si>
    <t>IN/001218</t>
  </si>
  <si>
    <t>Ingreep schoolroute in Dendermonde op Kruispunt Tragel - Gentsesteenweg</t>
  </si>
  <si>
    <t>WOV/INV/N406/4</t>
  </si>
  <si>
    <t>KP/001622</t>
  </si>
  <si>
    <t>IN/001219</t>
  </si>
  <si>
    <t>Ingreep schoolroute in Dendermonde op N416 (Bevrijdingslaan) tussen Vrijstraat en Lindestraat</t>
  </si>
  <si>
    <t>WOV/INV/N416/5</t>
  </si>
  <si>
    <t>KP/001623</t>
  </si>
  <si>
    <t>IN/001220</t>
  </si>
  <si>
    <t>Ingreep schoolroute in Dendermonde op N470 (Grootzand) tussen Stuivenbergstraat en Zeelsebaan</t>
  </si>
  <si>
    <t>WOV/INV/N470/6</t>
  </si>
  <si>
    <t>KP/001624</t>
  </si>
  <si>
    <t>IN/001221</t>
  </si>
  <si>
    <t>Ingreep schoolroute in Dendermonde op Kruispunt Baasrodestraat - Rosstraat</t>
  </si>
  <si>
    <t>KP/001625</t>
  </si>
  <si>
    <t>IN/001222</t>
  </si>
  <si>
    <t>Ingreep schoolroute in Assenede op Kruipunt Noordstraat (N458) met Graafjanstraat en Tingelhoek.</t>
  </si>
  <si>
    <t>WOV/INV/N458/7</t>
  </si>
  <si>
    <t>KP/001626</t>
  </si>
  <si>
    <t>IN/001223</t>
  </si>
  <si>
    <t>Ingreep schoolroute in Assenede op Kruispunt Ertveldesteenweg (N448) met Oosteeklodorp (N448) en Koning Albertstraat.</t>
  </si>
  <si>
    <t>KP/001628</t>
  </si>
  <si>
    <t>IN/001224</t>
  </si>
  <si>
    <t>Ingreep schoolroute in Haaltert op Beekstraat/Kerkskendorp</t>
  </si>
  <si>
    <t>WOV/INV/N460/8</t>
  </si>
  <si>
    <t>KP/001629</t>
  </si>
  <si>
    <t>IN/001225</t>
  </si>
  <si>
    <t>SRK: N9 Melle-Wetteren: fietspaden heraanleggen op Brusselsesteenweg tussen Oude Heirbaan en station Kwatrecht</t>
  </si>
  <si>
    <t>WOV/INV/N9/21</t>
  </si>
  <si>
    <t>KP/001630</t>
  </si>
  <si>
    <t>IN/001226</t>
  </si>
  <si>
    <t>Ingreep schoolroute in Melle op Fietspaden Brusselsesteenweg tussen Ringvaart en Melle Leeuw</t>
  </si>
  <si>
    <t>WOV/INV/N9/22</t>
  </si>
  <si>
    <t>KP/001633</t>
  </si>
  <si>
    <t>IN/001227</t>
  </si>
  <si>
    <t>Ingreep schoolroute in Melle op Geraardsbergsesteenweg doortocht Gontrode</t>
  </si>
  <si>
    <t>WOV/INV/N465/4</t>
  </si>
  <si>
    <t>KP/001635</t>
  </si>
  <si>
    <t>IN/001228</t>
  </si>
  <si>
    <t>Ingreep schoolroute in Aalst op N406 - Gijzegem-Dorp/Pachthofstraat</t>
  </si>
  <si>
    <t>WOV/INV/N406/5</t>
  </si>
  <si>
    <t>IN/001229</t>
  </si>
  <si>
    <t>Ingreep schoolroute in Geraardsbergen op N493 - Oudenaardsestraat</t>
  </si>
  <si>
    <t>WOV/INV/N493/1</t>
  </si>
  <si>
    <t>KP/001637</t>
  </si>
  <si>
    <t>IN/001230</t>
  </si>
  <si>
    <t>SRK: N493 Geraardsbergen: verlagen boordsteen</t>
  </si>
  <si>
    <t>WOV/INV/N493/2</t>
  </si>
  <si>
    <t>KP/001638</t>
  </si>
  <si>
    <t>IN/001231</t>
  </si>
  <si>
    <t>WOV/INV/N493/3</t>
  </si>
  <si>
    <t>IN/001232</t>
  </si>
  <si>
    <t>Ingreep schoolroute in Geraardsbergen op N495 - Edingseweg - Zonnebloemstraat</t>
  </si>
  <si>
    <t>WOV/INV/N495/2</t>
  </si>
  <si>
    <t>KP/001641</t>
  </si>
  <si>
    <t>IN/001233</t>
  </si>
  <si>
    <t>WOV/INV/N495/3</t>
  </si>
  <si>
    <t>KP/001642</t>
  </si>
  <si>
    <t>IN/001234</t>
  </si>
  <si>
    <t>WOV/INV/N495/4</t>
  </si>
  <si>
    <t>KP/001643</t>
  </si>
  <si>
    <t>IN/001235</t>
  </si>
  <si>
    <t>SRK: N8 Geraardsbergen: fietsoversteken over dit kruispunt accentueren</t>
  </si>
  <si>
    <t>WOV/INV/N8/11</t>
  </si>
  <si>
    <t>KP/001647</t>
  </si>
  <si>
    <t>IN/001236</t>
  </si>
  <si>
    <t>SRK: N70 Sint-Niklaas: aanpassing VRI</t>
  </si>
  <si>
    <t>WOV/INV/NX/5</t>
  </si>
  <si>
    <t>KP/001655</t>
  </si>
  <si>
    <t>KS826 - N459 - Bruwaan - Fase : studieresultaten 2021. Prioriteit 3. Geen veilige oversteekplaats voor voetgangers en fietsers om de Deinzestraat over te steken richting centrum komend van Industriepark de Bruwaan. Busreizigers staan vaak op het fietspad te wachten.</t>
  </si>
  <si>
    <t>IN/001237</t>
  </si>
  <si>
    <t>Ingreep schoolroute in Oudenaarde op Deinzestraat (N459) x Industriepark De Bruwaan</t>
  </si>
  <si>
    <t>KP/001656</t>
  </si>
  <si>
    <t>KS834 - N442 - Nieuwstraat - Fase : studieresultaten 2022. Zou normaliter deel uitmaken van de studie van de doortocht van de N442.</t>
  </si>
  <si>
    <t>IN/001238</t>
  </si>
  <si>
    <t>Ingreep schoolroute in Lede op Kruispunt N442 Markt met Nieuwstraat</t>
  </si>
  <si>
    <t>WOV/INV/N442/3</t>
  </si>
  <si>
    <t>KP/001657</t>
  </si>
  <si>
    <t>IN/001239</t>
  </si>
  <si>
    <t>Ingreep schoolroute in Lede op kruispunt Hoogstraat (N442) met Julius De Geyterstraat</t>
  </si>
  <si>
    <t>WOV/INV/N442/4</t>
  </si>
  <si>
    <t>KP/001456</t>
  </si>
  <si>
    <t>KS231 - 2 VOP's niet zichtbaar genoeg als het donker is. Is oversteek naar gehucht Donk.</t>
  </si>
  <si>
    <t>IN/001240</t>
  </si>
  <si>
    <t>Plaatsing VVOP</t>
  </si>
  <si>
    <t>WA/INV/N18/16</t>
  </si>
  <si>
    <t>IN/001241</t>
  </si>
  <si>
    <t>KP/001365</t>
  </si>
  <si>
    <t>KS322 - Vanaf de Ranstsesteenweg komen heel wat fietsers die in Lier naar school gaan. Zij volgen het fietspad van de Ranstsesteenweg en steken dan meteen de N14 over. Dit leidt tot gevaarlijke situaties en filevorming op de N14.</t>
  </si>
  <si>
    <t>IN/001242</t>
  </si>
  <si>
    <t>Bypassen worden weggewerkt, mee onder de VRI</t>
  </si>
  <si>
    <t>KP/001375</t>
  </si>
  <si>
    <t>KS390 - Voertuigen rijden te snel voorbij schoolpoort. Ouders moeten bijna allemaal gewestweg oversteken met hun kinderen en ondervinden een onveilige situatie ondanks de zone 30.</t>
  </si>
  <si>
    <t>IN/001243</t>
  </si>
  <si>
    <t>Ingreep schoolroute KS390 - Naamsesteenweg</t>
  </si>
  <si>
    <t>- vervolledigen VVOP\n\n</t>
  </si>
  <si>
    <t>WL/INV/N80/4</t>
  </si>
  <si>
    <t>IN/001244</t>
  </si>
  <si>
    <t>nieuwe ingreep</t>
  </si>
  <si>
    <t>IN/001245</t>
  </si>
  <si>
    <t>SRK: N494 Wortegem-Petegem: aanleg fietssuggestiestroken</t>
  </si>
  <si>
    <t>Aanleg fietssuggestiestroken;\nAanpassing wegbeeld (gevat in ks 375).</t>
  </si>
  <si>
    <t>WOV/INV/N494/4</t>
  </si>
  <si>
    <t>KP/001711</t>
  </si>
  <si>
    <t>Mia Proeftuin</t>
  </si>
  <si>
    <t>IN/001246</t>
  </si>
  <si>
    <t>Kruispunt N399 met Baronielaan te Meulebeke - fietsoversteek</t>
  </si>
  <si>
    <t>WWV/INV/N399/2</t>
  </si>
  <si>
    <t>KP/001696</t>
  </si>
  <si>
    <t>IN/001247</t>
  </si>
  <si>
    <t>Beveiliging oversteken Bijlanderpad</t>
  </si>
  <si>
    <t>Uitvoering conform PCV</t>
  </si>
  <si>
    <t>WWV/INV/N331/2</t>
  </si>
  <si>
    <t>KP/001697</t>
  </si>
  <si>
    <t>IN/001248</t>
  </si>
  <si>
    <t>Poorteffect N314 Mesen</t>
  </si>
  <si>
    <t>Aanleg van een poorteffect op de N314 bij het binnenrijden van Mesen, vóór Covameat.</t>
  </si>
  <si>
    <t>WWV/INV/N314/2</t>
  </si>
  <si>
    <t>KP/001698</t>
  </si>
  <si>
    <t>IN/001249</t>
  </si>
  <si>
    <t>Verbeteren oversteekbaarheid fietsers N38</t>
  </si>
  <si>
    <t>Verplaatsen fietspad, creëren nieuwe oversteek over de N38 en over de N313 conform PCV. Aanleg nieuwe bushaltes ikv nieuwe lijnvoering.</t>
  </si>
  <si>
    <t>WWV/INV/N38/3</t>
  </si>
  <si>
    <t>KP/001699</t>
  </si>
  <si>
    <t>IN/001250</t>
  </si>
  <si>
    <t>Vrijliggend maken fietspaden op rotonde.</t>
  </si>
  <si>
    <t>WWV/INV/N313/4</t>
  </si>
  <si>
    <t>KP/001700</t>
  </si>
  <si>
    <t>IN/001251</t>
  </si>
  <si>
    <t>Poorteffect Geluwe</t>
  </si>
  <si>
    <t>Poorteffect bij het binnenrijden van de bebouwde kom Geluwe.</t>
  </si>
  <si>
    <t>WWV/INV/N8/29</t>
  </si>
  <si>
    <t>KP/001701</t>
  </si>
  <si>
    <t>IN/001252</t>
  </si>
  <si>
    <t>Aanleg dubbelrichtingsfietspad tussen de Victoriastraat en de Galooiestraat</t>
  </si>
  <si>
    <t>Missing link lokaal fietsnetwerk.</t>
  </si>
  <si>
    <t>WWV/INV/N322/3</t>
  </si>
  <si>
    <t>KP/000825</t>
  </si>
  <si>
    <t>KS038 - Op dit kruispunt is de gewestweg vrij breed om over te steken, nl. 2 rijvakken en een voorsorteerstrook. Het snelheidsregime om de gewestweg t.h.v. de kruispunt is 70 km/u. Het kruispunt wordt vaak gebruikt door leerlingen die in Bovekerke wonen en die in het centrum van Koelare naar school gaan met de fiets (2 middelbare scholen).</t>
  </si>
  <si>
    <t>IN/001253</t>
  </si>
  <si>
    <t>Fietsoversteek Bovekerkestraat</t>
  </si>
  <si>
    <t>Creëren fietsoversteek met rustpunt ter hoogte van de Bovekerkestraat</t>
  </si>
  <si>
    <t>WWV/INV/N363/2</t>
  </si>
  <si>
    <t>KP/001702</t>
  </si>
  <si>
    <t>KP/001705</t>
  </si>
  <si>
    <t>IN/001254</t>
  </si>
  <si>
    <t>Beveiligen kruispunt Eikenlaan</t>
  </si>
  <si>
    <t>Aanleg in- en uitvoegstrook van en naar de Eikenlaan</t>
  </si>
  <si>
    <t>WWV/INV/N382/12</t>
  </si>
  <si>
    <t>IN/001255</t>
  </si>
  <si>
    <t>Herindeling wegvak N494 Wortegemsesteenweg</t>
  </si>
  <si>
    <t>Versmallen rijweg, asverschuivingen, herindeling rijweg. Binnen bebouwde kom.</t>
  </si>
  <si>
    <t>WWV/INV/N494/2</t>
  </si>
  <si>
    <t>KP/001703</t>
  </si>
  <si>
    <t>KP/001704</t>
  </si>
  <si>
    <t>IN/001256</t>
  </si>
  <si>
    <t>Beveiligen ontsluiting Menen-Grensland</t>
  </si>
  <si>
    <t>WWV/INV/N338/1</t>
  </si>
  <si>
    <t>KP/001706</t>
  </si>
  <si>
    <t>IN/001257</t>
  </si>
  <si>
    <t>Beveiligen wegvak tussen Lendelede en Kuurne</t>
  </si>
  <si>
    <t>Aanleg middenberm om inhaalmanoeuvres die aanleiding geven tot frontale ongevallen uit te sluiten.</t>
  </si>
  <si>
    <t>WWV/INV/N36/11</t>
  </si>
  <si>
    <t>KP/001707</t>
  </si>
  <si>
    <t>IN/001258</t>
  </si>
  <si>
    <t>Optimaliseren kruispunt</t>
  </si>
  <si>
    <t>Naar aanleiding van de afbraak van het hoekgebouw in de noordwestelijke hoek van het kruispunt wordt het kruispunt geoptimaliseerd.</t>
  </si>
  <si>
    <t>WWV/INV/N8/28</t>
  </si>
  <si>
    <t>KP/001708</t>
  </si>
  <si>
    <t>IN/001259</t>
  </si>
  <si>
    <t>aanleg oversteken en fietspad tussen Schelde en Nijverheidslaan</t>
  </si>
  <si>
    <t>Aanleg dubbelrichtingsfietspad en oversteken.</t>
  </si>
  <si>
    <t>WWV/INV/N391/2</t>
  </si>
  <si>
    <t>KP/001709</t>
  </si>
  <si>
    <t>IN/001260</t>
  </si>
  <si>
    <t>herindeling wegvak</t>
  </si>
  <si>
    <t>markeren ontbrekend stuk fietspad, herindelen openbare weg, oversteek Guldensporenpad.</t>
  </si>
  <si>
    <t>WWV/INV/N353/3</t>
  </si>
  <si>
    <t>KP/001710</t>
  </si>
  <si>
    <t>IN/001261</t>
  </si>
  <si>
    <t>Aanpassing fietsinfrastructuur op het lichtengeregeld kruispunt</t>
  </si>
  <si>
    <t>Herinrichting kruispunt N399/N327</t>
  </si>
  <si>
    <t>WWV/INV/N327/4</t>
  </si>
  <si>
    <t>KP/001362</t>
  </si>
  <si>
    <t>KS317 - Gevaarlijke situaties voor fietser en voetgangers omwille van in en uitrijdend verkeer van de parkeervakken.</t>
  </si>
  <si>
    <t>IN/001262</t>
  </si>
  <si>
    <t>Creëren rustpunt tvv fietssnelweg F351</t>
  </si>
  <si>
    <t>Sluit aan op fietspadenproject provincie</t>
  </si>
  <si>
    <t>WWV/INV/N36/10</t>
  </si>
  <si>
    <t>KP/001713</t>
  </si>
  <si>
    <t>KP/001205</t>
  </si>
  <si>
    <t>KS611 - geen veilige fietsoversteken thv Spoorwegstraat (van en naar de fietstunnel station)</t>
  </si>
  <si>
    <t>IN/001263</t>
  </si>
  <si>
    <t>Kruispunt N50904 - N357</t>
  </si>
  <si>
    <t>Beveiligen kruispunt N357 met de Spoorwegstraat</t>
  </si>
  <si>
    <t>WWV/INV/N357/7</t>
  </si>
  <si>
    <t>KP/001407</t>
  </si>
  <si>
    <t>KS607 - fietsers komen van het fietspad en komen dan op de rijweg terecht - fietsers worden naar rand rijweg gedrukt</t>
  </si>
  <si>
    <t>KP/001714</t>
  </si>
  <si>
    <t>KP/001715</t>
  </si>
  <si>
    <t>IN/001264</t>
  </si>
  <si>
    <t>Fietsrelance R22 VIlvoorde / Grimbergen- overlagen vrijliggende fietspaden</t>
  </si>
  <si>
    <t>R22 Vilvoorde / Grimbergen - frezen 3cm beton en aanlag toplaag AB-4D 3 cm</t>
  </si>
  <si>
    <t>WVB/INV/R22/3</t>
  </si>
  <si>
    <t>KP/001716</t>
  </si>
  <si>
    <t>N4 Overijse - uitbreken klinkers en aanleg verharding KWS - Plaatselijk aanleg / vervangen boordstenen</t>
  </si>
  <si>
    <t>IN/001265</t>
  </si>
  <si>
    <t>Fietsrelance N4 - vervangen klinkers door asfaltverharding</t>
  </si>
  <si>
    <t>WVB/INV/N4/7</t>
  </si>
  <si>
    <t>IN/001266</t>
  </si>
  <si>
    <t>DUBBEL AANGEMAAKT - MAG VERWIJERD WORDEN</t>
  </si>
  <si>
    <t>N26 - Aanleg vrijliggende fietspaden tussen Pontstraat/Audenhovelaan en Kallebeekstraat\n        - Aanpassen kruispunten nav VT/PCV/BOO/N26/2238</t>
  </si>
  <si>
    <t>KP/000961</t>
  </si>
  <si>
    <t>IN/001267</t>
  </si>
  <si>
    <t>Fietsrelance N26 Boortmeerbeek  - Aanleggen vrijliggende fietspaden + aanpassen kruispunten nav PCV Tussen Pontsraat/Audenhovenlaan en Kallebeekstraat</t>
  </si>
  <si>
    <t>N26 Boortmeerbeek  - Aanleggen vrijliggende fietspaden + aanpassen kruispunten nav PCV Tussen Pontsraat/Audenhovenlaan en Kallebeekstraat\nVT/PCV/BOO/N26/2238</t>
  </si>
  <si>
    <t>WVB/INV/N26/15</t>
  </si>
  <si>
    <t>KP/001717</t>
  </si>
  <si>
    <t>IN/001268</t>
  </si>
  <si>
    <t>Fietsrelance N207 Liedekerke - Muilestraat aanpassen fietspaden</t>
  </si>
  <si>
    <t>Fietsrelance N207 Liedekerke - Muilestraat aanpassen fietspaden na werken EW</t>
  </si>
  <si>
    <t>WVB/INV/N207/4</t>
  </si>
  <si>
    <t>IN/001269</t>
  </si>
  <si>
    <t>Fietsrelance N207 Liedekerke - Kleemputtenstraat aanpassen fietspaden na werken EW</t>
  </si>
  <si>
    <t>Liedekerke aanpassingen van fietspaden nav aanpassingen VRI-installatie</t>
  </si>
  <si>
    <t>WVB/INV/N207/5</t>
  </si>
  <si>
    <t>KP/001121</t>
  </si>
  <si>
    <t>KS493 - Onveilige oversteekplaats tussen Weertersteenweg en Doorslagstraat</t>
  </si>
  <si>
    <t>IN/001270</t>
  </si>
  <si>
    <t>fietsoversteken met middengeleider (PM studiebureau aan te stellen MC3)</t>
  </si>
  <si>
    <t>WL/INV/N762/5</t>
  </si>
  <si>
    <t>KP/000980</t>
  </si>
  <si>
    <t>KS240 - Ontbreken van voetpad tot aan de VOP.</t>
  </si>
  <si>
    <t>IN/001271</t>
  </si>
  <si>
    <t>Knelpunt op schoolroute: aanleg ontbrekend stuk voetpad</t>
  </si>
  <si>
    <t>voetpad</t>
  </si>
  <si>
    <t>WL/INV/N730/24</t>
  </si>
  <si>
    <t>KP/001686</t>
  </si>
  <si>
    <t>IN/001272</t>
  </si>
  <si>
    <t>Hermarkeren van linksafslagstrook</t>
  </si>
  <si>
    <t>Verbeteren verkeersveiligheid gemotoriseerd verkeer.</t>
  </si>
  <si>
    <t>WL/INV/N2/14</t>
  </si>
  <si>
    <t>KP/000181</t>
  </si>
  <si>
    <t>IN/001273</t>
  </si>
  <si>
    <t>N285 Fietspaden relanceplan 2021</t>
  </si>
  <si>
    <t>Aanpak aanliggende fietspaden in Ternat opN285 5.3 - 9.4\n\nverhoogd fietspad maken en lijnvormig element tussen rijbaan en fietspad (excl. stukken die reeds vernieuwd werden) + aanpassen kruispunt Kraanstraat, aanleg beveiligde fietsoversteek\n</t>
  </si>
  <si>
    <t>WVB/INV/N285/7</t>
  </si>
  <si>
    <t>IN/001274</t>
  </si>
  <si>
    <t>N355 Relance fiets Koksijde</t>
  </si>
  <si>
    <t>WWV/INV/N355/1</t>
  </si>
  <si>
    <t>IN/001275</t>
  </si>
  <si>
    <t>VVOP/VFOP Schoolroute</t>
  </si>
  <si>
    <t>KP/001666</t>
  </si>
  <si>
    <t>IN/001276</t>
  </si>
  <si>
    <t>Renovatie wegdek bruggen over E313</t>
  </si>
  <si>
    <t>Verbeteren comfort voetganger en fietser. Verbeteren verkeersveiligheid onderdoorgaand gemotoriseerd verkeer.</t>
  </si>
  <si>
    <t>WL/INV/A13/6</t>
  </si>
  <si>
    <t>KP/001667</t>
  </si>
  <si>
    <t>KP/001668</t>
  </si>
  <si>
    <t>KP/001669</t>
  </si>
  <si>
    <t>KP/001679</t>
  </si>
  <si>
    <t>IN/001277</t>
  </si>
  <si>
    <t>Heraanleg fietspad</t>
  </si>
  <si>
    <t>Verbeteren verkeersveiligheid en comfort fietser.</t>
  </si>
  <si>
    <t>WL/INV/N77/4</t>
  </si>
  <si>
    <t>KP/001494</t>
  </si>
  <si>
    <t>IN/001278</t>
  </si>
  <si>
    <t>aanpassen markeringen N416 Moleneinde</t>
  </si>
  <si>
    <t>aanpassen markeringen conform plan J Van Lokeren</t>
  </si>
  <si>
    <t>KP/000463</t>
  </si>
  <si>
    <t>IN/001279</t>
  </si>
  <si>
    <t>ombouw VRI naar Actieplan</t>
  </si>
  <si>
    <t>KP/000722</t>
  </si>
  <si>
    <t>IN/001280</t>
  </si>
  <si>
    <t>Linksaf conflict vrijmaken met dubbelrichtingsfietspad</t>
  </si>
  <si>
    <t>WA/INV/N177/11</t>
  </si>
  <si>
    <t>IN/001281</t>
  </si>
  <si>
    <t>Punctuele verlichting</t>
  </si>
  <si>
    <t>WL/INV/N719/9</t>
  </si>
  <si>
    <t>IN/001282</t>
  </si>
  <si>
    <t>Aanpassen kruispunt N184 Luitenant Lippenslaan x Dokter Van de Perrelei</t>
  </si>
  <si>
    <t>Fietsinfrastructuur voorzien op kruispunt. (huidig rijden fietsers gemengd vanuit de zijstraat)\nPCV AN-282\nhttps://service.projectplace.com/#direct/card/12506414</t>
  </si>
  <si>
    <t>WA/INV/N184/1</t>
  </si>
  <si>
    <t>KP/000704</t>
  </si>
  <si>
    <t>IN/001283</t>
  </si>
  <si>
    <t>Aanpassingen in- en uitrit containerpark</t>
  </si>
  <si>
    <t>WA/INV/R10/5</t>
  </si>
  <si>
    <t>IN/001284</t>
  </si>
  <si>
    <t>Inrichting Fietsstraat</t>
  </si>
  <si>
    <t>Inrichting als fietsstraat</t>
  </si>
  <si>
    <t>WA/INV/N12/15</t>
  </si>
  <si>
    <t>KP/000695</t>
  </si>
  <si>
    <t>KP/000696</t>
  </si>
  <si>
    <t>KP/000714</t>
  </si>
  <si>
    <t>KP/001821</t>
  </si>
  <si>
    <t>KP/003885</t>
  </si>
  <si>
    <t>KP/003886</t>
  </si>
  <si>
    <t>KP/000574</t>
  </si>
  <si>
    <t>IN/001285</t>
  </si>
  <si>
    <t>Aanpassen VRI + Infrawerken</t>
  </si>
  <si>
    <t>Besluit PCV 05-10-2021:\nDe rechtafslagbewegingen vanaf de N60 worden opgenomen in de verkeerslichten. De bypassen worden verwijderd. De verkeerslichten op de N60 krijgen een conflictvrije regeling. De zijtakken worden niet uitgerust met een conflictvrije regeling. De noordwestelijke hoek van het kruispunt wordt gedeeltelijk overrijdbaar aangelegd. \nAfspraken:\nV&amp;S: opmaak plan \nVWT: opmaak V-plan \nD411: uitvoeren plan \nEW: uitvoeren V-plan\n</t>
  </si>
  <si>
    <t>WOV/INV/N452/1</t>
  </si>
  <si>
    <t>KP/001662</t>
  </si>
  <si>
    <t>KS866 - N60 - Grenadierslaan - Fase : afstemming fietsverkeerslichten thv kruispunt N60 – Grenadierslaan + aanpassen fietssluis.</t>
  </si>
  <si>
    <t>KP/001658</t>
  </si>
  <si>
    <t>KS862 - N35 - Warandestraat - Fase : bredere veilige oversteek</t>
  </si>
  <si>
    <t>IN/001286</t>
  </si>
  <si>
    <t>SRK: N35 Nazareth: fietsoversteekplaats</t>
  </si>
  <si>
    <t>Besluit PCV 05-10-2021 : Er worden 2 fietsoversteken aangebracht ter hoogte van de Warandestraat (zie plan dossier). De linksafslagstroken worden ingekort om deze fietsoversteken te kunnen realiseren.\n\nhttps://apps.mow.vlaanderen.be/pcv/#/dossiers/OV-619</t>
  </si>
  <si>
    <t>WOV/INV/N35/2</t>
  </si>
  <si>
    <t>IN/001287</t>
  </si>
  <si>
    <t>Fietspaden accentueren (WOV/INV/R4/5 - AID reeds reeds toegewezen)</t>
  </si>
  <si>
    <t>Het AWV zal de fietspaden over dit kruispunt accentueren</t>
  </si>
  <si>
    <t>KP/000950</t>
  </si>
  <si>
    <t>KS208 - Scholieren/fietsers richting de Schalbroekstraat moeten N725 oversteken de Beukenboomstraat, scholieren richting centrum moeten bijkomend iets verder het kruispunt Ringlaan/Beukenboomstraat (Kerkstraat) nemen.  Beide zijn gevaarlijke oversteken voor fietsers</t>
  </si>
  <si>
    <t>IN/001288</t>
  </si>
  <si>
    <t>QW schoolroutes: verharden kasseistrook voor extra opstelruimte</t>
  </si>
  <si>
    <t>IN/001289</t>
  </si>
  <si>
    <t>R42 met Raapstraat : Conflictvrij maken. Sint-Niklaas. (Relance Raamcontract)</t>
  </si>
  <si>
    <t>IN/001290</t>
  </si>
  <si>
    <t>N70 x Oude Bareelstraat: Veilige oversteek. (Relance Raamcontract)</t>
  </si>
  <si>
    <t>WOV/INV/N70/17</t>
  </si>
  <si>
    <t>IN/001291</t>
  </si>
  <si>
    <t>VRI: nieuwe installatie plaatsen in Zelzate : R4 Kanaalstraat met Vredekaai en Westkade. (Relance Raamcontract)</t>
  </si>
  <si>
    <t>iVRI</t>
  </si>
  <si>
    <t>WOV/INV/R4/8</t>
  </si>
  <si>
    <t>KP/001636</t>
  </si>
  <si>
    <t>IN/001292</t>
  </si>
  <si>
    <t>SRK: N493 Geraardsbergen: verlagen boordsteen en afvlakken holle greppel</t>
  </si>
  <si>
    <t>WOV/INV/N493/5</t>
  </si>
  <si>
    <t>IN/001293</t>
  </si>
  <si>
    <t>SRK: N493 Geraardsbergen: aanpassing fietspad</t>
  </si>
  <si>
    <t>Verlagen boordsteen, aanpassen weggoot</t>
  </si>
  <si>
    <t>WOV/INV/N493/4</t>
  </si>
  <si>
    <t>KP/000778</t>
  </si>
  <si>
    <t>IN/001294</t>
  </si>
  <si>
    <t>Gaston Roelandtsstraat, Kanaalstraat</t>
  </si>
  <si>
    <t>snelheidsverlaging - middengeleider als rustpunt voetgangers en verbetering oversteekbaarheid oprijdende voertuigen, markeringen</t>
  </si>
  <si>
    <t>WWV/INV/N50/11</t>
  </si>
  <si>
    <t>KP/000756</t>
  </si>
  <si>
    <t>IN/001295</t>
  </si>
  <si>
    <t>Heusden-Zolder : Brugstraat, Koerselsebaan, Poorthoevestraat, Sint-Willibrordusplein</t>
  </si>
  <si>
    <t>Fietser uit voorrang op rotonde</t>
  </si>
  <si>
    <t>WL/INV/NX/1</t>
  </si>
  <si>
    <t>KP/000741</t>
  </si>
  <si>
    <t>IN/001296</t>
  </si>
  <si>
    <t>Genk : Halmstraat, Onderwijslaan</t>
  </si>
  <si>
    <t>in 2020 middenberm gesloten thv Halmstraat + flankerende maatregelen op nabij kruispunt met Putmosstraat</t>
  </si>
  <si>
    <t>WL/INV/N744/4</t>
  </si>
  <si>
    <t>KP/001723</t>
  </si>
  <si>
    <t>IN/001297</t>
  </si>
  <si>
    <t>Fiets: N28 Ninove: vernieuwen van fietspad</t>
  </si>
  <si>
    <t>vernieuwen van fietspad in afwachting van herinrichting</t>
  </si>
  <si>
    <t>WOV/INV/N28/3</t>
  </si>
  <si>
    <t>IN/001298</t>
  </si>
  <si>
    <t>SRK: N445 Berlare: aanbrengen oversteekplaats ter hoogte van schooluitgang</t>
  </si>
  <si>
    <t>zebrapad aanbrengen</t>
  </si>
  <si>
    <t>WOV/INV/N445/5</t>
  </si>
  <si>
    <t>KP/000770</t>
  </si>
  <si>
    <t>IN/001299</t>
  </si>
  <si>
    <t>Uitvoering PCV WV-146</t>
  </si>
  <si>
    <t>plaatsen LED-verlichting op rotonde, aanpassen bestaande verlichting, verhogen middeneiland, aanpakken toeleidende rijstroken vanuit Wallonië, aanpak afrit snelweg vanuit Frankrijk.\n\n\nDe stad vraagt om in 2e instantie ook voor deze omgeving en cfr studie departement Beleid een carpoolparking te voorzien.</t>
  </si>
  <si>
    <t>WWV/INV/N58/2</t>
  </si>
  <si>
    <t>KP/001725</t>
  </si>
  <si>
    <t>Verkeersonveilige Situatie</t>
  </si>
  <si>
    <t>IN/001300</t>
  </si>
  <si>
    <t>aanpassen markeringen en uitbuigen fietspad</t>
  </si>
  <si>
    <t>fietspad meer in het zicht van het autoverkeer brengen</t>
  </si>
  <si>
    <t>WOV/INV/N17/5</t>
  </si>
  <si>
    <t>IN/001301</t>
  </si>
  <si>
    <t>Turnhout: Graatakker, Parklaan, Steenweg op Zevendonk</t>
  </si>
  <si>
    <t>WA/INV/N19/9</t>
  </si>
  <si>
    <t>KP/000762</t>
  </si>
  <si>
    <t>IN/001302</t>
  </si>
  <si>
    <t>VRI conform actieplan Oude Menenpoort</t>
  </si>
  <si>
    <t>KP/000728</t>
  </si>
  <si>
    <t>IN/001303</t>
  </si>
  <si>
    <t>VRI volgens actieplan Lappersfort</t>
  </si>
  <si>
    <t>KP/001729</t>
  </si>
  <si>
    <t>huidige enkelrichtingsfietspaden zijn in zeer slechte staat\nDit is het wegvak tussen Jezus-Eik en Overijse. Voor scholieren naar de middelbare scholen in Overijse, voor werknemers naar de bedrijven langs en de directe omgeving van de N4 en voor fietsers naar de (vele) winkels langs deze gewestweg en naar Overijse-centrum is dit de meest directe route.</t>
  </si>
  <si>
    <t>IN/001304</t>
  </si>
  <si>
    <t>Ingreep fietspad Relance N4 Overijse</t>
  </si>
  <si>
    <t>KP/001730</t>
  </si>
  <si>
    <t>tussen kilometerpunt 22,0 en 24,3\nhuidige enkelrichtingsfietspaden zijn in zeer slechte staat\nDit is het wegvak tussen Bertem- en Leuven. Voor scholieren en studenten naar campussen en middelbare scholen in Leuven, voor werknemers naar UZ Gasthuisberg of andere tewerkstellingszones (zoals Imec) en andere fietsers is dit de meest directe route.\nTijdens het asfaltonderhoud dat AWV op deze plaats uitvoerde in de zomer van 2020 werden vele meldingen ontvangen van de slechte staat van het fietspad.\n</t>
  </si>
  <si>
    <t>IN/001305</t>
  </si>
  <si>
    <t>N3 Bertem Relance Fiets</t>
  </si>
  <si>
    <t>WVB/INV/N3/15</t>
  </si>
  <si>
    <t>IN/001306</t>
  </si>
  <si>
    <t>Brusselsesteenweg:aanleg fietspaden tussen Walton en Termerestraat Relance Fiets</t>
  </si>
  <si>
    <t>Brusselsesteenweg:aanleg fietspaden tussen Walton en Termerestraat\n\nOndertussen hebben wij vastgesteld dat het aantal onteigeningen voor dit project beperkt zijn tot 15 stuks. Voor dit project waren middelen voorzien in 2023. Volgens onze huidige planning zullen wij deze werken in 2022 kunnen aanbesteden.\nIn dit project zullen we de huidige ‘moordstrookjes’ omvormen tot vrijliggende, 2m brede fietspaden.\n</t>
  </si>
  <si>
    <t>KP/001671</t>
  </si>
  <si>
    <t>IN/001307</t>
  </si>
  <si>
    <t>Aanpak voetpaden brug N744 over E314</t>
  </si>
  <si>
    <t>asfalteren van de voetpaden op de brug van de N744 over E314. Verbeteren verkeersveiligheid en comfort voetganger, en veiligheid onderdoorgaand gemotoriseerd verkeer.</t>
  </si>
  <si>
    <t>WL/INV/N744/5</t>
  </si>
  <si>
    <t>KP/001734</t>
  </si>
  <si>
    <t>Onaangepaste Halte Ov</t>
  </si>
  <si>
    <t>IN/001308</t>
  </si>
  <si>
    <t>Heraanleg bushaltes N9 Asse Ter Heide (kerk / Buda / Heuvelstraat)</t>
  </si>
  <si>
    <t>Aanpassen huidige verouderde haltes</t>
  </si>
  <si>
    <t>WVB/INV/N9/4</t>
  </si>
  <si>
    <t>KP/001382</t>
  </si>
  <si>
    <t>KS443 - geen oversteekbaarheid voor voetgangers en fietsers</t>
  </si>
  <si>
    <t>IN/001309</t>
  </si>
  <si>
    <t>Herent VVOP N2 x Van Couwenhovelaan</t>
  </si>
  <si>
    <t>VVOP plaatsen</t>
  </si>
  <si>
    <t>WVB/INV/N2/23</t>
  </si>
  <si>
    <t>KP/001381</t>
  </si>
  <si>
    <t>KS442 - geen oversteekbaarheid voor voetgangers en fietsers</t>
  </si>
  <si>
    <t>IN/001310</t>
  </si>
  <si>
    <t>Herent VVOP N2 x Grote molenweg</t>
  </si>
  <si>
    <t>WVB/INV/N2/22</t>
  </si>
  <si>
    <t>IN/001311</t>
  </si>
  <si>
    <t>Boortmeerbeek VRI plaatsen kruispunt Bieststraat</t>
  </si>
  <si>
    <t>VRI plaatsen\nPCV VB-328</t>
  </si>
  <si>
    <t>WVB/INV/N26/17</t>
  </si>
  <si>
    <t>IN/001312</t>
  </si>
  <si>
    <t>Boortmeerbeek VVOP plaatsen kruispunt Guido Gezellestraat</t>
  </si>
  <si>
    <t>WVB/INV/N26/16</t>
  </si>
  <si>
    <t>KP/001296</t>
  </si>
  <si>
    <t>KS772 - 2. Verbodsbord bromfietsen klasse B op fietspad: (N3 t.h.v. kruispunt Kasteelstraat): speed pedelecs werden vergeten.</t>
  </si>
  <si>
    <t>IN/001313</t>
  </si>
  <si>
    <t>Onderbord verwijderen en vervangen</t>
  </si>
  <si>
    <t>WVB/INV/N3/13</t>
  </si>
  <si>
    <t>KP/001732</t>
  </si>
  <si>
    <t>IN/001314</t>
  </si>
  <si>
    <t>dubbelrichtingsfietspad + oversteek</t>
  </si>
  <si>
    <t>dubbelrichtingsfietpad achter groenstrook aanleggen + oversteek naar overzijde\n\nOPW legt fietssuggestiestroken aan</t>
  </si>
  <si>
    <t>WVB/INV/N211/4</t>
  </si>
  <si>
    <t>IN/001315</t>
  </si>
  <si>
    <t>Verlagen boordstenen oversteekplaats</t>
  </si>
  <si>
    <t>WL/INV/N730/12</t>
  </si>
  <si>
    <t>IN/001316</t>
  </si>
  <si>
    <t>Verbetering oversteekvoorzieningen (olv PM studiebureau MC3; aan te stellen)</t>
  </si>
  <si>
    <t>zebrapad verplaatsen; punctueel verlichten; voetpad vrij van obstakels maken</t>
  </si>
  <si>
    <t>WL/INV/N76/27</t>
  </si>
  <si>
    <t>KP/000981</t>
  </si>
  <si>
    <t>KS241 - Te hoge kantstrook.</t>
  </si>
  <si>
    <t>IN/001317</t>
  </si>
  <si>
    <t>Verlagen van boordstenen</t>
  </si>
  <si>
    <t>uitgevoerd op relancebudget bestek oneffenheden</t>
  </si>
  <si>
    <t>WL/INV/N730/23</t>
  </si>
  <si>
    <t>IN/001318</t>
  </si>
  <si>
    <t>Conflictvrije fietsoversteek R30 - fietssnelweg F31</t>
  </si>
  <si>
    <t>Verkeerslichten in afstemming met vlaamse waterweg</t>
  </si>
  <si>
    <t>KP/001736</t>
  </si>
  <si>
    <t>IN/001319</t>
  </si>
  <si>
    <t>N327 Tielt Gruuthusestraat</t>
  </si>
  <si>
    <t>Vernieuwen fietspaden, parkeerstroken in samenwerking met stad Tielt (vernieuwen voetpaden) naar aanleiding van invoeren éénrichtingsverkeer</t>
  </si>
  <si>
    <t>WWV/INV/N327/5</t>
  </si>
  <si>
    <t>KP/000127</t>
  </si>
  <si>
    <t>IN/001320</t>
  </si>
  <si>
    <t>N311</t>
  </si>
  <si>
    <t>Plaatselijke herstelling betonplaten</t>
  </si>
  <si>
    <t>WWV/INV/N311/2</t>
  </si>
  <si>
    <t>IN/001321</t>
  </si>
  <si>
    <t>N36 - Plaatselijke herstel kmpnt 5.1 - 5.25 (relance)</t>
  </si>
  <si>
    <t>Plaatselijk herstel fietspad thv kmpnt 5.1-5.25\n- Deels opbraak beton en vervanging door asfalt\n- Deels plaatselijk herstel betonplaten</t>
  </si>
  <si>
    <t>WWV/INV/N36/19</t>
  </si>
  <si>
    <t>KP/001737</t>
  </si>
  <si>
    <t>Aanpak aanliggende fietspaden in Brugge R30 - B4 - 4.200 - 4.696 - Gentpoort - Katelijnepoort</t>
  </si>
  <si>
    <t>IN/001322</t>
  </si>
  <si>
    <t>WWV/INV/R30/11</t>
  </si>
  <si>
    <t>IN/001323</t>
  </si>
  <si>
    <t>Omschrijving Doorsteken fietspaden verbreden + vernieuwen toplaag (250.000)</t>
  </si>
  <si>
    <t>WWV/INV/N8/32</t>
  </si>
  <si>
    <t>IN/001324</t>
  </si>
  <si>
    <t>VRI volgens actieplan Vierkant groen</t>
  </si>
  <si>
    <t>KP/001712</t>
  </si>
  <si>
    <t>IN/001325</t>
  </si>
  <si>
    <t>N33 Zomerstraat Torhout</t>
  </si>
  <si>
    <t>Oversteek fietsers ter hoogte van kruispunt</t>
  </si>
  <si>
    <t>WWV/INV/N33/3</t>
  </si>
  <si>
    <t>KP/001680</t>
  </si>
  <si>
    <t>IN/001326</t>
  </si>
  <si>
    <t>Aanpassing aansluiting Schansvijverstraat</t>
  </si>
  <si>
    <t>Deze aansluiting wordt ontdubbeld om:\n- lagere inrijsnelheden te bekomen\n- minder conflict met de fietser te bekomen\n\nVerbeteren verkeersveiligheid fietser en gemotoriseerd verkeer.</t>
  </si>
  <si>
    <t>WL/INV/N72/19</t>
  </si>
  <si>
    <t>KP/001471</t>
  </si>
  <si>
    <t>IN/001327</t>
  </si>
  <si>
    <t>N446 Waasmunster Vernieuwen Durmebrug</t>
  </si>
  <si>
    <t>WOV/INV/N446/3</t>
  </si>
  <si>
    <t>IN/001328</t>
  </si>
  <si>
    <t>N403 SintGillisWs heraanleg Vosdrf tot Vlasrootst</t>
  </si>
  <si>
    <t>WOV/INV/N403/1</t>
  </si>
  <si>
    <t>KP/001474</t>
  </si>
  <si>
    <t>IN/001329</t>
  </si>
  <si>
    <t>N446 Waasmunster fietspaden ten zuiden complex E17</t>
  </si>
  <si>
    <t>WOV/INV/N446/2</t>
  </si>
  <si>
    <t>KP/002044</t>
  </si>
  <si>
    <t>IN/001330</t>
  </si>
  <si>
    <t>N112 WIJNEGEM - overdracht</t>
  </si>
  <si>
    <t>WA/INV/N112/2</t>
  </si>
  <si>
    <t>IN/001331</t>
  </si>
  <si>
    <t>N467 Berlare doortocht</t>
  </si>
  <si>
    <t>WOV/INV/N467/1</t>
  </si>
  <si>
    <t>IN/001332</t>
  </si>
  <si>
    <t>N485 Kruibeke Temse heraanleg tussen E17 en N419</t>
  </si>
  <si>
    <t>WOV/INV/N485/1</t>
  </si>
  <si>
    <t>IN/001333</t>
  </si>
  <si>
    <t>N470 Hamme SO bij mod13   nieuwe aantakking op N41</t>
  </si>
  <si>
    <t>WOV/INV/N470/2</t>
  </si>
  <si>
    <t>KP/000752</t>
  </si>
  <si>
    <t>IN/001335</t>
  </si>
  <si>
    <t>Ontsluiting parallelweg op complex Moerbeke</t>
  </si>
  <si>
    <t>WOV/INV/A11/1</t>
  </si>
  <si>
    <t>IN/001336</t>
  </si>
  <si>
    <t>N470 Dendermonde heraanleg bij mod 13</t>
  </si>
  <si>
    <t>WOV/INV/N470/1</t>
  </si>
  <si>
    <t>IN/001337</t>
  </si>
  <si>
    <t>N419 Kruibeke structureel onderhoud bij Aquafinpro</t>
  </si>
  <si>
    <t>WOV/INV/N419/1</t>
  </si>
  <si>
    <t>IN/001338</t>
  </si>
  <si>
    <t>R42 Sint-Niklaas en Temse Oostelijke Tangent</t>
  </si>
  <si>
    <t>WOV/INV/R42/1</t>
  </si>
  <si>
    <t>IN/001339</t>
  </si>
  <si>
    <t>N355 Koksijde: herinrichten Veurnevaartstraat</t>
  </si>
  <si>
    <t>WWV/INV/NX/2</t>
  </si>
  <si>
    <t>IN/001340</t>
  </si>
  <si>
    <t>N8 Avelgem, aanleg fietspaden Rugge - Kerkhove</t>
  </si>
  <si>
    <t>WWV/INV/N8/30</t>
  </si>
  <si>
    <t>IN/001341</t>
  </si>
  <si>
    <t>carpoolparking II Deerlijk</t>
  </si>
  <si>
    <t>WWV/INV/N36/12</t>
  </si>
  <si>
    <t>KP/000729</t>
  </si>
  <si>
    <t>IN/001342</t>
  </si>
  <si>
    <t>N34/F34 Wenduine - Blankenberge</t>
  </si>
  <si>
    <t>WWV/INV/N34/11</t>
  </si>
  <si>
    <t>IN/001343</t>
  </si>
  <si>
    <t>N34/F34 Blankenberge - Zeebrugge</t>
  </si>
  <si>
    <t>WWV/INV/N34/12</t>
  </si>
  <si>
    <t>IN/001344</t>
  </si>
  <si>
    <t>N37 Ardooie Herinrichten BUBEKO</t>
  </si>
  <si>
    <t>WWV/INV/N37/4</t>
  </si>
  <si>
    <t>IN/001345</t>
  </si>
  <si>
    <t>N78 Maaseik, Stad aan de Maas - beplanting</t>
  </si>
  <si>
    <t>WL/INV/N78/25</t>
  </si>
  <si>
    <t>IN/001346</t>
  </si>
  <si>
    <t>N761 Maaseik, Pater Sangersbrug</t>
  </si>
  <si>
    <t>WL/INV/N761/1</t>
  </si>
  <si>
    <t>KP/000785</t>
  </si>
  <si>
    <t>IN/001347</t>
  </si>
  <si>
    <t>Sint-Niklaas : Kettermuitstraat, N41 Richting Aalst, N41 Richting Hulst (Nl), Nieuwe Steenweg, Steenweg Hulst-Lessen</t>
  </si>
  <si>
    <t>KP/000731</t>
  </si>
  <si>
    <t>IN/001348</t>
  </si>
  <si>
    <t>Dendermonde : Grootzand, Martelarenlaan, Zeelsebaan (Actieplan VRI)</t>
  </si>
  <si>
    <t>KP/000693</t>
  </si>
  <si>
    <t>IN/001349</t>
  </si>
  <si>
    <t>Aalst : Albrechtlaan, Leopoldlaan, Moorselbaan, Onze Lieve Vrouwplein (Actieplan VRI)</t>
  </si>
  <si>
    <t>KP/000562</t>
  </si>
  <si>
    <t>IN/001350</t>
  </si>
  <si>
    <t>Melle : N9 Brusselsesteenweg met op- en afrit R4 Binnenring</t>
  </si>
  <si>
    <t>IN/001351</t>
  </si>
  <si>
    <t>N43 x Vlasstraat</t>
  </si>
  <si>
    <t>conflictvrije fase voor voetgangers over de N43</t>
  </si>
  <si>
    <t>WWV/INV/N43/7</t>
  </si>
  <si>
    <t>IN/001352</t>
  </si>
  <si>
    <t>Verbinding Zwevegem Knokke Bossuit</t>
  </si>
  <si>
    <t>WWV/INV/NX/3</t>
  </si>
  <si>
    <t>IN/001353</t>
  </si>
  <si>
    <t>R0 - Faunapassage Hertenlaan (Hoeilaart)</t>
  </si>
  <si>
    <t>WVB/INV/R0/6</t>
  </si>
  <si>
    <t>KP/000928</t>
  </si>
  <si>
    <t>IN/001354</t>
  </si>
  <si>
    <t>Kampenhout VVOP N21 x Rubenslaan</t>
  </si>
  <si>
    <t>VVOP ter hoogte van de wijk Hutte voorzien</t>
  </si>
  <si>
    <t>WVB/INV/N21/13</t>
  </si>
  <si>
    <t>IN/001355</t>
  </si>
  <si>
    <t>Ingreep schoolroute in Overijse op Waversesteenweg N4, deel tussen Grotstraat en Vossebeekweg: aanleg middeneilanden</t>
  </si>
  <si>
    <t>ZIE OOK IN/000980\n\nQW1: verplaatsen bebouwde kom, verlagen snelheidslimiet naar 50 km/u</t>
  </si>
  <si>
    <t>WVB/INV/N4/8</t>
  </si>
  <si>
    <t>IN/001356</t>
  </si>
  <si>
    <t>Ingreep schoolroute in Overijse op Waversesteenweg N4, deel tussen Grotstraat en Vossebeekweg: aanleg toeleidende fietspaden op Hertstraat</t>
  </si>
  <si>
    <t>ZIE IN/000980\n\n</t>
  </si>
  <si>
    <t>WVB/INV/N4/9</t>
  </si>
  <si>
    <t>KP/001307</t>
  </si>
  <si>
    <t>KS795 - Oversteekplaatsen N21</t>
  </si>
  <si>
    <t>IN/001357</t>
  </si>
  <si>
    <t>Steenokkerzeel VOP voorzien thv Zonneboslaan en Beukendreef</t>
  </si>
  <si>
    <t>Aanpassen lichtenregeling en BOB nodig?\nVVOP of VOP + VRI voorzien?</t>
  </si>
  <si>
    <t>KP/001739</t>
  </si>
  <si>
    <t>IN/001358</t>
  </si>
  <si>
    <t>bundelbestek regio zuid</t>
  </si>
  <si>
    <t>structureel onderhoud</t>
  </si>
  <si>
    <t>KP/000712</t>
  </si>
  <si>
    <t>IN/001359</t>
  </si>
  <si>
    <t>Antwerpen : Krijgsbaan, R11 Richting Hoboken</t>
  </si>
  <si>
    <t>WA/INV/R11/7</t>
  </si>
  <si>
    <t>IN/001360</t>
  </si>
  <si>
    <t>Verbinding Ieper-Veurne</t>
  </si>
  <si>
    <t>WWV/INV/N8/31</t>
  </si>
  <si>
    <t>IN/001361</t>
  </si>
  <si>
    <t>N371 Zuienkerke - heraanleg + fietspaden</t>
  </si>
  <si>
    <t>WWV/INV/N371/4</t>
  </si>
  <si>
    <t>IN/001362</t>
  </si>
  <si>
    <t>Bundelbestek 2022 VVR Aalst en Vlaamse Ardennen</t>
  </si>
  <si>
    <t>Bundelbestek: Structureel onderhoud N41 (rijweg + fietspaden)\n\nFietsrelance:\n- Structureel Onderhoud - conforme fietspaden in Berlare op N467  2.76 - 6.56\n- Structureel Onderhoud - bijna conforme fietspaden in Aalst op N9  27.1 - 28.5\n- Structureel Onderhoud - fietspaden in Aalst op N405  0.0 - 1.8\n- Structureel Onderhoud - conforme fietspaden in Aalst op N405  3.1 - 4.5\n</t>
  </si>
  <si>
    <t>WOV/INV/N41/4</t>
  </si>
  <si>
    <t>KP/001569</t>
  </si>
  <si>
    <t>IN/001363</t>
  </si>
  <si>
    <t>N386 De Panne - aanleg fietspaden Duinhoekstraat</t>
  </si>
  <si>
    <t>WWV/INV/N386/1</t>
  </si>
  <si>
    <t>IN/001364</t>
  </si>
  <si>
    <t>N34 Koksijde - herinrichting i.k.v. trambedding</t>
  </si>
  <si>
    <t>WWV/INV/N34/13</t>
  </si>
  <si>
    <t>KP/001741</t>
  </si>
  <si>
    <t>IN/001365</t>
  </si>
  <si>
    <t>R4 Gent multimodale ontsluiting Eiland Zwijnaarde</t>
  </si>
  <si>
    <t>WOV/INV/R4/7</t>
  </si>
  <si>
    <t>IN/001366</t>
  </si>
  <si>
    <t>N461 Gent heraanleg Antoon Catriestraat</t>
  </si>
  <si>
    <t>WOV/INV/N461/1</t>
  </si>
  <si>
    <t>KP/000765</t>
  </si>
  <si>
    <t>IN/001367</t>
  </si>
  <si>
    <t>Lanaken : Maastrichterweg, Steenselbergweg</t>
  </si>
  <si>
    <t>Fietspad zijstraat in rode slem\n</t>
  </si>
  <si>
    <t>WL/INV/N77/9</t>
  </si>
  <si>
    <t>IN/001368</t>
  </si>
  <si>
    <t>Trajectcontrole</t>
  </si>
  <si>
    <t>KP/000705</t>
  </si>
  <si>
    <t>IN/001369</t>
  </si>
  <si>
    <t>Antwerpen : Binnensingel, Pretoriastraat, Uitbreidingstraat, Zurenborgbrug</t>
  </si>
  <si>
    <t>Uitrol VLCC</t>
  </si>
  <si>
    <t>WA/INV/R10/6</t>
  </si>
  <si>
    <t>KP/000697</t>
  </si>
  <si>
    <t>IN/001370</t>
  </si>
  <si>
    <t>Antwerpen : Bisschoppenhoflaan, Kruiningenstraat</t>
  </si>
  <si>
    <t>WA/INV/N120/5</t>
  </si>
  <si>
    <t>IN/001371</t>
  </si>
  <si>
    <t>E314 Genk Renovatie brug B19</t>
  </si>
  <si>
    <t>WL/INV/A2/6</t>
  </si>
  <si>
    <t>IN/001372</t>
  </si>
  <si>
    <t>N358 Oostende - struct. ond. langs oever aMT</t>
  </si>
  <si>
    <t>WWV/INV/N358/4</t>
  </si>
  <si>
    <t>IN/001373</t>
  </si>
  <si>
    <t>N419 Zwijndrecht herprofilering brug</t>
  </si>
  <si>
    <t>IN/001374</t>
  </si>
  <si>
    <t>Doortochtstudie N13 te Nijlen</t>
  </si>
  <si>
    <t>WA/INV/N13/17</t>
  </si>
  <si>
    <t>IN/001375</t>
  </si>
  <si>
    <t>Asverschuiving en middengeleider</t>
  </si>
  <si>
    <t>IN/001376</t>
  </si>
  <si>
    <t>Doortochtstudie N13 te Kessel</t>
  </si>
  <si>
    <t>WA/INV/N13/18</t>
  </si>
  <si>
    <t>IN/001377</t>
  </si>
  <si>
    <t>N407 Wetteren Heraanleg</t>
  </si>
  <si>
    <t>WOV/INV/N407/1</t>
  </si>
  <si>
    <t>IN/001378</t>
  </si>
  <si>
    <t>Studie voor een fietserstunnel in de R14  te Geel</t>
  </si>
  <si>
    <t>WA/INV/R14/2</t>
  </si>
  <si>
    <t>IN/001379</t>
  </si>
  <si>
    <t>N415 en N435 Zwalm vervangen duikers</t>
  </si>
  <si>
    <t>WOV/INV/N415/1</t>
  </si>
  <si>
    <t>IN/001380</t>
  </si>
  <si>
    <t>N8 Brakel Zegelsem Kleiberg herinrichting (mod 13)</t>
  </si>
  <si>
    <t>WOV/INV/N8/5</t>
  </si>
  <si>
    <t>IN/001381</t>
  </si>
  <si>
    <t>N016 projectMER complex Puurs Bornem</t>
  </si>
  <si>
    <t>WA/INV/N016/4</t>
  </si>
  <si>
    <t>IN/001382</t>
  </si>
  <si>
    <t>N416 Wichelen - Dendermonde aanleg fietspaden</t>
  </si>
  <si>
    <t>WOV/INV/N416/1</t>
  </si>
  <si>
    <t>IN/001383</t>
  </si>
  <si>
    <t>N442 Lede heraanleg doortocht</t>
  </si>
  <si>
    <t>WOV/INV/N442/1</t>
  </si>
  <si>
    <t>IN/001384</t>
  </si>
  <si>
    <t>N8 Geraardsbergen,Lierde,Zottegem,Brakel module 13</t>
  </si>
  <si>
    <t>WOV/INV/N8/8</t>
  </si>
  <si>
    <t>IN/001385</t>
  </si>
  <si>
    <t>N444 Merelbeke Structureel onderhoud Rijweg</t>
  </si>
  <si>
    <t>WOV/INV/N444/2</t>
  </si>
  <si>
    <t>KP/001563</t>
  </si>
  <si>
    <t>IN/001386</t>
  </si>
  <si>
    <t>N444 Merelbeke Ombouw kruispunt Guldensporenlaan</t>
  </si>
  <si>
    <t>WOV/INV/N444/4</t>
  </si>
  <si>
    <t>KP/003928</t>
  </si>
  <si>
    <t>IN/001387</t>
  </si>
  <si>
    <t>N290 - Verbindingsriolering Kwetsenbeek Merchtem</t>
  </si>
  <si>
    <t>WVB/INV/N290/2</t>
  </si>
  <si>
    <t>IN/001388</t>
  </si>
  <si>
    <t>A13 Hoeselt ; Renovatie brug O87</t>
  </si>
  <si>
    <t>WL/INV/A13/8</t>
  </si>
  <si>
    <t>IN/001389</t>
  </si>
  <si>
    <t>Gevaarlijk Punt: N9 Aalst : lichtenregeling aanpassen</t>
  </si>
  <si>
    <t>Lichtenregeling aangepast in 2019 (doorstromingsmaatregel);\nHekwerk geplaatst in 2020;\nAlfred Nichelsstraat, De Gheeststraat, De Vilanderstraat.</t>
  </si>
  <si>
    <t>WOV/INV/N9/23</t>
  </si>
  <si>
    <t>IN/001390</t>
  </si>
  <si>
    <t>N253 VAPEO ECODUCT Huldenberg Langerode</t>
  </si>
  <si>
    <t>WVB/INV/N253/11</t>
  </si>
  <si>
    <t>IN/001392</t>
  </si>
  <si>
    <t>N73 Studie ontsluiting Reigersvliet</t>
  </si>
  <si>
    <t>WL/INV/N73/2</t>
  </si>
  <si>
    <t>IN/001393</t>
  </si>
  <si>
    <t>Harelbeke: Gentsesteenweg, Kortrijksesteenweg, N395a Parallelweg R8 Noord, N43 Richting Gent, N43 Richting Moeskroen, R8 Buitenring, R8 Buitenring Oprit 5</t>
  </si>
  <si>
    <t>Fietspaden buiten kruispunt getrokken</t>
  </si>
  <si>
    <t>WWV/INV/R8/3</t>
  </si>
  <si>
    <t>IN/001394</t>
  </si>
  <si>
    <t>N78 Renovatie rijweg Lanaken Briegden</t>
  </si>
  <si>
    <t>WL/INV/N78/26</t>
  </si>
  <si>
    <t>IN/001395</t>
  </si>
  <si>
    <t>A2 Renovatie brug O6 Lummen</t>
  </si>
  <si>
    <t>WL/INV/A2/7</t>
  </si>
  <si>
    <t>IN/001396</t>
  </si>
  <si>
    <t>N748: Renovatie brug Sint-Huibrechts-Lille II</t>
  </si>
  <si>
    <t>WL/INV/N748/6</t>
  </si>
  <si>
    <t>IN/001397</t>
  </si>
  <si>
    <t>N458 Gent heraanleg Kluizensesteenweg</t>
  </si>
  <si>
    <t>WOV/INV/N458/2</t>
  </si>
  <si>
    <t>IN/001398</t>
  </si>
  <si>
    <t>N43 St-Martens-Latem afkoppeling regenwater</t>
  </si>
  <si>
    <t>WOV/INV/N43/1</t>
  </si>
  <si>
    <t>IN/001399</t>
  </si>
  <si>
    <t>N43 Gent heraanleg kruispunt Driekoningenstraat</t>
  </si>
  <si>
    <t>WOV/INV/N43/3</t>
  </si>
  <si>
    <t>IN/001400</t>
  </si>
  <si>
    <t>N466 Gent aanleg fietspaden en riolering</t>
  </si>
  <si>
    <t>WOV/INV/N466/2</t>
  </si>
  <si>
    <t>IN/001401</t>
  </si>
  <si>
    <t>N60 Nazareth ondertunneling rotonde Begoniastraat</t>
  </si>
  <si>
    <t>WOV/INV/N60/4</t>
  </si>
  <si>
    <t>IN/001402</t>
  </si>
  <si>
    <t>N437 Nazareth structureel onderhoud bij module 13</t>
  </si>
  <si>
    <t>WOV/INV/N437/4</t>
  </si>
  <si>
    <t>IN/001403</t>
  </si>
  <si>
    <t>N424 Gent structureel onderhoud Weba-Eurosilos</t>
  </si>
  <si>
    <t>WOV/INV/N424/1</t>
  </si>
  <si>
    <t>IN/001404</t>
  </si>
  <si>
    <t>N723 Herinrichting stationsomgeving As</t>
  </si>
  <si>
    <t>WL/INV/N723/3</t>
  </si>
  <si>
    <t>IN/001405</t>
  </si>
  <si>
    <t>A10 - Nieuwe brug Lombeekstraat (Affligem)</t>
  </si>
  <si>
    <t>WVB/INV/A10/2</t>
  </si>
  <si>
    <t>IN/001406</t>
  </si>
  <si>
    <t>N447 Destelbergen aanleg fietspaden</t>
  </si>
  <si>
    <t>WOV/INV/N447/1</t>
  </si>
  <si>
    <t>IN/001407</t>
  </si>
  <si>
    <t>N60 Gent heraanleg zone Bollebergen</t>
  </si>
  <si>
    <t>WOV/INV/N60/5</t>
  </si>
  <si>
    <t>IN/001408</t>
  </si>
  <si>
    <t>:</t>
  </si>
  <si>
    <t>WOV/INV/N60/6</t>
  </si>
  <si>
    <t>IN/001409</t>
  </si>
  <si>
    <t>N424 Gent herinrichting knooppunt met N456</t>
  </si>
  <si>
    <t>WOV/INV/N424/3</t>
  </si>
  <si>
    <t>IN/001410</t>
  </si>
  <si>
    <t>N44 Maldegem ontsluiting bedrijventerrein</t>
  </si>
  <si>
    <t>WOV/INV/N44/3</t>
  </si>
  <si>
    <t>IN/001411</t>
  </si>
  <si>
    <t>N458 Gent heraanleg Wiedauwkaai</t>
  </si>
  <si>
    <t>WOV/INV/N458/3</t>
  </si>
  <si>
    <t>IN/001412</t>
  </si>
  <si>
    <t>N253 Fietspaden tussen E411 en Nijvelsebaan</t>
  </si>
  <si>
    <t>WVB/INV/N253/12</t>
  </si>
  <si>
    <t>IN/001417</t>
  </si>
  <si>
    <t>E40 Geluidsschermen noord thv Fonteinstr/Waverseb</t>
  </si>
  <si>
    <t>WVB/INV/A3/12</t>
  </si>
  <si>
    <t>KP/001743</t>
  </si>
  <si>
    <t>IN/001418</t>
  </si>
  <si>
    <t>omleiden fietspad achter bushaltes</t>
  </si>
  <si>
    <t>WVB/INV/N207/6</t>
  </si>
  <si>
    <t>IN/001419</t>
  </si>
  <si>
    <t>R8 Kortrijk - brug in de Steenstraat</t>
  </si>
  <si>
    <t>WWV/INV/R8/2</t>
  </si>
  <si>
    <t>IN/001420</t>
  </si>
  <si>
    <t>A013 - ZANDHOVEN - Vapeo Ecotunnels</t>
  </si>
  <si>
    <t>WA/INV/A013/5</t>
  </si>
  <si>
    <t>IN/001421</t>
  </si>
  <si>
    <t>Haaltert : N45 met Eigenstraat</t>
  </si>
  <si>
    <t>Toevoegen voorseertstroken rechtsaf</t>
  </si>
  <si>
    <t>WOV/INV/NX/2</t>
  </si>
  <si>
    <t>IN/001422</t>
  </si>
  <si>
    <t>A021 structureel onderhoud E34 Turnhout - NL grens</t>
  </si>
  <si>
    <t>WA/INV/A021/1</t>
  </si>
  <si>
    <t>IN/001423</t>
  </si>
  <si>
    <t>A21/100 Brugvoegen Postel</t>
  </si>
  <si>
    <t>WA/INV/A021/2</t>
  </si>
  <si>
    <t>IN/001424</t>
  </si>
  <si>
    <t>Ingreep Schoolroute Zwijndrecht N70 thv nr.71-73</t>
  </si>
  <si>
    <t>KP/002037</t>
  </si>
  <si>
    <t>IN/001425</t>
  </si>
  <si>
    <t>A021 Ranst Bushaltes en uitbreiding P R</t>
  </si>
  <si>
    <t>WA/INV/A021/4</t>
  </si>
  <si>
    <t>IN/001426</t>
  </si>
  <si>
    <t>N001 Mechelen onderhoud tss R12 en Walem   FP</t>
  </si>
  <si>
    <t>WA/INV/N001/7</t>
  </si>
  <si>
    <t>IN/001427</t>
  </si>
  <si>
    <t>A021 herinrichting van de complexen 24, 25 en 26</t>
  </si>
  <si>
    <t>WA/INV/A021/5</t>
  </si>
  <si>
    <t>IN/001428</t>
  </si>
  <si>
    <t>A013 - ZANDHOVEN GELUIDSSCHERMEN 1</t>
  </si>
  <si>
    <t>WA/INV/A013/6</t>
  </si>
  <si>
    <t>IN/001429</t>
  </si>
  <si>
    <t>A021 VAPEO: 10 ecotunnels en 3 ecoduikers</t>
  </si>
  <si>
    <t>WA/INV/A021/3</t>
  </si>
  <si>
    <t>IN/001430</t>
  </si>
  <si>
    <t>N012/56 Beerse SO VII ontsluiting industrie</t>
  </si>
  <si>
    <t>WA/INV/N012/3</t>
  </si>
  <si>
    <t>IN/001431</t>
  </si>
  <si>
    <t>N012 Ravels SO tss Ravels &amp; Weelde</t>
  </si>
  <si>
    <t>WA/INV/N012/5</t>
  </si>
  <si>
    <t>IN/001432</t>
  </si>
  <si>
    <t>N012 Ravels SO tss Poppel &amp; grens NL</t>
  </si>
  <si>
    <t>WA/INV/N012/6</t>
  </si>
  <si>
    <t>KP/000856</t>
  </si>
  <si>
    <t>KS073 - Gevaarlijk om over te steken. Er is momenteel geen veilige oversteekplaats/zebrapad voorzien.</t>
  </si>
  <si>
    <t>IN/001433</t>
  </si>
  <si>
    <t>Ingreep schoolroute Wuustwezel N1 x Kruisweg</t>
  </si>
  <si>
    <t>WA/INV/N1/23</t>
  </si>
  <si>
    <t>KP/001334</t>
  </si>
  <si>
    <t>KS075 - Fietsers komende uit de Donkweg rijden vlak naast de drukke gewestweg om het fietspad op te draaien. Er is geen scheiding/afstand tussen gewestweg en de fietsers.</t>
  </si>
  <si>
    <t>IN/001434</t>
  </si>
  <si>
    <t>Ingreep Schoolroute Wuustwezel N144 x Donkweg</t>
  </si>
  <si>
    <t>WA/INV/N144/1</t>
  </si>
  <si>
    <t>KP/001744</t>
  </si>
  <si>
    <t>IN/001435</t>
  </si>
  <si>
    <t>N211-N276</t>
  </si>
  <si>
    <t>aanpassen oversteken voor fietsers en aanleggen van begin 2-richtingsfietspad tussen A12 en N276</t>
  </si>
  <si>
    <t>WVB/INV/N211/3</t>
  </si>
  <si>
    <t>IN/001436</t>
  </si>
  <si>
    <t>N012 Vosselaar structureel onderhoud</t>
  </si>
  <si>
    <t>WA/INV/N12/6</t>
  </si>
  <si>
    <t>IN/001437</t>
  </si>
  <si>
    <t>N012 Oud-Turnhout structureel onderhoud Oosthoven</t>
  </si>
  <si>
    <t>WA/INV/N012/8</t>
  </si>
  <si>
    <t>IN/001438</t>
  </si>
  <si>
    <t>N012 Turnhout onteigeningen mod13</t>
  </si>
  <si>
    <t>WA/INV/N012/9</t>
  </si>
  <si>
    <t>IN/001439</t>
  </si>
  <si>
    <t>N12 - Ravels - missing Link fietsapden</t>
  </si>
  <si>
    <t>WA/INV/N012/10</t>
  </si>
  <si>
    <t>KP/001745</t>
  </si>
  <si>
    <t>IN/001440</t>
  </si>
  <si>
    <t>Lummen: N717 Schomstraat</t>
  </si>
  <si>
    <t>Aanpassen van de aansluiting van de Schomstraat aan de N717 zodat deze minder verwarring veroorzaakt en de fietser hier voorrang heeft. Verbeteren verkeersveiligheid fietser.</t>
  </si>
  <si>
    <t>WL/INV/N717/6</t>
  </si>
  <si>
    <t>KP/001746</t>
  </si>
  <si>
    <t>IN/001441</t>
  </si>
  <si>
    <t>Hechtel - Eksel: N74 amfibietunnel</t>
  </si>
  <si>
    <t>realiseren amfibietunnel onder gewestweg (afrit N74). Verbeteren verkeersveiligheid voetgangers (vrijwilligers).</t>
  </si>
  <si>
    <t>WL/INV/N74/9</t>
  </si>
  <si>
    <t>KP/001747</t>
  </si>
  <si>
    <t>IN/001442</t>
  </si>
  <si>
    <t>Houthalen-Helchteren: N719 De Ramp</t>
  </si>
  <si>
    <t>Verbeteren verkeersveiligheid fietser.</t>
  </si>
  <si>
    <t>WL/INV/N719/8</t>
  </si>
  <si>
    <t>KP/001748</t>
  </si>
  <si>
    <t>IN/001443</t>
  </si>
  <si>
    <t>Leopoldsburg: N72 vergroenen berm</t>
  </si>
  <si>
    <t>Verwijderen van dolomietverharding en begroeiing aanbrengen om wildparkeren tegen te gaan. Verbeteren verkeersveiligheid voetganger.</t>
  </si>
  <si>
    <t>WL/INV/N72/20</t>
  </si>
  <si>
    <t>IN/001444</t>
  </si>
  <si>
    <t>N73 Ontsluiting gevangenis Leopoldsburg</t>
  </si>
  <si>
    <t>WL/INV/N73/22</t>
  </si>
  <si>
    <t>KP/001749</t>
  </si>
  <si>
    <t>IN/001445</t>
  </si>
  <si>
    <t>Lommel: N71 fietstunnel</t>
  </si>
  <si>
    <t>Vervangen van verharding in betonklinkers door asfalt. Herschilderen + antigraffiticoating op tunnelwanden. Verbeteren verkeersveiligheid en comfort fietser.</t>
  </si>
  <si>
    <t>WL/INV/N71/7</t>
  </si>
  <si>
    <t>KP/001689</t>
  </si>
  <si>
    <t>IN/001446</t>
  </si>
  <si>
    <t>Heusden-Zolder: E314 brug Lummenweg</t>
  </si>
  <si>
    <t>Betondallen verwijderen en vervangen door asfalt zodat voetpad enerzijds veiliger wordt voor voetgangers maar de loszittende betondallen eveneens niet door vandalen op de snelweg kunnen worden gesmeten. Verbeteren verkeersveiligheid voetganger en (onderdoorgaand) gemotoriseerd verkeer.</t>
  </si>
  <si>
    <t>WL/INV/A2/8</t>
  </si>
  <si>
    <t>KP/001132</t>
  </si>
  <si>
    <t>IN/001447</t>
  </si>
  <si>
    <t>Ingreep Schoolroute Schoten N121 x Elshoutbaan</t>
  </si>
  <si>
    <t>WA/INV/N121/7</t>
  </si>
  <si>
    <t>KP/001750</t>
  </si>
  <si>
    <t>IN/001448</t>
  </si>
  <si>
    <t>Hechtel-Eksel: N715 fietspaden t.h.v. autokeuring</t>
  </si>
  <si>
    <t>Beveiligen van de fietspaden t.h.v. de autokeuring zodat voertuigen hier niet meer op kunnen stilstaan. Verbeteren verkeersveiligheid fietser.</t>
  </si>
  <si>
    <t>WL/INV/N715/7</t>
  </si>
  <si>
    <t>IN/001449</t>
  </si>
  <si>
    <t>N014 Duffel herinrichting doortocht</t>
  </si>
  <si>
    <t>WA/INV/N014/4</t>
  </si>
  <si>
    <t>IN/001450</t>
  </si>
  <si>
    <t>N016 Bornem complex bornem-industrie</t>
  </si>
  <si>
    <t>WA/INV/N016/2</t>
  </si>
  <si>
    <t>KP/001682</t>
  </si>
  <si>
    <t>IN/001451</t>
  </si>
  <si>
    <t>Diest: N725 fietsbruggen</t>
  </si>
  <si>
    <t>aanbrengen antislipcoating. Verbeteren verkeersveiligheid fietser.</t>
  </si>
  <si>
    <t>WL/INV/N725/11</t>
  </si>
  <si>
    <t>KP/001681</t>
  </si>
  <si>
    <t>IN/001452</t>
  </si>
  <si>
    <t>Beringen: N72 fietsbruggen</t>
  </si>
  <si>
    <t>WL/INV/N72/21</t>
  </si>
  <si>
    <t>KP/001685</t>
  </si>
  <si>
    <t>IN/001453</t>
  </si>
  <si>
    <t>Lummen: N717 fietsbruggen</t>
  </si>
  <si>
    <t>WL/INV/N717/7</t>
  </si>
  <si>
    <t>KP/001683</t>
  </si>
  <si>
    <t>IN/001454</t>
  </si>
  <si>
    <t>Hamont-Achel: N76 fietsbruggen</t>
  </si>
  <si>
    <t>WL/INV/N76/26</t>
  </si>
  <si>
    <t>KP/001684</t>
  </si>
  <si>
    <t>IN/001455</t>
  </si>
  <si>
    <t>Hamont-Achel: N71 fietsbruggen</t>
  </si>
  <si>
    <t>WL/INV/N71/8</t>
  </si>
  <si>
    <t>KP/001751</t>
  </si>
  <si>
    <t>IN/001456</t>
  </si>
  <si>
    <t>Beringen: N29 verlichting middenberm en parking</t>
  </si>
  <si>
    <t>Aanbrengen van plantvakken rond vrijstaande verlichtingspalen in middenberm zodat deze beter zichtbaar zijn en minder frequent aangereden worden.\nOntsluiting parking de Wissel wijzigen zodat het in- en uitrijden hiervan makkelijker en veiliger kan verlopen. Verbeteren verkeersveiligheid gemotoriseerd verkeer.</t>
  </si>
  <si>
    <t>WL/INV/N29/4</t>
  </si>
  <si>
    <t>KP/001752</t>
  </si>
  <si>
    <t>IN/001457</t>
  </si>
  <si>
    <t>Halen: N2 rotonde</t>
  </si>
  <si>
    <t>Aanleggen van dubbelrichtingsfietspaden. Verbeteren verkeersveiligheid voor de fietser.</t>
  </si>
  <si>
    <t>WL/INV/N2/15</t>
  </si>
  <si>
    <t>KP/001753</t>
  </si>
  <si>
    <t>IN/001458</t>
  </si>
  <si>
    <t>Ham: N110 x Nikelaan</t>
  </si>
  <si>
    <t>Aanleggen ontbrekend stuk fietspad onderaan talud N110 (ter hoogte van Nikelaan)</t>
  </si>
  <si>
    <t>WL/INV/N110/2</t>
  </si>
  <si>
    <t>KP/001690</t>
  </si>
  <si>
    <t>IN/001459</t>
  </si>
  <si>
    <t>Pelt: N712 kruispunt en spooronderdoorgang</t>
  </si>
  <si>
    <t>Voetpad wijzigen naar gemengd voet/fietspad tussen Boseind en Oude Kerkhofstraat. Verbeteren verkeersveiligheid voor de fietser.</t>
  </si>
  <si>
    <t>WL/INV/N712/10</t>
  </si>
  <si>
    <t>KP/001676</t>
  </si>
  <si>
    <t>IN/001460</t>
  </si>
  <si>
    <t>Dilsen-Stokkem: N78 oversteek</t>
  </si>
  <si>
    <t>Verbreden van middeneiland zodat fietser zich hier comfortabel kan opstellen. Verbeteren verkeersveiligheid voor de fietser.\n</t>
  </si>
  <si>
    <t>WL/INV/N78/27</t>
  </si>
  <si>
    <t>KP/001754</t>
  </si>
  <si>
    <t>IN/001461</t>
  </si>
  <si>
    <t>As: N723 afwikkeling kruispunt</t>
  </si>
  <si>
    <t>Het verkeer komende van Genk via de rotonde laten passeren zodat de middenstrook enkel dient om het verkeer richting Dilsen/Maasmechelen te leiden. Eventueel ook een FOP voorzien? \nVerbeteren verkeersveiligheid voor gemotoriseerd verkeer.</t>
  </si>
  <si>
    <t>WL/INV/N723/4</t>
  </si>
  <si>
    <t>KP/001665</t>
  </si>
  <si>
    <t>IN/001462</t>
  </si>
  <si>
    <t>As: N730 Ziepstraat</t>
  </si>
  <si>
    <t>realiseren van veilige fietsoversteek. Verbeteren verkeersveiligheid voor de fietser.</t>
  </si>
  <si>
    <t>WL/INV/N730/19</t>
  </si>
  <si>
    <t>KP/001755</t>
  </si>
  <si>
    <t>IN/001463</t>
  </si>
  <si>
    <t>Lanaken: N77 dubbelrichtingsfietspad</t>
  </si>
  <si>
    <t>Uitbreiden van het fietspad naar een dubbelrichtingsfietspad tussen rotonde en Broekstraat. Verbeteren verkeersveiligheid en comfort voor de fietser.</t>
  </si>
  <si>
    <t>WL/INV/N77/5</t>
  </si>
  <si>
    <t>KP/000804</t>
  </si>
  <si>
    <t>KS010 - Door de combinatie van het transport en verkeer van en naar het industriegebied (Industrieweg) en het fietsverkeer (scholieren) van Maastricht en Smeermaas naar Lanaken is dit een zeer gevaarlijk kruispunt.</t>
  </si>
  <si>
    <t>IN/001464</t>
  </si>
  <si>
    <t>Lanaken: N77b fietsbrug en kruispunt</t>
  </si>
  <si>
    <t>Aanbrengen nieuwe anti-sliplaag op brug. Kruispunt uit te voeren conform PCV (verkeerslichten). Verbeteren verkeersveiligheid voor fietsers.</t>
  </si>
  <si>
    <t>WL/INV/N77/6</t>
  </si>
  <si>
    <t>KP/001677</t>
  </si>
  <si>
    <t>KP/001756</t>
  </si>
  <si>
    <t>IN/001465</t>
  </si>
  <si>
    <t>Lanaken: N78 spoorvorming</t>
  </si>
  <si>
    <t>Spoorvorming aanpakken ter verbetering verkeersveiligheid voor gemotoriseerd verkeer</t>
  </si>
  <si>
    <t>WL/INV/N78/28</t>
  </si>
  <si>
    <t>KP/001678</t>
  </si>
  <si>
    <t>IN/001466</t>
  </si>
  <si>
    <t>Maasmechelen: N763 fiets- en menoversteek</t>
  </si>
  <si>
    <t>Veilige oversteek uitwerken voor menroute, fietsers en wandelaars.</t>
  </si>
  <si>
    <t>WL/INV/N763/2</t>
  </si>
  <si>
    <t>IN/001467</t>
  </si>
  <si>
    <t>E313 Hasselt kruispunt N20</t>
  </si>
  <si>
    <t>WL/INV/N20/3</t>
  </si>
  <si>
    <t>IN/001468</t>
  </si>
  <si>
    <t>E313 herinrichting complex 25 Ham</t>
  </si>
  <si>
    <t>WL/INV/N141/1</t>
  </si>
  <si>
    <t>IN/001469</t>
  </si>
  <si>
    <t>N723 Genk Welzijnscampus / Portavida</t>
  </si>
  <si>
    <t>WL/INV/N723/1</t>
  </si>
  <si>
    <t>IN/001470</t>
  </si>
  <si>
    <t>E313 Lummen Hasselt-Oost project-MER spitsstroken</t>
  </si>
  <si>
    <t>WL/INV/A13/2</t>
  </si>
  <si>
    <t>IN/001471</t>
  </si>
  <si>
    <t>R71 Hasselt fietsbrug FSW over Kanaalkom</t>
  </si>
  <si>
    <t>WL/INV/R71/5</t>
  </si>
  <si>
    <t>IN/001472</t>
  </si>
  <si>
    <t>N750 Genk Ontsluiting ZOL</t>
  </si>
  <si>
    <t>WL/INV/N750/2</t>
  </si>
  <si>
    <t>IN/001473</t>
  </si>
  <si>
    <t>N2 Herk-de-Stad Kruispunt Kapelstraat Bosstraat</t>
  </si>
  <si>
    <t>WL/INV/N2/4</t>
  </si>
  <si>
    <t>IN/001474</t>
  </si>
  <si>
    <t>N724 Tessenderlo Rotonde Industrieweg</t>
  </si>
  <si>
    <t>WL/INV/N724/1</t>
  </si>
  <si>
    <t>IN/001475</t>
  </si>
  <si>
    <t>N2 Diepenbeek kruispunt Nierstraat</t>
  </si>
  <si>
    <t>WL/INV/N2/10</t>
  </si>
  <si>
    <t>IN/001481</t>
  </si>
  <si>
    <t>Aanleg fietspaden N126 Laakdal</t>
  </si>
  <si>
    <t>WA/INV/N126/3</t>
  </si>
  <si>
    <t>IN/001482</t>
  </si>
  <si>
    <t>N2 Hasselt - ontsluiting KMO/sportzone Pietelbeek</t>
  </si>
  <si>
    <t>WL/INV/N2/8</t>
  </si>
  <si>
    <t>KP/002578</t>
  </si>
  <si>
    <t>IN/001483</t>
  </si>
  <si>
    <t>N73 Hechtel-Eksel en Pelt mobipunten</t>
  </si>
  <si>
    <t>WL/INV/N73/12</t>
  </si>
  <si>
    <t>KP/002652</t>
  </si>
  <si>
    <t>IN/001484</t>
  </si>
  <si>
    <t>N141 Ham Heppensestw toegankelijkehaltes DeWarande</t>
  </si>
  <si>
    <t>WL/INV/N141/6</t>
  </si>
  <si>
    <t>IN/001485</t>
  </si>
  <si>
    <t>N72-Stationsstraat Beringen: herinrichting kruispu</t>
  </si>
  <si>
    <t>WL/INV/N72/8</t>
  </si>
  <si>
    <t>KP/001632</t>
  </si>
  <si>
    <t>IN/001486</t>
  </si>
  <si>
    <t>SRK: N9 Melle: opfrissen markeringen ( x Kapellestraat)</t>
  </si>
  <si>
    <t>WOV/INV/N9/24</t>
  </si>
  <si>
    <t>IN/001487</t>
  </si>
  <si>
    <t>R22 - Machelen - Herinrichting Woluwelaan</t>
  </si>
  <si>
    <t>WVB/INV/R22/1</t>
  </si>
  <si>
    <t>IN/001488</t>
  </si>
  <si>
    <t>N364 Alveringem herinrichting</t>
  </si>
  <si>
    <t>WWV/INV/N364/1</t>
  </si>
  <si>
    <t>IN/001489</t>
  </si>
  <si>
    <t>N16 Mechelen afschermende contstructies</t>
  </si>
  <si>
    <t>WA/INV/N16/6</t>
  </si>
  <si>
    <t>IN/001490</t>
  </si>
  <si>
    <t>N275 Hoeilaart: Terhulpensestwg</t>
  </si>
  <si>
    <t>Volledige herinrichting gewestweg (incl. Aanliggend dubbel richtingsfietspad, afschermende constructie en vleermuisvriendelijke verlichting)</t>
  </si>
  <si>
    <t>WVB/INV/N275/1</t>
  </si>
  <si>
    <t>KP/000987</t>
  </si>
  <si>
    <t>KS248 - 1/ Vraag om dubbelrichtingsfietsoversteek in te richten aan de oostkant van het kruispunt (fietsers komende van Geelseweg moeten nu 3 oversteekbewegingen maken om linksaf te slaan naar Sint-Sebastiaanstraat).</t>
  </si>
  <si>
    <t>IN/001491</t>
  </si>
  <si>
    <t>Ingreep Schoolroute Olen N3 x Sint-Sebastiaanstraat</t>
  </si>
  <si>
    <t>PCV dossier: V-plan</t>
  </si>
  <si>
    <t>IN/001492</t>
  </si>
  <si>
    <t>Renovatie brug B2 Heusden Zolder (E314)</t>
  </si>
  <si>
    <t>WL/INV/A2/9</t>
  </si>
  <si>
    <t>IN/001493</t>
  </si>
  <si>
    <t>N78 Renovatie asfalt Europalaan Lanaken</t>
  </si>
  <si>
    <t>WL/INV/N78/29</t>
  </si>
  <si>
    <t>IN/001494</t>
  </si>
  <si>
    <t>R25 Aarschot: Rotonde, Wegenis, Fietspaden</t>
  </si>
  <si>
    <t>Vernieuwing wegvak</t>
  </si>
  <si>
    <t>WVB/INV/R25/1</t>
  </si>
  <si>
    <t>IN/001495</t>
  </si>
  <si>
    <t>N29/24 str.ond. weg fp, incl kruisp Klipg</t>
  </si>
  <si>
    <t>Vernieuwing wegenis (incl. fietspaden) en herinrichting kruispunt Klipgaardenstraat</t>
  </si>
  <si>
    <t>WVB/INV/N29/1</t>
  </si>
  <si>
    <t>IN/001502</t>
  </si>
  <si>
    <t>X21/N025/9 DP3  Structureel onderhoud N251</t>
  </si>
  <si>
    <t>Aanleg wegenis (incl. fietspaden) en vleermuisvriendelijke verlichting. Herinrichting kruispunt N251/Duivenstraat/Brainestraat</t>
  </si>
  <si>
    <t>WVB/INV/N25/1</t>
  </si>
  <si>
    <t>IN/001503</t>
  </si>
  <si>
    <t>N441 Oudenaarde GrVLandaststraat</t>
  </si>
  <si>
    <t>WOV/INV/N441/1</t>
  </si>
  <si>
    <t>IN/001504</t>
  </si>
  <si>
    <t>X21/R023/25 Gasthuisberg fase 4: Rennessingel</t>
  </si>
  <si>
    <t>Aanleg fietspaden</t>
  </si>
  <si>
    <t>WVB/INV/R23/1</t>
  </si>
  <si>
    <t>IN/001505</t>
  </si>
  <si>
    <t>N441 Oudenaarde doortocht Nedernename</t>
  </si>
  <si>
    <t>WOV/INV/N441/2</t>
  </si>
  <si>
    <t>IN/001507</t>
  </si>
  <si>
    <t>N60 Bouwen Fietsbrug thv kruispunt N457 Schorissew</t>
  </si>
  <si>
    <t>WOV/INV/N60/2</t>
  </si>
  <si>
    <t>IN/001508</t>
  </si>
  <si>
    <t>N21 Kampenhout: Carpoolparking F1</t>
  </si>
  <si>
    <t>WVB/INV/N21/4</t>
  </si>
  <si>
    <t>IN/001509</t>
  </si>
  <si>
    <t>N454 Zwalm Rotonde N415 Den Os</t>
  </si>
  <si>
    <t>WOV/INV/N454/2</t>
  </si>
  <si>
    <t>IN/001510</t>
  </si>
  <si>
    <t>N46 Zottegem/Velzeke Herinrichting Provinciebaan</t>
  </si>
  <si>
    <t>WOV/INV/N46/3</t>
  </si>
  <si>
    <t>KP/001661</t>
  </si>
  <si>
    <t>KS865 - N35 - N437 - Fase : bredere veilige oversteek</t>
  </si>
  <si>
    <t>IN/001511</t>
  </si>
  <si>
    <t>N437 Kruisem/Nazareth heraanleg met fietspaden</t>
  </si>
  <si>
    <t>WOV/INV/N437/2</t>
  </si>
  <si>
    <t>IN/001512</t>
  </si>
  <si>
    <t>N435 Kruisem Zingem herinrichting spoorovergang SO</t>
  </si>
  <si>
    <t>WOV/INV/N435/1</t>
  </si>
  <si>
    <t>IN/001513</t>
  </si>
  <si>
    <t>N494 Heraanleg Deinsesteenweg met fietspaden</t>
  </si>
  <si>
    <t>WOV/INV/N494/1</t>
  </si>
  <si>
    <t>IN/001514</t>
  </si>
  <si>
    <t>N435 Kruisem aanleg missinglink fietspaden</t>
  </si>
  <si>
    <t>WOV/INV/N435/2</t>
  </si>
  <si>
    <t>IN/001515</t>
  </si>
  <si>
    <t>N454 RonseMaarkedal heraanleg SavooistrNitterveld</t>
  </si>
  <si>
    <t>WOV/INV/N454/3</t>
  </si>
  <si>
    <t>IN/001516</t>
  </si>
  <si>
    <t>N425 Ronse Kluisbergen fietspadenprojectZandstraat</t>
  </si>
  <si>
    <t>WOV/INV/N425/1</t>
  </si>
  <si>
    <t>IN/001517</t>
  </si>
  <si>
    <t>N425 RonseMaarkedal Ommegangsstraat heraanleg</t>
  </si>
  <si>
    <t>WOV/INV/N425/2</t>
  </si>
  <si>
    <t>IN/001518</t>
  </si>
  <si>
    <t>N454 RonseMaarkedal LouiseMarieKoekamer heraanleg</t>
  </si>
  <si>
    <t>WOV/INV/N454/4</t>
  </si>
  <si>
    <t>IN/001519</t>
  </si>
  <si>
    <t>N437 WaregemKruisem herinrichting Waregemsstwg</t>
  </si>
  <si>
    <t>WOV/INV/N437/5</t>
  </si>
  <si>
    <t>IN/001520</t>
  </si>
  <si>
    <t>N60 Oudenaarde renovatie 4onderbruggen</t>
  </si>
  <si>
    <t>WOV/INV/N60/7</t>
  </si>
  <si>
    <t>IN/001521</t>
  </si>
  <si>
    <t>N409 Deinze Herinrichting Vinktstraat</t>
  </si>
  <si>
    <t>WOV/INV/N409/1</t>
  </si>
  <si>
    <t>IN/001522</t>
  </si>
  <si>
    <t>N441 Oudenaarde Holleweg</t>
  </si>
  <si>
    <t>WOV/INV/N441/3</t>
  </si>
  <si>
    <t>IN/001523</t>
  </si>
  <si>
    <t>N462 Brakel Kasteeldreef fietspadenproject</t>
  </si>
  <si>
    <t>WOV/INV/N462/2</t>
  </si>
  <si>
    <t>IN/001524</t>
  </si>
  <si>
    <t>N454 Zwalm Herinrichting Boekelbaan</t>
  </si>
  <si>
    <t>WOV/INV/N454/5</t>
  </si>
  <si>
    <t>IN/001525</t>
  </si>
  <si>
    <t>N8 Oudenaarde Horebeke Herinrichting  N454</t>
  </si>
  <si>
    <t>WOV/INV/N8/7</t>
  </si>
  <si>
    <t>KP/000781</t>
  </si>
  <si>
    <t>IN/001526</t>
  </si>
  <si>
    <t>Volledige herinrichting van het wegvak</t>
  </si>
  <si>
    <t>WVB/INV/N229/1</t>
  </si>
  <si>
    <t>KP/003507</t>
  </si>
  <si>
    <t>IN/001527</t>
  </si>
  <si>
    <t>N10/34 vernieuwing toplaag rijweg en fietspad</t>
  </si>
  <si>
    <t>Plaatsing bestrijking en/of slemlaag + verbetering comfort fietspaden</t>
  </si>
  <si>
    <t>WVB/INV/N10/1</t>
  </si>
  <si>
    <t>IN/001528</t>
  </si>
  <si>
    <t>WVB/INV/N19/1</t>
  </si>
  <si>
    <t>IN/001529</t>
  </si>
  <si>
    <t>Herinrichting  gewestweg (incl. aanleg nieuwe aansluiting Molenweg)</t>
  </si>
  <si>
    <t>WVB/INV/N26/1</t>
  </si>
  <si>
    <t>IN/001530</t>
  </si>
  <si>
    <t>Volledige herinrichting wegvak</t>
  </si>
  <si>
    <t>WVB/INV/N3/1</t>
  </si>
  <si>
    <t>IN/001531</t>
  </si>
  <si>
    <t>N229 Rotselaar: Doortocht Rotselaar</t>
  </si>
  <si>
    <t>WVB/INV/N229/2</t>
  </si>
  <si>
    <t>KP/001093</t>
  </si>
  <si>
    <t>KS444 - moordstrookjes</t>
  </si>
  <si>
    <t>IN/001532</t>
  </si>
  <si>
    <t>N026 Herent: Herinrichting (X21/N026/16 &amp; 20)</t>
  </si>
  <si>
    <t>WVB/INV/N26/2</t>
  </si>
  <si>
    <t>IN/001533</t>
  </si>
  <si>
    <t>Herinrichting volledig wegvak</t>
  </si>
  <si>
    <t>WVB/INV/N3/5</t>
  </si>
  <si>
    <t>IN/001534</t>
  </si>
  <si>
    <t>N016 Puurs complex Puurs</t>
  </si>
  <si>
    <t>WA/INV/N016/3</t>
  </si>
  <si>
    <t>IN/001535</t>
  </si>
  <si>
    <t>N016 - Herinrichting kruispunt Blaasveldstraat - T</t>
  </si>
  <si>
    <t>WA/INV/N016/5</t>
  </si>
  <si>
    <t>KP/001758</t>
  </si>
  <si>
    <t>IN/001536</t>
  </si>
  <si>
    <t>Relance bushaltes Heverlee De Jacht (907040 en 907041)  Naamsesteenweg (N251) thv Huttelaan</t>
  </si>
  <si>
    <t>Aanpassen kruispunt en bushaltes uitstulpend maken</t>
  </si>
  <si>
    <t>WVB/INV/N251/4</t>
  </si>
  <si>
    <t>IN/001537</t>
  </si>
  <si>
    <t>N49 fietstunnel Nonnendijk</t>
  </si>
  <si>
    <t>WWV/INV/A11/2</t>
  </si>
  <si>
    <t>IN/001538</t>
  </si>
  <si>
    <t>N44 Knesselare Knokseweg</t>
  </si>
  <si>
    <t>WOV/INV/N44/1</t>
  </si>
  <si>
    <t>IN/001539</t>
  </si>
  <si>
    <t>N018 Dessel-Retie structureel onderhoud</t>
  </si>
  <si>
    <t>WA/INV/N018/1</t>
  </si>
  <si>
    <t>IN/001540</t>
  </si>
  <si>
    <t>N018 Oud-Turnhout aanleg rotonde krspt N18 en N139</t>
  </si>
  <si>
    <t>WA/INV/N018/2</t>
  </si>
  <si>
    <t>IN/001541</t>
  </si>
  <si>
    <t>N018 Retie-Dessel - SOVI aanleg fietspaden</t>
  </si>
  <si>
    <t>WA/INV/N018/3</t>
  </si>
  <si>
    <t>IN/001542</t>
  </si>
  <si>
    <t>R16 - LIER - Aanleg vrijliggende Fietspaden</t>
  </si>
  <si>
    <t>WA/INV/R16/3</t>
  </si>
  <si>
    <t>IN/001543</t>
  </si>
  <si>
    <t>N116 Nijlen Broechemsesteenweg</t>
  </si>
  <si>
    <t>WA/INV/N116/3</t>
  </si>
  <si>
    <t>IN/001544</t>
  </si>
  <si>
    <t>N118/12 Arendonk-Retie ontdubbeling fietspad</t>
  </si>
  <si>
    <t>WA/INV/N118/1</t>
  </si>
  <si>
    <t>IN/001545</t>
  </si>
  <si>
    <t>N118/19 Ravels - Eel MOD13</t>
  </si>
  <si>
    <t>WA/INV/N118/2</t>
  </si>
  <si>
    <t>IN/001546</t>
  </si>
  <si>
    <t>N118 Arendonk-Retie vernieuwen toplaag</t>
  </si>
  <si>
    <t>WA/INV/N118/3</t>
  </si>
  <si>
    <t>IN/001547</t>
  </si>
  <si>
    <t>N36 Izegem structureel onderhoud bij relance fiets</t>
  </si>
  <si>
    <t>WWV/INV/N36/13</t>
  </si>
  <si>
    <t>IN/001548</t>
  </si>
  <si>
    <t>N9 Gent  aanpassing trambedding naar busbaan</t>
  </si>
  <si>
    <t>WOV/INV/N9/25</t>
  </si>
  <si>
    <t>IN/001549</t>
  </si>
  <si>
    <t>A2 verbreding 3e rijstrook MER</t>
  </si>
  <si>
    <t>WL/INV/A2/2</t>
  </si>
  <si>
    <t>IN/001550</t>
  </si>
  <si>
    <t>N115 Merksem Oudebareellei</t>
  </si>
  <si>
    <t>WA/INV/N115/1</t>
  </si>
  <si>
    <t>KP/001599</t>
  </si>
  <si>
    <t>herinrichting van het kruispunt</t>
  </si>
  <si>
    <t>IN/001551</t>
  </si>
  <si>
    <t>N450 Melsele aanleg fietspaden</t>
  </si>
  <si>
    <t>WA/INV/N450/1</t>
  </si>
  <si>
    <t>IN/001555</t>
  </si>
  <si>
    <t>R10 Antwerpen Borsbeeksebrug</t>
  </si>
  <si>
    <t>WA/INV/R10/2</t>
  </si>
  <si>
    <t>KP/002009</t>
  </si>
  <si>
    <t>IN/001556</t>
  </si>
  <si>
    <t>N114 Hoevenen Ekeren Doortocht Heraanleg</t>
  </si>
  <si>
    <t>WA/INV/N114/1</t>
  </si>
  <si>
    <t>KP/002010</t>
  </si>
  <si>
    <t>IN/001557</t>
  </si>
  <si>
    <t>R10 N150 Antwerpen Herinrichting Le Grellelaan</t>
  </si>
  <si>
    <t>WA/INV/R10/3</t>
  </si>
  <si>
    <t>IN/001558</t>
  </si>
  <si>
    <t>N70 Melsele doortocht</t>
  </si>
  <si>
    <t>WA/INV/N70/1</t>
  </si>
  <si>
    <t>IN/001559</t>
  </si>
  <si>
    <t>R1 Antwerpen NGCS</t>
  </si>
  <si>
    <t>WA/INV/R1/5</t>
  </si>
  <si>
    <t>IN/001560</t>
  </si>
  <si>
    <t>N101 Herstelling aanloophelling Straatsburgbrug</t>
  </si>
  <si>
    <t>WA/INV/N101/4</t>
  </si>
  <si>
    <t>IN/001561</t>
  </si>
  <si>
    <t>N12 Antwerpen Fietsstraat</t>
  </si>
  <si>
    <t>WA/INV/N12/16</t>
  </si>
  <si>
    <t>IN/001562</t>
  </si>
  <si>
    <t>N111 Stabroek Fase 2</t>
  </si>
  <si>
    <t>WA/INV/N111/1</t>
  </si>
  <si>
    <t>IN/001563</t>
  </si>
  <si>
    <t>N1 Mortsel Schoolomgeving</t>
  </si>
  <si>
    <t>WA/INV/N1/2</t>
  </si>
  <si>
    <t>KP/000774</t>
  </si>
  <si>
    <t>IN/001564</t>
  </si>
  <si>
    <t>Uitvoering PCV-beslissing n.a.v. gevaarlijke punten en knelpunt schoolroutes (olv PM Peter Wouters Sweco)</t>
  </si>
  <si>
    <t>Kruispuntaanpassing (fietsinfrastructuur en rijstrookconfiguratie) + slimme lichtenregeling</t>
  </si>
  <si>
    <t>WL/INV/N712/13</t>
  </si>
  <si>
    <t>KP/001073</t>
  </si>
  <si>
    <t>KS418 - Dit is een belangrijke schoolroute voor leerlingen middelbaar WICO en WICO junior (Stationsstraat en Saxbylaan). Het kruispunt is onoverzichtelijk voor fietsers en automobilisten omdat er enkel op de westelijke en zuidelijke tak van het kruispunt een voorsorteerstrook voor fietsers voorzien is.</t>
  </si>
  <si>
    <t>IN/001565</t>
  </si>
  <si>
    <t>R11 Wilrijk Jules Moretuslei</t>
  </si>
  <si>
    <t>WA/INV/R11/4</t>
  </si>
  <si>
    <t>KP/000760</t>
  </si>
  <si>
    <t>IN/001566</t>
  </si>
  <si>
    <t>Verlengen linksafslagstrook</t>
  </si>
  <si>
    <t>IN/001567</t>
  </si>
  <si>
    <t>N177 Wilrijk herstellen of vervangen riolering</t>
  </si>
  <si>
    <t>WA/INV/N177/2</t>
  </si>
  <si>
    <t>IN/001568</t>
  </si>
  <si>
    <t>structurele oplossing: herinrichting doortocht Kortessem</t>
  </si>
  <si>
    <t>KP/000757</t>
  </si>
  <si>
    <t>IN/001569</t>
  </si>
  <si>
    <t>Aanpassing vangrails</t>
  </si>
  <si>
    <t>WL/INV/N715/9</t>
  </si>
  <si>
    <t>IN/001570</t>
  </si>
  <si>
    <t>N173 Berchem Floraliënlaan</t>
  </si>
  <si>
    <t>WA/INV/N173/1</t>
  </si>
  <si>
    <t>IN/001571</t>
  </si>
  <si>
    <t>N3/45 herinrichting noordelijke Tiense vesten</t>
  </si>
  <si>
    <t>IN/001572</t>
  </si>
  <si>
    <t>N116 Antwerpen heraanleg Boterlaanbaan</t>
  </si>
  <si>
    <t>WA/INV/N116/4</t>
  </si>
  <si>
    <t>KP/002073</t>
  </si>
  <si>
    <t>IN/001573</t>
  </si>
  <si>
    <t>R43 Eeklo fase 2 Fietstunnel Raverschootstraat</t>
  </si>
  <si>
    <t>WOV/INV/R43/2</t>
  </si>
  <si>
    <t>IN/001574</t>
  </si>
  <si>
    <t>N757 Kinrooi Maaseik: veiligheidsingrepen</t>
  </si>
  <si>
    <t>WL/INV/N757/1</t>
  </si>
  <si>
    <t>IN/001579</t>
  </si>
  <si>
    <t>N141 Fietstunnel in FSW</t>
  </si>
  <si>
    <t>WL/INV/N141/5</t>
  </si>
  <si>
    <t>IN/001580</t>
  </si>
  <si>
    <t>N21 - Herinrichting rotondes Kampenhout-Sas</t>
  </si>
  <si>
    <t>WVB/INV/N21/3</t>
  </si>
  <si>
    <t>IN/001581</t>
  </si>
  <si>
    <t>N211 - Grimbergen</t>
  </si>
  <si>
    <t>WVB/INV/N211/2</t>
  </si>
  <si>
    <t>IN/001582</t>
  </si>
  <si>
    <t>N47 - overlaging Opwijk</t>
  </si>
  <si>
    <t>WVB/INV/N47/2</t>
  </si>
  <si>
    <t>IN/001583</t>
  </si>
  <si>
    <t>R23 - Heraanleg Tervuursevest</t>
  </si>
  <si>
    <t>WVB/INV/R23/7</t>
  </si>
  <si>
    <t>IN/001584</t>
  </si>
  <si>
    <t>N123 Kasterlee 18 Studie 22 Uitvoering De Met</t>
  </si>
  <si>
    <t>WA/INV/N123/1</t>
  </si>
  <si>
    <t>IN/001585</t>
  </si>
  <si>
    <t>N123 Kasterlee Betonverharding vervangen door KWS</t>
  </si>
  <si>
    <t>WA/INV/N123/2</t>
  </si>
  <si>
    <t>IN/001587</t>
  </si>
  <si>
    <t>N123 Kasterlee SO schoolomgeving</t>
  </si>
  <si>
    <t>WA/INV/N123/3</t>
  </si>
  <si>
    <t>IN/001589</t>
  </si>
  <si>
    <t>N123 Kasterlee Retie ontdubbelen FP verbreden weg</t>
  </si>
  <si>
    <t>WA/INV/N123/4</t>
  </si>
  <si>
    <t>IN/001591</t>
  </si>
  <si>
    <t>N123 Retie vernieuwen toplaag</t>
  </si>
  <si>
    <t>WA/INV/N123/6</t>
  </si>
  <si>
    <t>IN/001592</t>
  </si>
  <si>
    <t>X10/N124/13 Hoogstraten aanleg fietspaden</t>
  </si>
  <si>
    <t>WA/INV/N124/1</t>
  </si>
  <si>
    <t>IN/001593</t>
  </si>
  <si>
    <t>N124 Merkplas structureel onderhoud</t>
  </si>
  <si>
    <t>WA/INV/N124/3</t>
  </si>
  <si>
    <t>IN/001594</t>
  </si>
  <si>
    <t>N124 Hoogstraten structureel onderhoud</t>
  </si>
  <si>
    <t>WA/INV/N124/4</t>
  </si>
  <si>
    <t>IN/001595</t>
  </si>
  <si>
    <t>N131 Rijkevorsel structureel onderhoud</t>
  </si>
  <si>
    <t>WA/INV/N131/1</t>
  </si>
  <si>
    <t>KP/000957</t>
  </si>
  <si>
    <t>KS216 - Onveilige oversteekplaats</t>
  </si>
  <si>
    <t>IN/001596</t>
  </si>
  <si>
    <t>WVB/INV/N267/4</t>
  </si>
  <si>
    <t>IN/001597</t>
  </si>
  <si>
    <t>SO distr Vosselaar  - vervangen klinkers Arendonk</t>
  </si>
  <si>
    <t>WA/INV/N118/10</t>
  </si>
  <si>
    <t>IN/001598</t>
  </si>
  <si>
    <t>N134 Lichtaart-Poederlee structureel onderhoud</t>
  </si>
  <si>
    <t>WA/INV/N134/1</t>
  </si>
  <si>
    <t>IN/001599</t>
  </si>
  <si>
    <t>X21/N251/5 Herinrichting Naamsestwg tsn R23 en E40</t>
  </si>
  <si>
    <t>WVB/INV/N251/2</t>
  </si>
  <si>
    <t>IN/001600</t>
  </si>
  <si>
    <t>N137 Ravels onderhoud voorafgaandelijk overdracht</t>
  </si>
  <si>
    <t>WA/INV/N137/1</t>
  </si>
  <si>
    <t>IN/001601</t>
  </si>
  <si>
    <t>N139 Arendonk structureel onderhoud</t>
  </si>
  <si>
    <t>WA/INV/N139/1</t>
  </si>
  <si>
    <t>IN/001602</t>
  </si>
  <si>
    <t>N139 Arendonk Mod13</t>
  </si>
  <si>
    <t>WA/INV/N139/2</t>
  </si>
  <si>
    <t>IN/001603</t>
  </si>
  <si>
    <t>N139 Arendonk Renovatie brug 5</t>
  </si>
  <si>
    <t>WA/INV/N139/3</t>
  </si>
  <si>
    <t>IN/001604</t>
  </si>
  <si>
    <t>N139 dringende herstelling brug 5 Arendonk</t>
  </si>
  <si>
    <t>WA/INV/N139/4</t>
  </si>
  <si>
    <t>IN/001605</t>
  </si>
  <si>
    <t>N140 - Vosselaar - Herinrichting kruispunt Veedijk</t>
  </si>
  <si>
    <t>WA/INV/N140/1</t>
  </si>
  <si>
    <t>IN/001606</t>
  </si>
  <si>
    <t>A10 - vervanging brug J. Mertensstraat (Dilbeek)</t>
  </si>
  <si>
    <t>WVB/INV/A10/1</t>
  </si>
  <si>
    <t>IN/001607</t>
  </si>
  <si>
    <t>A10 - Vervanging onderbrug A10-N285 (Ternat)</t>
  </si>
  <si>
    <t>WVB/INV/A10/3</t>
  </si>
  <si>
    <t>IN/001608</t>
  </si>
  <si>
    <t>A12.DP01 - Aanleg knooppunt Londerzeel-Zuid</t>
  </si>
  <si>
    <t>WVB/INV/A12/1</t>
  </si>
  <si>
    <t>KP/001215</t>
  </si>
  <si>
    <t>IN/001609</t>
  </si>
  <si>
    <t>Overijse Oversteek N253 Dreef x Kouterstraat</t>
  </si>
  <si>
    <t>Plan op te maken.\nIn het verleden werd afgesproken dat gemeente Overijse ervoor zou zorgen dat er voldoende ruimte zou vrijblijven bij hertracering IJse om een oversteek met middenberm aan te brengen. \n\nDossier IJse loopt vertraging op.\nAfspraak: AWV maakt een wenselijk ontwerp op. Overijse en VMM dienen hier dan rekening mee te houden bij hun dossier van de IJse.</t>
  </si>
  <si>
    <t>IN/001610</t>
  </si>
  <si>
    <t>R36 Kortrijk - pleinafwerking KOS015</t>
  </si>
  <si>
    <t>WWV/INV/R36/3</t>
  </si>
  <si>
    <t>IN/001611</t>
  </si>
  <si>
    <t>N253-Herinrichting E40-Vloedgroebe (Leuven-Bertem)</t>
  </si>
  <si>
    <t>WVB/INV/N253/1</t>
  </si>
  <si>
    <t>KP/000814</t>
  </si>
  <si>
    <t>KS024 - Tussen de Glazentrapstraat (Maaseik) en de Heirbaan (Dilsen) ligt thans een enkelrichtingsfietspad. De Rijksweg is een schoolroute voor scholieren richting Stedelijke Humaniora Dilsen. Hierbij kunnen de fietsers enkele parallelwegen nemen, zoals Siemkensheuvel en de Heirbaan, wat veilige lokale wegen zijn. Echter kunnen deze twee parallelwegen, beide aan de westzijde van de N78 gelegen, momenteel slechts in één richting (richting zuid) genomen worden.</t>
  </si>
  <si>
    <t>IN/001612</t>
  </si>
  <si>
    <t>Aanleg dubbelrichtingsfietspad westzijde N78</t>
  </si>
  <si>
    <t>WL/INV/N78/32</t>
  </si>
  <si>
    <t>IN/001613</t>
  </si>
  <si>
    <t>A12.DP02 - Aanpassing complex 3 Wolvertem (Meise)</t>
  </si>
  <si>
    <t>WVB/INV/A12/4</t>
  </si>
  <si>
    <t>IN/001614</t>
  </si>
  <si>
    <t>A12.DP03 - Ecoduct Neromhof (Meise)</t>
  </si>
  <si>
    <t>WVB/INV/A12/3</t>
  </si>
  <si>
    <t>IN/001615</t>
  </si>
  <si>
    <t>A12.DP04 - Fietssnelweg F28 Wolvertem-Londerzeel</t>
  </si>
  <si>
    <t>WVB/INV/A12/5</t>
  </si>
  <si>
    <t>IN/001616</t>
  </si>
  <si>
    <t>A12.DP06 - Aanleg knooppunt Londerzeel-Noord</t>
  </si>
  <si>
    <t>WVB/INV/A12/2</t>
  </si>
  <si>
    <t>KP/000909</t>
  </si>
  <si>
    <t>KS162 - prior 10. Geen zebrapad of oversteekplaats voor fietsers.</t>
  </si>
  <si>
    <t>IN/001617</t>
  </si>
  <si>
    <t>Aanleg VOP  + verlagen boordstenen</t>
  </si>
  <si>
    <t>WL/INV/N746/6</t>
  </si>
  <si>
    <t>IN/001618</t>
  </si>
  <si>
    <t>A12.DP07 - Omvorming: Kruispunt Duvel + N16 Oost</t>
  </si>
  <si>
    <t>WA/INV/A12/8</t>
  </si>
  <si>
    <t>KP/000911</t>
  </si>
  <si>
    <t>KS167 - Prior 2. De oversteekplaats bereiken is gevaarlijk als je uit Einde komt. Inrijdende wagens op Einde uit de Stationstraat (zuidzijde) + tegenovergesteld verkeer op het fietspad als je richting zebrapad gaat. Fietsers die uit de straat "Einde" komen kunnen niet veilig oversteken en worden pas na lang wachten doorgelaten door de automobilisten.</t>
  </si>
  <si>
    <t>IN/001619</t>
  </si>
  <si>
    <t>dubbelrichtingsfietspad + FOP in fietslogoverbinding (PM via MC3 nog aan te stellen)</t>
  </si>
  <si>
    <t>meer complex doordat spoorovergang aangepast dient te worden)</t>
  </si>
  <si>
    <t>WL/INV/N746/9</t>
  </si>
  <si>
    <t>IN/001621</t>
  </si>
  <si>
    <t>A4 - Geluidsschermen Jezus-Eik (Overijse)</t>
  </si>
  <si>
    <t>WVB/INV/A4/1</t>
  </si>
  <si>
    <t>IN/001622</t>
  </si>
  <si>
    <t>A8 - Bouw voetgangersbruggen (Halle)</t>
  </si>
  <si>
    <t>WVB/INV/A8/1</t>
  </si>
  <si>
    <t>KP/000923</t>
  </si>
  <si>
    <t>KS179 - Prior 19.  Zeer slechte zichtbaarheid owv bomen</t>
  </si>
  <si>
    <t>IN/001623</t>
  </si>
  <si>
    <t>Greppel opvullen bij fietspad (door district West Limburg)</t>
  </si>
  <si>
    <t>WL/INV/N746/2</t>
  </si>
  <si>
    <t>IN/001624</t>
  </si>
  <si>
    <t>E314 - Herinrichting afrit 20 Vuntcomplex (Leuven)</t>
  </si>
  <si>
    <t>WVB/INV/N019E/1</t>
  </si>
  <si>
    <t>KP/003810</t>
  </si>
  <si>
    <t>IN/001625</t>
  </si>
  <si>
    <t>N208 - Aanpassing complex A10 (Affligem)</t>
  </si>
  <si>
    <t>Op- en afrittecomplex aanpassen door aanleg van een rotonde/keerpunt.\n</t>
  </si>
  <si>
    <t>WVB/INV/N208/1</t>
  </si>
  <si>
    <t>KP/000977</t>
  </si>
  <si>
    <t>KS237 - Opstelruimte voor voetgangers wordt vollige teniet gedaan door nieuwbouwproject appartementen.</t>
  </si>
  <si>
    <t>IN/001626</t>
  </si>
  <si>
    <t>Verplaatsen VOP</t>
  </si>
  <si>
    <t>WL/INV/N730/25</t>
  </si>
  <si>
    <t>IN/001627</t>
  </si>
  <si>
    <t>R0 - Geluidsschermen (Wezembeek-Oppem &amp; Kraainem)</t>
  </si>
  <si>
    <t>WVB/INV/R0/1</t>
  </si>
  <si>
    <t>IN/001628</t>
  </si>
  <si>
    <t>R0 - Ingrepen afwatering Tervuren</t>
  </si>
  <si>
    <t>WVB/INV/R0/3</t>
  </si>
  <si>
    <t>IN/001629</t>
  </si>
  <si>
    <t>R0 - Vervanging geluidschermen (Beersel-Drogenbos)</t>
  </si>
  <si>
    <t>WVB/INV/R0/2</t>
  </si>
  <si>
    <t>IN/001630</t>
  </si>
  <si>
    <t>R22 - Aanleg F214 &amp; aanpassing rotonde 'De Vuist'</t>
  </si>
  <si>
    <t>WVB/INV/R22/2</t>
  </si>
  <si>
    <t>IN/001631</t>
  </si>
  <si>
    <t>structureel onderhoud rijweg en FP VVR Kempen</t>
  </si>
  <si>
    <t>WA/INV/VVR/1</t>
  </si>
  <si>
    <t>IN/001632</t>
  </si>
  <si>
    <t>structureel onderhoud rijweg en fietspaden VVR Kem</t>
  </si>
  <si>
    <t>WA/INV/2022/1</t>
  </si>
  <si>
    <t>KP/001731</t>
  </si>
  <si>
    <t>IN/001633</t>
  </si>
  <si>
    <t>N2 - Herent Fietspaden Termere - Oikotenweg</t>
  </si>
  <si>
    <t>WVB/INV/N2/4</t>
  </si>
  <si>
    <t>KP/001155</t>
  </si>
  <si>
    <t>KS538 - Veel leerlingen die naar op de Helix les volgen, stappen uit aan de bushalte. Ook stoppen veel ouders om hun kinderen uit de auto te laten stappen vlak naast de N78. De kinderen dienen dan nog een stuk langs de N78 te wandelen en dan over te steken via de zebrapaden aan de verkeerslichten. Hier is echter nog steeds een max. snelheid van 70 km/u toegelaten. Aan de overkant is er reeds een tijdelijk zone 30 bord geplaatst.</t>
  </si>
  <si>
    <t>IN/001634</t>
  </si>
  <si>
    <t>Aanpassen bushalte + aanleg voetpad bushalte-kruispunt (aan te stellen PM studiebureau via MC3)</t>
  </si>
  <si>
    <t>Bus zal gaan halteren op de rijbaan om veiligvoetpad naar kruispunt te creëren</t>
  </si>
  <si>
    <t>WL/INV/N78/33</t>
  </si>
  <si>
    <t>KP/001354</t>
  </si>
  <si>
    <t>KS244 - Onduidelijkheid mbt rijgedrag/-richting van de fietsers voor de andere weggebruikers.</t>
  </si>
  <si>
    <t>IN/001635</t>
  </si>
  <si>
    <t>Fietsers uit de voorrang op rotonde (PM studiebureau aan te stellen via MC3)</t>
  </si>
  <si>
    <t>Fietsers uit de voorrang op rotonde.</t>
  </si>
  <si>
    <t>WL/INV/N719/11</t>
  </si>
  <si>
    <t>IN/001636</t>
  </si>
  <si>
    <t>X21/N25/14 - Str.ond. en optimalisatie bus/fiets</t>
  </si>
  <si>
    <t>WVB/INV/N25/3</t>
  </si>
  <si>
    <t>KP/001418</t>
  </si>
  <si>
    <t>KS645 - Een plaats waar leerlingen van Eversel de gewestweg dienen over te steken naar de middelbare school in Beringen of Heusden. Bijkomende argumentatie: woon-schoolverkeer, woon-werkverkeer en vrachtverkeer ten behoeve van de industrie komen samen op dit punt. Het ruimtelijk omvangrijke kruispunt, met brede rijbanen, bemoeilijkt bovendien de huidige voetganger- en fietsoversteekbaarheid.</t>
  </si>
  <si>
    <t>IN/001637</t>
  </si>
  <si>
    <t>kruispunt herinrichten (PM Sweco Jente Vercammen)</t>
  </si>
  <si>
    <t>Herinrichting: voorrangsplein of verbrede middenberm</t>
  </si>
  <si>
    <t>WL/INV/N72/23</t>
  </si>
  <si>
    <t>IN/001638</t>
  </si>
  <si>
    <t>WVB/INV/N10/4</t>
  </si>
  <si>
    <t>IN/001639</t>
  </si>
  <si>
    <t>N2 - Doortocht Kortenberg</t>
  </si>
  <si>
    <t>WVB/INV/N2/3</t>
  </si>
  <si>
    <t>IN/001640</t>
  </si>
  <si>
    <t>N26 - Boortmeerbeek - Trianonlaan x Stationstraat</t>
  </si>
  <si>
    <t>WVB/INV/N26/7</t>
  </si>
  <si>
    <t>IN/001641</t>
  </si>
  <si>
    <t>WVB/INV/R23/6</t>
  </si>
  <si>
    <t>IN/001642</t>
  </si>
  <si>
    <t>N80 Landen fietspaden en uitbreiding carpoolparkin</t>
  </si>
  <si>
    <t>WVB/INV/N80/2</t>
  </si>
  <si>
    <t>IN/001643</t>
  </si>
  <si>
    <t>N21 - Haachtsesteenweg N227-Stationslaan</t>
  </si>
  <si>
    <t>WVB/INV/N21/2</t>
  </si>
  <si>
    <t>IN/001644</t>
  </si>
  <si>
    <t>Ingreep Schoolroute Kalmthout N122</t>
  </si>
  <si>
    <t>IN/001645</t>
  </si>
  <si>
    <t>WVB/INV/R23/12</t>
  </si>
  <si>
    <t>IN/001646</t>
  </si>
  <si>
    <t>N2 - Herent Garageboulevard</t>
  </si>
  <si>
    <t>WVB/INV/N2/6</t>
  </si>
  <si>
    <t>IN/001647</t>
  </si>
  <si>
    <t>Betonherstellingen op A - wegen in OVL</t>
  </si>
  <si>
    <t>WOV/INV/A14/6</t>
  </si>
  <si>
    <t>IN/001648</t>
  </si>
  <si>
    <t>Veiligheidsinrichtingen op snelwegen in OVL</t>
  </si>
  <si>
    <t>WOV/INV/A14/7</t>
  </si>
  <si>
    <t>IN/001649</t>
  </si>
  <si>
    <t>Asfaltherstellingen op A - wegen in OVL</t>
  </si>
  <si>
    <t>WOV/INV/A14/8</t>
  </si>
  <si>
    <t>IN/001650</t>
  </si>
  <si>
    <t>E17 Menen - bodemsanering LAR Rekkem</t>
  </si>
  <si>
    <t>Sanering historische chroomverontreiniging (van tijdens de aanleg destijds)</t>
  </si>
  <si>
    <t>WWV/INV/E17/7</t>
  </si>
  <si>
    <t>KP/001759</t>
  </si>
  <si>
    <t>IN/001651</t>
  </si>
  <si>
    <t>Fiets: N47 Zele aansluiting fietspad optimaliseren thv kruispunt, PCV beslissing deel 1</t>
  </si>
  <si>
    <t>aansluiting fietspad optimaliseren thv kruispunt</t>
  </si>
  <si>
    <t>WOV/INV/N47/8</t>
  </si>
  <si>
    <t>KP/001639</t>
  </si>
  <si>
    <t>IN/001652</t>
  </si>
  <si>
    <t>SRK: N495a Geraardsbergen: aanbrengen fietslogo's</t>
  </si>
  <si>
    <t>aanbrengen van fietslogo's tussen overgang fietspad en Sint amandusplein in beide richtingen</t>
  </si>
  <si>
    <t>WOV/INV/N495/5</t>
  </si>
  <si>
    <t>KP/001640</t>
  </si>
  <si>
    <t>IN/001653</t>
  </si>
  <si>
    <t>Aanleg VOP</t>
  </si>
  <si>
    <t>Aanleggen VOP volgens beslissing</t>
  </si>
  <si>
    <t>WOV/INV/N445/6</t>
  </si>
  <si>
    <t>KP/003820</t>
  </si>
  <si>
    <t>Structureel Onderhoud</t>
  </si>
  <si>
    <t>Slechte Staat Bruggen</t>
  </si>
  <si>
    <t>IN/001654</t>
  </si>
  <si>
    <t>A8 - Structureel onderhoud brug N7 (Halle)</t>
  </si>
  <si>
    <t>WVB/INV/A8/4</t>
  </si>
  <si>
    <t>KP/001095</t>
  </si>
  <si>
    <t>Lochtenbergplein - FOP+BH - KS454 - Aan het plein bevindt zich de bushalte naar middelbare scholen. Dit is echter een gevaarlijk kruispunt om over te steken met slechte zichtbaarheid op de oversteekplaats. Punctuele verlichting is momenteel niet voldoende om de veiligheid van overstekende voetgangers/fietsers te garanderen. Graag bijkomende items ter verhoging van de waakzaamheid van de voertuigen op de N115.</t>
  </si>
  <si>
    <t>IN/001655</t>
  </si>
  <si>
    <t>Ingreep Schoolroute N115 Brecht</t>
  </si>
  <si>
    <t>WA/INV/N115/8</t>
  </si>
  <si>
    <t>IN/001656</t>
  </si>
  <si>
    <t>N73 Hechtel-Eksel, structureel onderhoud fietspad</t>
  </si>
  <si>
    <t>WL/INV/N73/23</t>
  </si>
  <si>
    <t>IN/001657</t>
  </si>
  <si>
    <t>N9 Adegem - vernieuwen brug over Afleidingskanaal</t>
  </si>
  <si>
    <t>WOV/INV/N9/7</t>
  </si>
  <si>
    <t>IN/001658</t>
  </si>
  <si>
    <t>PCV 957 - beveiligen aansluiting Gouden Hoofdstraat</t>
  </si>
  <si>
    <t>Middengeleider, oversteek fietsers, insnoeren G.Hoofdstraat</t>
  </si>
  <si>
    <t>WWV/INV/N35/10</t>
  </si>
  <si>
    <t>KP/001453</t>
  </si>
  <si>
    <t>KS839 - 2.        Verkeerslichtenregeling oversteek N74-Zavelstraat. Over de N74 (2 x 2 rijbaan) de veiligheid voor fietsers verhogen bij het oversteken. Nu is er slechts één verkeerslicht om de fietsers groen licht te geven om over te streken. Dit bevindt zich aan de zijde waar de fietser de rijbaan moet oversteken. Voor automobilisten is dit verkeerslicht echter moeilijk zichtbaar. Bij groen zijn ze het licht al voorbij en denken ze dat de overstekende fietser rood heeft omdat er aan de overzijde enkel een rood licht staat voor voetgangers.</t>
  </si>
  <si>
    <t>IN/001659</t>
  </si>
  <si>
    <t>Knelpunt op schoolroutes wordt aangepakt door ombouw VRI volgens actieplan</t>
  </si>
  <si>
    <t>KP/000893</t>
  </si>
  <si>
    <t>KS141 - Schoolkinderen van de woonwijken ten oosten van N370 nemen de veilige onderdoorgang onder de Wingenesteenweg aan het station en gaan via het fietspad van de H. d'Ydewallestraat naar het zebrapad ter hoogte van nr 40. Daar steken ze over om via het dolomietpad tussen de woningen naar de Schooldreef te gaan waar de school ligt. Knelpunt: Chauffeurs stoppen niet voor het zebrapad!</t>
  </si>
  <si>
    <t>IN/001660</t>
  </si>
  <si>
    <t>Markeringen</t>
  </si>
  <si>
    <t>Markeren parkeervakken om zichtbaarheid te verhogen</t>
  </si>
  <si>
    <t>WWV/INV/N368/13</t>
  </si>
  <si>
    <t>IN/001661</t>
  </si>
  <si>
    <t>Aanpassen parkeerplaatsen</t>
  </si>
  <si>
    <t>wegnemen verkeersplateau, parkeerplaatsen, tijdelijk parkeerverbod begin- en einde schooltijd\n</t>
  </si>
  <si>
    <t>WL/INV/N789/2</t>
  </si>
  <si>
    <t>KP/001180</t>
  </si>
  <si>
    <t>KS580 - Oversteekbaarheid stadsring</t>
  </si>
  <si>
    <t>IN/001662</t>
  </si>
  <si>
    <t>PCV 851 - R33 Zuidlaan x N304 Renigelstseweg / Deken De Bolaan</t>
  </si>
  <si>
    <t>fietspaden vrijliggend brengen op de rotonde</t>
  </si>
  <si>
    <t>WWV/INV/R33/1</t>
  </si>
  <si>
    <t>IN/001663</t>
  </si>
  <si>
    <t>PCV 944 - R33 Zuidlaan x N333 Abeelseweg / Casselstraat.</t>
  </si>
  <si>
    <t>fietsers buiten de rotonde brengen</t>
  </si>
  <si>
    <t>WWV/INV/R33/2</t>
  </si>
  <si>
    <t>KP/000828</t>
  </si>
  <si>
    <t>IN/001664</t>
  </si>
  <si>
    <t>PCV 945 - N35 Staatsbaan - Esenstraat x N36 Zarrenstraat</t>
  </si>
  <si>
    <t>Plaatsen verkeerslichten</t>
  </si>
  <si>
    <t>WWV/INV/N35/11</t>
  </si>
  <si>
    <t>IN/001665</t>
  </si>
  <si>
    <t>Oversteekvoorziening met middengeleider (PM studiebureau aan te stellen via MC3)</t>
  </si>
  <si>
    <t>Feitelijke oversteek (niet gemarkeerd), maar met middenberm opdat oversteken in 2x kan</t>
  </si>
  <si>
    <t>WL/INV/N719/10</t>
  </si>
  <si>
    <t>IN/001666</t>
  </si>
  <si>
    <t>WL/INV/N729/9</t>
  </si>
  <si>
    <t>KP/001358</t>
  </si>
  <si>
    <t>KS254 - De wettelijke regeling is rond waardoor het mogelijk wordt dat voetgangers en fietsers op bepaalde kruispunten tegelijk groen licht krijgen. Auto's, moto's en vrachtwagens staan dan in alle richtingen voor het rode licht. De nieuwe wet kan een antwoord bieden op de vraag van veel bewoners in onze gemeente naar zogenaamde conflictvrije kruispunten. Kruispunten die met dit principe werken, worden uitgerust met verkeerslichten die pijltjes laten zien rond het fietssilhouet op die verkeerslichten. Het gemeentebestuur van Arendonk stelt voor om voor drie kruispunten in Arendonk - waar momenteel verkeerslichten staan - zo in te stellen dat voetgangers en fietsers daar tegelijk groen licht krijgen. Tevens wordt het voorstel gedaan om op deze drie kruispunten ten behoeve van fietsers en voetgangers wensafhankelijke regelingen te bewerkstellingen.</t>
  </si>
  <si>
    <t>IN/001667</t>
  </si>
  <si>
    <t>Ingreep Schoolroute N118 Arendonk</t>
  </si>
  <si>
    <t>WA/INV/N118/12</t>
  </si>
  <si>
    <t>KP/001359</t>
  </si>
  <si>
    <t>KS255 - De wettelijke regeling is rond waardoor het mogelijk wordt dat voetgangers en fietsers op bepaalde kruispunten tegelijk groen licht krijgen. Auto's, moto's en vrachtwagens staan dan in alle richtingen voor het rode licht. De nieuwe wet kan een antwoord bieden op de vraag van veel bewoners in onze gemeente naar zogenaamde conflictvrije kruispunten. Kruispunten die met dit principe werken, worden uitgerust met verkeerslichten die pijltjes laten zien rond het fietssilhouet op die verkeerslichten. Het gemeentebestuur van Arendonk stelt voor om voor drie kruispunten in Arendonk - waar momenteel verkeerslichten staan - zo in te stellen dat voetgangers en fietsers daar tegelijk groen licht krijgen. Tevens wordt het voorstel gedaan om op deze drie kruispunten ten behoeve van fietsers en voetgangers wensafhankelijke regelingen te bewerkstellingen.</t>
  </si>
  <si>
    <t>IN/001668</t>
  </si>
  <si>
    <t>Ingreep Schoolroute N118/N139 Arendonk</t>
  </si>
  <si>
    <t>WA/INV/N139/9</t>
  </si>
  <si>
    <t>KP/001429</t>
  </si>
  <si>
    <t>Arendonk Poederstraat (ipv Onder d'Eike): KS757 - Tijdens een recente BIN vergadering (overleg tussen politie en bewoners) in Arendonk werd aangekaart dat de oversteekplaats voor fietsers aan het kruispunt Poederstraat/Grens onveilig is zonder markeringen.</t>
  </si>
  <si>
    <t>IN/001669</t>
  </si>
  <si>
    <t>Arendonk-Onder d'Eiken - Ingreep Schoolroute N139 Arendonk</t>
  </si>
  <si>
    <t>WA/INV/N139/8</t>
  </si>
  <si>
    <t>IN/001670</t>
  </si>
  <si>
    <t>A8 - Structureel onderhoud ikv omvorming (Halle)</t>
  </si>
  <si>
    <t>WVB/INV/A8/2</t>
  </si>
  <si>
    <t>IN/001671</t>
  </si>
  <si>
    <t>N1 Verbreding brug Postzegellaan</t>
  </si>
  <si>
    <t>WA/INV/N1/21</t>
  </si>
  <si>
    <t>IN/001672</t>
  </si>
  <si>
    <t>N2 - Herent (Aquafin) grens Kortenberg - Termere</t>
  </si>
  <si>
    <t>WVB/INV/N2/19</t>
  </si>
  <si>
    <t>KP/001760</t>
  </si>
  <si>
    <t>Aanleg verhoogde bushaltehaven</t>
  </si>
  <si>
    <t>IN/001673</t>
  </si>
  <si>
    <t>WOV/INV/N70/10</t>
  </si>
  <si>
    <t>IN/001674</t>
  </si>
  <si>
    <t>Punctuele verlichting t.h.v. kruispunt Trekschurenstraat</t>
  </si>
  <si>
    <t>WL/INV/N20/10</t>
  </si>
  <si>
    <t>KP/001761</t>
  </si>
  <si>
    <t>IN/001675</t>
  </si>
  <si>
    <t>N403 Kemzeke kmp 6.4 oplopend rechts Aanleg verhoogde bushaltehaven</t>
  </si>
  <si>
    <t>N403 kemzeke kmp 6.4 oplopend rechts\nAanleg verhoogde bushaltehaven</t>
  </si>
  <si>
    <t>WOV/INV/N403/2</t>
  </si>
  <si>
    <t>KP/001762</t>
  </si>
  <si>
    <t>IN/001676</t>
  </si>
  <si>
    <t>N419 Steendorp Hemelrijkstraat mp 4.300 oplopend rechts  aanleg verhoogde bushaltehaven</t>
  </si>
  <si>
    <t>N419 Steendorp Hemelrijkstraat mp 4.300 oplopend rechts \naanleg verhoogde bushaltehaven</t>
  </si>
  <si>
    <t>WOV/INV/N419/5</t>
  </si>
  <si>
    <t>IN/001677</t>
  </si>
  <si>
    <t>Aanpassen VRI + afslagstrook</t>
  </si>
  <si>
    <t>WA/INV/N1/22</t>
  </si>
  <si>
    <t>IN/001678</t>
  </si>
  <si>
    <t>N419 Steendorp Hemelrijkstraat kmp 4.3 aflopend rechts  Aanleg verhoogde bushaltehaven</t>
  </si>
  <si>
    <t>N419 Steendorp Hemelrijkstraat kmp 4.3 aflopend rechts \nAanleg verhoogde bushaltehaven</t>
  </si>
  <si>
    <t>WOV/INV/N419/6</t>
  </si>
  <si>
    <t>KP/001764</t>
  </si>
  <si>
    <t>IN/001679</t>
  </si>
  <si>
    <t>N17 Baasrode kmp 12,930 tot 12,970 rechts  Aanleg verhoogde bushaltehaven</t>
  </si>
  <si>
    <t>N17 Baasrode kmp 12,930 tot 12,970 rechts \nAanleg verhoogde bushaltehaven</t>
  </si>
  <si>
    <t>WOV/INV/N17/6</t>
  </si>
  <si>
    <t>KP/001029</t>
  </si>
  <si>
    <t>KS321 - Op de hoek van de Stapstraat met de N14 is een lagere school gelegen. Heel wat kinderen komen met de fiets naar school vanuit de Emblemseweg (fietsstraat). Het overteken van de N14 is niet gemakkelijk. De gemeente heeft er momenteel 2 gemachtigde opzichters staan om dit te begeleiden. Wij vragen al jaren (sinds 1997) een structurele oplossing. Hiervoor hebben we sinds 2019 de goedkeuring op een PCV dat hier verkeerslichten met een drukknop zullen komen. Momenteel worden de plannen voor het kruispunt met verkeerslichten uitgewerkt door AWV.</t>
  </si>
  <si>
    <t>IN/001680</t>
  </si>
  <si>
    <t>Ingreep schoolroute Ranst N14 x Stapstraat</t>
  </si>
  <si>
    <t>KP/003920</t>
  </si>
  <si>
    <t>IN/001681</t>
  </si>
  <si>
    <t>A19/R8 -  Kortrijk-West - aanleg</t>
  </si>
  <si>
    <t>WWV/INV/A19/1</t>
  </si>
  <si>
    <t>IN/001682</t>
  </si>
  <si>
    <t>Huldenberg N253 dorpsstraat Punctuele verlichting</t>
  </si>
  <si>
    <t>Punctuele verlichting voorzien mits schrappen parkeerplaatsen</t>
  </si>
  <si>
    <t>KP/001673</t>
  </si>
  <si>
    <t>IN/001683</t>
  </si>
  <si>
    <t>aanpassen slokkers op rotonde met N75</t>
  </si>
  <si>
    <t>verbeteren verkeersveiligheid voor gemotoriseerd verkeer</t>
  </si>
  <si>
    <t>WL/INV/N75/12</t>
  </si>
  <si>
    <t>KP/001389</t>
  </si>
  <si>
    <t>KS494 - Fietspad is onveilig wegens directe ligging langs de weg. Door hoge snelheden wordt het fietspad gereduceerd tot uitermate onveilig.</t>
  </si>
  <si>
    <t>IN/001684</t>
  </si>
  <si>
    <t>N762 Kinrooi FP Molenbeersel</t>
  </si>
  <si>
    <t>WL/INV/N762/4</t>
  </si>
  <si>
    <t>IN/001685</t>
  </si>
  <si>
    <t>N75 Dilsen-Stokkem Eco-recreaduct</t>
  </si>
  <si>
    <t>WL/INV/N75/1</t>
  </si>
  <si>
    <t>IN/001686</t>
  </si>
  <si>
    <t>E313 Diepenbeek: dienstenzone</t>
  </si>
  <si>
    <t>WL/INV/E313/1</t>
  </si>
  <si>
    <t>IN/001687</t>
  </si>
  <si>
    <t>N73 Bree, Aanleg ontbrekende fietspaden</t>
  </si>
  <si>
    <t>WL/INV/N73/1</t>
  </si>
  <si>
    <t>IN/001688</t>
  </si>
  <si>
    <t>N78 Maasmechelen, Aanleg riolering en fietspaden</t>
  </si>
  <si>
    <t>WL/INV/N78/2</t>
  </si>
  <si>
    <t>IN/001689</t>
  </si>
  <si>
    <t>E314/A2, Renovatie viaduct Boorsem</t>
  </si>
  <si>
    <t>WL/INV/E314/1</t>
  </si>
  <si>
    <t>IN/001690</t>
  </si>
  <si>
    <t>N719 Houthalen Fietspaden Lillo</t>
  </si>
  <si>
    <t>WL/INV/N719/3</t>
  </si>
  <si>
    <t>IN/001691</t>
  </si>
  <si>
    <t>N411 Aalst: aanpassen markeringen fietspaden</t>
  </si>
  <si>
    <t>aanbrengen van rode coating ter hoogte van kruispunten</t>
  </si>
  <si>
    <t>WOV/INV/N411/3</t>
  </si>
  <si>
    <t>IN/001692</t>
  </si>
  <si>
    <t>aanbrengen markeringen fietspaden</t>
  </si>
  <si>
    <t>aanbrengen rode coating ter hoogte van kruispunten</t>
  </si>
  <si>
    <t>WOV/INV/NX/4</t>
  </si>
  <si>
    <t>IN/001693</t>
  </si>
  <si>
    <t>SRK: N494a Geraardsbergen: aanpassen markeringen fietspaden</t>
  </si>
  <si>
    <t>WOV/INV/N495/6</t>
  </si>
  <si>
    <t>IN/001694</t>
  </si>
  <si>
    <t>A2 Genk - geluidswerende maatregelen</t>
  </si>
  <si>
    <t>WL/INV/A2/4</t>
  </si>
  <si>
    <t>IN/001695</t>
  </si>
  <si>
    <t>N762 Maaseik Weertersteenweg Schoolomgeving</t>
  </si>
  <si>
    <t>WL/INV/N762/1</t>
  </si>
  <si>
    <t>IN/001696</t>
  </si>
  <si>
    <t>N712 Pelt, Ontsluiting De Koel SO7</t>
  </si>
  <si>
    <t>WL/INV/N712/1</t>
  </si>
  <si>
    <t>IN/001697</t>
  </si>
  <si>
    <t>N73 Bree, PCV N73xRoermonderstraat</t>
  </si>
  <si>
    <t>WL/INV/N73/17</t>
  </si>
  <si>
    <t>IN/001698</t>
  </si>
  <si>
    <t>N730 Oudsbergen PCV Rotonde Centrum</t>
  </si>
  <si>
    <t>WL/INV/N730/4</t>
  </si>
  <si>
    <t>KP/001516</t>
  </si>
  <si>
    <t>IN/001699</t>
  </si>
  <si>
    <t>Trajectcontrole bebouwde kom Petegem</t>
  </si>
  <si>
    <t>TC2021_236</t>
  </si>
  <si>
    <t>WOV/INV/N453/1</t>
  </si>
  <si>
    <t>KP/000166</t>
  </si>
  <si>
    <t>IN/001700</t>
  </si>
  <si>
    <t>N78 Dilsen-Stokkem Lanklaar, uitv. streefbeeld</t>
  </si>
  <si>
    <t>WL/INV/N78/11</t>
  </si>
  <si>
    <t>IN/001701</t>
  </si>
  <si>
    <t>N78 Lanaken, PCV Reistraat</t>
  </si>
  <si>
    <t>WL/INV/N78/6</t>
  </si>
  <si>
    <t>IN/001702</t>
  </si>
  <si>
    <t>E40 Gent - aanleg weefstroken en geluidsschermen</t>
  </si>
  <si>
    <t>WOV/INV/E40/2</t>
  </si>
  <si>
    <t>IN/001703</t>
  </si>
  <si>
    <t>PCV 922 - N363 Provinciebaan x Bovekerkestraat. Beveiligen fietsoverstee</t>
  </si>
  <si>
    <t>De kaarsrechte weg N363 komende vanuit de richting Torhout wordt in nadering van het kruispunt met de Bovekerkestraat en de Litterveldstraat meer uitgebogen om te proberen de gereden snelheid te doen dalen.  De fietsoversteek voor wie komt uit de gemeentewegen wordt beveiligd</t>
  </si>
  <si>
    <t>IN/001704</t>
  </si>
  <si>
    <t>N725 Lummen Fietspaden Meldertsebaan fase 4</t>
  </si>
  <si>
    <t>WL/INV/N725/6</t>
  </si>
  <si>
    <t>KP/000808</t>
  </si>
  <si>
    <t>IN/001705</t>
  </si>
  <si>
    <t>vaste zone 30 centrum</t>
  </si>
  <si>
    <t>WWV/INV/N377/1</t>
  </si>
  <si>
    <t>IN/001706</t>
  </si>
  <si>
    <t>N78 Fietspaden Maaseik-Kinrooi</t>
  </si>
  <si>
    <t>WL/INV/N78/23</t>
  </si>
  <si>
    <t>IN/001707</t>
  </si>
  <si>
    <t>Vernieuwen brug over Dijle te Rotselaar</t>
  </si>
  <si>
    <t>WVB/INV/N229/5</t>
  </si>
  <si>
    <t>IN/001708</t>
  </si>
  <si>
    <t>N39 Veurne Nieuwpoortkeiweg verbeteren afwatering</t>
  </si>
  <si>
    <t>WWV/INV/N39/1</t>
  </si>
  <si>
    <t>KP/001776</t>
  </si>
  <si>
    <t>IN/001709</t>
  </si>
  <si>
    <t>verkeersveiligheid</t>
  </si>
  <si>
    <t>Wegwerken hoogteverschillen op 6 locaties op N462 tussen 6.6 en 9.0</t>
  </si>
  <si>
    <t>WOV/INV/N462/6</t>
  </si>
  <si>
    <t>IN/001710</t>
  </si>
  <si>
    <t>X21/N019/31 Leuven - Wetenschapspark en Kes</t>
  </si>
  <si>
    <t>WVB/INV/N19/7</t>
  </si>
  <si>
    <t>KP/001390</t>
  </si>
  <si>
    <t>KS512 - Kruispunt afrittencomplex is onveilig: kruispunt Melbeekstraat/Luikersteenweg staat geblokkeerd waardoor men niet meer naar school kan inrijden en slecht zicht op fietsers heeft</t>
  </si>
  <si>
    <t>IN/001711</t>
  </si>
  <si>
    <t>Aanpassing V-plannen ikv nazorg VRI</t>
  </si>
  <si>
    <t>WL/INV/N20/11</t>
  </si>
  <si>
    <t>IN/001712</t>
  </si>
  <si>
    <t>N76 Borgloon fietspaden in samenwerking met Aquafi</t>
  </si>
  <si>
    <t>WL/INV/N76/20</t>
  </si>
  <si>
    <t>KP/000086</t>
  </si>
  <si>
    <t>IN/001713</t>
  </si>
  <si>
    <t>N49 Knokke-Heist 2de golf Kragendijk heraanleg fietspaden</t>
  </si>
  <si>
    <t>WWV/INV/N49/4</t>
  </si>
  <si>
    <t>IN/001714</t>
  </si>
  <si>
    <t>N730 : Tongeren : fietstunnel</t>
  </si>
  <si>
    <t>WL/INV/N730/6</t>
  </si>
  <si>
    <t>IN/001715</t>
  </si>
  <si>
    <t>N758 : Tongeren : fietspaden Baversstraat</t>
  </si>
  <si>
    <t>WL/INV/N758/1</t>
  </si>
  <si>
    <t>IN/001716</t>
  </si>
  <si>
    <t>N20 : Tongeren : herinrichting Overrepen</t>
  </si>
  <si>
    <t>WL/INV/N20/4</t>
  </si>
  <si>
    <t>IN/001717</t>
  </si>
  <si>
    <t>N753 : Tongeren : omleidingsweg fase 2</t>
  </si>
  <si>
    <t>WL/INV/N753/2</t>
  </si>
  <si>
    <t>IN/001718</t>
  </si>
  <si>
    <t>N753 Tongeren : fietspaden Molenweg</t>
  </si>
  <si>
    <t>WL/INV/N753/3</t>
  </si>
  <si>
    <t>IN/001719</t>
  </si>
  <si>
    <t>Via R4 Gent</t>
  </si>
  <si>
    <t>WOV/INV/R4/9</t>
  </si>
  <si>
    <t>IN/001720</t>
  </si>
  <si>
    <t>Via Zaventem</t>
  </si>
  <si>
    <t>WVB/INV/N211/5</t>
  </si>
  <si>
    <t>IN/001721</t>
  </si>
  <si>
    <t>Brabo 1</t>
  </si>
  <si>
    <t>WA/INV/N10/16</t>
  </si>
  <si>
    <t>IN/001722</t>
  </si>
  <si>
    <t>Via A11</t>
  </si>
  <si>
    <t>WWV/INV/A11/3</t>
  </si>
  <si>
    <t>IN/001723</t>
  </si>
  <si>
    <t>N72 Herinrichting Kasteletsingel</t>
  </si>
  <si>
    <t>WL/INV/N72/6</t>
  </si>
  <si>
    <t>IN/001724</t>
  </si>
  <si>
    <t>WA/INV/A12/13</t>
  </si>
  <si>
    <t>IN/001725</t>
  </si>
  <si>
    <t>N211 - Structureel onderhoud doortocht Perk</t>
  </si>
  <si>
    <t>WVB/INV/N227/5</t>
  </si>
  <si>
    <t>KP/001777</t>
  </si>
  <si>
    <t>N416 Schoonaarde kmpt 5,390 rechts, Aanleg verhoogde bushalte</t>
  </si>
  <si>
    <t>IN/001726</t>
  </si>
  <si>
    <t>WOV/INV/N416/6</t>
  </si>
  <si>
    <t>IN/001727</t>
  </si>
  <si>
    <t>N416 Schoonaarde kmpt 5,390 links, Aanleg verhoogde bushalte</t>
  </si>
  <si>
    <t>WOV/INV/N416/7</t>
  </si>
  <si>
    <t>IN/001728</t>
  </si>
  <si>
    <t>N726 Houthalen Aanleg fietspaden en VRI</t>
  </si>
  <si>
    <t>WL/INV/N726/1</t>
  </si>
  <si>
    <t>IN/001729</t>
  </si>
  <si>
    <t>N73 Fietspaden Kinrooi</t>
  </si>
  <si>
    <t>WL/INV/N73/6</t>
  </si>
  <si>
    <t>IN/001730</t>
  </si>
  <si>
    <t>N73 Oudsbergen Mod 13 Aanleg fietspaden</t>
  </si>
  <si>
    <t>WL/INV/N73/7</t>
  </si>
  <si>
    <t>IN/001731</t>
  </si>
  <si>
    <t>N75 Fietsbrug Sparrendal Dilsen-Stokkem</t>
  </si>
  <si>
    <t>WL/INV/N75/3</t>
  </si>
  <si>
    <t>IN/001732</t>
  </si>
  <si>
    <t>Opstelruimte fietsers verbeteren</t>
  </si>
  <si>
    <t>Niveauverschil heuvel in kasseien wegwerken</t>
  </si>
  <si>
    <t>WL/INV/N746/7</t>
  </si>
  <si>
    <t>IN/001733</t>
  </si>
  <si>
    <t>WL/INV/N730/20</t>
  </si>
  <si>
    <t>IN/001734</t>
  </si>
  <si>
    <t>WL/INV/N72/22</t>
  </si>
  <si>
    <t>IN/001735</t>
  </si>
  <si>
    <t>Punctuele verlichting nieuwe VOP</t>
  </si>
  <si>
    <t>WL/INV/N748/7</t>
  </si>
  <si>
    <t>IN/001736</t>
  </si>
  <si>
    <t>Punctuele verlichting 2 kruispunten</t>
  </si>
  <si>
    <t>WL/INV/N771/5</t>
  </si>
  <si>
    <t>IN/001737</t>
  </si>
  <si>
    <t>WL/INV/N76/29</t>
  </si>
  <si>
    <t>IN/001738</t>
  </si>
  <si>
    <t>WL/INV/N712/11</t>
  </si>
  <si>
    <t>IN/001739</t>
  </si>
  <si>
    <t>punctuele verlichting FOP</t>
  </si>
  <si>
    <t>WL/INV/N746/8</t>
  </si>
  <si>
    <t>KP/001779</t>
  </si>
  <si>
    <t>IN/001740</t>
  </si>
  <si>
    <t>FSS op het wegdeel dat voldoende breed is conform vademecum</t>
  </si>
  <si>
    <t>Minimumbreedte 5m40 +50cm waar een parkeerstrook ligt. 80-tal meter wordt niet opgenomen, rest wordt voorzien ven een FSS.</t>
  </si>
  <si>
    <t>WWV/INV/N8/35</t>
  </si>
  <si>
    <t>IN/001741</t>
  </si>
  <si>
    <t>punctuele verlichting VOP</t>
  </si>
  <si>
    <t>WL/INV/N29/6</t>
  </si>
  <si>
    <t>KP/001780</t>
  </si>
  <si>
    <t>IN/001742</t>
  </si>
  <si>
    <t>Asbestverwijdering van de W20 ter voorbereiding van monitoring</t>
  </si>
  <si>
    <t>Als onderdeel van het bestek structureel onderhoud aan de kunstwerken 2021 zal de asbestcoating van de W20 (in de A12 over de parallelbaan van de R0). Dit is één van de "brokkelbruggen".</t>
  </si>
  <si>
    <t>IN/001743</t>
  </si>
  <si>
    <t>Doortocht 's Gravenwezel</t>
  </si>
  <si>
    <t>KP/001449</t>
  </si>
  <si>
    <t>KS806 - verkeersveiligheid</t>
  </si>
  <si>
    <t>KP/002043</t>
  </si>
  <si>
    <t>KP/001757</t>
  </si>
  <si>
    <t>IN/001744</t>
  </si>
  <si>
    <t>R40 Gent  Nieuwevaart -  aanleg busbaan</t>
  </si>
  <si>
    <t>WOV/INV/R40/13</t>
  </si>
  <si>
    <t>IN/001745</t>
  </si>
  <si>
    <t>N424-N456 Gent - optimalisatie zuidelijke havenweg</t>
  </si>
  <si>
    <t>WOV/INV/N424/7</t>
  </si>
  <si>
    <t>IN/001746</t>
  </si>
  <si>
    <t>R0 - Herstelling afwatering binnenring (Kraainem)</t>
  </si>
  <si>
    <t>WVB/INV/R0/12</t>
  </si>
  <si>
    <t>KP/001781</t>
  </si>
  <si>
    <t>IN/001747</t>
  </si>
  <si>
    <t>Aanleg van 2 nieuwe haltehavens - spottersplatform</t>
  </si>
  <si>
    <t>WVB/INV/N227/6</t>
  </si>
  <si>
    <t>KP/001787</t>
  </si>
  <si>
    <t>IN/001748</t>
  </si>
  <si>
    <t>2 haltes uitstulpend aanleggen - Heverlee sociale school</t>
  </si>
  <si>
    <t>WVB/INV/N3/14</t>
  </si>
  <si>
    <t>IN/001749</t>
  </si>
  <si>
    <t>R1 - Ring om Antw. Leefbaarheidsprojecten</t>
  </si>
  <si>
    <t>WA/INV/R1/7</t>
  </si>
  <si>
    <t>IN/001750</t>
  </si>
  <si>
    <t>Verplaatsen zebrapad</t>
  </si>
  <si>
    <t>WVB/INV/N227/7</t>
  </si>
  <si>
    <t>KP/001783</t>
  </si>
  <si>
    <t>IN/001751</t>
  </si>
  <si>
    <t>aanleg bushaltes warandestraat</t>
  </si>
  <si>
    <t>aanleggen van 2 haltes</t>
  </si>
  <si>
    <t>IN/001752</t>
  </si>
  <si>
    <t>N223/11 Lubbeek/TieltW Fietspaden &amp; Onderh wegenis</t>
  </si>
  <si>
    <t>WVB/INV/N223/1</t>
  </si>
  <si>
    <t>KP/001808</t>
  </si>
  <si>
    <t>IN/001753</t>
  </si>
  <si>
    <t>Hoppin: N467 Berale: aanleg verhoogde bushaltehaven</t>
  </si>
  <si>
    <t>HOPPINPUNT BERLARE KERK\nAanleg verhoogde bushaltehaven</t>
  </si>
  <si>
    <t>WOV/INV/N467/3</t>
  </si>
  <si>
    <t>IN/001754</t>
  </si>
  <si>
    <t>Hoppin: N467 Berlare: aanleg verhoogde bushaltehaven</t>
  </si>
  <si>
    <t>HOPPINPUNT BERLARE KERK\naanleg verhoogde bushaltehaven</t>
  </si>
  <si>
    <t>WOV/INV/N467/4</t>
  </si>
  <si>
    <t>IN/001755</t>
  </si>
  <si>
    <t>N747 Peer Mod 13 aanleg fietspaden</t>
  </si>
  <si>
    <t>WL/INV/N747/2</t>
  </si>
  <si>
    <t>IN/001756</t>
  </si>
  <si>
    <t>Gevaarlijk Punt &amp; SRK: R4 Zelzate: VRI: nieuwe installatie plaatsen</t>
  </si>
  <si>
    <t>VRI: nieuwe installatie plaatsen;\nKanaalstraat x Westkade</t>
  </si>
  <si>
    <t>WOV/INV/R4/10</t>
  </si>
  <si>
    <t>KP/001487</t>
  </si>
  <si>
    <t>KP/001775</t>
  </si>
  <si>
    <t>IN/001757</t>
  </si>
  <si>
    <t>MIA: verkeersdrempel kruispunt Voerengraaf</t>
  </si>
  <si>
    <t>WL/INV/N627/2</t>
  </si>
  <si>
    <t>KP/001809</t>
  </si>
  <si>
    <t>IN/001758</t>
  </si>
  <si>
    <t>Verhoogde bushaltehaven</t>
  </si>
  <si>
    <t>WOV/INV/N44/5</t>
  </si>
  <si>
    <t>IN/001759</t>
  </si>
  <si>
    <t>Verhoogde bushaltehaven AR</t>
  </si>
  <si>
    <t>Verhoogde bushaltehaven AR - Spanjaardstraat</t>
  </si>
  <si>
    <t>WOV/INV/N44/6</t>
  </si>
  <si>
    <t>KP/001811</t>
  </si>
  <si>
    <t>IN/001760</t>
  </si>
  <si>
    <t>Verhoogde bushaltehaven OR - De Knok</t>
  </si>
  <si>
    <t>WOV/INV/N37/2</t>
  </si>
  <si>
    <t>KP/001812</t>
  </si>
  <si>
    <t>IN/001761</t>
  </si>
  <si>
    <t>Verhoogde bushaltehaven AR - De Knok</t>
  </si>
  <si>
    <t>WOV/INV/N37/3</t>
  </si>
  <si>
    <t>KP/001813</t>
  </si>
  <si>
    <t>IN/001762</t>
  </si>
  <si>
    <t>Bus : N9 Maldegem: Verhoogde bushaltehaven - Oude Weg (Adegem)</t>
  </si>
  <si>
    <t>WOV/INV/N9/27</t>
  </si>
  <si>
    <t>KP/001814</t>
  </si>
  <si>
    <t>IN/001763</t>
  </si>
  <si>
    <t>Verhoogde bushaltehaven AR - Oude Weg - Adegem</t>
  </si>
  <si>
    <t>WOV/INV/N9/28</t>
  </si>
  <si>
    <t>KP/001815</t>
  </si>
  <si>
    <t>IN/001764</t>
  </si>
  <si>
    <t>aanleggen Hoppinpunt N8 Lierde</t>
  </si>
  <si>
    <t>aanleggen hoppinpunt en toegankelijke haltes te Lierde N8 station</t>
  </si>
  <si>
    <t>WOV/INV/N8/12</t>
  </si>
  <si>
    <t>KP/001816</t>
  </si>
  <si>
    <t>IN/001765</t>
  </si>
  <si>
    <t>Bus: N9 Maldegem: Verhoogde bushaltehaven Oude Gentweg</t>
  </si>
  <si>
    <t>WOV/INV/N9/29</t>
  </si>
  <si>
    <t>KP/001817</t>
  </si>
  <si>
    <t>IN/001766</t>
  </si>
  <si>
    <t>Verhoogde bushaltehaven Oude Gentweg AR</t>
  </si>
  <si>
    <t>WOV/INV/N9/30</t>
  </si>
  <si>
    <t>KP/001818</t>
  </si>
  <si>
    <t>IN/001767</t>
  </si>
  <si>
    <t>Verhoogde bushaltehaven Lembeke Lotusfabriek OR</t>
  </si>
  <si>
    <t>WOV/INV/N456/13</t>
  </si>
  <si>
    <t>IN/001768</t>
  </si>
  <si>
    <t>Verhoogde bushaltehaven Lembeke Lotusfabriek AR</t>
  </si>
  <si>
    <t>WOV/INV/N456/14</t>
  </si>
  <si>
    <t>KP/001786</t>
  </si>
  <si>
    <t>IN/001769</t>
  </si>
  <si>
    <t>relance bushaltes Rotselaar aanpassing eindpunt halte rotonde</t>
  </si>
  <si>
    <t>aanpassing halte naar uitstulpend verhoogd en aanleg rust / wachtplaats bus</t>
  </si>
  <si>
    <t>WVB/INV/N19/8</t>
  </si>
  <si>
    <t>KP/001784</t>
  </si>
  <si>
    <t>IN/001770</t>
  </si>
  <si>
    <t>relance bushaltes Oud-Heverlee Blanden oud station</t>
  </si>
  <si>
    <t>aanpassing haltes naar uitstulpend verhoogd</t>
  </si>
  <si>
    <t>WVB/INV/N251/5</t>
  </si>
  <si>
    <t>IN/001771</t>
  </si>
  <si>
    <t>Sanering viaduct Gentbrugge fase 2</t>
  </si>
  <si>
    <t>Sanering viaduct Gentbrugge en Scheldebrug in E17 te Gentbrugge</t>
  </si>
  <si>
    <t>IN/001772</t>
  </si>
  <si>
    <t>renovatie brug Veldstraat en Kruibekesteenweg over E17 te Temse en Beveren/Kruibeke</t>
  </si>
  <si>
    <t>sanering brug Veldstraat over E17 te Temse en brug Kruibekesteenweg over E17 te Beveren/Kruibeke</t>
  </si>
  <si>
    <t>IN/001773</t>
  </si>
  <si>
    <t>A14 E17 Gentbrugge Sanering Viaduct</t>
  </si>
  <si>
    <t>WOV/INV/A14/1</t>
  </si>
  <si>
    <t>IN/001774</t>
  </si>
  <si>
    <t>A14/E17 Beveren saneren brug Kruibekesteenweg</t>
  </si>
  <si>
    <t>WOV/INV/A14/4</t>
  </si>
  <si>
    <t>IN/001775</t>
  </si>
  <si>
    <t>WL/INV/N20/12</t>
  </si>
  <si>
    <t>KP/001823</t>
  </si>
  <si>
    <t>IN/001776</t>
  </si>
  <si>
    <t>N419 Kruibeke oplopend rechts  aaanleg verhoogde bushaltehaven</t>
  </si>
  <si>
    <t>N419 Kruibeke oplopend rechts \naaanleg verhoogde bushaltehaven</t>
  </si>
  <si>
    <t>WOV/INV/N419/7</t>
  </si>
  <si>
    <t>IN/001777</t>
  </si>
  <si>
    <t>N419 Kruibeke aflopend rechts  aaanleg verhoogde bushaltehaven</t>
  </si>
  <si>
    <t>WOV/INV/N419/8</t>
  </si>
  <si>
    <t>KP/000972</t>
  </si>
  <si>
    <t>KS232 - VOP niet zichtbaar genoeg als het donker is.</t>
  </si>
  <si>
    <t>IN/001778</t>
  </si>
  <si>
    <t>N18 - Mol - Kapellestraat - Postelarenweg kruispnt</t>
  </si>
  <si>
    <t>Heraanleg kruispunt N18-Kapellestraat in Mol met VRI.\nHerinrichting aansluiting Postelarenweg naar eenrichtingsverkeer.</t>
  </si>
  <si>
    <t>WA/INV/N18/2</t>
  </si>
  <si>
    <t>IN/001779</t>
  </si>
  <si>
    <t>N116 RANST Fietspad Netekanaal en N14</t>
  </si>
  <si>
    <t>WA/INV/N116/7</t>
  </si>
  <si>
    <t>IN/001780</t>
  </si>
  <si>
    <t>N14 Zandhoven fase 3: kanaal-N116</t>
  </si>
  <si>
    <t>WA/INV/N14/4</t>
  </si>
  <si>
    <t>KP/002032</t>
  </si>
  <si>
    <t>KP/002141</t>
  </si>
  <si>
    <t>KP/001323</t>
  </si>
  <si>
    <t>KS831 - Te hoge snelheid is een gekend probleem op deze locatie</t>
  </si>
  <si>
    <t>IN/001781</t>
  </si>
  <si>
    <t>VVOP oversteek Kruiseke centrum</t>
  </si>
  <si>
    <t>WWV/INV/N303/3</t>
  </si>
  <si>
    <t>IN/001782</t>
  </si>
  <si>
    <t>N29 x N3 Herinrichting rotonde Hakendover</t>
  </si>
  <si>
    <t>WVB/INV/N3/7</t>
  </si>
  <si>
    <t>KP/001459</t>
  </si>
  <si>
    <t>IN/001783</t>
  </si>
  <si>
    <t>SRK: N445 Laarne: oversteekvoorzieningen voor fietsers op gewestweg</t>
  </si>
  <si>
    <t>Kruispunt veiliger maken (infra en vvop)</t>
  </si>
  <si>
    <t>WOV/INV/N445/7</t>
  </si>
  <si>
    <t>KP/001120</t>
  </si>
  <si>
    <t>KS492 - Gevaarlijke oversteekplaats voor fietsers en voetgangers</t>
  </si>
  <si>
    <t>IN/001784</t>
  </si>
  <si>
    <t>N121 Brasschaat Hemelakkers</t>
  </si>
  <si>
    <t>WA/INV/N121/2</t>
  </si>
  <si>
    <t>IN/001785</t>
  </si>
  <si>
    <t>WL/INV/N793/1</t>
  </si>
  <si>
    <t>IN/001786</t>
  </si>
  <si>
    <t>N325 Middelkerke - structureel onderhoud</t>
  </si>
  <si>
    <t>WWV/INV/N325/1</t>
  </si>
  <si>
    <t>IN/001787</t>
  </si>
  <si>
    <t>N58 Wervik - Ontdubbeling van het vak A19 tot N338</t>
  </si>
  <si>
    <t>WWV/INV/N58/1</t>
  </si>
  <si>
    <t>IN/001788</t>
  </si>
  <si>
    <t>N396 Koksijde - verbetering fietspad</t>
  </si>
  <si>
    <t>WWV/INV/N396/1</t>
  </si>
  <si>
    <t>IN/001789</t>
  </si>
  <si>
    <t>N33 Ichtegem - fietspaden De Engel</t>
  </si>
  <si>
    <t>WWV/INV/N33/1</t>
  </si>
  <si>
    <t>IN/001790</t>
  </si>
  <si>
    <t>N36 Deerlijk - herinrichting Belgiek</t>
  </si>
  <si>
    <t>WWV/INV/N36/2</t>
  </si>
  <si>
    <t>IN/001791</t>
  </si>
  <si>
    <t>N318 Oostende - herinrichting Nieuwpoortsesteenweg</t>
  </si>
  <si>
    <t>WWV/INV/N318/1</t>
  </si>
  <si>
    <t>IN/001792</t>
  </si>
  <si>
    <t>N35 De Panne, Koksijde, Veurne - vrijlig. fietspad</t>
  </si>
  <si>
    <t>WWV/INV/N35/3</t>
  </si>
  <si>
    <t>KP/000922</t>
  </si>
  <si>
    <t>KS178 - prior 5.  Moeilijke en onveilige locatie om over te steken, juist buiten de bebouwde kom</t>
  </si>
  <si>
    <t>IN/001793</t>
  </si>
  <si>
    <t>2 nieuwe VOP's</t>
  </si>
  <si>
    <t>WL/INV/N746/10</t>
  </si>
  <si>
    <t>IN/001794</t>
  </si>
  <si>
    <t>N358 Oudenburg - struct. ond. i.c.m. collector Aqf</t>
  </si>
  <si>
    <t>WWV/INV/N358/1</t>
  </si>
  <si>
    <t>IN/001795</t>
  </si>
  <si>
    <t>N33 - Gistel en Ichtegem - aanleg fietspaden</t>
  </si>
  <si>
    <t>WWV/INV/N33/2</t>
  </si>
  <si>
    <t>IN/001796</t>
  </si>
  <si>
    <t>R31 Oostende - Ongelijkgrondse fietsverbindingen</t>
  </si>
  <si>
    <t>WWV/INV/R31/1</t>
  </si>
  <si>
    <t>IN/001797</t>
  </si>
  <si>
    <t>A18 Jabbeke-Gistel: structureel onderhoud</t>
  </si>
  <si>
    <t>WWV/INV/A18/1</t>
  </si>
  <si>
    <t>IN/001798</t>
  </si>
  <si>
    <t>N8 - Ieper:Aanpak verkeersveiligheid Ieper-Brielen</t>
  </si>
  <si>
    <t>WWV/INV/N8/11</t>
  </si>
  <si>
    <t>IN/001799</t>
  </si>
  <si>
    <t>N363 Ichtegem - doortocht</t>
  </si>
  <si>
    <t>WWV/INV/N363/1</t>
  </si>
  <si>
    <t>IN/001800</t>
  </si>
  <si>
    <t>N374 Knokke-Heist/ Brugge/ Damme - fietspaden</t>
  </si>
  <si>
    <t>WWV/INV/N374/1</t>
  </si>
  <si>
    <t>IN/001801</t>
  </si>
  <si>
    <t>N34 Middelkerke - tramdossier neptunusproject</t>
  </si>
  <si>
    <t>WWV/INV/N34/3</t>
  </si>
  <si>
    <t>IN/001802</t>
  </si>
  <si>
    <t>N34 Nieuwpoort -vak Cardijnlaan - Louisweg Noord</t>
  </si>
  <si>
    <t>WWV/INV/N34/4</t>
  </si>
  <si>
    <t>IN/001803</t>
  </si>
  <si>
    <t>N376 Knokke-Heist/Brugge/Damme - fietspaden</t>
  </si>
  <si>
    <t>WWV/INV/N376/1</t>
  </si>
  <si>
    <t>IN/001804</t>
  </si>
  <si>
    <t>N347 Poperinge - Diepenmeers en Sint-Bertinusstraa</t>
  </si>
  <si>
    <t>WWV/INV/N347/1</t>
  </si>
  <si>
    <t>IN/001805</t>
  </si>
  <si>
    <t>N350 Knokke-Heist / Brugge - Ramskapellebruggen</t>
  </si>
  <si>
    <t>WWV/INV/N350/1</t>
  </si>
  <si>
    <t>IN/001806</t>
  </si>
  <si>
    <t>N358 Middelkerke - structureel onderhoud</t>
  </si>
  <si>
    <t>WWV/INV/N358/2</t>
  </si>
  <si>
    <t>IN/001807</t>
  </si>
  <si>
    <t>N34 Nieuwpoort - Structureel onderhoud fase 2</t>
  </si>
  <si>
    <t>WWV/INV/N34/5</t>
  </si>
  <si>
    <t>IN/001808</t>
  </si>
  <si>
    <t>N367 Gistel - structureel onderhoud met fietspaden</t>
  </si>
  <si>
    <t>WWV/INV/N367/3</t>
  </si>
  <si>
    <t>IN/001809</t>
  </si>
  <si>
    <t>N318 Middelkerke - doortocht Lombarsijde</t>
  </si>
  <si>
    <t>WWV/INV/N318/2</t>
  </si>
  <si>
    <t>IN/001810</t>
  </si>
  <si>
    <t>N34y De Haan - herinrichting Koninklijke Baan</t>
  </si>
  <si>
    <t>WWV/INV/N34Y/1</t>
  </si>
  <si>
    <t>IN/001811</t>
  </si>
  <si>
    <t>N34 Koksijde - Structureel onderhoud en fietspaden</t>
  </si>
  <si>
    <t>WWV/INV/N34/6</t>
  </si>
  <si>
    <t>IN/001812</t>
  </si>
  <si>
    <t>N358 Oudenburg - structureel onderhoud Snaaskerke</t>
  </si>
  <si>
    <t>WWV/INV/N358/3</t>
  </si>
  <si>
    <t>IN/001813</t>
  </si>
  <si>
    <t>N367 Middelkerke - aanleg fietspaden Brugsestw</t>
  </si>
  <si>
    <t>WWV/INV/N367/5</t>
  </si>
  <si>
    <t>IN/001814</t>
  </si>
  <si>
    <t>Nx West - Brugge SHIP-project</t>
  </si>
  <si>
    <t>KP/000188</t>
  </si>
  <si>
    <t>IN/001815</t>
  </si>
  <si>
    <t>N376 Knokke-Heist - rot. Kkd-Sluisstraat   fietsov</t>
  </si>
  <si>
    <t>WWV/INV/N376/2</t>
  </si>
  <si>
    <t>IN/001816</t>
  </si>
  <si>
    <t>N367 Nieuwpoort - Uniebrug tot Ramskapellestraat</t>
  </si>
  <si>
    <t>WWV/INV/N367/7</t>
  </si>
  <si>
    <t>IN/001817</t>
  </si>
  <si>
    <t>R30-N337 Brugge - Gentpoort</t>
  </si>
  <si>
    <t>WWV/INV/N337/3</t>
  </si>
  <si>
    <t>IN/001818</t>
  </si>
  <si>
    <t>Nx oost - Brugge</t>
  </si>
  <si>
    <t>WWV/INV/NX/1</t>
  </si>
  <si>
    <t>IN/001819</t>
  </si>
  <si>
    <t>E403 Torhout Brugge - verbreding</t>
  </si>
  <si>
    <t>WWV/INV/E403/4</t>
  </si>
  <si>
    <t>IN/001820</t>
  </si>
  <si>
    <t>N50 Kuurne Harelbeke - structureel onderhoud</t>
  </si>
  <si>
    <t>WWV/INV/N50/1</t>
  </si>
  <si>
    <t>IN/001821</t>
  </si>
  <si>
    <t>E17 Waregem - herinrichting N382 complex nr. 5</t>
  </si>
  <si>
    <t>WWV/INV/E17/1</t>
  </si>
  <si>
    <t>IN/001822</t>
  </si>
  <si>
    <t>N390a Veurne Vaartstraat</t>
  </si>
  <si>
    <t>WWV/INV/N390A/1</t>
  </si>
  <si>
    <t>IN/001823</t>
  </si>
  <si>
    <t>A18 De Panne - Dynamische beveiliging afrit Plopsa</t>
  </si>
  <si>
    <t>WWV/INV/A18/4</t>
  </si>
  <si>
    <t>IN/001824</t>
  </si>
  <si>
    <t>N342 Brugge - VRI Ten Briele</t>
  </si>
  <si>
    <t>WWV/INV/N342/4</t>
  </si>
  <si>
    <t>IN/001825</t>
  </si>
  <si>
    <t>N304 Doortocht Reningelst</t>
  </si>
  <si>
    <t>WWV/INV/N304/1</t>
  </si>
  <si>
    <t>IN/001826</t>
  </si>
  <si>
    <t>N301 Houthulst. Verbetering fietspad langs de N301</t>
  </si>
  <si>
    <t>WWV/INV/N301/2</t>
  </si>
  <si>
    <t>IN/001827</t>
  </si>
  <si>
    <t>N375 Ieper - Structureel onderhoud</t>
  </si>
  <si>
    <t>WWV/INV/N375/3</t>
  </si>
  <si>
    <t>IN/001828</t>
  </si>
  <si>
    <t>N 375 structureel onderhoud Dikkebusweg</t>
  </si>
  <si>
    <t>WWV/INV/N375/2</t>
  </si>
  <si>
    <t>IN/001829</t>
  </si>
  <si>
    <t>N353  Spiere-Helkijn  structureel onderhoud</t>
  </si>
  <si>
    <t>WWV/INV/N353/1</t>
  </si>
  <si>
    <t>IN/001830</t>
  </si>
  <si>
    <t>N 362 Structureel onderhoud met schoolomgeving</t>
  </si>
  <si>
    <t>WWV/INV/N362/1</t>
  </si>
  <si>
    <t>IN/001831</t>
  </si>
  <si>
    <t>N 381 Moderniseren Ruusschaartstraat en Krommelstr</t>
  </si>
  <si>
    <t>WWV/INV/N381/1</t>
  </si>
  <si>
    <t>IN/001832</t>
  </si>
  <si>
    <t>N311 Wervik structureel onderhoud</t>
  </si>
  <si>
    <t>WWV/INV/N311/1</t>
  </si>
  <si>
    <t>IN/001833</t>
  </si>
  <si>
    <t>N 308 Herinrichting Poperinge-Ieper</t>
  </si>
  <si>
    <t>WWV/INV/N308/1</t>
  </si>
  <si>
    <t>IN/001834</t>
  </si>
  <si>
    <t>Project 3102 Deerlijk N 36 Ringlaan Kortrijkse Hee</t>
  </si>
  <si>
    <t>WWV/INV/N36/1</t>
  </si>
  <si>
    <t>IN/001835</t>
  </si>
  <si>
    <t>N370 Wingene-Beernem: fietspaden</t>
  </si>
  <si>
    <t>WWV/INV/N370/1</t>
  </si>
  <si>
    <t>IN/001836</t>
  </si>
  <si>
    <t>N34 Ringlaan Wenduine</t>
  </si>
  <si>
    <t>WWV/INV/N34/2</t>
  </si>
  <si>
    <t>IN/001837</t>
  </si>
  <si>
    <t>N26 Mechelen Arsenaalverbinding</t>
  </si>
  <si>
    <t>WA/INV/N26/4</t>
  </si>
  <si>
    <t>IN/001838</t>
  </si>
  <si>
    <t>R16 LIER Boomlaarstraat</t>
  </si>
  <si>
    <t>Voorzien van ontsluitingswegen (bretellen) langs de R16 (met ovonde en rotonde), aanleg van vrijliggende fietspaden en definitief sluiten van de middenberm op de R16.</t>
  </si>
  <si>
    <t>WA/INV/R16/8</t>
  </si>
  <si>
    <t>IN/001839</t>
  </si>
  <si>
    <t>N8 Veurne - herinrichting op Veurne</t>
  </si>
  <si>
    <t>WWV/INV/N8/1</t>
  </si>
  <si>
    <t>KP/001792</t>
  </si>
  <si>
    <t>IN/001840</t>
  </si>
  <si>
    <t>toegankelijke halte Waalhovenstraat</t>
  </si>
  <si>
    <t>IN/001841</t>
  </si>
  <si>
    <t>N2 Diest herstel keermuur</t>
  </si>
  <si>
    <t>WVB/INV/N2/14</t>
  </si>
  <si>
    <t>IN/001842</t>
  </si>
  <si>
    <t>X21/N26/22 Herstel keermuren N26 Herent</t>
  </si>
  <si>
    <t>WVB/INV/N2/10</t>
  </si>
  <si>
    <t>IN/001843</t>
  </si>
  <si>
    <t>N35f Diksmuide-nieuwe omleiding tussen N 35/N369</t>
  </si>
  <si>
    <t>WWV/INV/N35/2</t>
  </si>
  <si>
    <t>KP/000790</t>
  </si>
  <si>
    <t>IN/001844</t>
  </si>
  <si>
    <t>Quickwins vanuit onderzoek.</t>
  </si>
  <si>
    <t>plaatsen rode slem op fietspad thv kruispunt Nokerseweg\ndoorsteekjes zebrapaden te voorzien\nfietsoversteekvoorzieningen langs zebrapaden aanbrengen\naanpassen middengeleider</t>
  </si>
  <si>
    <t>WWV/INV/R35/1</t>
  </si>
  <si>
    <t>IN/001845</t>
  </si>
  <si>
    <t>N19/30  Aarschot Fietsp &amp; weg &amp; rio Aarsch-Gelrode</t>
  </si>
  <si>
    <t>WVB/INV/N19/3</t>
  </si>
  <si>
    <t>IN/001846</t>
  </si>
  <si>
    <t>N3/42 Boutersem - Doortocht Roosbeek en mod</t>
  </si>
  <si>
    <t>WVB/INV/N3/2</t>
  </si>
  <si>
    <t>IN/001847</t>
  </si>
  <si>
    <t>N287/1 Diest Tess N287 N174 FP &amp; weg + Aquaf coll</t>
  </si>
  <si>
    <t>WVB/INV/N287/1</t>
  </si>
  <si>
    <t>IN/001848</t>
  </si>
  <si>
    <t>N29/2 Glabbeek Vrijliggend FP + Aquafin collector</t>
  </si>
  <si>
    <t>WVB/INV/N29/2</t>
  </si>
  <si>
    <t>KP/001694</t>
  </si>
  <si>
    <t>IN/001849</t>
  </si>
  <si>
    <t>Heers: N743 aanpak wateroverlast</t>
  </si>
  <si>
    <t>Onveilige situatie door wateroverlast wordt aangepakt door aanleg van greppels.</t>
  </si>
  <si>
    <t>WL/INV/N743/1</t>
  </si>
  <si>
    <t>IN/001850</t>
  </si>
  <si>
    <t>SRK: N449 Wachtebeke: fFietssuggestiestroken aanbrengen</t>
  </si>
  <si>
    <t>Fietssuggestiestroken aanbrengen N449 x Rechtstro</t>
  </si>
  <si>
    <t>WOV/INV/N449/8</t>
  </si>
  <si>
    <t>KP/001691</t>
  </si>
  <si>
    <t>IN/001851</t>
  </si>
  <si>
    <t>Alken: N80 verlengen afritten</t>
  </si>
  <si>
    <t>Verlengen van afslagstroken naar Vliegstraat en Langveldstraat.</t>
  </si>
  <si>
    <t>WL/INV/N80/5</t>
  </si>
  <si>
    <t>KP/001772</t>
  </si>
  <si>
    <t>IN/001852</t>
  </si>
  <si>
    <t>Sint-Truiden: N80 aanpak fietspaden</t>
  </si>
  <si>
    <t>Fietspaden heraanleggen in asfalt.</t>
  </si>
  <si>
    <t>WL/INV/N80/6</t>
  </si>
  <si>
    <t>KP/001771</t>
  </si>
  <si>
    <t>IN/001853</t>
  </si>
  <si>
    <t>Sint-Truiden: N3 aanpak betonplaten</t>
  </si>
  <si>
    <t>Herstellen van gebroken/verzakte betonplaten.</t>
  </si>
  <si>
    <t>WL/INV/N3/9</t>
  </si>
  <si>
    <t>KP/000779</t>
  </si>
  <si>
    <t>IN/001854</t>
  </si>
  <si>
    <t>KT optimalisatie fietsinfrastructuur</t>
  </si>
  <si>
    <t>omleggen fietspaden, combineren met ventweg, reorganisatie parkeren.</t>
  </si>
  <si>
    <t>IN/001855</t>
  </si>
  <si>
    <t>Uitbreiden bestaande dynamische zone 30 tot voorbij VOP</t>
  </si>
  <si>
    <t>WL/INV/N141/11</t>
  </si>
  <si>
    <t>KP/001156</t>
  </si>
  <si>
    <t>KS539 - De Mariakerkelaan wordt als alternatief gebruikt voor de drukkere Elisabethlaan (R31) door heel wat jonge fietsers en ligt ook op de route naar diverse schoolomgevingen in de buurt. Momenteel is de zichtbaarheid van aankomend verkeer (komende van de Torhoutsesteenweg) op overstekende fietsers Mariakerkelaan niet ideaal.</t>
  </si>
  <si>
    <t>IN/001856</t>
  </si>
  <si>
    <t>kruispunt Mariakerkelaan N33</t>
  </si>
  <si>
    <t>studie VIAS\nOntsluitingsstudie lopende 2022\nmogelijks lichten maar geen garantie op doorstroming</t>
  </si>
  <si>
    <t>IN/001857</t>
  </si>
  <si>
    <t>E403 Izegem: herinrichting op- en afritcomplex nr7</t>
  </si>
  <si>
    <t>WWV/INV/E403/1</t>
  </si>
  <si>
    <t>IN/001858</t>
  </si>
  <si>
    <t>N223/2 Aarschot aanleg fietspaden thv district</t>
  </si>
  <si>
    <t>WVB/INV/N223/2</t>
  </si>
  <si>
    <t>IN/001859</t>
  </si>
  <si>
    <t>N29/5 Diest - Doortocht Schoonaerde</t>
  </si>
  <si>
    <t>WVB/INV/N29/5</t>
  </si>
  <si>
    <t>IN/001860</t>
  </si>
  <si>
    <t>N34 Knokke-Heist - doortocht Heist</t>
  </si>
  <si>
    <t>WWV/INV/N34/15</t>
  </si>
  <si>
    <t>IN/001861</t>
  </si>
  <si>
    <t>N318 Middelkerke - herinrichting thv Krokodiel</t>
  </si>
  <si>
    <t>WWV/INV/N318/5</t>
  </si>
  <si>
    <t>IN/001862</t>
  </si>
  <si>
    <t>N29/4 Tienen Herinrichting N29 - R27 tot Deelberg</t>
  </si>
  <si>
    <t>WVB/INV/N29/4</t>
  </si>
  <si>
    <t>IN/001863</t>
  </si>
  <si>
    <t>Aanpassing fietsinfra lichtengeregeld kruispunt</t>
  </si>
  <si>
    <t>Toeleidende fietspaden in de zijstraten\nlichtengeregelde FOP's ipv OFOS'en</t>
  </si>
  <si>
    <t>IN/001864</t>
  </si>
  <si>
    <t>Punctuele verlichting van bestaande VOP</t>
  </si>
  <si>
    <t>WL/INV/N2/16</t>
  </si>
  <si>
    <t>IN/001865</t>
  </si>
  <si>
    <t>VOP en FOP voorzien van punctuele verlichting</t>
  </si>
  <si>
    <t>WL/INV/N77/7</t>
  </si>
  <si>
    <t>IN/001866</t>
  </si>
  <si>
    <t>N12 Herinrichting Turnhoutsebaan</t>
  </si>
  <si>
    <t>WA/INV/N12/5</t>
  </si>
  <si>
    <t>KP/000698</t>
  </si>
  <si>
    <t>KP/001408</t>
  </si>
  <si>
    <t>IN/001867</t>
  </si>
  <si>
    <t>N458 Assenede aanleg fietspaden Boekhoute-F423</t>
  </si>
  <si>
    <t>WOV/INV/N458/4</t>
  </si>
  <si>
    <t>IN/001871</t>
  </si>
  <si>
    <t>N35 Tielt: aanleg fietspaden vh BFF</t>
  </si>
  <si>
    <t>WWV/INV/N35/1</t>
  </si>
  <si>
    <t>IN/001872</t>
  </si>
  <si>
    <t>Ombouw VRI volgens actieplan + voorbereiding iVRI</t>
  </si>
  <si>
    <t>IN/001873</t>
  </si>
  <si>
    <t>Aanpassen rotonde</t>
  </si>
  <si>
    <t>- op de 4 takken een VOP in combi met dubbelrichtingsFOP's in fietslogoverbinding (inclusief aanpassen fietspaden rotonde).\n\n</t>
  </si>
  <si>
    <t>IN/001874</t>
  </si>
  <si>
    <t>Snelheid naar 70 km/u</t>
  </si>
  <si>
    <t>KP/000811</t>
  </si>
  <si>
    <t>KS021 - De kruising van de N75 met de Vlessersweg / Broekhofstraat zijn is een erg gevaarlijke oversteek. De Vlessersweg en Broekhofstraat zijn erg belangrijke schoolroutes: enerzijds voor scholieren middelbaar onderwijs van Lanklaar richting Stedelijke Humaniora Dilsen en anderzijds voor scholieren middelbaar onderwijs van Dilsen richting Instituut Maria Koningin Lanklaar.</t>
  </si>
  <si>
    <t>IN/001875</t>
  </si>
  <si>
    <t>Aanpassen kruispunt</t>
  </si>
  <si>
    <t>versmallen noordelijke aansluiting, FOP's met bajonet en nieuwe bushalte/Hoppinpunt</t>
  </si>
  <si>
    <t>IN/001876</t>
  </si>
  <si>
    <t>Masterplan Calicannes</t>
  </si>
  <si>
    <t>WWV/INV/N38/1</t>
  </si>
  <si>
    <t>IN/001877</t>
  </si>
  <si>
    <t>N38 Ieper - kruispunt Pilkemseweg</t>
  </si>
  <si>
    <t>WWV/INV/N38/2</t>
  </si>
  <si>
    <t>KP/000197</t>
  </si>
  <si>
    <t>IN/001878</t>
  </si>
  <si>
    <t>R32 Hooglede: Fietstunnel thv Honzebrouckstraat</t>
  </si>
  <si>
    <t>WWV/INV/R32/1</t>
  </si>
  <si>
    <t>IN/001879</t>
  </si>
  <si>
    <t>SRK: N405 Aalst: vernieuwen slemlaag en VOP ter hoogte van school</t>
  </si>
  <si>
    <t>Vernieuwen slemlaag en VOP ter hoogte van school  (SRK)</t>
  </si>
  <si>
    <t>WOV/INV/N405/7</t>
  </si>
  <si>
    <t>IN/001880</t>
  </si>
  <si>
    <t>Aanleg verhoogde bushaltehaven afm 30m x 2.70m</t>
  </si>
  <si>
    <t>N403 Kemzeke kmp 6.400  aflopend rechts\nAanleg verhoogde bushaltehaven afm 30m x 2.70m</t>
  </si>
  <si>
    <t>WOV/INV/N403/3</t>
  </si>
  <si>
    <t>KP/001833</t>
  </si>
  <si>
    <t>IN/001881</t>
  </si>
  <si>
    <t>N419 Kruibeke  kmp 8.331 - kmp 8.352 aflopend rechts Aanleg verhoogde bushaltehaven  afm 21m x3m (halte Kruibeke Moortelbaan)</t>
  </si>
  <si>
    <t>WOV/INV/N419/9</t>
  </si>
  <si>
    <t>IN/001882</t>
  </si>
  <si>
    <t>N419 Kruibeke kmp 8.324 -v kmp 8.371 oplopend rechts aanleg verhoogde bushaltehaven afm 47m x 3m (halte Kruibeke Moortelstraat)</t>
  </si>
  <si>
    <t>N419 Kruibeke kmp 8.324 -v kmp 8.371 oplopend rechts\naanleg verhoogde bushaltehaven afm 47m x 3m (halte Kruibeke Moortelstraat)</t>
  </si>
  <si>
    <t>WOV/INV/N419/10</t>
  </si>
  <si>
    <t>KP/001835</t>
  </si>
  <si>
    <t>N419 Kruibeke kmp 8.981 - kmp 9.001 aflopend rechts \nAanleg verhoogde bushaltehaven afm 20m x 2m (halte Kruibeke Mercatorstraat)</t>
  </si>
  <si>
    <t>IN/001883</t>
  </si>
  <si>
    <t>N419 Kruibeke kmp 8.981 - kmp 9.001 aflopend rechts  Aanleg verhoogde bushaltehaven afm 20m x 2m (halte Kruibeke Mercatorstraat)</t>
  </si>
  <si>
    <t>WOV/INV/N419/11</t>
  </si>
  <si>
    <t>IN/001884</t>
  </si>
  <si>
    <t>N419 Kruibeke kmp 9.003 - kmp 9.024 oplopend rechts Aanleg verhoogde bushaltehaven afm 21m x 2m (halte Kruibeke Mercatorstraat)</t>
  </si>
  <si>
    <t>N419 Kruibeke kmp 9.003 - kmp 9.024 oplopend rechts\nAanleg verhoogde bushaltehaven afm 21m x 2m (halte Kruibeke Mercatorstraat)</t>
  </si>
  <si>
    <t>WOV/INV/N419/12</t>
  </si>
  <si>
    <t>IN/001885</t>
  </si>
  <si>
    <t>N012 Doortocht Vosselaar</t>
  </si>
  <si>
    <t>WA/INV/N012/11</t>
  </si>
  <si>
    <t>IN/001886</t>
  </si>
  <si>
    <t>R16 - LIER - Structureel onderhoud</t>
  </si>
  <si>
    <t>WA/INV/R16/5</t>
  </si>
  <si>
    <t>KP/001631</t>
  </si>
  <si>
    <t>IN/001887</t>
  </si>
  <si>
    <t>SRK: N9 x R4 Melle: markeringen verbeteren</t>
  </si>
  <si>
    <t>* opfrissen bestaande rode thermo.\n* 3 stuks nieuwe driehoekenstrepen volgens bijgevoegde schets.\n* aanpassen arcering.\n* 1 nieuwe B1 (zijde 900).</t>
  </si>
  <si>
    <t>WOV/INV/N9/31</t>
  </si>
  <si>
    <t>KP/001534</t>
  </si>
  <si>
    <t>IN/001888</t>
  </si>
  <si>
    <t>SRK: N9 Melle, N9 x Wautersdreef : middeneilanden</t>
  </si>
  <si>
    <t>* Nieuw middeneilanden te lijmen + inboren.\n* 2 st nieuwe D1d (ø700)+ retroreflecterende kokers in verkeerseilanden.\n* Kopse kanten verkeerseiland wit te schilderen.\n* Eilanden opvullen met beton.</t>
  </si>
  <si>
    <t>WOV/INV/N9/32</t>
  </si>
  <si>
    <t>IN/001889</t>
  </si>
  <si>
    <t>N302 Diksmuide: Schoorbakkestraat: aanleg fietspad</t>
  </si>
  <si>
    <t>WWV/INV/N302/1</t>
  </si>
  <si>
    <t>IN/001890</t>
  </si>
  <si>
    <t>N32 Torhout: heraanleg</t>
  </si>
  <si>
    <t>WWV/INV/N32/10</t>
  </si>
  <si>
    <t>IN/001891</t>
  </si>
  <si>
    <t>N357 Wielsbeke struct onderhoud beton   fietspadpr</t>
  </si>
  <si>
    <t>WWV/INV/N357/1</t>
  </si>
  <si>
    <t>IN/001892</t>
  </si>
  <si>
    <t>N17 PSAM Aanleg vrijliggende fietspaden</t>
  </si>
  <si>
    <t>WA/INV/N17/1</t>
  </si>
  <si>
    <t>IN/001893</t>
  </si>
  <si>
    <t>N279/1 Linter N279+N283 Fietspaden (mod 13)</t>
  </si>
  <si>
    <t>WVB/INV/N279/1</t>
  </si>
  <si>
    <t>IN/001894</t>
  </si>
  <si>
    <t>R26 - Kiss and ride station Diest</t>
  </si>
  <si>
    <t>WVB/INV/R26/1</t>
  </si>
  <si>
    <t>IN/001895</t>
  </si>
  <si>
    <t>X21/A3/76 Renovatie E40 Brussel - Luik: fase 2</t>
  </si>
  <si>
    <t>WVB/INV/A3/3</t>
  </si>
  <si>
    <t>IN/001896</t>
  </si>
  <si>
    <t>ZZZZZZ_Renovatie E40 Brussel - Luik: fase 3</t>
  </si>
  <si>
    <t>WVB/INV/A3/4</t>
  </si>
  <si>
    <t>IN/001897</t>
  </si>
  <si>
    <t>N29 - Bufferbekken Begijnebeek thv Klipgaardestr</t>
  </si>
  <si>
    <t>WVB/INV/N29/8</t>
  </si>
  <si>
    <t>IN/001898</t>
  </si>
  <si>
    <t>N118 - Ravels - Structureel Onderhoud na M13</t>
  </si>
  <si>
    <t>WA/INV/N118/11</t>
  </si>
  <si>
    <t>IN/001899</t>
  </si>
  <si>
    <t>TYS: Structureel onderhoud brandleiding</t>
  </si>
  <si>
    <t>WA/INV/TYS/5</t>
  </si>
  <si>
    <t>KP/000715</t>
  </si>
  <si>
    <t>IN/001900</t>
  </si>
  <si>
    <t>Aanpassingen kruispunt.</t>
  </si>
  <si>
    <t>Rechtsaf voor rood</t>
  </si>
  <si>
    <t>WA/INV/N177/12</t>
  </si>
  <si>
    <t>KP/000308</t>
  </si>
  <si>
    <t>IN/001901</t>
  </si>
  <si>
    <t>Studie N120 - N130</t>
  </si>
  <si>
    <t>Studie herinrichting</t>
  </si>
  <si>
    <t>KP/001283</t>
  </si>
  <si>
    <t>KS770 - 1.Asymmetrische verkeerslichtenregeling t.h.v. kruispunt N3/Bierbeekstraat/Koning Albertlaan (Leuven naar Tienen: groen te vragen door fietsers; Tienen naar Leuven: fietsers mee groen met auto's).</t>
  </si>
  <si>
    <t>IN/001902</t>
  </si>
  <si>
    <t>Bierbeek toevoegen van fietslicht FA en bordje B23 'rechtdoor door rood' N3xKoning Albertlaan</t>
  </si>
  <si>
    <t>fietslicht FA toevoegen dat samen met fietsers FC en de voetgangers groen heeft in de vierkant groen fase.\nEr zal een bordje B23 'rechtdoor door rood' moeten bijgeplaatst worden zodat fietsers tot aan het fietslicht kunnen rijden.</t>
  </si>
  <si>
    <t>IN/001903</t>
  </si>
  <si>
    <t>Snelheidscamera's in beide richtingen</t>
  </si>
  <si>
    <t>handhaving dmv singuliere camera's in vaste zone 50</t>
  </si>
  <si>
    <t>KP/001837</t>
  </si>
  <si>
    <t>Vraag van school De Basis om N754 veiliger in te richten voor de vele leerlingen die er gebruik van maken</t>
  </si>
  <si>
    <t>IN/001904</t>
  </si>
  <si>
    <t>hermarkeren VOP</t>
  </si>
  <si>
    <t>WL/INV/N754/14</t>
  </si>
  <si>
    <t>IN/001905</t>
  </si>
  <si>
    <t>Zichtbaarheid VOP verbeteren</t>
  </si>
  <si>
    <t>haag vervangen door lage beplanting en gedeelte parkeerstrook opheffen</t>
  </si>
  <si>
    <t>WL/INV/N754/13</t>
  </si>
  <si>
    <t>IN/001906</t>
  </si>
  <si>
    <t>Punctuele verlichting thv VOP</t>
  </si>
  <si>
    <t>IN/001907</t>
  </si>
  <si>
    <t>Rugdekking fietsers aanbrengen op verschillende plaatsen</t>
  </si>
  <si>
    <t>WL/INV/N754/12</t>
  </si>
  <si>
    <t>IN/001908</t>
  </si>
  <si>
    <t>Snelheidsverlaging naar 50</t>
  </si>
  <si>
    <t>IN/001909</t>
  </si>
  <si>
    <t>trajectcontrole gedeelte 50 km/u</t>
  </si>
  <si>
    <t>IN/001910</t>
  </si>
  <si>
    <t>fietssuggestiestroken (zone te bepalen)</t>
  </si>
  <si>
    <t>WL/INV/N754/15</t>
  </si>
  <si>
    <t>IN/001911</t>
  </si>
  <si>
    <t>Aanpassen kruispunten Haverenbosstraat en de Klameerstraat</t>
  </si>
  <si>
    <t>Het aanpassen van het kruispunt van de N754 met de Haverenbosstraat en de Klameerstraat.\n\nVersmallen aansluiting Klameerstraat door verwijdering middeneiland\n\nOntharden zone tussen Klameerstraat en Haverenbosstraat</t>
  </si>
  <si>
    <t>KP/001838</t>
  </si>
  <si>
    <t>IN/001912</t>
  </si>
  <si>
    <t>Bijkomende ingreep - plaatsen van een VFOP</t>
  </si>
  <si>
    <t>Plaatsen van een VFOP thv de fietssnelweg F1 langs de Zenne, bij de oversteek met de R22.</t>
  </si>
  <si>
    <t>WVB/INV/R22/4</t>
  </si>
  <si>
    <t>KP/001839</t>
  </si>
  <si>
    <t>Regenboogzebrapad aanbrengen</t>
  </si>
  <si>
    <t>IN/001913</t>
  </si>
  <si>
    <t>WOV/INV/N462/7</t>
  </si>
  <si>
    <t>KP/001841</t>
  </si>
  <si>
    <t>IN/001914</t>
  </si>
  <si>
    <t>N37 te Aalter x Cijnsstraat : Aanleg van een nieuwe, vrijliggende bushaltehaven in beton thv de Cijnsstraat langs de Tieltsesteenweg AR</t>
  </si>
  <si>
    <t>N37 te Aalter x Cijnsstraat : halte De Knok : Aanleg van een nieuwe, vrijliggende bushaltehaven in beton thv de Cijnsstraat langs de Tieltsesteenweg AR</t>
  </si>
  <si>
    <t>WOV/INV/N37/4</t>
  </si>
  <si>
    <t>IN/001915</t>
  </si>
  <si>
    <t>N37 te Aalter x Cijnsstraat : Aanleg van een nieuwe, vrijliggende bushaltehaven in beton thv de Cijnsstraat langs de Tieltsesteenweg OR</t>
  </si>
  <si>
    <t>N37 te Aalter x Cijnsstraat : halte De Knok : Aanleg van een nieuwe, vrijliggende bushaltehaven in beton thv de Cijnsstraat langs de Tieltsesteenweg OR</t>
  </si>
  <si>
    <t>WOV/INV/N37/5</t>
  </si>
  <si>
    <t>KP/001842</t>
  </si>
  <si>
    <t>IN/001916</t>
  </si>
  <si>
    <t>Bus: N454 Maarkedal: aanleg nieuwe bushalte (halte Schoolstraat), rechts</t>
  </si>
  <si>
    <t>WOV/INV/N454/9</t>
  </si>
  <si>
    <t>IN/001917</t>
  </si>
  <si>
    <t>Bus: N454 Maarkedal: aanleg nieuwe bushalte (halte Schoolstraat), links</t>
  </si>
  <si>
    <t>WOV/INV/N454/10</t>
  </si>
  <si>
    <t>IN/001918</t>
  </si>
  <si>
    <t>Aanleg Bushalte N460 x Waalhovestraat Ninove AR</t>
  </si>
  <si>
    <t>WOV/INV/N460/9</t>
  </si>
  <si>
    <t>IN/001919</t>
  </si>
  <si>
    <t>Bijkomende ingreep - Aanpassing complex A10 Affligem</t>
  </si>
  <si>
    <t>Op- en afrittecomplex aanpassen door aanleg van een rotonde/keerpunt.</t>
  </si>
  <si>
    <t>IN/001920</t>
  </si>
  <si>
    <t>E40 Structureel onderhoud Goetsenhoven</t>
  </si>
  <si>
    <t>WVB/INV/A3/13</t>
  </si>
  <si>
    <t>IN/001921</t>
  </si>
  <si>
    <t>E40 Structureel onderhoud Walshoutem</t>
  </si>
  <si>
    <t>WVB/INV/A3/14</t>
  </si>
  <si>
    <t>IN/001922</t>
  </si>
  <si>
    <t>A12.DP11 Structureel Onderhoud (Meise)</t>
  </si>
  <si>
    <t>WVB/INV/A12/8</t>
  </si>
  <si>
    <t>KP/001079</t>
  </si>
  <si>
    <t>KS427 - Egenhoven is nog gedeeltelijk 50 op een belangrijke fietsas waar geen fietspaden zijn.</t>
  </si>
  <si>
    <t>IN/001923</t>
  </si>
  <si>
    <t>Leuven invoeren zone 30 op de N253 Sint-Jansbergsesteenweg</t>
  </si>
  <si>
    <t>Stad Leuven stelt AR op voor invoeren van zone 30 die ruimer is dan enkel de gewestweg.</t>
  </si>
  <si>
    <t>WVB/INV/N253/13</t>
  </si>
  <si>
    <t>KP/001773</t>
  </si>
  <si>
    <t>IN/001924</t>
  </si>
  <si>
    <t>MIA: aanpakken verzakking rechterwielspoor N79</t>
  </si>
  <si>
    <t>Aanpakken van funderingsproblemen ter hoogte van het rechtwielspoor door plaatselijk de opbouw de vernieuwen.</t>
  </si>
  <si>
    <t>WL/INV/N79/9</t>
  </si>
  <si>
    <t>KP/001766</t>
  </si>
  <si>
    <t>IN/001925</t>
  </si>
  <si>
    <t>Leopoldsburg: N746 aanpassen middenberm</t>
  </si>
  <si>
    <t>Middenberm verlagen zodat de erftoegangen veiliger toegankelijk zijn.</t>
  </si>
  <si>
    <t>WL/INV/N746/11</t>
  </si>
  <si>
    <t>IN/001926</t>
  </si>
  <si>
    <t>R4 Merelbeke -aanleg fietstunnels onder op-/afritt</t>
  </si>
  <si>
    <t>WOV/INV/R4/11</t>
  </si>
  <si>
    <t>IN/001927</t>
  </si>
  <si>
    <t>WVB/INV/A3/15</t>
  </si>
  <si>
    <t>IN/001928</t>
  </si>
  <si>
    <t>CRA Vernieuwing ventilatie</t>
  </si>
  <si>
    <t>WA/INV/CRA/1</t>
  </si>
  <si>
    <t>IN/001929</t>
  </si>
  <si>
    <t>VOP realiseren</t>
  </si>
  <si>
    <t>Molsekiezel x Sterstraat - realisatie VOP + VVOP</t>
  </si>
  <si>
    <t>WL/INV/N712/12</t>
  </si>
  <si>
    <t>IN/001930</t>
  </si>
  <si>
    <t>Betonherstellingen Tijsmanstunnel</t>
  </si>
  <si>
    <t>IN/001931</t>
  </si>
  <si>
    <t>Zelzate renovatie dienstgebouwen</t>
  </si>
  <si>
    <t>WA/INV/ZEL/1</t>
  </si>
  <si>
    <t>IN/001932</t>
  </si>
  <si>
    <t>Jan De Vostunnel: Glasdallen vandalismevrij maken</t>
  </si>
  <si>
    <t>WA/INV/JDV/1</t>
  </si>
  <si>
    <t>KP/001831</t>
  </si>
  <si>
    <t>Toevoegen van afslagstrook door enkel aanpassingen aan markering</t>
  </si>
  <si>
    <t>IN/001933</t>
  </si>
  <si>
    <t>WL/INV/N793/2</t>
  </si>
  <si>
    <t>KP/003814</t>
  </si>
  <si>
    <t>IN/001934</t>
  </si>
  <si>
    <t>Bijkomende ingreep: verbeteren oversteekbaarheid N285 Kwakenbeekstraat-Zijpstraat</t>
  </si>
  <si>
    <t>Aanleggen van middeneilanden ter verbetering van de oversteekbaarheid N285</t>
  </si>
  <si>
    <t>WVB/INV/N285/10</t>
  </si>
  <si>
    <t>KP/001830</t>
  </si>
  <si>
    <t>IN/001935</t>
  </si>
  <si>
    <t>Aanpassingen kruispunten N73 x Sint-Trudostraat en N73 x Sint-Elisabethlaan</t>
  </si>
  <si>
    <t>Aanleg bushaltes en VRI aan Sint-Elisabethlaan.\nVerwijderen van bushaltes aan Sint-Trudostraat.</t>
  </si>
  <si>
    <t>WL/INV/N73/25</t>
  </si>
  <si>
    <t>KP/001829</t>
  </si>
  <si>
    <t>Verplaatsen van VOP</t>
  </si>
  <si>
    <t>IN/001936</t>
  </si>
  <si>
    <t>WL/INV/N730/22</t>
  </si>
  <si>
    <t>KP/001828</t>
  </si>
  <si>
    <t>Aanleg van verkeersplateau incl. VOP en FOP</t>
  </si>
  <si>
    <t>IN/001937</t>
  </si>
  <si>
    <t>WL/INV/N784/3</t>
  </si>
  <si>
    <t>KP/001695</t>
  </si>
  <si>
    <t>IN/001938</t>
  </si>
  <si>
    <t>Toevoegen van een VFOP</t>
  </si>
  <si>
    <t>WL/INV/N614/3</t>
  </si>
  <si>
    <t>IN/001939</t>
  </si>
  <si>
    <t>SRK: N444 Gent: markeringen op kruispunt</t>
  </si>
  <si>
    <t>Markeringen op kuispunt N444 met Poelstraat en Potaardeberg aanpassen</t>
  </si>
  <si>
    <t>WOV/INV/N444/5</t>
  </si>
  <si>
    <t>IN/001940</t>
  </si>
  <si>
    <t>N315, aanleg fietspad Westouter</t>
  </si>
  <si>
    <t>WWV/INV/N315/3</t>
  </si>
  <si>
    <t>IN/001941</t>
  </si>
  <si>
    <t>N315 rioleringswerken Sulferbergstraat</t>
  </si>
  <si>
    <t>WWV/INV/N315/4</t>
  </si>
  <si>
    <t>IN/001942</t>
  </si>
  <si>
    <t>N037 Ardooie Tielt</t>
  </si>
  <si>
    <t>WWV/INV/N37/7</t>
  </si>
  <si>
    <t>IN/001943</t>
  </si>
  <si>
    <t>N050 fietspaden + doortocht St Antonius</t>
  </si>
  <si>
    <t>WWV/INV/N50/14</t>
  </si>
  <si>
    <t>KP/000721</t>
  </si>
  <si>
    <t>IN/001944</t>
  </si>
  <si>
    <t>Verwijderen inhaalstroken</t>
  </si>
  <si>
    <t>IN/001945</t>
  </si>
  <si>
    <t>HERINRICHTING F. ROOSEVELTLAAN</t>
  </si>
  <si>
    <t>WVB/INV/N1/6</t>
  </si>
  <si>
    <t>IN/001946</t>
  </si>
  <si>
    <t>Geluidswerende maatregelen: beton wordt asfalt</t>
  </si>
  <si>
    <t>WWV/INV/R32/3</t>
  </si>
  <si>
    <t>IN/001947</t>
  </si>
  <si>
    <t>R0 Halle Ecoduct Vlasmarktdreef</t>
  </si>
  <si>
    <t>WVB/INV/R0/9</t>
  </si>
  <si>
    <t>IN/001948</t>
  </si>
  <si>
    <t>R0 - Verlenging oprit Groenendaal Hoeilaart</t>
  </si>
  <si>
    <t>WVB/INV/R0/4</t>
  </si>
  <si>
    <t>IN/001949</t>
  </si>
  <si>
    <t>X21/A3/84 Vervangen brug O30 in de E40 Leuven</t>
  </si>
  <si>
    <t>WVB/INV/A3/2</t>
  </si>
  <si>
    <t>IN/001950</t>
  </si>
  <si>
    <t>A4  Overijse  vernieuwen brug O9 over Bredestraat</t>
  </si>
  <si>
    <t>WVB/INV/A4/2</t>
  </si>
  <si>
    <t>IN/001951</t>
  </si>
  <si>
    <t>A4 - Afwatering E411</t>
  </si>
  <si>
    <t>WVB/INV/A4/3</t>
  </si>
  <si>
    <t>IN/001952</t>
  </si>
  <si>
    <t>N6-N28 fietspaden relanceplan</t>
  </si>
  <si>
    <t>IN/001953</t>
  </si>
  <si>
    <t>N21 - Haacht Zoellaan tot station</t>
  </si>
  <si>
    <t>WVB/INV/N21/5</t>
  </si>
  <si>
    <t>IN/001954</t>
  </si>
  <si>
    <t>N21 - Bouw EFRO-fietsbrug Brucargo</t>
  </si>
  <si>
    <t>WVB/INV/N21/1</t>
  </si>
  <si>
    <t>KP/003816</t>
  </si>
  <si>
    <t>IN/001955</t>
  </si>
  <si>
    <t>Aanleg verhoogde bushalte afm 26mx 4,1m op N460 Ninove kmpt 8,677 Vogelzangstraat OR</t>
  </si>
  <si>
    <t>Aanleg verhoogde bushalte afm 26mx 4,1m op N460 Ninove kmpt 8,677,\nhalte Vogelzangstraat, OR</t>
  </si>
  <si>
    <t>WOV/INV/N460/10</t>
  </si>
  <si>
    <t>IN/001956</t>
  </si>
  <si>
    <t>studie Europapoort, Wevelgem</t>
  </si>
  <si>
    <t>WWV/INV/A19/2</t>
  </si>
  <si>
    <t>KP/003817</t>
  </si>
  <si>
    <t>IN/001957</t>
  </si>
  <si>
    <t>Aanpassen V-plan thv N42 x N46</t>
  </si>
  <si>
    <t>KP/003818</t>
  </si>
  <si>
    <t>IN/001958</t>
  </si>
  <si>
    <t>N327 Tielt Wingene</t>
  </si>
  <si>
    <t>Opbraak klinkers fietspad en vervangen door asfalt</t>
  </si>
  <si>
    <t>WWV/INV/N327/6</t>
  </si>
  <si>
    <t>KP/000142</t>
  </si>
  <si>
    <t>IN/001959</t>
  </si>
  <si>
    <t>N456 Kaprijke Molenstraat vrijliggende fietspaden</t>
  </si>
  <si>
    <t>WOV/INV/N456/4</t>
  </si>
  <si>
    <t>IN/001960</t>
  </si>
  <si>
    <t>IMM Problemen waterinsijpeling</t>
  </si>
  <si>
    <t>WA/INV/BEV/1</t>
  </si>
  <si>
    <t>KP/001791</t>
  </si>
  <si>
    <t>IN/001961</t>
  </si>
  <si>
    <t>N460 Ninove, halte Heghestraat</t>
  </si>
  <si>
    <t>aanleggen toegankelijke halte;\nN460 Ninove, halte Heghestraat</t>
  </si>
  <si>
    <t>KP/001798</t>
  </si>
  <si>
    <t>IN/001962</t>
  </si>
  <si>
    <t>Erpe Mere St Annastraat, toegankelijke halte in beide richtingen</t>
  </si>
  <si>
    <t>Aanleg toegankelijke halte\nN46 Erpe-Mere, halte Sint-Annastraat</t>
  </si>
  <si>
    <t>WOV/INV/N46/11</t>
  </si>
  <si>
    <t>IN/001963</t>
  </si>
  <si>
    <t>Ingreep schoolroute in Harelbeke. Oversteek Marktstraat thv Stationsstraat</t>
  </si>
  <si>
    <t>IN/001964</t>
  </si>
  <si>
    <t>Ingrepen schoolroute in Harelbeke. Oversteek Marktstraat thv Marktstraat 64</t>
  </si>
  <si>
    <t>KP/000764</t>
  </si>
  <si>
    <t>IN/001965</t>
  </si>
  <si>
    <t>Kruispunt N50 met de Sint Magriete Houtemlaan. Afsluiten linksafslagstrook.</t>
  </si>
  <si>
    <t>De linksafslagstraat naar de Sint Margriete Houtemlaan wordt afgesloten.\nHet kruispunt wordt rechtin/rechtsuit.</t>
  </si>
  <si>
    <t>WWV/INV/N50/15</t>
  </si>
  <si>
    <t>KP/000763</t>
  </si>
  <si>
    <t>IN/001966</t>
  </si>
  <si>
    <t>Kruispunt N50 met de Burg. Mayeurlaan. Aanliggend maken van fietspad.</t>
  </si>
  <si>
    <t>Aanliggend maken en accentueren van het fietspad thv het kruispunt.</t>
  </si>
  <si>
    <t>WWV/INV/N50/16</t>
  </si>
  <si>
    <t>IN/001967</t>
  </si>
  <si>
    <t>A10 Oostkamp geluidsschermen</t>
  </si>
  <si>
    <t>WWV/INV/A10/3</t>
  </si>
  <si>
    <t>KP/001670</t>
  </si>
  <si>
    <t>IN/001968</t>
  </si>
  <si>
    <t>Diepenbeek: N702 vernieuwen afrit Havenlaan</t>
  </si>
  <si>
    <t>Vernieuwen asfalt + markeringen op de afrit van de N702 naar Havenlaan. Daarbij ook versmallen van de aansluiting ten behoeven van het zicht op het fietsverkeer.</t>
  </si>
  <si>
    <t>WL/INV/N702/5</t>
  </si>
  <si>
    <t>IN/001969</t>
  </si>
  <si>
    <t>R30 - Brugge Aandeel uitvoering fietsbrug R30</t>
  </si>
  <si>
    <t>WWV/INV/R30/3</t>
  </si>
  <si>
    <t>KP/002227</t>
  </si>
  <si>
    <t>IN/001970</t>
  </si>
  <si>
    <t>N368 beernem - Herinrichting kruispunt met N370</t>
  </si>
  <si>
    <t>WWV/INV/N368/5</t>
  </si>
  <si>
    <t>IN/001971</t>
  </si>
  <si>
    <t>N31 Brugge - asweger</t>
  </si>
  <si>
    <t>WWV/INV/N31/2</t>
  </si>
  <si>
    <t>IN/001972</t>
  </si>
  <si>
    <t>N326 Zuienkerke - structureel onderhoud fietspaden</t>
  </si>
  <si>
    <t>WWV/INV/N326/1</t>
  </si>
  <si>
    <t>IN/001973</t>
  </si>
  <si>
    <t>N456 Sleidinge-Lembeke aanleg fietspaden</t>
  </si>
  <si>
    <t>WOV/INV/N456/3</t>
  </si>
  <si>
    <t>KP/000806</t>
  </si>
  <si>
    <t>KS016 - Zwaar doorgaand verkeer door de smalle dorpskern van Lo betekent een permanent gevaar voor de zwakke weggebruiker, inzonderheid voor de fietsers en de schoolgaande jeugd naar de plaatselijke school: Ooststraat 58.</t>
  </si>
  <si>
    <t>IN/001974</t>
  </si>
  <si>
    <t>Proefopstelling asverschuivingen</t>
  </si>
  <si>
    <t>IN/001975</t>
  </si>
  <si>
    <t>Definitieve uitvoering versmalling en asverschuiving.</t>
  </si>
  <si>
    <t>KP/002404</t>
  </si>
  <si>
    <t>IN/001976</t>
  </si>
  <si>
    <t>Opmeting + Ontwerp</t>
  </si>
  <si>
    <t>WA/INV/N12/18</t>
  </si>
  <si>
    <t>IN/001977</t>
  </si>
  <si>
    <t>Uitvoering</t>
  </si>
  <si>
    <t>KP/002398</t>
  </si>
  <si>
    <t>IN/001978</t>
  </si>
  <si>
    <t>WA/INV/N19/11</t>
  </si>
  <si>
    <t>KP/002396</t>
  </si>
  <si>
    <t>IN/001979</t>
  </si>
  <si>
    <t>Hoppin Lichtaart Kerk - Opmeting + Ontwerp</t>
  </si>
  <si>
    <t>WA/INV/N123/8</t>
  </si>
  <si>
    <t>KP/002393</t>
  </si>
  <si>
    <t>IN/001980</t>
  </si>
  <si>
    <t>Opmeting? + ontwerp</t>
  </si>
  <si>
    <t>WA/INV/N12/19</t>
  </si>
  <si>
    <t>KP/002383</t>
  </si>
  <si>
    <t>IN/001981</t>
  </si>
  <si>
    <t>opmeting + ontwerp</t>
  </si>
  <si>
    <t>WA/INV/N140/5</t>
  </si>
  <si>
    <t>KP/002361</t>
  </si>
  <si>
    <t>IN/001982</t>
  </si>
  <si>
    <t>WA/INV/N12/22</t>
  </si>
  <si>
    <t>KP/003353</t>
  </si>
  <si>
    <t>IN/001983</t>
  </si>
  <si>
    <t>studie naar uitvoering Hoppinpunt Vertrijk station</t>
  </si>
  <si>
    <t>Studie naar de concrete inrichting van het Hoppinpunt obv de Unieke Verantwoordingsnota opgesteld door het studiebureau van de vervoersregio</t>
  </si>
  <si>
    <t>KP/003823</t>
  </si>
  <si>
    <t>Op vraag van minister Peeters moet op deze locatie trajectcontrole worden voorzien (zie bijgevoegd mailverkeer)</t>
  </si>
  <si>
    <t>IN/001984</t>
  </si>
  <si>
    <t>TC2021_345 uit centraal regsiter\nUitvoerbaarheid te bekijken bij plaatsbezoek</t>
  </si>
  <si>
    <t>IN/001985</t>
  </si>
  <si>
    <t>TC2021_339 en TC2021_345 uit centraal register\nuitvoerbaarheid te bekijken bij plaatsbezoek</t>
  </si>
  <si>
    <t>IN/001986</t>
  </si>
  <si>
    <t>TC2021_282 in centraal register\nUitvoerbaarheid te bekijken bij plaatsbezoek</t>
  </si>
  <si>
    <t>KP/002375</t>
  </si>
  <si>
    <t>IN/001987</t>
  </si>
  <si>
    <t>Ontwerp in opmaak intern\nhttps://service.projectplace.com/#direct/card/14588005</t>
  </si>
  <si>
    <t>WA/INV/N18/14</t>
  </si>
  <si>
    <t>KP/002371</t>
  </si>
  <si>
    <t>IN/001988</t>
  </si>
  <si>
    <t>opmeting? + ontwerp</t>
  </si>
  <si>
    <t>WA/INV/N146/4</t>
  </si>
  <si>
    <t>KP/002368</t>
  </si>
  <si>
    <t>IN/001989</t>
  </si>
  <si>
    <t>Opmeting + ontwerp</t>
  </si>
  <si>
    <t>WA/INV/N131/2</t>
  </si>
  <si>
    <t>KP/002367</t>
  </si>
  <si>
    <t>IN/001990</t>
  </si>
  <si>
    <t>Reeds ontwerp intern\nhttps://service.projectplace.com/#direct/card/11861479</t>
  </si>
  <si>
    <t>WA/INV/N124/5</t>
  </si>
  <si>
    <t>KP/000541</t>
  </si>
  <si>
    <t>IN/001991</t>
  </si>
  <si>
    <t>N78xKoninginnenlaan Aanleg Rotonde MM</t>
  </si>
  <si>
    <t>WL/INV/N78/10</t>
  </si>
  <si>
    <t>KP/000761</t>
  </si>
  <si>
    <t>IN/001992</t>
  </si>
  <si>
    <t>QW accentueren fietspaden met rode slem</t>
  </si>
  <si>
    <t>Voorlopige ingreep. Definitieve ingreep nog in onderzoek.</t>
  </si>
  <si>
    <t>WWV/INV/N50/17</t>
  </si>
  <si>
    <t>KP/002372</t>
  </si>
  <si>
    <t>IN/001993</t>
  </si>
  <si>
    <t>BH Hoogstraten K. Boomstraat</t>
  </si>
  <si>
    <t>ontwerp + opmeting</t>
  </si>
  <si>
    <t>WA/INV/N14/12</t>
  </si>
  <si>
    <t>IN/001994</t>
  </si>
  <si>
    <t>Vrijliggende fietspaden N14 Duffel</t>
  </si>
  <si>
    <t>WA/INV/N14/1</t>
  </si>
  <si>
    <t>KP/001650</t>
  </si>
  <si>
    <t>IN/001995</t>
  </si>
  <si>
    <t>SRK: R42 Sint-Niklaas: betere geleiding en RADR</t>
  </si>
  <si>
    <t>Het kruispunt wordt (deels) voorzien van rechtsaf door rood + infrastructurele aanpassingen ter verbetering van de geleiding van en naar de Raapstraat (kant centrum) uit te voeren. De borden B22 zijn aangebracht, de infrastructurele aanpassingen zijn voorzien.</t>
  </si>
  <si>
    <t>WOV/INV/R42/4</t>
  </si>
  <si>
    <t>KP/001613</t>
  </si>
  <si>
    <t>IN/001996</t>
  </si>
  <si>
    <t>SRK: N16 Temse: conflictvrije lichtenregeling voor dubbelrichtingsfietsoversteek</t>
  </si>
  <si>
    <t>WOV/INV/N16/2</t>
  </si>
  <si>
    <t>KP/001609</t>
  </si>
  <si>
    <t>IN/001997</t>
  </si>
  <si>
    <t>SRK: N46 Oudenaarde: hermarkering fietsoversteken</t>
  </si>
  <si>
    <t>WOV/INV/N46/12</t>
  </si>
  <si>
    <t>KP/001604</t>
  </si>
  <si>
    <t>IN/001998</t>
  </si>
  <si>
    <t>SRK: N46 Oudenaarde: wegdek en fietsoversteekplaatsen</t>
  </si>
  <si>
    <t>WOV/INV/N46/13</t>
  </si>
  <si>
    <t>KP/001603</t>
  </si>
  <si>
    <t>IN/001999</t>
  </si>
  <si>
    <t>SRK: N60 Oudenaarde: fietsoversteekvoorzieningen</t>
  </si>
  <si>
    <t>SRK: Wegdek en oversteekmarkeringen</t>
  </si>
  <si>
    <t>WOV/INV/N46/14</t>
  </si>
  <si>
    <t>KP/001601</t>
  </si>
  <si>
    <t>IN/002000</t>
  </si>
  <si>
    <t>SRK: N60 x N459 Oudenaarde: markering fietsoversteken</t>
  </si>
  <si>
    <t>WOV/INV/NX/6</t>
  </si>
  <si>
    <t>KP/001600</t>
  </si>
  <si>
    <t>Bestaande fietspaden optimaliseren</t>
  </si>
  <si>
    <t>IN/002001</t>
  </si>
  <si>
    <t>WOV/INV/N70/11</t>
  </si>
  <si>
    <t>KP/001587</t>
  </si>
  <si>
    <t>IN/002002</t>
  </si>
  <si>
    <t>SRK: N47 Lebbeke: markering dubbelrichtingsoversteek</t>
  </si>
  <si>
    <t>WOV/INV/NX/7</t>
  </si>
  <si>
    <t>KP/001585</t>
  </si>
  <si>
    <t>IN/002003</t>
  </si>
  <si>
    <t>SRK: N47 Lebbeke: markeringen fiets thv rotonde</t>
  </si>
  <si>
    <t>WOV/INV/N47/9</t>
  </si>
  <si>
    <t>KP/001584</t>
  </si>
  <si>
    <t>IN/002004</t>
  </si>
  <si>
    <t>SRK: N47 Lebbeke: aanbrengen van fietssuggestiestroken</t>
  </si>
  <si>
    <t>WOV/INV/N47/10</t>
  </si>
  <si>
    <t>KP/001579</t>
  </si>
  <si>
    <t>IN/002005</t>
  </si>
  <si>
    <t>SRK: N46 Geraardsbergen: aanpassing boordsteen</t>
  </si>
  <si>
    <t>WOV/INV/N460/11</t>
  </si>
  <si>
    <t>KP/001576</t>
  </si>
  <si>
    <t>IN/002006</t>
  </si>
  <si>
    <t>SRK: N8 Geraardsbergen: octopuspalen en attentieverhogende markering</t>
  </si>
  <si>
    <t>WOV/INV/N8/13</t>
  </si>
  <si>
    <t>KP/001575</t>
  </si>
  <si>
    <t>IN/002007</t>
  </si>
  <si>
    <t>SRK: N495 Geraardsbergen: opfrissing markeringen fietsoversteek</t>
  </si>
  <si>
    <t>WOV/INV/N495/7</t>
  </si>
  <si>
    <t>KP/001574</t>
  </si>
  <si>
    <t>IN/002008</t>
  </si>
  <si>
    <t>SRK: N272 Geraardsbergen: markering fietsoversteek</t>
  </si>
  <si>
    <t>WOV/INV/N272/1</t>
  </si>
  <si>
    <t>KP/001556</t>
  </si>
  <si>
    <t>IN/002009</t>
  </si>
  <si>
    <t>SRK : N35 Deinze: oversteekplaats : rechtsaf door roood</t>
  </si>
  <si>
    <t>WOV/INV/NX/8</t>
  </si>
  <si>
    <t>IN/002010</t>
  </si>
  <si>
    <t>Structureel onderhoud</t>
  </si>
  <si>
    <t>KP/001527</t>
  </si>
  <si>
    <t>IN/002011</t>
  </si>
  <si>
    <t>SRK: N456 Sint-Laureins: oversteekplaats</t>
  </si>
  <si>
    <t>Werken zoals besproken in PCV</t>
  </si>
  <si>
    <t>WOV/INV/N456/16</t>
  </si>
  <si>
    <t>KP/001432</t>
  </si>
  <si>
    <t>KS771 - Het digitale bord voor de dynamische zone 30 is defect. Op de PCV vergadering van februari bleek dat herstellen blijkbaar op budgettaire problemen stuit</t>
  </si>
  <si>
    <t>IN/002012</t>
  </si>
  <si>
    <t>vervanging dynamisch bord</t>
  </si>
  <si>
    <t>WA/INV/N16/8</t>
  </si>
  <si>
    <t>KP/000800</t>
  </si>
  <si>
    <t>Dit kruispunt heeft de laatste jaren enkele dodelijke ongevallen gekend. De combinatie van zwaar verkeer met functioneel (ook schoolgaand) fietsverkeer zorgt er vaak voor dat het onvermijdelijke voorvalt...</t>
  </si>
  <si>
    <t>IN/002013</t>
  </si>
  <si>
    <t>Aanpassing fietsinfrastructuur en VRI</t>
  </si>
  <si>
    <t>WWV/INV/A19/3</t>
  </si>
  <si>
    <t>KP/001342</t>
  </si>
  <si>
    <t>KS100 - Gevaarlijke fietsoversteek en veel fietsende scholieren op deze route. Straatbeeld ondersteunt niet de gewenste snelheid</t>
  </si>
  <si>
    <t>IN/002014</t>
  </si>
  <si>
    <t>Herinrichting volgens PCV</t>
  </si>
  <si>
    <t>WA/INV/N108/8</t>
  </si>
  <si>
    <t>IN/002015</t>
  </si>
  <si>
    <t>WVB/INV/N3/3</t>
  </si>
  <si>
    <t>KP/001322</t>
  </si>
  <si>
    <t>Fietsoversteekplaats naast de voetgangersoversteek op de N2 ter hoogte van de Sint-Annawegel en DIevenhof om de wijk Vosken langs trage wegen te verbinden met VBS Sint-Martinus school</t>
  </si>
  <si>
    <t>IN/002016</t>
  </si>
  <si>
    <t>Wegenis</t>
  </si>
  <si>
    <t>er is een PCV dossier geweest om de middelste rijstrook weg te halen en die ruimte te gebruiken voor de fietspaden. Momenteel zijn er betonplaatherstellingen, vervolgens markeringen. Dit wordt meegenomen in het PCV dossier Sint-Bernard. Uitvoering in 2021-2022. 2/9 Uitvoering is lopend. Einde voorzien Q2 2022</t>
  </si>
  <si>
    <t>WVB/INV/NX/7</t>
  </si>
  <si>
    <t>KP/001300</t>
  </si>
  <si>
    <t>Onbeveiligde kruising van een fietssnelweg (=belangrijke schoolroute Zemst-Vilvoorde) met primaire weg</t>
  </si>
  <si>
    <t>IN/002017</t>
  </si>
  <si>
    <t>Aanleg middeneiland</t>
  </si>
  <si>
    <t>WVB/INV/NX/8</t>
  </si>
  <si>
    <t>KP/001247</t>
  </si>
  <si>
    <t>KS705 - Het probleem stelt zich vooral voor de fietsers die van Lier komen. Zij moeten oversteken over het zebrapad (rechtdoor richting Duffel of links afslaan richting fietspad Mijlstraat) maar hebben geen zicht op de auto’s die uit de Mijlstraat komen. Bijkomend probleem: De auto’s, die uit de Mijlstraat komen, rijden tot op het zebrapad omdat ze anders geen zicht hebben op het verkeer dat van Lier komt. Op de hoek van dit T-kruispunt staat een huis.</t>
  </si>
  <si>
    <t>IN/002018</t>
  </si>
  <si>
    <t>Hermarkering fietsvoorzieningen en signalisatie</t>
  </si>
  <si>
    <t>WA/INV/N108/9</t>
  </si>
  <si>
    <t>KP/001244</t>
  </si>
  <si>
    <t>Momenteel gaat het hier om een T-Kruispunt. Verkeer komende van deE40 op de Smidstraat dient voorrang te verlenen aan het verkeer op de Stationstraat. Door de geplande heraanleg van het kruispunt, gepland in het voorjaar 2021, zal de voorrang gewijzigd worden waardoor de gewestweg voorrang heeft op het verkeer van en naar Vertrijk en Willebringen. Momenteel hebben fietsers van en naar onze school langsheen de Stationstraat maar ook naar het Sint Janscollege in Meldert hier dus voorrang. Dit zal in de toekomst aangepast worden maar er is hier geen optimale oplossing voor de schoolgaande jeugd. Fietsers die vanuit de school- of stationsomgeving komen en willen doorrijden richting Vertrijk of Willebringen (en verder door naar Meldert) moeten dus voorrang geven aan het verkeer uit zelfde richting dat afslaat naar de Smidstraat, en hen dus al het ware de pas afsnijdt. Voor onze schoolgaande jongeren zal dit dus een knelpunt worden in beide richtingen</t>
  </si>
  <si>
    <t>IN/002019</t>
  </si>
  <si>
    <t>Fietssuggestiestroken en zone 30</t>
  </si>
  <si>
    <t>om tegemoet te komen aan de vraag werden fietssuggestiestroken toegevoegd en werd heel deze zone toegevoegd aan een vaste zone 30.</t>
  </si>
  <si>
    <t>WVB/INV/N234/4</t>
  </si>
  <si>
    <t>KP/001196</t>
  </si>
  <si>
    <t>De N36 is moeilijk te dwarsen voor fietsers. Dit is een gevaarlijk punt voor bewoners van De Bosmolens die het centrum van Izegem willen bereiken.</t>
  </si>
  <si>
    <t>IN/002020</t>
  </si>
  <si>
    <t>Middengeleiders</t>
  </si>
  <si>
    <t>reeds uitgevoerd</t>
  </si>
  <si>
    <t>WWV/INV/N36/16</t>
  </si>
  <si>
    <t>KP/001192</t>
  </si>
  <si>
    <t>Wildparkeren als de kinderen gebracht en gehaald worden aan de school</t>
  </si>
  <si>
    <t>IN/002021</t>
  </si>
  <si>
    <t>Paaltjes ter bescherming van voetgangers</t>
  </si>
  <si>
    <t>WL/INV/N141/12</t>
  </si>
  <si>
    <t>KP/001177</t>
  </si>
  <si>
    <t>KS576 - Dit kruispunt wordt heel veel gebruikt door kinderen van de keluter- en  lagere school St Willibrordus op de Langstraat. De lichten staan niet altijd goed op elkaar afgestemd waardoor er zich soms conflictsituaties voordoen.</t>
  </si>
  <si>
    <t>IN/002022</t>
  </si>
  <si>
    <t>Aanpassingen VRI</t>
  </si>
  <si>
    <t>WL/INV/N78/35</t>
  </si>
  <si>
    <t>KP/001159</t>
  </si>
  <si>
    <t>Aanwezigheid van trambedding, signalisatie voor fietsers die wettelijk in orde is maar niet overeenstemt met het gedrag van de fietsers (fietsers dienen niet natuurlijk aanvoelende beweging te maken)</t>
  </si>
  <si>
    <t>IN/002023</t>
  </si>
  <si>
    <t>Opfrissing markeringen</t>
  </si>
  <si>
    <t>WWV/INV/NX/4</t>
  </si>
  <si>
    <t>KP/001150</t>
  </si>
  <si>
    <t>Zichtbaarheid ontbreekt op de gewestweg. Er is geen fietsoversteek voorzien. Dit is de plaats om over te steken voor fietsers komend van Keiem naar centrum Diksmuide. Een veilige oversteek is gewenst. Dit is de belangrijkste en korste route voor de jongeren komende van Keiem naar de scholen in Diksmuide. In 2018 werd de Keiemdorpstraat volledig aangepakt. Nu moeten we nog een veilige verbinding naar centrum Diksmuide realiseren.</t>
  </si>
  <si>
    <t>IN/002024</t>
  </si>
  <si>
    <t>PCV dossier uitgevoerd</t>
  </si>
  <si>
    <t>WWV/INV/N369/2</t>
  </si>
  <si>
    <t>KP/001149</t>
  </si>
  <si>
    <t>Zichtbaarheid van de oversteekplaats dwars op de gewestweg is onvoldoende. Dit is de belangrijkste oversteek voor fietsers komend van Beerst naar centrum Diksmuide. belangrijke schoolroute voor alle jeugd van Beerst. momenteel moeten er 3 rijbanen over gestoken worden.  het wandel en fietspad ter hoogte van de apotheek komt rechtstreeks vanuit de wijken. DIt is een betere route dan langs de N363 WIjnendalestraat.</t>
  </si>
  <si>
    <t>IN/002025</t>
  </si>
  <si>
    <t>Herinrichting oversteek</t>
  </si>
  <si>
    <t>PCV dossier werd reeds voorafgaand uitgevoerd</t>
  </si>
  <si>
    <t>WWV/INV/N369/3</t>
  </si>
  <si>
    <t>KP/001104</t>
  </si>
  <si>
    <t>KS471 - 6)        Groentijd voor fietsers is er kort.</t>
  </si>
  <si>
    <t>IN/002026</t>
  </si>
  <si>
    <t>Aanpassing V-plan</t>
  </si>
  <si>
    <t>WA/INV/NX/2</t>
  </si>
  <si>
    <t>KP/001085</t>
  </si>
  <si>
    <t>KS433 - Geen zone 30 aanwezig in omgeving van school</t>
  </si>
  <si>
    <t>IN/002027</t>
  </si>
  <si>
    <t>Aanbrengen zone 30</t>
  </si>
  <si>
    <t>WVB/INV/N2/20</t>
  </si>
  <si>
    <t>KP/001023</t>
  </si>
  <si>
    <t>KS312- De fietsinfrastuctuur om het kruispunt is niet verbonden met elkaar. Fietsers richting Kortrijk worden weggetrokken van de Heirweg en moeten nog eens in de lichten staan.</t>
  </si>
  <si>
    <t>IN/002028</t>
  </si>
  <si>
    <t>opfrissing markeringen</t>
  </si>
  <si>
    <t>WWV/INV/N50/18</t>
  </si>
  <si>
    <t>KP/001021</t>
  </si>
  <si>
    <t>KS309 - Gebrekkige fietsinfrastructuur aan de kruising van de fietsroute met de op en afritten van de R8. Fietspaden zijn te smal en niet rood</t>
  </si>
  <si>
    <t>IN/002029</t>
  </si>
  <si>
    <t>WWV/INV/N8/36</t>
  </si>
  <si>
    <t>KP/000946</t>
  </si>
  <si>
    <t>KS204 - Zebrapad (ifv school de Zevensprong) is helemaal afgesleten en is verder niet zichtbaar</t>
  </si>
  <si>
    <t>IN/002030</t>
  </si>
  <si>
    <t>Onderhoud markeringen</t>
  </si>
  <si>
    <t>WA/INV/N116/10</t>
  </si>
  <si>
    <t>KP/000938</t>
  </si>
  <si>
    <t>KS196 - Belangrijke oversteek voor scholen (GOZO Kessel en Bisterveld) en de gemeente. Bestaande signalisatie (1 van de 2 knipperlampen) is al jaren kapot, maar is nooit vervangen</t>
  </si>
  <si>
    <t>IN/002031</t>
  </si>
  <si>
    <t>Herstelling knipperlichten</t>
  </si>
  <si>
    <t>WA/INV/NX/4</t>
  </si>
  <si>
    <t>KP/000876</t>
  </si>
  <si>
    <t>Dit kruispunt is momenteel complex en onveilig voor fietsers. Schoolgaande jeugd weet niet goed hoe hier de N1 over te steken. Met AWV is hier een PVC dossier voor opgestart. De  herinrichting van dit kruispunt wordt door AWV bekeken. Dit betekent wel dat de gemeente zelf voor een dubbelrichting fietspad in het verlengde van dit kruispunt moet zorgen in de F Maesstraat tot het kruispunt met de Oude Baan.</t>
  </si>
  <si>
    <t>IN/002032</t>
  </si>
  <si>
    <t>WA/INV/N1/24</t>
  </si>
  <si>
    <t>KP/000840</t>
  </si>
  <si>
    <t>KS056 - Oversteken van voetgangers/fietsers N36 dit ter hoogte van Kerkhofblommestraat en ter hoogte van Vrijbosroute. Voor dit laatste is een PCV dossier gestart.</t>
  </si>
  <si>
    <t>IN/002033</t>
  </si>
  <si>
    <t>Oversteekplaats beveiligen. Is uitgevoerd</t>
  </si>
  <si>
    <t>WWV/INV/N36/17</t>
  </si>
  <si>
    <t>KP/000867</t>
  </si>
  <si>
    <t>KS097 - Ouders parkeren hun wagen op het Dorpsplein om hun kinderen naar de lagere school te brengen. dienen hiervoor de N35 over te steken. Net op deze momenten is het zeer druk (vrachtverkeer) op deze locatie. Naast de ouders komen er ook terug heel wat fietsers naar school en voetgangers. Tevens dient gemeld te worden dat de straat (Dorpsplein) waar de kinderen moeten stoppen om het kruispunt over te steken, erg naar beneden loopt.</t>
  </si>
  <si>
    <t>IN/002034</t>
  </si>
  <si>
    <t>Zone 30 en markeringen</t>
  </si>
  <si>
    <t>verschillende werken in 1, dus meerdere contactpersonen</t>
  </si>
  <si>
    <t>WWV/INV/N35/12</t>
  </si>
  <si>
    <t>KP/000711</t>
  </si>
  <si>
    <t>IN/002035</t>
  </si>
  <si>
    <t>Heraanleg + VRI</t>
  </si>
  <si>
    <t>Heraanleg door Lantis, medefinancier AWV</t>
  </si>
  <si>
    <t>WA/INV/N129/1</t>
  </si>
  <si>
    <t>IN/002036</t>
  </si>
  <si>
    <t>A14 Dienstenzone Rekkem</t>
  </si>
  <si>
    <t>WWV/INV/A14/3</t>
  </si>
  <si>
    <t>KP/000777</t>
  </si>
  <si>
    <t>IN/002037</t>
  </si>
  <si>
    <t>Fietspad omgelegd, aparte fase voor fietsers</t>
  </si>
  <si>
    <t>WWV/INV/R31/3</t>
  </si>
  <si>
    <t>KP/000710</t>
  </si>
  <si>
    <t>IN/002038</t>
  </si>
  <si>
    <t>VLCC ingevoerd &amp; conflictvrije regeling ingevoerd</t>
  </si>
  <si>
    <t>WA/INV/N116/11</t>
  </si>
  <si>
    <t>KP/000683</t>
  </si>
  <si>
    <t>IN/002039</t>
  </si>
  <si>
    <t>Investeringsproject Gevaarlijke punt in Zonhoven : Beringersteenweg, Heuveneindeweg, N74 Richting Hasselt</t>
  </si>
  <si>
    <t>WL/INV/N74/10</t>
  </si>
  <si>
    <t>KP/000681</t>
  </si>
  <si>
    <t>IN/002040</t>
  </si>
  <si>
    <t>Investeringsproject Gevaarlijke punt in Zoersel : A21-E34 Richting Antwerpen</t>
  </si>
  <si>
    <t>WA/INV/A21/1</t>
  </si>
  <si>
    <t>KP/000663</t>
  </si>
  <si>
    <t>IN/002041</t>
  </si>
  <si>
    <t>Aflsuiten Molenstraat, enkel dwarsing fietsers nog mogelijk</t>
  </si>
  <si>
    <t>WWV/INV/N382/13</t>
  </si>
  <si>
    <t>KP/000632</t>
  </si>
  <si>
    <t>IN/002042</t>
  </si>
  <si>
    <t>Aparte fietsfase + conflictvrij linksaf</t>
  </si>
  <si>
    <t>WWV/INV/NX/5</t>
  </si>
  <si>
    <t>KP/000601</t>
  </si>
  <si>
    <t>IN/002043</t>
  </si>
  <si>
    <t>Aparte fietsfase om R32 te dwarsen</t>
  </si>
  <si>
    <t>WWV/INV/NX/6</t>
  </si>
  <si>
    <t>KP/000590</t>
  </si>
  <si>
    <t>IN/002044</t>
  </si>
  <si>
    <t>Enkelrichting maken van de Lucien Vandefonteynelaan</t>
  </si>
  <si>
    <t>WOV/INV/NX/9</t>
  </si>
  <si>
    <t>KP/000545</t>
  </si>
  <si>
    <t>IN/002045</t>
  </si>
  <si>
    <t>Snelheid in bochten naar 70 km/u</t>
  </si>
  <si>
    <t>WVB/INV/NX/9</t>
  </si>
  <si>
    <t>KP/000534</t>
  </si>
  <si>
    <t>IN/002046</t>
  </si>
  <si>
    <t>Investeringsproject gevaarlijk punt in Lier : Aarschotsesteenweg, Schollebeekstraat</t>
  </si>
  <si>
    <t>WA/INV/N10/17</t>
  </si>
  <si>
    <t>KP/000477</t>
  </si>
  <si>
    <t>IN/002047</t>
  </si>
  <si>
    <t>VRI geplaatst</t>
  </si>
  <si>
    <t>WL/INV/N74/11</t>
  </si>
  <si>
    <t>KP/000390</t>
  </si>
  <si>
    <t>IN/002048</t>
  </si>
  <si>
    <t>Aanleg taper</t>
  </si>
  <si>
    <t>WVB/INV/A10/4</t>
  </si>
  <si>
    <t>KP/000376</t>
  </si>
  <si>
    <t>IN/002049</t>
  </si>
  <si>
    <t>Asverschuiving om zicht te creëren van op zijtakken en snelheid te remmen op gewestweg</t>
  </si>
  <si>
    <t>WWV/INV/NX/7</t>
  </si>
  <si>
    <t>KP/000361</t>
  </si>
  <si>
    <t>IN/002050</t>
  </si>
  <si>
    <t>QW conflict RA met fietsers. Rechttrekken en accentueren dwarsing R30</t>
  </si>
  <si>
    <t>WWV/INV/NX/8</t>
  </si>
  <si>
    <t>KP/000352</t>
  </si>
  <si>
    <t>IN/002051</t>
  </si>
  <si>
    <t>Aanpassing belijning (rijbaanversmalling) en snelheidsregime</t>
  </si>
  <si>
    <t>WWV/INV/N9/5</t>
  </si>
  <si>
    <t>KP/000304</t>
  </si>
  <si>
    <t>IN/002052</t>
  </si>
  <si>
    <t>Plaatsen VRI</t>
  </si>
  <si>
    <t>WA/INV/NX/5</t>
  </si>
  <si>
    <t>KP/000296</t>
  </si>
  <si>
    <t>IN/002053</t>
  </si>
  <si>
    <t>Plaatsing trajectcontrole</t>
  </si>
  <si>
    <t>WA/INV/N49/1</t>
  </si>
  <si>
    <t>KP/000257</t>
  </si>
  <si>
    <t>IN/002054</t>
  </si>
  <si>
    <t>Herinrichting wegens afbraak brug</t>
  </si>
  <si>
    <t>WA/INV/N129/2</t>
  </si>
  <si>
    <t>KP/000217</t>
  </si>
  <si>
    <t>IN/002055</t>
  </si>
  <si>
    <t>Verbieden van een aantal bewegingen</t>
  </si>
  <si>
    <t>WOV/INV/N41/5</t>
  </si>
  <si>
    <t>KP/001742</t>
  </si>
  <si>
    <t>Op deze locatie is een nieuwe FOP aangelegd naar aanleiding van een structureel onderhoud van de rijbaan. Melding is gekomen dat de zichtbaarheid op de opgestelde fietser die van het enkelrichtingsfietspad naar het dubbelrichtingsfietspad wenst over te steken te beperkt is. Afweging dient gemaakt te worden of punctuele verlichting hier kan geplaatst worden.</t>
  </si>
  <si>
    <t>IN/002056</t>
  </si>
  <si>
    <t>Aanleg nieuwe FOP</t>
  </si>
  <si>
    <t>WA/INV/N108/10</t>
  </si>
  <si>
    <t>IN/002057</t>
  </si>
  <si>
    <t>N20 : Kortessem : FOP Hemelspark</t>
  </si>
  <si>
    <t>WL/INV/N20/1</t>
  </si>
  <si>
    <t>KP/000860</t>
  </si>
  <si>
    <t>KS084 - Gevaarlijke oversteek van fietsers komen van de rotonde naar de ventweg Zuid</t>
  </si>
  <si>
    <t>IN/002058</t>
  </si>
  <si>
    <t>Bypass rotonde Keibergstraat naar ventweg</t>
  </si>
  <si>
    <t>WWV/INV/R34/3</t>
  </si>
  <si>
    <t>KP/002427</t>
  </si>
  <si>
    <t>IN/002059</t>
  </si>
  <si>
    <t>Vlimmeren Statiestraat halteinfra</t>
  </si>
  <si>
    <t>WA/INV/NX/6</t>
  </si>
  <si>
    <t>IN/002060</t>
  </si>
  <si>
    <t>Vlimmeren Statiestraat Hoppinzuil</t>
  </si>
  <si>
    <t>KP/002423</t>
  </si>
  <si>
    <t>IN/002061</t>
  </si>
  <si>
    <t>Ramsel Truitseinde Halteinfra</t>
  </si>
  <si>
    <t>WA/INV/N19/12</t>
  </si>
  <si>
    <t>IN/002062</t>
  </si>
  <si>
    <t>Ramsel Truitseinde Hoppinzuil</t>
  </si>
  <si>
    <t>KP/002419</t>
  </si>
  <si>
    <t>IN/002063</t>
  </si>
  <si>
    <t>Tielendijk Halteinfra</t>
  </si>
  <si>
    <t>WA/INV/N19/13</t>
  </si>
  <si>
    <t>IN/002064</t>
  </si>
  <si>
    <t>Tielendijk Hoppinzuil</t>
  </si>
  <si>
    <t>KP/002415</t>
  </si>
  <si>
    <t>IN/002065</t>
  </si>
  <si>
    <t>Rijkevorsel Dorp Halteinfra</t>
  </si>
  <si>
    <t>WA/INV/N14/13</t>
  </si>
  <si>
    <t>IN/002066</t>
  </si>
  <si>
    <t>Rijkevorsel Dorp Hoppinzuil</t>
  </si>
  <si>
    <t>KP/002395</t>
  </si>
  <si>
    <t>IN/002067</t>
  </si>
  <si>
    <t>Kasterlee Dorp Halteinfra</t>
  </si>
  <si>
    <t>WA/INV/N19/14</t>
  </si>
  <si>
    <t>IN/002068</t>
  </si>
  <si>
    <t>Kasterlee Dorp Hoppinzuil</t>
  </si>
  <si>
    <t>KP/002389</t>
  </si>
  <si>
    <t>IN/002069</t>
  </si>
  <si>
    <t>Olen Dorp Halteinfra</t>
  </si>
  <si>
    <t>WA/INV/N152/6</t>
  </si>
  <si>
    <t>IN/002070</t>
  </si>
  <si>
    <t>Olen Dorp Hoppinzuil</t>
  </si>
  <si>
    <t>IN/002071</t>
  </si>
  <si>
    <t>Tongeren T-forum N20</t>
  </si>
  <si>
    <t>KP/002632</t>
  </si>
  <si>
    <t>IN/002072</t>
  </si>
  <si>
    <t>N76 Oudsbergen Doorstroming Opglabbeek fase 2</t>
  </si>
  <si>
    <t>WL/INV/N76/4</t>
  </si>
  <si>
    <t>KP/000754</t>
  </si>
  <si>
    <t>IN/002073</t>
  </si>
  <si>
    <t>Toeleidende fietspaden in zijstraten</t>
  </si>
  <si>
    <t>IN/002074</t>
  </si>
  <si>
    <t>Punctuele verlichting aanbrengen thv de fietsoversteken</t>
  </si>
  <si>
    <t>IN/002075</t>
  </si>
  <si>
    <t>Verticale en horizontale signalisatie vernieuwen</t>
  </si>
  <si>
    <t>IN/002076</t>
  </si>
  <si>
    <t>A3/E40 - Bermbrug (Bertem)</t>
  </si>
  <si>
    <t>WVB/INV/A3/11</t>
  </si>
  <si>
    <t>IN/002077</t>
  </si>
  <si>
    <t>Project K-R8</t>
  </si>
  <si>
    <t>deelname aan GRUP K-R8, verbetering leefbaarheid tussen complexen Kortrijk-Oost en Kortrijk-Zuid. Deze studie kan tevens het sluiten van R8 over de reservatiestrook omvatten.</t>
  </si>
  <si>
    <t>WWV/INV/A14/1</t>
  </si>
  <si>
    <t>IN/002078</t>
  </si>
  <si>
    <t>N303 Zonnebeke, aanleg carpoolparking.</t>
  </si>
  <si>
    <t>WWV/INV/N303/1</t>
  </si>
  <si>
    <t>KP/003896</t>
  </si>
  <si>
    <t>IN/002079</t>
  </si>
  <si>
    <t>N49 Ombouw van de N49 tot autosnelweg, deelproject</t>
  </si>
  <si>
    <t>WWV/INV/N49/6</t>
  </si>
  <si>
    <t>IN/002080</t>
  </si>
  <si>
    <t>N725 Lummen Fietspaden Blanklaerstraat</t>
  </si>
  <si>
    <t>WL/INV/N725/4</t>
  </si>
  <si>
    <t>KP/001721</t>
  </si>
  <si>
    <t>IN/002081</t>
  </si>
  <si>
    <t>N133 - WUUSTWEZEL - heraanleg Dorpstraat</t>
  </si>
  <si>
    <t>WA/INV/N133/3</t>
  </si>
  <si>
    <t>KP/003798</t>
  </si>
  <si>
    <t>IN/002082</t>
  </si>
  <si>
    <t>N116 Wommelgem Busbaan studie</t>
  </si>
  <si>
    <t>WA/INV/N116/9</t>
  </si>
  <si>
    <t>IN/002083</t>
  </si>
  <si>
    <t>N50 Kuurne - doortrekken R8</t>
  </si>
  <si>
    <t>WWV/INV/R8/1</t>
  </si>
  <si>
    <t>IN/002084</t>
  </si>
  <si>
    <t>E403 Kortrijk- Roeselare, beide richtingen</t>
  </si>
  <si>
    <t>WWV/INV/E403/7</t>
  </si>
  <si>
    <t>IN/002085</t>
  </si>
  <si>
    <t>N8 Kortrijk - herinrichting Meensesteenweg</t>
  </si>
  <si>
    <t>WWV/INV/N8/8</t>
  </si>
  <si>
    <t>IN/002086</t>
  </si>
  <si>
    <t>Fietsersbrug ter hoogte van Celieplas</t>
  </si>
  <si>
    <t>WOV/INV/N49/5</t>
  </si>
  <si>
    <t>IN/002087</t>
  </si>
  <si>
    <t>N50 Kortrijk Doorniksesteenweg HOV</t>
  </si>
  <si>
    <t>WWV/INV/N50/3</t>
  </si>
  <si>
    <t>IN/002088</t>
  </si>
  <si>
    <t>E403 N36 Roeselare - herstel brug B50</t>
  </si>
  <si>
    <t>WWV/INV/E403/6</t>
  </si>
  <si>
    <t>IN/002089</t>
  </si>
  <si>
    <t>E17 Waregem - brug in Nokerseweg</t>
  </si>
  <si>
    <t>WWV/INV/E17/8</t>
  </si>
  <si>
    <t>IN/002090</t>
  </si>
  <si>
    <t>E17 Kortrijk-  Bufferbekken EI en persleiding</t>
  </si>
  <si>
    <t>WWV/INV/E17/3</t>
  </si>
  <si>
    <t>IN/002091</t>
  </si>
  <si>
    <t>N34 Nieuwpoort - structureel onderhoud Langebrug</t>
  </si>
  <si>
    <t>WWV/INV/N34/7</t>
  </si>
  <si>
    <t>IN/002092</t>
  </si>
  <si>
    <t>N17 Ontsluiting De Winning</t>
  </si>
  <si>
    <t>WA/INV/N17/3</t>
  </si>
  <si>
    <t>IN/002093</t>
  </si>
  <si>
    <t>N10 Berlaar-HODB Herinrichting Aarschotsebaan</t>
  </si>
  <si>
    <t>WA/INV/N10/1</t>
  </si>
  <si>
    <t>IN/002094</t>
  </si>
  <si>
    <t>N1 Kontich Herinrichting Koningin Astridlaan</t>
  </si>
  <si>
    <t>WA/INV/N001/3</t>
  </si>
  <si>
    <t>IN/002095</t>
  </si>
  <si>
    <t>R6 SKW Milderende maatregelen</t>
  </si>
  <si>
    <t>WA/INV/R6/2</t>
  </si>
  <si>
    <t>IN/002096</t>
  </si>
  <si>
    <t>N10 Rotonde Schrieksesteenweg TV3V 1279</t>
  </si>
  <si>
    <t>WA/INV/N10/4</t>
  </si>
  <si>
    <t>IN/002097</t>
  </si>
  <si>
    <t>N171 Rumst doortrekking fase 3</t>
  </si>
  <si>
    <t>WA/INV/N171/1</t>
  </si>
  <si>
    <t>IN/002098</t>
  </si>
  <si>
    <t>A12 Aartselaar Ombouw A12 tot prim. weg- rout2030</t>
  </si>
  <si>
    <t>WA/INV/A12/3</t>
  </si>
  <si>
    <t>IN/002099</t>
  </si>
  <si>
    <t>N327 Wielsbeke herinrichten met fietspad en RWA</t>
  </si>
  <si>
    <t>WWV/INV/N327/2</t>
  </si>
  <si>
    <t>IN/002100</t>
  </si>
  <si>
    <t>R40 Gent bouw Verapazbrug</t>
  </si>
  <si>
    <t>WOV/INV/R40/2</t>
  </si>
  <si>
    <t>IN/002101</t>
  </si>
  <si>
    <t>N60 Oudenaarde SOVII Bruwaan</t>
  </si>
  <si>
    <t>Het bedrijventerrein Bruwaan Noord wordt ontwikkeld en moet ontsloten worden op de N60 via de rotonde van Eine. \nIn het kader van de SOVII zal AWV als medefinancier instaan voor 60%  van de reële kosten voor de aanpassing van de rotonde door de aanleg van een aanzet van de vierde tak. De ontsluitingsweg zelf zal voor 40% betaald worden via de subsidie.</t>
  </si>
  <si>
    <t>WOV/INV/N60/13</t>
  </si>
  <si>
    <t>IN/002102</t>
  </si>
  <si>
    <t>N9 Eeklo Leopoldlaan</t>
  </si>
  <si>
    <t>WOV/INV/N9/1</t>
  </si>
  <si>
    <t>IN/002103</t>
  </si>
  <si>
    <t>R40 Gent heraanleg kruispunt Groot-Brittanniëlaan</t>
  </si>
  <si>
    <t>WOV/INV/R40/8</t>
  </si>
  <si>
    <t>IN/002104</t>
  </si>
  <si>
    <t>R43 Eeklo fase 1 Den Teut Industrielaan</t>
  </si>
  <si>
    <t>WOV/INV/R43/1</t>
  </si>
  <si>
    <t>IN/002105</t>
  </si>
  <si>
    <t>N466 Gent Drongensesteenweg doorstroming bus</t>
  </si>
  <si>
    <t>WOV/INV/N466/3</t>
  </si>
  <si>
    <t>IN/002106</t>
  </si>
  <si>
    <t>N35 Deinze Tieltsesteenweg</t>
  </si>
  <si>
    <t>WOV/INV/N35/1</t>
  </si>
  <si>
    <t>IN/002107</t>
  </si>
  <si>
    <t>N31 Brugge Omvorming tot vlaamse hoofdweg</t>
  </si>
  <si>
    <t>WWV/INV/N31/4</t>
  </si>
  <si>
    <t>IN/002108</t>
  </si>
  <si>
    <t>N494 Kruisem WP Structureel onderhoud met fietspad</t>
  </si>
  <si>
    <t>WOV/INV/N494/2</t>
  </si>
  <si>
    <t>IN/002109</t>
  </si>
  <si>
    <t>N47 Lebbeke Brusselsesteenweg</t>
  </si>
  <si>
    <t>WOV/INV/N47/6</t>
  </si>
  <si>
    <t>IN/002110</t>
  </si>
  <si>
    <t>E40 Aalst (Italiënweg) Verlengen geluidsschermen</t>
  </si>
  <si>
    <t>WOV/INV/E40/6</t>
  </si>
  <si>
    <t>IN/002111</t>
  </si>
  <si>
    <t>N462 Sint-Lievens-Houtem Bavegem fietspaden</t>
  </si>
  <si>
    <t>WOV/INV/N462/3</t>
  </si>
  <si>
    <t>IN/002112</t>
  </si>
  <si>
    <t>N42 rondweg St Lievens Esse</t>
  </si>
  <si>
    <t>WOV/INV/N42/5</t>
  </si>
  <si>
    <t>KP/003931</t>
  </si>
  <si>
    <t>IN/002113</t>
  </si>
  <si>
    <t>N42 Wetteren - Zottegem Ombouw tot primaire weg II</t>
  </si>
  <si>
    <t>WOV/INV/N42/3</t>
  </si>
  <si>
    <t>IN/002114</t>
  </si>
  <si>
    <t>N406 N41  rondweg Gijzegem/ontsluit Pachthofstraat</t>
  </si>
  <si>
    <t>WOV/INV/N406/2</t>
  </si>
  <si>
    <t>IN/002115</t>
  </si>
  <si>
    <t>N462 Wetteren fietspaden Westrem</t>
  </si>
  <si>
    <t>WOV/INV/N462/1</t>
  </si>
  <si>
    <t>IN/002116</t>
  </si>
  <si>
    <t>N8 Ninove herinrichting Brusselsesteenweg</t>
  </si>
  <si>
    <t>WOV/INV/N8/4</t>
  </si>
  <si>
    <t>KP/001908</t>
  </si>
  <si>
    <t>IN/002117</t>
  </si>
  <si>
    <t>N9 Gentsesteenweg Erpe-Mere/Lede</t>
  </si>
  <si>
    <t>WOV/INV/N9/10</t>
  </si>
  <si>
    <t>KP/001909</t>
  </si>
  <si>
    <t>KP/001915</t>
  </si>
  <si>
    <t>KP/001948</t>
  </si>
  <si>
    <t>IN/002118</t>
  </si>
  <si>
    <t>N46 Herzele en Zwalm fietspaden</t>
  </si>
  <si>
    <t>WOV/INV/N46/2</t>
  </si>
  <si>
    <t>IN/002119</t>
  </si>
  <si>
    <t>N31 Brugge Fietsverbinding Evendijk-West</t>
  </si>
  <si>
    <t>WWV/INV/N31/5</t>
  </si>
  <si>
    <t>IN/002120</t>
  </si>
  <si>
    <t>N374 Brugge Studie doortocht Brugse Steenweg</t>
  </si>
  <si>
    <t>WWV/INV/N374/3</t>
  </si>
  <si>
    <t>IN/002121</t>
  </si>
  <si>
    <t>N700 Bilzen - structureel onderhoud</t>
  </si>
  <si>
    <t>WL/INV/N700/2</t>
  </si>
  <si>
    <t>IN/002122</t>
  </si>
  <si>
    <t>N779 Genk - schoolomgeving de Bijbel</t>
  </si>
  <si>
    <t>WL/INV/N779/1</t>
  </si>
  <si>
    <t>IN/002123</t>
  </si>
  <si>
    <t>N80 Sint-Truiden - herinrichting</t>
  </si>
  <si>
    <t>WL/INV/N80/2</t>
  </si>
  <si>
    <t>IN/002124</t>
  </si>
  <si>
    <t>N72 Zonhoven - aanleg riolering en fietspaden</t>
  </si>
  <si>
    <t>WL/INV/N72/7</t>
  </si>
  <si>
    <t>KP/002718</t>
  </si>
  <si>
    <t>IN/002125</t>
  </si>
  <si>
    <t>N2 tussen R71 en N729 herinrichting, Hasselt</t>
  </si>
  <si>
    <t>WL/INV/N2/1</t>
  </si>
  <si>
    <t>IN/002126</t>
  </si>
  <si>
    <t>N47 Lebbeke herinrichting Dendermondsesteenweg</t>
  </si>
  <si>
    <t>WOV/INV/N47/5</t>
  </si>
  <si>
    <t>IN/002127</t>
  </si>
  <si>
    <t>N8 Ninove heraanleg Elisabethlaan en Leopoldlaan</t>
  </si>
  <si>
    <t>WOV/INV/N8/6</t>
  </si>
  <si>
    <t>IN/002128</t>
  </si>
  <si>
    <t>N730 Zutendaal overdracht en vernieuwing Asserweg</t>
  </si>
  <si>
    <t>WL/INV/N730/7</t>
  </si>
  <si>
    <t>IN/002129</t>
  </si>
  <si>
    <t>N78 Maasm. Oostelijke ontsluitingsweg kruispunt</t>
  </si>
  <si>
    <t>WL/INV/N78/4</t>
  </si>
  <si>
    <t>IN/002130</t>
  </si>
  <si>
    <t>N748 Peer Aanleg fietspaden Bokt</t>
  </si>
  <si>
    <t>WL/INV/N748/1</t>
  </si>
  <si>
    <t>IN/002131</t>
  </si>
  <si>
    <t>E17 Waasmunster - plaatsing geluidsschermen</t>
  </si>
  <si>
    <t>WOV/INV/E17/3</t>
  </si>
  <si>
    <t>IN/002132</t>
  </si>
  <si>
    <t>N42 Wetteren - Bouw van een carpoolparking</t>
  </si>
  <si>
    <t>*1: Aanpassing huidige parking aan Krëfel\n*2: Nieuwe locatie op voormalig terrein van AWV-regie in Wetteren (naast politie), dus niet langs gewestweg.</t>
  </si>
  <si>
    <t>WOV/INV/N42/4</t>
  </si>
  <si>
    <t>IN/002133</t>
  </si>
  <si>
    <t>E40/R4 tss Merelbeke</t>
  </si>
  <si>
    <t>WOV/INV/E40/1</t>
  </si>
  <si>
    <t>IN/002134</t>
  </si>
  <si>
    <t>E34 Stekene - project nieuw nevenbedrijf</t>
  </si>
  <si>
    <t>WOV/INV/E34/1</t>
  </si>
  <si>
    <t>IN/002135</t>
  </si>
  <si>
    <t>E17 tss Temse / Kruibeke - optimalisatie</t>
  </si>
  <si>
    <t>MKBA-studie naar optimalisatie E17 tss Temse en Kruibeke</t>
  </si>
  <si>
    <t>WOV/INV/E17/2</t>
  </si>
  <si>
    <t>IN/002136</t>
  </si>
  <si>
    <t>N44 Aalter - geluidsschermen langs N44</t>
  </si>
  <si>
    <t>WOV/INV/N44/2</t>
  </si>
  <si>
    <t>IN/002137</t>
  </si>
  <si>
    <t>E17 Waasmunster - project uitbreiding nevenbedrijf</t>
  </si>
  <si>
    <t>WOV/INV/E17/7</t>
  </si>
  <si>
    <t>IN/002138</t>
  </si>
  <si>
    <t>A10/E40 Drongen vervangen 2 bovenbruggen</t>
  </si>
  <si>
    <t>WOV/INV/A10/6</t>
  </si>
  <si>
    <t>IN/002139</t>
  </si>
  <si>
    <t>A10/E40 Erpe Mere vervanging brug spoor</t>
  </si>
  <si>
    <t>WOV/INV/A10/4</t>
  </si>
  <si>
    <t>IN/002140</t>
  </si>
  <si>
    <t>A14/E17 Zwijnaarde Slingerviaducten</t>
  </si>
  <si>
    <t>WOV/INV/A14/2</t>
  </si>
  <si>
    <t>IN/002141</t>
  </si>
  <si>
    <t>E313 Ranst vernieuwen brug Vaartstraat</t>
  </si>
  <si>
    <t>WOV/INV/E313/1</t>
  </si>
  <si>
    <t>IN/002142</t>
  </si>
  <si>
    <t>N152_9 Olen Carpoolparking</t>
  </si>
  <si>
    <t>WA/INV/N152/3</t>
  </si>
  <si>
    <t>IN/002143</t>
  </si>
  <si>
    <t>X21/N253/23 Quick Wins: deel 2</t>
  </si>
  <si>
    <t>WVB/INV/N253/2</t>
  </si>
  <si>
    <t>IN/002144</t>
  </si>
  <si>
    <t>N116 -  RANST - Massenhovensesteenweg</t>
  </si>
  <si>
    <t>WA/INV/N116/2</t>
  </si>
  <si>
    <t>KP/003758</t>
  </si>
  <si>
    <t>IN/002145</t>
  </si>
  <si>
    <t>N14 - RANST - Oostmalsesteenweg</t>
  </si>
  <si>
    <t>WA/INV/N14/2</t>
  </si>
  <si>
    <t>IN/002146</t>
  </si>
  <si>
    <t>E19 SO MEER =&gt; BRECHT (A0010002)</t>
  </si>
  <si>
    <t>WA/INV/A001/6</t>
  </si>
  <si>
    <t>IN/002147</t>
  </si>
  <si>
    <t>N121 s Gravenwezel - Kruispunt De Kaak</t>
  </si>
  <si>
    <t>WA/INV/N121/3</t>
  </si>
  <si>
    <t>IN/002148</t>
  </si>
  <si>
    <t>E19 SO GRENS =&gt; MEER + complexen</t>
  </si>
  <si>
    <t>WA/INV/A001/5</t>
  </si>
  <si>
    <t>KP/003804</t>
  </si>
  <si>
    <t>IN/002149</t>
  </si>
  <si>
    <t>N014 - ZOERSEL - Ringweg</t>
  </si>
  <si>
    <t>WA/INV/N014/1</t>
  </si>
  <si>
    <t>IN/002150</t>
  </si>
  <si>
    <t>N012 MALLE - ZOERSEL Vrijliggend fietspad</t>
  </si>
  <si>
    <t>WA/INV/N012/1</t>
  </si>
  <si>
    <t>IN/002151</t>
  </si>
  <si>
    <t>N153 Structureel onderhoud Malle</t>
  </si>
  <si>
    <t>WA/INV/N153/10</t>
  </si>
  <si>
    <t>KP/002142</t>
  </si>
  <si>
    <t>IN/002152</t>
  </si>
  <si>
    <t>N111 Kapellen Fietspaden Klinkaardstraat</t>
  </si>
  <si>
    <t>WA/INV/N111/3</t>
  </si>
  <si>
    <t>IN/002153</t>
  </si>
  <si>
    <t>N114 Fietspaden Leugenberg - routeplan 2030</t>
  </si>
  <si>
    <t>WA/INV/N114/3</t>
  </si>
  <si>
    <t>KP/000213</t>
  </si>
  <si>
    <t>KP/003824</t>
  </si>
  <si>
    <t>IN/002154</t>
  </si>
  <si>
    <t>Aanpassen bushalte "Sint-Martinusschool"</t>
  </si>
  <si>
    <t>KP/002662</t>
  </si>
  <si>
    <t>IN/002155</t>
  </si>
  <si>
    <t>N79 : Riemst :Vroenhoven</t>
  </si>
  <si>
    <t>WL/INV/N79/1</t>
  </si>
  <si>
    <t>KP/002663</t>
  </si>
  <si>
    <t>IN/002156</t>
  </si>
  <si>
    <t>aanpassing halte "Sint-Martinusschool"</t>
  </si>
  <si>
    <t>Overijse N4 aanpassing halte "Sint-Martinusschool"</t>
  </si>
  <si>
    <t>WVB/INV/N4/10</t>
  </si>
  <si>
    <t>IN/002157</t>
  </si>
  <si>
    <t>N671 Riemst fase 2 3</t>
  </si>
  <si>
    <t>WL/INV/N671/2</t>
  </si>
  <si>
    <t>IN/002158</t>
  </si>
  <si>
    <t>N2 : Bilzen :  spoorwegtunnel</t>
  </si>
  <si>
    <t>WL/INV/N2/3</t>
  </si>
  <si>
    <t>IN/002159</t>
  </si>
  <si>
    <t>N3 : St. Truiden : fietspaden</t>
  </si>
  <si>
    <t>WL/INV/N3/1</t>
  </si>
  <si>
    <t>IN/002160</t>
  </si>
  <si>
    <t>aanpassen VOP + VRI</t>
  </si>
  <si>
    <t>- aanpassen VRI\n- FOP toevoegen\n- FOP verplaatsen naar trageweg\n- voetpad voorzien achter bomen (gracht inbuizen?)</t>
  </si>
  <si>
    <t>WA/INV/N18/15</t>
  </si>
  <si>
    <t>IN/002161</t>
  </si>
  <si>
    <t>CP Oostelijke Verbinding - onderzoeksfase</t>
  </si>
  <si>
    <t>WA/INV/CPO/1</t>
  </si>
  <si>
    <t>IN/002162</t>
  </si>
  <si>
    <t>N275 - Aandeel wegenis bij F205 DWV</t>
  </si>
  <si>
    <t>WVB/INV/N275/2</t>
  </si>
  <si>
    <t>KP/000970</t>
  </si>
  <si>
    <t>IN/002163</t>
  </si>
  <si>
    <t>Verwijderen kolken uit fietspad thv van Bresserdijk</t>
  </si>
  <si>
    <t>WA/INV/N103/3</t>
  </si>
  <si>
    <t>IN/002164</t>
  </si>
  <si>
    <t>N28 Pepingen</t>
  </si>
  <si>
    <t>WVB/INV/N28/1</t>
  </si>
  <si>
    <t>KP/003533</t>
  </si>
  <si>
    <t>IN/002165</t>
  </si>
  <si>
    <t>N285 - Corridorprojecten</t>
  </si>
  <si>
    <t>WVB/INV/N285/2</t>
  </si>
  <si>
    <t>IN/002166</t>
  </si>
  <si>
    <t>N700 Bilzen : westelijke ontsluitingsweg</t>
  </si>
  <si>
    <t>WL/INV/N700/1</t>
  </si>
  <si>
    <t>IN/002167</t>
  </si>
  <si>
    <t>N79 : Tongeren : omleidingsweg fase 3</t>
  </si>
  <si>
    <t>WL/INV/N79/3</t>
  </si>
  <si>
    <t>IN/002168</t>
  </si>
  <si>
    <t>R10 - aanpassingen markeringen</t>
  </si>
  <si>
    <t>Optimalisatie markering</t>
  </si>
  <si>
    <t>WA/INV/R10/7</t>
  </si>
  <si>
    <t>IN/002169</t>
  </si>
  <si>
    <t>uitbreiden bebouwde kom + 50 handhaven met trajectcontrole</t>
  </si>
  <si>
    <t>KP/003826</t>
  </si>
  <si>
    <t>IN/002170</t>
  </si>
  <si>
    <t>Sint-Steven-Woluwe halte Woluwedal</t>
  </si>
  <si>
    <t>aanpassing bushalte en fietspad</t>
  </si>
  <si>
    <t>WVB/INV/N2/21</t>
  </si>
  <si>
    <t>KP/000725</t>
  </si>
  <si>
    <t>IN/002171</t>
  </si>
  <si>
    <t>N115 x N117 - Herinrichting Kruispunt</t>
  </si>
  <si>
    <t>KP/002023</t>
  </si>
  <si>
    <t>KP/001380</t>
  </si>
  <si>
    <t>KS440 - Ontbrekende verlichting langs het vrijliggende fietspad</t>
  </si>
  <si>
    <t>IN/002172</t>
  </si>
  <si>
    <t>Fietspadverlichting</t>
  </si>
  <si>
    <t>KP/001145</t>
  </si>
  <si>
    <t>KS521 - Het betonnen fietspad ligt vlak naast de rijbaan. Nog eens rechts daarvan in de rijrichting ligt over de hele lengte tussen Koning Leopold III-laan en Wijnendalestraat een geasfalteerde parkeerstrook waar over deze lengte een permanent parkeerverbod is ingesteld. De fietser zou een stuk veiliger kunnen rijden op een breder, comfortabeler fietspad dat op de huidige parkeerstrook ingeplant is.</t>
  </si>
  <si>
    <t>IN/002173</t>
  </si>
  <si>
    <t>N32 Brugsesteenweg Roeselare - fietspad verleggen naar asfaltstrook</t>
  </si>
  <si>
    <t>WWV/INV/N32/11</t>
  </si>
  <si>
    <t>IN/002174</t>
  </si>
  <si>
    <t>N119 - Turnhout - Module 13 Kastelein</t>
  </si>
  <si>
    <t>WA/INV/N119/1</t>
  </si>
  <si>
    <t>IN/002175</t>
  </si>
  <si>
    <t>R13 - N119 - Turnhout - Aanpassingen kruispunt</t>
  </si>
  <si>
    <t>WA/INV/R13/1</t>
  </si>
  <si>
    <t>IN/002176</t>
  </si>
  <si>
    <t>N13 - Aansluiting Industrielaan op E313</t>
  </si>
  <si>
    <t>WA/INV/N013/2</t>
  </si>
  <si>
    <t>IN/002177</t>
  </si>
  <si>
    <t>N142 - Geel</t>
  </si>
  <si>
    <t>WA/INV/N142/1</t>
  </si>
  <si>
    <t>IN/002178</t>
  </si>
  <si>
    <t>N71 - Structureel onderhoud Mol</t>
  </si>
  <si>
    <t>WA/INV/N71/2</t>
  </si>
  <si>
    <t>KP/001478</t>
  </si>
  <si>
    <t>IN/002179</t>
  </si>
  <si>
    <t>Asfalt ipv klinkers op fietspad in doortocht Berlare</t>
  </si>
  <si>
    <t>WOV/INV/N467/5</t>
  </si>
  <si>
    <t>IN/002180</t>
  </si>
  <si>
    <t>Onteigening hoek</t>
  </si>
  <si>
    <t>IN/002181</t>
  </si>
  <si>
    <t>Heraanleg fietspad in Wijnegem op N12 6.1 - 7.1</t>
  </si>
  <si>
    <t>WA/INV/N12/20</t>
  </si>
  <si>
    <t>IN/002182</t>
  </si>
  <si>
    <t>Heraanleg fietspad in Wijnegem op N12 9.5 - 10.6</t>
  </si>
  <si>
    <t>WA/INV/N12/21</t>
  </si>
  <si>
    <t>KP/000788</t>
  </si>
  <si>
    <t>IN/002183</t>
  </si>
  <si>
    <t>aanpassing veiligheid nav dodelijk ongeval</t>
  </si>
  <si>
    <t>aanpassen en uitbreiden markeringen om snelheid omlaag te halen</t>
  </si>
  <si>
    <t>WVB/INV/N223/5</t>
  </si>
  <si>
    <t>KP/000733</t>
  </si>
  <si>
    <t>IN/002184</t>
  </si>
  <si>
    <t>Vroentestraat/Rodestraat, gevaarlijk punt (16,700) PCV-dossier VB-357</t>
  </si>
  <si>
    <t>aanpassingen gevaarlijk kruispunt</t>
  </si>
  <si>
    <t>IN/002185</t>
  </si>
  <si>
    <t>SRK: N17 Dendermonde: aanbrengen suggestiestroken aan beide zijden van het kruispunt</t>
  </si>
  <si>
    <t>aanbrengen suggestiestroken aan beide zijden van het kruispunt</t>
  </si>
  <si>
    <t>WOV/INV/N17/7</t>
  </si>
  <si>
    <t>IN/002186</t>
  </si>
  <si>
    <t>SRK: N449 Wachtebeke: plateaumarkering thv Overledebrug</t>
  </si>
  <si>
    <t>SRK Overledebrug plateaumarkering (KS370); aangebracht tijdens vernieuwing dorpskern</t>
  </si>
  <si>
    <t>WOV/INV/N449/9</t>
  </si>
  <si>
    <t>KP/003830</t>
  </si>
  <si>
    <t>IN/002187</t>
  </si>
  <si>
    <t>Structureel onderhoud fiets - Erpe-Mere kmpt. 3.50-4.80 Volledige heropbouw</t>
  </si>
  <si>
    <t>WOV/INV/N46/15</t>
  </si>
  <si>
    <t>KP/003831</t>
  </si>
  <si>
    <t>IN/002188</t>
  </si>
  <si>
    <t>Structureel onderhoud fiets - Ninove kmpt. 10.00-11.40 Volledige heropbouw</t>
  </si>
  <si>
    <t>WOV/INV/N255/4</t>
  </si>
  <si>
    <t>KP/003832</t>
  </si>
  <si>
    <t>IN/002189</t>
  </si>
  <si>
    <t>Structureel onderhoud fiets - Ninove kmpt. 14.70-15.20 Volledige heropbouw</t>
  </si>
  <si>
    <t>WOV/INV/N255/5</t>
  </si>
  <si>
    <t>KP/003833</t>
  </si>
  <si>
    <t>IN/002190</t>
  </si>
  <si>
    <t>Structureel onderhoud fiets - Dendermonde kmpt. 4.40-4.90 Volledige heropbouw</t>
  </si>
  <si>
    <t>WOV/INV/N406/6</t>
  </si>
  <si>
    <t>KP/003834</t>
  </si>
  <si>
    <t>IN/002191</t>
  </si>
  <si>
    <t>Structureel onderhoud fiets - Dendermonde kmpt. 5.20-5.60 Volledige heropbouw</t>
  </si>
  <si>
    <t>WOV/INV/N406/7</t>
  </si>
  <si>
    <t>KP/003835</t>
  </si>
  <si>
    <t>IN/002192</t>
  </si>
  <si>
    <t>Structureel onderhoud fiets - Geraardsbergen kmpt. 17.3-19.80 Herstel/optimalisatie toplaag</t>
  </si>
  <si>
    <t>WOV/INV/N460/12</t>
  </si>
  <si>
    <t>KP/003836</t>
  </si>
  <si>
    <t>IN/002193</t>
  </si>
  <si>
    <t>Structureel onderhoud fiets - Dendermonde/Wichelen kmpt. 6.00-6.70 Volledige heropbouw</t>
  </si>
  <si>
    <t>WOV/INV/N416/8</t>
  </si>
  <si>
    <t>KP/003837</t>
  </si>
  <si>
    <t>IN/002194</t>
  </si>
  <si>
    <t>Structureel onderhoud fiets - Aalst kmpt. 5.60-7.50 Herstel asfalt</t>
  </si>
  <si>
    <t>WOV/INV/N406/8</t>
  </si>
  <si>
    <t>KP/003838</t>
  </si>
  <si>
    <t>IN/002195</t>
  </si>
  <si>
    <t>Structureel onderhoud fiets - Wortegem-Petegem kmpt. 4.15-5.00 : heraanleg betonnen fietspad in asfalt kmpt. 4.50-5.00 : verhoogd aanliggend maken</t>
  </si>
  <si>
    <t>WOV/INV/N459/4</t>
  </si>
  <si>
    <t>KP/003839</t>
  </si>
  <si>
    <t>IN/002196</t>
  </si>
  <si>
    <t>Structureel onderhoud fiets - Oudenaarde kmpt. 26.55-27.25 Volledige heropbouw</t>
  </si>
  <si>
    <t>WOV/INV/N46/16</t>
  </si>
  <si>
    <t>KP/003840</t>
  </si>
  <si>
    <t>IN/002197</t>
  </si>
  <si>
    <t>Structureel onderhoud fiets - Zottegem-Zwalm kmpt 17.18-20.30 Herstel/optimalisatie toplaag</t>
  </si>
  <si>
    <t>WOV/INV/N46/17</t>
  </si>
  <si>
    <t>KP/003841</t>
  </si>
  <si>
    <t>IN/002198</t>
  </si>
  <si>
    <t>Structureel onderhoud fiets - Herzele kmpt. 18.54-19.65 Volledige heropbouw</t>
  </si>
  <si>
    <t>WOV/INV/N42/9</t>
  </si>
  <si>
    <t>KP/003842</t>
  </si>
  <si>
    <t>IN/002199</t>
  </si>
  <si>
    <t>Structureel onderhoud fiets - Brakel kmpt. 8.32-8.75 Volledige heropbouw</t>
  </si>
  <si>
    <t>WOV/INV/N493/6</t>
  </si>
  <si>
    <t>KP/003843</t>
  </si>
  <si>
    <t>IN/002200</t>
  </si>
  <si>
    <t>Structureel onderhoud fiets - Ronse kmpt. 15.30-16.70 Herstel/optimalisatie toplaag</t>
  </si>
  <si>
    <t>WOV/INV/N48/4</t>
  </si>
  <si>
    <t>KP/003844</t>
  </si>
  <si>
    <t>IN/002201</t>
  </si>
  <si>
    <t>Structureel onderhoud fiets - Zottegem kmpt. 17.30-19.20 Volledige heropbouw</t>
  </si>
  <si>
    <t>WOV/INV/N462/8</t>
  </si>
  <si>
    <t>KP/003845</t>
  </si>
  <si>
    <t>IN/002202</t>
  </si>
  <si>
    <t>Structureel onderhoud fiets - Temse kmp. 0.60-0.80 Volledige heropbouw</t>
  </si>
  <si>
    <t>WOV/INV/N419/13</t>
  </si>
  <si>
    <t>KP/003846</t>
  </si>
  <si>
    <t>IN/002203</t>
  </si>
  <si>
    <t>Structureel onderhoud fiets - Temse kmpt. 0.95-1.16 Volledige heropbouw</t>
  </si>
  <si>
    <t>WOV/INV/N419/14</t>
  </si>
  <si>
    <t>KP/003847</t>
  </si>
  <si>
    <t>IN/002204</t>
  </si>
  <si>
    <t>Structureel onderhoud fiets - Sint-Niklaas kmpt. 34.4-36.1 Verhoogd aanliggend maken</t>
  </si>
  <si>
    <t>WOV/INV/N70/12</t>
  </si>
  <si>
    <t>KP/003848</t>
  </si>
  <si>
    <t>IN/002205</t>
  </si>
  <si>
    <t>Structureel onderhoud fiets - Sint-Niklaas kmpt. 27.30-30.00 Verhoogd aanliggend maken</t>
  </si>
  <si>
    <t>WOV/INV/N70/13</t>
  </si>
  <si>
    <t>KP/003849</t>
  </si>
  <si>
    <t>IN/002206</t>
  </si>
  <si>
    <t>Structureel onderhoud fiets - Sint-Niklaas kmpt. 26.30-27.30 Volledige heropbouw</t>
  </si>
  <si>
    <t>WOV/INV/N70/14</t>
  </si>
  <si>
    <t>KP/003850</t>
  </si>
  <si>
    <t>IN/002207</t>
  </si>
  <si>
    <t>Structureel onderhoud fiets - Waasmunster kmpt. 21.60-26.10 Volledige heropbouw</t>
  </si>
  <si>
    <t>WOV/INV/N70/15</t>
  </si>
  <si>
    <t>KP/003851</t>
  </si>
  <si>
    <t>IN/002208</t>
  </si>
  <si>
    <t>Structureel onderhoud fiets - Sint-Niklaas kmpt. 1.35-2.05 Volledige heropbouw</t>
  </si>
  <si>
    <t>WOV/INV/R42/5</t>
  </si>
  <si>
    <t>KP/003852</t>
  </si>
  <si>
    <t>IN/002209</t>
  </si>
  <si>
    <t>Structureel onderhoud fiets - Sint-Niklaas kmpt. 0.60-1.35 Volledige heropbouw</t>
  </si>
  <si>
    <t>WOV/INV/R42/6</t>
  </si>
  <si>
    <t>KP/003853</t>
  </si>
  <si>
    <t>IN/002210</t>
  </si>
  <si>
    <t>Structureel onderhoud fiets - Sint-Niklaas kmpt. 3.60-4.90 Volledige heropbouw</t>
  </si>
  <si>
    <t>WOV/INV/R42/7</t>
  </si>
  <si>
    <t>KP/003854</t>
  </si>
  <si>
    <t>IN/002211</t>
  </si>
  <si>
    <t>Structureel onderhoud fiets - Kruibeke kmpt. 8.50-8.90 Volledige heropbouw</t>
  </si>
  <si>
    <t>WOV/INV/N419/15</t>
  </si>
  <si>
    <t>KP/003855</t>
  </si>
  <si>
    <t>IN/002212</t>
  </si>
  <si>
    <t>Structureel onderhoud fiets - Maldegem kmpt. 14.10-14.50 Volledige heropbouw. Ingreep ifv veiligheid fietsers</t>
  </si>
  <si>
    <t>WOV/INV/N44/7</t>
  </si>
  <si>
    <t>KP/003856</t>
  </si>
  <si>
    <t>IN/002213</t>
  </si>
  <si>
    <t>Structureel onderhoud fiets - Evergem kmpt. 9.10-10.10 Volledige heropbouw. Affrezen betonnen FP en aanbrengen toplaag in asfalt</t>
  </si>
  <si>
    <t>WOV/INV/N456/17</t>
  </si>
  <si>
    <t>KP/003857</t>
  </si>
  <si>
    <t>IN/002214</t>
  </si>
  <si>
    <t>Structureel onderhoud fiets - Merelbeke kmpt. 4.50-5.35 Volledige heropbouw. Uitbraak BSS en vervangen door asfalt</t>
  </si>
  <si>
    <t>WOV/INV/N444/7</t>
  </si>
  <si>
    <t>KP/003858</t>
  </si>
  <si>
    <t>IN/002215</t>
  </si>
  <si>
    <t>Structureel onderhoud fiets - Evergem kmpt. 5.25-7.15 Volledige heropbouw. Plaatselijk herstel verzakkingen</t>
  </si>
  <si>
    <t>WOV/INV/N456/18</t>
  </si>
  <si>
    <t>KP/003859</t>
  </si>
  <si>
    <t>IN/002216</t>
  </si>
  <si>
    <t>Structureel onderhoud fiets - Assenede kmpt. 3.68-6.80 Herstel/optimalisatie toplaag</t>
  </si>
  <si>
    <t>WOV/INV/N448/6</t>
  </si>
  <si>
    <t>KP/003860</t>
  </si>
  <si>
    <t>IN/002217</t>
  </si>
  <si>
    <t>Structureel onderhoud fiets - Aalter kmpt. 5.60-9.40 Herstel/optimalisatie toplaag</t>
  </si>
  <si>
    <t>WOV/INV/N44/8</t>
  </si>
  <si>
    <t>KP/003861</t>
  </si>
  <si>
    <t>IN/002218</t>
  </si>
  <si>
    <t>Structureel onderhoud fiets - Merelbeke/Gavere kmpt. 11.00-15.00 Herstel/optimalisatie toplaag</t>
  </si>
  <si>
    <t>WOV/INV/N444/8</t>
  </si>
  <si>
    <t>KP/003862</t>
  </si>
  <si>
    <t>IN/002219</t>
  </si>
  <si>
    <t>Structureel onderhoud fiets - Gent kmpt. 3.50-5.40 Herstel/optimalisatie. Nieuwe toplaag</t>
  </si>
  <si>
    <t>WOV/INV/N466/8</t>
  </si>
  <si>
    <t>KP/003863</t>
  </si>
  <si>
    <t>IN/002220</t>
  </si>
  <si>
    <t>Structureel onderhoud fiets - Aalter kmpt. 19.80-23.60 Herstel/optimalisatie toplaag</t>
  </si>
  <si>
    <t>WOV/INV/N461/4</t>
  </si>
  <si>
    <t>IN/002221</t>
  </si>
  <si>
    <t>E19 SO LOENHOUT = MEER A0010001</t>
  </si>
  <si>
    <t>WA/INV/A1/5</t>
  </si>
  <si>
    <t>IN/002222</t>
  </si>
  <si>
    <t>E19 SO BRECHT = STJOB A0010002</t>
  </si>
  <si>
    <t>WA/INV/A1/6</t>
  </si>
  <si>
    <t>KP/001405</t>
  </si>
  <si>
    <t>KS577 - Huidig kruispunt is erg groot waardoor fietsers die kruispunt kruisen en/of afslaan op dit kruispunt over grote afstanden in conflict kunnen komen met gemotoriseerd verkeer.</t>
  </si>
  <si>
    <t>IN/002223</t>
  </si>
  <si>
    <t>Aanpassing lichtenregeling conform actieplan</t>
  </si>
  <si>
    <t>Ombouw afgestemd op herinrichting Sabbestraat door de stad.</t>
  </si>
  <si>
    <t>IN/002224</t>
  </si>
  <si>
    <t>Streefbeeldstudie N50 Oostkamp</t>
  </si>
  <si>
    <t>KP/000874</t>
  </si>
  <si>
    <t>KP/003946</t>
  </si>
  <si>
    <t>IN/002225</t>
  </si>
  <si>
    <t>SRK: N415 x N444 Gavere: tweede rij paaltjes plaatsen</t>
  </si>
  <si>
    <t>Tweede rij paaltjes wordt aangebracht dichter bij de N415 om het afsnijden van de bocht komende van de N444 zuidzijde te vermijden</t>
  </si>
  <si>
    <t>WOV/INV/N415/8</t>
  </si>
  <si>
    <t>IN/002226</t>
  </si>
  <si>
    <t>SRK: N46 Herzele: fietssuggestiestroken en opschriften thv schoolomgeving</t>
  </si>
  <si>
    <t>- Het AWV verwijdert de asmarkering, daar waar er geen fietspaden aanwezig zijn.\n- Het AWV brengt fietssuggestiestroken aan met een breedte van 1,75 m, daar waar er geen fietspaden aanwezig zijn.\n- Het AWV brengt het opschrift SCHOOL aan op de rijweg ter hoogte van de school</t>
  </si>
  <si>
    <t>WOV/INV/N46/18</t>
  </si>
  <si>
    <t>IN/002227</t>
  </si>
  <si>
    <t>SRK: N9 Wetteren: Kwatrecht-station : bijkomende verticale signalisatie en vernieuwen rode slemlagen</t>
  </si>
  <si>
    <t>- Het aanbrengen van bijkomende signalisatie in de vorm van aanwijzingsborden zodat de te volgen fietsroute duidelijker wordt.\n- Vernieuwen van de rode slemlagen op het kruispunt.</t>
  </si>
  <si>
    <t>WOV/INV/N9/33</t>
  </si>
  <si>
    <t>IN/002228</t>
  </si>
  <si>
    <t>N9 - Herinrichting tussen Vaal</t>
  </si>
  <si>
    <t>WVB/INV/N9/1</t>
  </si>
  <si>
    <t>KP/001672</t>
  </si>
  <si>
    <t>IN/002229</t>
  </si>
  <si>
    <t>Genk: N702 vernieuwen rotonde + inspectieputten</t>
  </si>
  <si>
    <t>WL/INV/N702/6</t>
  </si>
  <si>
    <t>KP/001674</t>
  </si>
  <si>
    <t>IN/002230</t>
  </si>
  <si>
    <t>Hasselt: N2 fietsoversteken</t>
  </si>
  <si>
    <t>WL/INV/N2/17</t>
  </si>
  <si>
    <t>KP/001675</t>
  </si>
  <si>
    <t>KP/001770</t>
  </si>
  <si>
    <t>IN/002231</t>
  </si>
  <si>
    <t>Hoeselt: N730 verbeteren oversteekbaarheid</t>
  </si>
  <si>
    <t>WL/INV/N730/26</t>
  </si>
  <si>
    <t>KP/001769</t>
  </si>
  <si>
    <t>IN/002232</t>
  </si>
  <si>
    <t>Heers: N743 fietsbruggen</t>
  </si>
  <si>
    <t>WL/INV/N743/2</t>
  </si>
  <si>
    <t>KP/001765</t>
  </si>
  <si>
    <t>IN/002233</t>
  </si>
  <si>
    <t>Peer: N73 verzakking overgang asfalt-beton</t>
  </si>
  <si>
    <t>WL/INV/N73/27</t>
  </si>
  <si>
    <t>KP/001688</t>
  </si>
  <si>
    <t>IN/002234</t>
  </si>
  <si>
    <t>Heusden-Zolder: E314 x Weyerman voetpaden brug</t>
  </si>
  <si>
    <t>KP/001768</t>
  </si>
  <si>
    <t>IN/002235</t>
  </si>
  <si>
    <t>Borgloon: N79 verzakking Rijkel</t>
  </si>
  <si>
    <t>WL/INV/N79/10</t>
  </si>
  <si>
    <t>KP/001767</t>
  </si>
  <si>
    <t>IN/002236</t>
  </si>
  <si>
    <t>Borgloon: N79 verzakking Gotem</t>
  </si>
  <si>
    <t>WL/INV/N79/11</t>
  </si>
  <si>
    <t>KP/001693</t>
  </si>
  <si>
    <t>IN/002237</t>
  </si>
  <si>
    <t>Borgloon: N79 doorstromingsknelpunt</t>
  </si>
  <si>
    <t>WL/INV/N79/12</t>
  </si>
  <si>
    <t>KP/001692</t>
  </si>
  <si>
    <t>IN/002238</t>
  </si>
  <si>
    <t>Bilzen: N745 verzakking thv nutsdoorsteek</t>
  </si>
  <si>
    <t>WL/INV/N745/3</t>
  </si>
  <si>
    <t>KP/001826</t>
  </si>
  <si>
    <t>IN/002239</t>
  </si>
  <si>
    <t>combimobiliteit Craenenplein</t>
  </si>
  <si>
    <t>aanleg uitstulpende halte + inrichting hoppinpunt</t>
  </si>
  <si>
    <t>WVB/INV/N2/24</t>
  </si>
  <si>
    <t>KP/003394</t>
  </si>
  <si>
    <t>KP/001644</t>
  </si>
  <si>
    <t>IN/002240</t>
  </si>
  <si>
    <t>N493  aanleggen fiets en voetpaden</t>
  </si>
  <si>
    <t>Vernieuwen en verbreden van de fietspaden, aanleg van voetpaden in functie van de zwakke weggebruiker</t>
  </si>
  <si>
    <t>IN/002241</t>
  </si>
  <si>
    <t>SRK: N445 Laarne: VVOP</t>
  </si>
  <si>
    <t>WOV/INV/N445/8</t>
  </si>
  <si>
    <t>IN/002242</t>
  </si>
  <si>
    <t>N285 Ternat hoppinpunt en doorstroming</t>
  </si>
  <si>
    <t>WVB/INV/N285/11</t>
  </si>
  <si>
    <t>IN/002243</t>
  </si>
  <si>
    <t>N460 -  schoolroute - VVOP</t>
  </si>
  <si>
    <t>Plaatsen van punctuele verlichting</t>
  </si>
  <si>
    <t>WOV/INV/N460/13</t>
  </si>
  <si>
    <t>IN/002244</t>
  </si>
  <si>
    <t>N491 - Kruibeke -schoolroute - VVOP</t>
  </si>
  <si>
    <t>Plaatsen van punctuele verlichting en kleine aanpassing aan de oversteek volgens rapport.</t>
  </si>
  <si>
    <t>IN/002245</t>
  </si>
  <si>
    <t>N406 - Gijzegem - uitvoeren V-plan</t>
  </si>
  <si>
    <t>KP/003947</t>
  </si>
  <si>
    <t>Op aanvraag van De Lijn wordt de bushalte 1 lange haltehaven ipv 2 haltehavens</t>
  </si>
  <si>
    <t>IN/002246</t>
  </si>
  <si>
    <t>Aanpassen bushalte N70 thv kp 3.7 - 3.6</t>
  </si>
  <si>
    <t>WOV/INV/N70/16</t>
  </si>
  <si>
    <t>IN/002247</t>
  </si>
  <si>
    <t>SRK: N495 Geraardsbergen: aanpassen markeringen Zonnebloemlaan</t>
  </si>
  <si>
    <t>aanpassen markeringen ter hoogte van Zonnebloemlaan en Gentweg</t>
  </si>
  <si>
    <t>WOV/INV/N495/9</t>
  </si>
  <si>
    <t>IN/002248</t>
  </si>
  <si>
    <t>SRK: N495 Geraardsbergen: aanpassen markeringen</t>
  </si>
  <si>
    <t>aanbrengen fietspadmarkering en verwijderen afslagstrook</t>
  </si>
  <si>
    <t>WOV/INV/N495/8</t>
  </si>
  <si>
    <t>KP/000537</t>
  </si>
  <si>
    <t>IN/002249</t>
  </si>
  <si>
    <t>N71 Lommel Overkapping Singel thv Stationstraat</t>
  </si>
  <si>
    <t>WL/INV/N71/2</t>
  </si>
  <si>
    <t>KP/001417</t>
  </si>
  <si>
    <t>KS644 - Een plaats waar leerlingen van de lagere school van Bolderberg de gewestweg dienen over te steken.</t>
  </si>
  <si>
    <t>IN/002250</t>
  </si>
  <si>
    <t>Studie op te starten (verwacht 2022)</t>
  </si>
  <si>
    <t>KP/001416</t>
  </si>
  <si>
    <t>KS643 - Een plaats waar leerlingen van dorpskernen Bolderberg, Viversel en Boekt de gewestweg dienen over te steken naar Heusden. Op hetzelfde traject dan knelpunt 2.</t>
  </si>
  <si>
    <t>IN/002251</t>
  </si>
  <si>
    <t>Studietraject op te starten (verwacht 2022)</t>
  </si>
  <si>
    <t>KP/001415</t>
  </si>
  <si>
    <t>KS641 - Een plaats waar leerlingen van dorpskernen Bolderberg, Viversel en Boekt de gewestweg dienen over te steken naar Heusden.</t>
  </si>
  <si>
    <t>IN/002252</t>
  </si>
  <si>
    <t>KP/000809</t>
  </si>
  <si>
    <t>KS019 - Op de Kempenstraat (tussen N78 en Hoogbaan) zijn thans zeer smalle fietssuggestiestroken in klinkers aanwezig. Dit is een onveilige situatie aangezien deze weg een ontsluitingsroute voor de lagere school De Horizon te Rotem is.</t>
  </si>
  <si>
    <t>IN/002253</t>
  </si>
  <si>
    <t>WL/INV/N757/2</t>
  </si>
  <si>
    <t>IN/002254</t>
  </si>
  <si>
    <t>N012 - MALLE - RING Fase 2 en 3 X10_N12_66</t>
  </si>
  <si>
    <t>WA/INV/N12/2</t>
  </si>
  <si>
    <t>IN/002255</t>
  </si>
  <si>
    <t>N437 St-Martens-Latem heraanleg Pontstraat</t>
  </si>
  <si>
    <t>WOV/INV/N437/1</t>
  </si>
  <si>
    <t>KP/003916</t>
  </si>
  <si>
    <t>IN/002256</t>
  </si>
  <si>
    <t>Herinrichting en gewijzigd V-plan</t>
  </si>
  <si>
    <t>IN/002257</t>
  </si>
  <si>
    <t>Ombouw volgens actieplan slimme verkeerslichten</t>
  </si>
  <si>
    <t>KP/000773</t>
  </si>
  <si>
    <t>IN/002258</t>
  </si>
  <si>
    <t>Aanpak kruispunt + Wegdek</t>
  </si>
  <si>
    <t>WA/INV/N1/26</t>
  </si>
  <si>
    <t>KP/003891</t>
  </si>
  <si>
    <t>IN/002259</t>
  </si>
  <si>
    <t>Quick wins</t>
  </si>
  <si>
    <t>- snelheidsverlaging naar 70 (uitgevoerd januari 2021)\n- aanpassing markeringen (uitgevoerd 2020)\n- verbreden FOP's (uitgevoerd september 2021)</t>
  </si>
  <si>
    <t>WL/INV/N76/30</t>
  </si>
  <si>
    <t>IN/002260</t>
  </si>
  <si>
    <t>Trajectcontrole N76</t>
  </si>
  <si>
    <t>IN/002261</t>
  </si>
  <si>
    <t>A1 MEER Aanleg fietspad douanecomplex</t>
  </si>
  <si>
    <t>WA/INV/A1/7</t>
  </si>
  <si>
    <t>IN/002262</t>
  </si>
  <si>
    <t>N117 ESSEN MOD13 Fietspad van tussen N122 en N133</t>
  </si>
  <si>
    <t>WA/INV/N122/4</t>
  </si>
  <si>
    <t>KP/002029</t>
  </si>
  <si>
    <t>IN/002263</t>
  </si>
  <si>
    <t>N133 - WUUSTWEZEL - SO Fietspad/parking N111</t>
  </si>
  <si>
    <t>WA/INV/N133/4</t>
  </si>
  <si>
    <t>KP/003799</t>
  </si>
  <si>
    <t>IN/002264</t>
  </si>
  <si>
    <t>N010 LIER PCV Keerlussen en toegankelijke haltes</t>
  </si>
  <si>
    <t>WA/INV/N10/18</t>
  </si>
  <si>
    <t>IN/002265</t>
  </si>
  <si>
    <t>Renovatie Vierarmentunnel Fase 2</t>
  </si>
  <si>
    <t>WA/INV/VIE/4</t>
  </si>
  <si>
    <t>IN/002266</t>
  </si>
  <si>
    <t>N407 en N407a Laarne Heraanleg</t>
  </si>
  <si>
    <t>WOV/INV/N407/2</t>
  </si>
  <si>
    <t>IN/002267</t>
  </si>
  <si>
    <t>B401 Afbraak en de gevolgen ervan in Gent</t>
  </si>
  <si>
    <t>WOV/INV/B401/1</t>
  </si>
  <si>
    <t>IN/002268</t>
  </si>
  <si>
    <t>N70  Heraanleg wegvak te Waasmunster</t>
  </si>
  <si>
    <t>IN/002269</t>
  </si>
  <si>
    <t>N79 Tongeren - omleiding Overhaem</t>
  </si>
  <si>
    <t>WL/INV/N79/5</t>
  </si>
  <si>
    <t>IN/002270</t>
  </si>
  <si>
    <t>N41 Aalst-Dendermonde missing link</t>
  </si>
  <si>
    <t>WOV/INV/N41/2</t>
  </si>
  <si>
    <t>IN/002271</t>
  </si>
  <si>
    <t>N465a Oosterzele fietspaden Geraardbergsesteenweg</t>
  </si>
  <si>
    <t>WOV/INV/N465A/1</t>
  </si>
  <si>
    <t>IN/002272</t>
  </si>
  <si>
    <t>N454 Zottegem Langestraat - Tweekerkenstraat</t>
  </si>
  <si>
    <t>WOV/INV/N454/1</t>
  </si>
  <si>
    <t>IN/002273</t>
  </si>
  <si>
    <t>N405 Aalst Denderleeuw SO VII  Wildebeek - Dekaply</t>
  </si>
  <si>
    <t>WOV/INV/N405/4</t>
  </si>
  <si>
    <t>IN/002274</t>
  </si>
  <si>
    <t>E314 - Vernieuwen toplaag tussen E40 en Viaduct</t>
  </si>
  <si>
    <t>WVB/INV/A2/5</t>
  </si>
  <si>
    <t>IN/002275</t>
  </si>
  <si>
    <t>N462 Sint-Lievens-Houtem doortocht</t>
  </si>
  <si>
    <t>WOV/INV/N462/4</t>
  </si>
  <si>
    <t>IN/002276</t>
  </si>
  <si>
    <t>N14 Malle tangent fase 1</t>
  </si>
  <si>
    <t>WA/INV/N12/1</t>
  </si>
  <si>
    <t>IN/002277</t>
  </si>
  <si>
    <t>N111 SO Achterbroeksteenweg samen met mod13</t>
  </si>
  <si>
    <t>WA/INV/N111/4</t>
  </si>
  <si>
    <t>IN/002278</t>
  </si>
  <si>
    <t>A001 Schoten Bermbrug VAPEO</t>
  </si>
  <si>
    <t>WA/INV/A001/3</t>
  </si>
  <si>
    <t>IN/002279</t>
  </si>
  <si>
    <t>Bouwen van een tijdelijke dam in de Damse Vaart</t>
  </si>
  <si>
    <t>WWV/INV/N49/2</t>
  </si>
  <si>
    <t>IN/002280</t>
  </si>
  <si>
    <t>N49 Damme - Ventweg Hoeke</t>
  </si>
  <si>
    <t>WWV/INV/N49/3</t>
  </si>
  <si>
    <t>IN/002281</t>
  </si>
  <si>
    <t>A11 Brugge Veldgebied Cathemgoed landinrichting</t>
  </si>
  <si>
    <t>WWV/INV/A11/1</t>
  </si>
  <si>
    <t>IN/002282</t>
  </si>
  <si>
    <t>N49 Maldegem-Damme studie</t>
  </si>
  <si>
    <t>WWV/INV/N49/5</t>
  </si>
  <si>
    <t>IN/002283</t>
  </si>
  <si>
    <t>N49 Tunnels Lapscheurestraat en Nonnendijk en heri</t>
  </si>
  <si>
    <t>WWV/INV/N49/7</t>
  </si>
  <si>
    <t>IN/002284</t>
  </si>
  <si>
    <t>N49 sloopbestek 2 2020</t>
  </si>
  <si>
    <t>WWV/INV/N49/8</t>
  </si>
  <si>
    <t>IN/002285</t>
  </si>
  <si>
    <t>N49 Sloopbestek 3 2021</t>
  </si>
  <si>
    <t>WWV/INV/N49/9</t>
  </si>
  <si>
    <t>IN/002286</t>
  </si>
  <si>
    <t>Ombouw van de N49 - onteigeningen</t>
  </si>
  <si>
    <t>IN/002287</t>
  </si>
  <si>
    <t>N49 Bruggen Oosthoek en Nieuwburgstraat</t>
  </si>
  <si>
    <t>WOV/INV/N49/2</t>
  </si>
  <si>
    <t>IN/002288</t>
  </si>
  <si>
    <t>Ombouw van de N49 tot autosnelweg, deelproject Dam</t>
  </si>
  <si>
    <t>WOV/INV/N49/3</t>
  </si>
  <si>
    <t>IN/002289</t>
  </si>
  <si>
    <t>WOV/INV/N49/4</t>
  </si>
  <si>
    <t>IN/002290</t>
  </si>
  <si>
    <t>N49 Complex Kaprijke</t>
  </si>
  <si>
    <t>WOV/INV/N49/6</t>
  </si>
  <si>
    <t>IN/002291</t>
  </si>
  <si>
    <t>N49 Complex N49-N44</t>
  </si>
  <si>
    <t>WOV/INV/N49/7</t>
  </si>
  <si>
    <t>IN/002292</t>
  </si>
  <si>
    <t>N49 kruispunt N49-Noordstraat N410</t>
  </si>
  <si>
    <t>WOV/INV/N49/8</t>
  </si>
  <si>
    <t>IN/002293</t>
  </si>
  <si>
    <t>N49 brug Stoepestraat</t>
  </si>
  <si>
    <t>WOV/INV/N49/9</t>
  </si>
  <si>
    <t>IN/002294</t>
  </si>
  <si>
    <t>E19 SO GRENS = MEER A0010002</t>
  </si>
  <si>
    <t>WA/INV/A001/7</t>
  </si>
  <si>
    <t>IN/002295</t>
  </si>
  <si>
    <t>N117 Brasschaat, Kapellen, Kalmthout - SO</t>
  </si>
  <si>
    <t>WA/INV/N117/2</t>
  </si>
  <si>
    <t>IN/002296</t>
  </si>
  <si>
    <t>N121 Schilde, Schoten, Brasschaat - Nieuwe toplaag</t>
  </si>
  <si>
    <t>WA/INV/N121/4</t>
  </si>
  <si>
    <t>IN/002297</t>
  </si>
  <si>
    <t>N153 Malle Brecht - SO rijbaan en fietspaden</t>
  </si>
  <si>
    <t>WA/INV/N153/5</t>
  </si>
  <si>
    <t>IN/002298</t>
  </si>
  <si>
    <t>E19 SO STJOB = OUDE BAREEL A0010002</t>
  </si>
  <si>
    <t>WA/INV/A1/8</t>
  </si>
  <si>
    <t>IN/002299</t>
  </si>
  <si>
    <t>E19 SO OUDE BAREEL = STJOB A0010001</t>
  </si>
  <si>
    <t>WA/INV/A1/9</t>
  </si>
  <si>
    <t>IN/002300</t>
  </si>
  <si>
    <t>E19 SO STJOB = BRECHT A0010001</t>
  </si>
  <si>
    <t>WA/INV/A1/10</t>
  </si>
  <si>
    <t>IN/002301</t>
  </si>
  <si>
    <t>E19 SO BRECHT = LOENHOUT A0010001</t>
  </si>
  <si>
    <t>WA/INV/A1/11</t>
  </si>
  <si>
    <t>IN/002302</t>
  </si>
  <si>
    <t>N127/1 bochtverbetering   fp Langenberg Diest</t>
  </si>
  <si>
    <t>KP/000755</t>
  </si>
  <si>
    <t>IN/002303</t>
  </si>
  <si>
    <t>Verduidelijken situatie</t>
  </si>
  <si>
    <t>Markeringswerken</t>
  </si>
  <si>
    <t>WA/INV/N15/9</t>
  </si>
  <si>
    <t>KP/000952</t>
  </si>
  <si>
    <t>De markeringen voor de fietsers die de op- en afritten kruisen ontbreken op deze afrit, verder zijn ze verschillend thv de andere toeritten.</t>
  </si>
  <si>
    <t>IN/002304</t>
  </si>
  <si>
    <t>Fietspadmarkeringen</t>
  </si>
  <si>
    <t>Aanvullen ontbrekende markeringen</t>
  </si>
  <si>
    <t>WL/INV/N717/9</t>
  </si>
  <si>
    <t>KP/000954</t>
  </si>
  <si>
    <t>IN/002305</t>
  </si>
  <si>
    <t>Snelheidsbeperking 50km/u</t>
  </si>
  <si>
    <t>WVB/INV/N267/6</t>
  </si>
  <si>
    <t>IN/002306</t>
  </si>
  <si>
    <t>N141/N126 - Laakdal - Doortocht Vorst-Meerlaar</t>
  </si>
  <si>
    <t>WA/INV/N141/1</t>
  </si>
  <si>
    <t>IN/002307</t>
  </si>
  <si>
    <t>Kruispunt N6 x Wittouckstraat SPL</t>
  </si>
  <si>
    <t>WVB/INV/N6/2</t>
  </si>
  <si>
    <t>IN/002308</t>
  </si>
  <si>
    <t>E19 MEER = LOENHOUT</t>
  </si>
  <si>
    <t>WA/INV/A1/12</t>
  </si>
  <si>
    <t>IN/002309</t>
  </si>
  <si>
    <t>E19 SO MEER = GRENS</t>
  </si>
  <si>
    <t>WA/INV/A1/13</t>
  </si>
  <si>
    <t>IN/002310</t>
  </si>
  <si>
    <t>X21/N21/32 Haacht Station Flyover</t>
  </si>
  <si>
    <t>WVB/INV/N21/6</t>
  </si>
  <si>
    <t>IN/002311</t>
  </si>
  <si>
    <t>N730 : Bilzen : aanleg fietspaden</t>
  </si>
  <si>
    <t>WL/INV/N730/1</t>
  </si>
  <si>
    <t>IN/002312</t>
  </si>
  <si>
    <t>N648 : Voeren : fietspaden</t>
  </si>
  <si>
    <t>WL/INV/N648/1</t>
  </si>
  <si>
    <t>IN/002313</t>
  </si>
  <si>
    <t>N2/75 St.Bernard - doorstr BOB/uitst. haltes</t>
  </si>
  <si>
    <t>WVB/INV/N2/2</t>
  </si>
  <si>
    <t>IN/002314</t>
  </si>
  <si>
    <t>N79 Borgloon - Sint-Truiden : aanleg fietspaden</t>
  </si>
  <si>
    <t>WL/INV/N79/6</t>
  </si>
  <si>
    <t>IN/002315</t>
  </si>
  <si>
    <t>Fase 2 vernieuwen fietspaden N290 Wemmel</t>
  </si>
  <si>
    <t>N290 kmpt 5.0 - 6.8. Vervangen volledige bestaande opbouw fietspad en aanhorigheden (fase 2) alsook vernieuwing toplaag rijbaan.</t>
  </si>
  <si>
    <t>KP/001080</t>
  </si>
  <si>
    <t>KS428 - Op een drukke verkeersas, die ook veel gebruikt wordt door fietsers, ontbreken fietspaden.</t>
  </si>
  <si>
    <t>IN/002316</t>
  </si>
  <si>
    <t>Leuven Vernieuwen fietssuggestiestrook + instellen zone 30 op N251 Naamsesteenweg</t>
  </si>
  <si>
    <t>Instellen zone 30, aanbrengen fietslogo's, verwijderen asmarkering</t>
  </si>
  <si>
    <t>WVB/INV/N251/6</t>
  </si>
  <si>
    <t>IN/002317</t>
  </si>
  <si>
    <t>ZEM Beekstraat VVOP / VRI</t>
  </si>
  <si>
    <t>Gemeente vraagt of dit kruispunt zal worden uitgerust met verkeerslichten, mits  flankerende maatregelen zoals door AWV reeds werd toegelicht \nen besproken op 9 november ll. Tijdens dit overleg werd \nduidelijk dat een globalere aanpak van de zuidelijk doortocht \nvan Eppegem wenselijk is. april 22: overleg met Colruyt aug 22 verdere bespreking met ZEM, ook Iveco contacteren</t>
  </si>
  <si>
    <t>IN/002318</t>
  </si>
  <si>
    <t>VRI aanpassen kruispunt N227 x N21</t>
  </si>
  <si>
    <t>Maximaal conflictvrije regeling volgens actieplan</t>
  </si>
  <si>
    <t>WVB/INV/N227/9</t>
  </si>
  <si>
    <t>IN/002328</t>
  </si>
  <si>
    <t>E313: Renovatie Hasselt-Oost Diepenbeek</t>
  </si>
  <si>
    <t>WL/INV/E313/4</t>
  </si>
  <si>
    <t>IN/002329</t>
  </si>
  <si>
    <t>N702 x Kiezelstraat, Hasselt</t>
  </si>
  <si>
    <t>WL/INV/N702/1</t>
  </si>
  <si>
    <t>IN/002330</t>
  </si>
  <si>
    <t>N712 Pelt, Renovatie Ringlaan</t>
  </si>
  <si>
    <t>WL/INV/N712/2</t>
  </si>
  <si>
    <t>IN/002331</t>
  </si>
  <si>
    <t>N26 Herent keerpunt Zuid</t>
  </si>
  <si>
    <t>WVB/INV/N26/5</t>
  </si>
  <si>
    <t>IN/002332</t>
  </si>
  <si>
    <t>N26 Leuven Herinrichting thv complex E314/18</t>
  </si>
  <si>
    <t>WVB/INV/N26/4</t>
  </si>
  <si>
    <t>IN/002333</t>
  </si>
  <si>
    <t>R43 Eeklo fase 4 Tieltsesteenweg-Gentsesteenweg</t>
  </si>
  <si>
    <t>WOV/INV/R43/4</t>
  </si>
  <si>
    <t>IN/002334</t>
  </si>
  <si>
    <t>N466a Deinze SO i.c.m. fietspaden en schoolomgevin</t>
  </si>
  <si>
    <t>WOV/INV/N466A/1</t>
  </si>
  <si>
    <t>IN/002335</t>
  </si>
  <si>
    <t>N9 Melle heraanleg wegvak nabij R4 - doorstroming</t>
  </si>
  <si>
    <t>WOV/INV/N9/12</t>
  </si>
  <si>
    <t>KP/001536</t>
  </si>
  <si>
    <t>KP/003948</t>
  </si>
  <si>
    <t>IN/002336</t>
  </si>
  <si>
    <t>bushalte Kaudenaardestraat aanpassen</t>
  </si>
  <si>
    <t>bushalte Kaudenaardestraat uitstulpend verhoogd maken</t>
  </si>
  <si>
    <t>WVB/INV/N8/4</t>
  </si>
  <si>
    <t>KP/003066</t>
  </si>
  <si>
    <t>IN/002337</t>
  </si>
  <si>
    <t>Dilbeek N8 aanpassen bushalte Stelplaats</t>
  </si>
  <si>
    <t>haltehaven verhoogd maken met achterliggend fietspad</t>
  </si>
  <si>
    <t>WVB/INV/N8/5</t>
  </si>
  <si>
    <t>KP/003949</t>
  </si>
  <si>
    <t>IN/002338</t>
  </si>
  <si>
    <t>aanleg bushaltes  N207 Liedekerke Warandestraat</t>
  </si>
  <si>
    <t>aanleg van 2 uitstulpend verhoogde bushaltes</t>
  </si>
  <si>
    <t>WVB/INV/N207/7</t>
  </si>
  <si>
    <t>KP/001056</t>
  </si>
  <si>
    <t>KS385 - Afwezigheid veilige oversteken</t>
  </si>
  <si>
    <t>IN/002339</t>
  </si>
  <si>
    <t>Scherpenheuvel-Zichem Aanbrengen fietssuggestiestrook Molenstraat</t>
  </si>
  <si>
    <t>Aanbrengen fietssuggestiestrook</t>
  </si>
  <si>
    <t>WVB/INV/N212/3</t>
  </si>
  <si>
    <t>KP/001082</t>
  </si>
  <si>
    <t>KS430 - Belangrijke fietsas zonder fietspaden op drukke verkeersas met hoge snelheden.</t>
  </si>
  <si>
    <t>IN/002340</t>
  </si>
  <si>
    <t>Leuven Zone 30 maken op de N3</t>
  </si>
  <si>
    <t>Aanpassen naar zone 30.</t>
  </si>
  <si>
    <t>WVB/INV/N3/16</t>
  </si>
  <si>
    <t>IN/002341</t>
  </si>
  <si>
    <t>punctuele contrastverlichting voor 2 nieuwe VOP's</t>
  </si>
  <si>
    <t>WL/INV/N746/12</t>
  </si>
  <si>
    <t>KP/001321</t>
  </si>
  <si>
    <t>Oversteekplaats voor zwakke weggebruikers aan de N2- Rozenweg -Rozenstraat/Lange-Lo voor het schoolgaande verkeer in De Linde en de Stip</t>
  </si>
  <si>
    <t>IN/002342</t>
  </si>
  <si>
    <t>Lubbeek Verplaatsing zebrapad N2 x Rozenweg</t>
  </si>
  <si>
    <t>Lubbeek wenst een oversteek ter hoogte van Rozenstraat. In onmiddelijke nabeijheid liggen 2 andere oversteken. \nBesproken op PCV van december 2021. \n\nVolgende acties: gemeente maakt AR op voor uitbreiding snelheidsregime 50km/u en voor schrappen zebrapad wolvendreef en nieuw te plaatsen zebrapad aan Rozenstraat. \n\nAWV verwijderd zebrapad Wolvendreef en bijhorende bi-flash. \nAWV brengt middeneiland aan ter hoogte van Rozenweg Lubbeek\nAWV brengt zebrapad aan\nAWV past borden snelheidsregime aan</t>
  </si>
  <si>
    <t>IN/002343</t>
  </si>
  <si>
    <t>Onderzoek schoolroute</t>
  </si>
  <si>
    <t>Onderzoek schoolroute\nBijkomende maatregelen gevraagd door de gemeente</t>
  </si>
  <si>
    <t>IN/002344</t>
  </si>
  <si>
    <t>Aanpassen markeringen op de brug</t>
  </si>
  <si>
    <t>- op de brug over A10: inhaalstroken verwijderen\n- op krpt: van 2 naar 1 opstelstrook</t>
  </si>
  <si>
    <t>IN/002345</t>
  </si>
  <si>
    <t>N758 Levensduur verlengend onderhoud</t>
  </si>
  <si>
    <t>WL/INV/N758/4</t>
  </si>
  <si>
    <t>KP/001055</t>
  </si>
  <si>
    <t>KS384 - Afwezigheid fietspaden/suggestiestroken</t>
  </si>
  <si>
    <t>IN/002346</t>
  </si>
  <si>
    <t>Scherpenheuvel-Zichem Aanbrengen van fietssuggestiestroken</t>
  </si>
  <si>
    <t>Vernieuwen van bestaande fietssuggestiestroken en doortrekken van de fietssuggestiestroken tot waar fietspad start.</t>
  </si>
  <si>
    <t>WVB/INV/N10/6</t>
  </si>
  <si>
    <t>KP/001285</t>
  </si>
  <si>
    <t>KS847 - Dit deel van de N21 valt buiten lopende herinrichtingsdossiers en dreigt dus voor de voorziene toekomst zijn "moordstrookjes" te behouden, zolang er geen vooruitgang is in het dossier van de ongelijkvloerse kruising N21/spoorweg.</t>
  </si>
  <si>
    <t>IN/002347</t>
  </si>
  <si>
    <t>Haacht Aanleg van volwaardig fietspad i.p.v. moordstrookjes op N21 tss spoorweg en Wespelaarsebaan</t>
  </si>
  <si>
    <t>Smalle aanliggende fietspaden ombouwen tot verhoogde (indien mogelijk bredere) fietspaden, aansluitend op deze aan het kruispunt van de Grote Baan.</t>
  </si>
  <si>
    <t>KP/001111</t>
  </si>
  <si>
    <t>KS478 - Lange oversteektijd voor voetgangers en fietsers. Voetgangers kunnen vaak niet in één beweging de Tervurenlaan kruisen en hebben daarvoor vaak twee groenfasen nodig.</t>
  </si>
  <si>
    <t>IN/002348</t>
  </si>
  <si>
    <t>Tervuren Aanpassing VRI kruispunt N3 en Oppemstraat</t>
  </si>
  <si>
    <t>Lange oversteektijd voor voetgangers en fietsers. Voetgangers kunnen vaak niet in één beweging de Tervurenlaan kruisen en hebben daarvoor vaak twee groenfasen nodig</t>
  </si>
  <si>
    <t>KP/000994</t>
  </si>
  <si>
    <t>IN/002349</t>
  </si>
  <si>
    <t>GAL Tollembeek Zone 30</t>
  </si>
  <si>
    <t>Zone 30 in dorpskern.</t>
  </si>
  <si>
    <t>KP/000831</t>
  </si>
  <si>
    <t>KS046 - Voor Roosdaal is vooral het kruispunt Ramerstraat/N8/Daalbeekstraat een knelpunt (verbinding schoolkernen Strijtem en OLV Lombeek (gemeentescholen en kunstacademie). Over dit kruispunt zijn we reeds in overleg met AWV Vlaams Brabant. Op lange termijn wordt een volledige herinirchting voorzien. In afwachting daarvan zou men de bestaande situatie alvast verbeteren/veiliger maken met oa betere voetpaden. Wij kunnen niet inschatten of dit wordt gezien als een quickwin (waarvan voorwaarde in uw brief) en of het bijgevolg zinvol is dit als knelpunt nogmaals te melden. Graag vernemen we hierover uw feedback.</t>
  </si>
  <si>
    <t>IN/002350</t>
  </si>
  <si>
    <t>Roosdaal Vernieuwen kruispunt N8 x Ramerstraat</t>
  </si>
  <si>
    <t>Aanpassen kruispunt N8 met Ramerstraat / Daalbeekstraat.\nVia SWO met Roosdaal (grotere werken in Ramerstraat incl. rioleringen)\nPCV VB-220</t>
  </si>
  <si>
    <t>IN/002351</t>
  </si>
  <si>
    <t>Noorderlaan Texaco afgerond</t>
  </si>
  <si>
    <t>WA/INV/N180/1</t>
  </si>
  <si>
    <t>IN/002352</t>
  </si>
  <si>
    <t>E313 Antwerp: Vervang brug Sterckshoflei Cornelis</t>
  </si>
  <si>
    <t>WA/INV/E313/1</t>
  </si>
  <si>
    <t>IN/002353</t>
  </si>
  <si>
    <t>A013 - ZANDHOVEN brug O15 te Massenhoven Viersel</t>
  </si>
  <si>
    <t>WA/INV/A013/1</t>
  </si>
  <si>
    <t>IN/002354</t>
  </si>
  <si>
    <t>N180 Antwerpen Noorderlaan 2020</t>
  </si>
  <si>
    <t>WA/INV/N180/2</t>
  </si>
  <si>
    <t>IN/002355</t>
  </si>
  <si>
    <t>renovatie brug bussestraat</t>
  </si>
  <si>
    <t>WA/INV/A1/14</t>
  </si>
  <si>
    <t>IN/002356</t>
  </si>
  <si>
    <t>Markeringen R1 afgerond</t>
  </si>
  <si>
    <t>WA/INV/R1/8</t>
  </si>
  <si>
    <t>IN/002357</t>
  </si>
  <si>
    <t>Geluidsstudie Wilrijk Viaduct en omgeving</t>
  </si>
  <si>
    <t>WA/INV/A12/4</t>
  </si>
  <si>
    <t>IN/002358</t>
  </si>
  <si>
    <t>A12 Antwerpen Muisbroekpasserelle afgerond</t>
  </si>
  <si>
    <t>WA/INV/A12/14</t>
  </si>
  <si>
    <t>IN/002359</t>
  </si>
  <si>
    <t>N101 Antwerpen Noordlandbrug afgerond</t>
  </si>
  <si>
    <t>WA/INV/N101/1</t>
  </si>
  <si>
    <t>IN/002360</t>
  </si>
  <si>
    <t>Boudewijnbrug</t>
  </si>
  <si>
    <t>WA/INV/N101/6</t>
  </si>
  <si>
    <t>IN/002361</t>
  </si>
  <si>
    <t>Rioolbeheer R1 22</t>
  </si>
  <si>
    <t>WA/INV/R1/2</t>
  </si>
  <si>
    <t>IN/002362</t>
  </si>
  <si>
    <t>N101 Antwerpen scheldelaan 2020</t>
  </si>
  <si>
    <t>WA/INV/N101/2</t>
  </si>
  <si>
    <t>IN/002363</t>
  </si>
  <si>
    <t>renovatie Netebruggen: Fase 1</t>
  </si>
  <si>
    <t>WA/INV/A001/2</t>
  </si>
  <si>
    <t>IN/002364</t>
  </si>
  <si>
    <t>B5313 vervangen leuningen geen budget op GIP</t>
  </si>
  <si>
    <t>WA/INV/A012/3</t>
  </si>
  <si>
    <t>IN/002365</t>
  </si>
  <si>
    <t>A13 Antwerpen 3 Bruggen thv Rondpunt Wommelgem</t>
  </si>
  <si>
    <t>WA/INV/A13/4</t>
  </si>
  <si>
    <t>IN/002366</t>
  </si>
  <si>
    <t>N129 Antwerpen theunisbrug: missing link  VRI</t>
  </si>
  <si>
    <t>WA/INV/N129/3</t>
  </si>
  <si>
    <t>IN/002367</t>
  </si>
  <si>
    <t>Herstelling voeg Blancefloerlaan</t>
  </si>
  <si>
    <t>WA/INV/N70/3</t>
  </si>
  <si>
    <t>IN/002368</t>
  </si>
  <si>
    <t>Renovatie B101</t>
  </si>
  <si>
    <t>WA/INV/B101/1</t>
  </si>
  <si>
    <t>IN/002369</t>
  </si>
  <si>
    <t>renovatie Netebruggen: Fase 2</t>
  </si>
  <si>
    <t>WA/INV/A001/9</t>
  </si>
  <si>
    <t>IN/002370</t>
  </si>
  <si>
    <t>Kath bescherming geen budget op GIP</t>
  </si>
  <si>
    <t>WA/INV/A012/7</t>
  </si>
  <si>
    <t>IN/002371</t>
  </si>
  <si>
    <t>Kunstwerken V21 V22 V23 V24 V25</t>
  </si>
  <si>
    <t>IN/002372</t>
  </si>
  <si>
    <t>Rioolbeheer R1 GIP   VNN</t>
  </si>
  <si>
    <t>WA/INV/R1/9</t>
  </si>
  <si>
    <t>IN/002373</t>
  </si>
  <si>
    <t>Rioolbeheer R1 24</t>
  </si>
  <si>
    <t>WA/INV/R1/4</t>
  </si>
  <si>
    <t>IN/002374</t>
  </si>
  <si>
    <t>N101 Antwerpen Scheldelaan 2025</t>
  </si>
  <si>
    <t>WA/INV/N101/3</t>
  </si>
  <si>
    <t>IN/002375</t>
  </si>
  <si>
    <t>N180 Antwerpen Noorderlaan 2023</t>
  </si>
  <si>
    <t>WA/INV/N180/6</t>
  </si>
  <si>
    <t>IN/002376</t>
  </si>
  <si>
    <t>N180 Antwerpen Noorderlaan 2024</t>
  </si>
  <si>
    <t>WA/INV/N180/3</t>
  </si>
  <si>
    <t>IN/002377</t>
  </si>
  <si>
    <t>Quick-win : belijning, aanpassing bushalte en plaatsing VVOP</t>
  </si>
  <si>
    <t>Uitvoeren van Quick-win om de veiligheid te verbeteren.</t>
  </si>
  <si>
    <t>WL/INV/N72/24</t>
  </si>
  <si>
    <t>IN/002378</t>
  </si>
  <si>
    <t>N8 Heestert - Avelgem: herinrichting</t>
  </si>
  <si>
    <t>WWV/INV/N8/6</t>
  </si>
  <si>
    <t>IN/002379</t>
  </si>
  <si>
    <t>N336 Heuvelland: aanleg fietspad met structureel o</t>
  </si>
  <si>
    <t>WWV/INV/N336/1</t>
  </si>
  <si>
    <t>IN/002380</t>
  </si>
  <si>
    <t>N391a Balcaenstraat Avelgem, herinrichting</t>
  </si>
  <si>
    <t>WWV/INV/N391A/1</t>
  </si>
  <si>
    <t>IN/002381</t>
  </si>
  <si>
    <t>N382 verbetering doorstroming Anzegem</t>
  </si>
  <si>
    <t>WWV/INV/N382/4</t>
  </si>
  <si>
    <t>KP/002447</t>
  </si>
  <si>
    <t>IN/002382</t>
  </si>
  <si>
    <t>N8 ontsluiting Evolis</t>
  </si>
  <si>
    <t>WWV/INV/N8/9</t>
  </si>
  <si>
    <t>IN/002383</t>
  </si>
  <si>
    <t>N382b Waregem aanleg dubbelrichtingsfietspad.</t>
  </si>
  <si>
    <t>WWV/INV/N382B/1</t>
  </si>
  <si>
    <t>IN/002384</t>
  </si>
  <si>
    <t>N382 Anzegem, ontlasten doortocht.</t>
  </si>
  <si>
    <t>WWV/INV/N382/5</t>
  </si>
  <si>
    <t>IN/002385</t>
  </si>
  <si>
    <t>N357 Waregem: heraanleg Vijfseweg met fietspaden</t>
  </si>
  <si>
    <t>WWV/INV/N357/10</t>
  </si>
  <si>
    <t>IN/002386</t>
  </si>
  <si>
    <t>E403 Wevelgem - herbruik drainagewater</t>
  </si>
  <si>
    <t>WWV/INV/E403/8</t>
  </si>
  <si>
    <t>IN/002387</t>
  </si>
  <si>
    <t>N357 Waregem - fietspaden en carpoolparking</t>
  </si>
  <si>
    <t>WWV/INV/N357/8</t>
  </si>
  <si>
    <t>IN/002388</t>
  </si>
  <si>
    <t>E17 Kortrijk - digitale signalisatie</t>
  </si>
  <si>
    <t>WWV/INV/E17/9</t>
  </si>
  <si>
    <t>IN/002389</t>
  </si>
  <si>
    <t>E403 Kortrijk - ontsnippering Preshoekbos</t>
  </si>
  <si>
    <t>WWV/INV/E403/5</t>
  </si>
  <si>
    <t>IN/002390</t>
  </si>
  <si>
    <t>E17 Waregem - geluidsberm Galgewegel</t>
  </si>
  <si>
    <t>WWV/INV/E17/5</t>
  </si>
  <si>
    <t>IN/002391</t>
  </si>
  <si>
    <t>E17 Harelbeke - geluidsberm Keizershoek</t>
  </si>
  <si>
    <t>WWV/INV/E17/4</t>
  </si>
  <si>
    <t>IN/002392</t>
  </si>
  <si>
    <t>N382 Anzegem Kaster - heraanleg met fietspaden</t>
  </si>
  <si>
    <t>WWV/INV/N382/3</t>
  </si>
  <si>
    <t>IN/002393</t>
  </si>
  <si>
    <t>E403 vak Ledegem-Roeselare - structureel onderhoud</t>
  </si>
  <si>
    <t>WWV/INV/E403/3</t>
  </si>
  <si>
    <t>IN/002394</t>
  </si>
  <si>
    <t>N36d Kuurne Harelbeke - heraanleg met fietspaden</t>
  </si>
  <si>
    <t>WWV/INV/N36D/1</t>
  </si>
  <si>
    <t>IN/002395</t>
  </si>
  <si>
    <t>E17 Aalbeke-Kortrijk Oost - structureel onderhoud</t>
  </si>
  <si>
    <t>WWV/INV/E17/2</t>
  </si>
  <si>
    <t>IN/002396</t>
  </si>
  <si>
    <t>ontbreken veilige fietspaden</t>
  </si>
  <si>
    <t>Tussen WIngene (Zwevezele) en Lichtervelde liggen momenteel geen veilige fietspaden. Tussen kmpt 17 en 19 liggen geen fietspaden waardoor de fietser op de rijweg moet rijden. Tussen 19 en 21 zijn sommige stukken vrijliggen maar veel stukken zijn aanliggend. Dit is bij een snelheid van 70 km per uur niet volgens de geldende regels</t>
  </si>
  <si>
    <t>IN/002397</t>
  </si>
  <si>
    <t>R23 Wijnpers Leuven</t>
  </si>
  <si>
    <t>WVB/INV/R23/2</t>
  </si>
  <si>
    <t>IN/002398</t>
  </si>
  <si>
    <t>N235 Sint-Victor Beersel</t>
  </si>
  <si>
    <t>WVB/INV/N235/1</t>
  </si>
  <si>
    <t>IN/002399</t>
  </si>
  <si>
    <t>R23 Ludenscheid Leuven</t>
  </si>
  <si>
    <t>WVB/INV/R23/5</t>
  </si>
  <si>
    <t>IN/002400</t>
  </si>
  <si>
    <t>LEO bewarende maatregelen</t>
  </si>
  <si>
    <t>WA/INV/LEO/1</t>
  </si>
  <si>
    <t>IN/002401</t>
  </si>
  <si>
    <t>N1 Wuustwezel fietspaden Braken X10-N1-92</t>
  </si>
  <si>
    <t>WA/INV/N1/4</t>
  </si>
  <si>
    <t>IN/002402</t>
  </si>
  <si>
    <t>N370 Wingene Zwevezele Bruggestraat en fietspad</t>
  </si>
  <si>
    <t>WWV/INV/N370/2</t>
  </si>
  <si>
    <t>IN/002403</t>
  </si>
  <si>
    <t>Heraanleg kruispunt Markt</t>
  </si>
  <si>
    <t>IN/002404</t>
  </si>
  <si>
    <t>N127 - Turnhoutsebaan van Kruisstr tot Tessenderlo</t>
  </si>
  <si>
    <t>WVB/INV/N127/3</t>
  </si>
  <si>
    <t>IN/002405</t>
  </si>
  <si>
    <t>N19/29 Aarschot Herinrich weg</t>
  </si>
  <si>
    <t>WVB/INV/N19/2</t>
  </si>
  <si>
    <t>IN/002406</t>
  </si>
  <si>
    <t>N29 Lummen Rotonde Grote Baan x Blanklaerstraat</t>
  </si>
  <si>
    <t>WVB/INV/N29/3</t>
  </si>
  <si>
    <t>IN/002407</t>
  </si>
  <si>
    <t>N29 - Doortocht Schaffen</t>
  </si>
  <si>
    <t>WVB/INV/N29/9</t>
  </si>
  <si>
    <t>IN/002408</t>
  </si>
  <si>
    <t>N141 Leopoldsburg Asfaltrenovatie</t>
  </si>
  <si>
    <t>WL/INV/N141/3</t>
  </si>
  <si>
    <t>IN/002409</t>
  </si>
  <si>
    <t>N73 Tessenderlo-Ham-Beringen Doortrekking N73</t>
  </si>
  <si>
    <t>WL/INV/N73/10</t>
  </si>
  <si>
    <t>IN/002410</t>
  </si>
  <si>
    <t>N10 - LIER - SO Aarschotsesteenweg KP13.4-17.4</t>
  </si>
  <si>
    <t>WA/INV/N10/19</t>
  </si>
  <si>
    <t>KP/003935</t>
  </si>
  <si>
    <t>IN/002411</t>
  </si>
  <si>
    <t>Afsluiten kruispunt N36 x Koestraat dmv middenberm</t>
  </si>
  <si>
    <t>Afsluiten van kruispunt N36 x Koestraat dmv plaatsen fysieke middenberm (betonnen constructie) op de N36 tussen Moorseelsesteenweg en Oekensestraat.\nOversteek vanuit Koestraat niet meer mogelijk, voor alle weggebruikers.</t>
  </si>
  <si>
    <t>WWV/INV/N36/18</t>
  </si>
  <si>
    <t>IN/002412</t>
  </si>
  <si>
    <t>SRK: N405 Ninove: fietsoversteek thv Snoeckgrachtweg</t>
  </si>
  <si>
    <t>WOV/INV/N405/8</t>
  </si>
  <si>
    <t>KP/003950</t>
  </si>
  <si>
    <t>Bus: N42 Geraardsbergen: aanleg verhoogde bushaltes</t>
  </si>
  <si>
    <t>IN/002413</t>
  </si>
  <si>
    <t>Bus: N42 Geraardsbergen: aanleg verhoogde bushaltes, halte Burgstraat</t>
  </si>
  <si>
    <t>WOV/INV/N42/10</t>
  </si>
  <si>
    <t>KP/003951</t>
  </si>
  <si>
    <t>IN/002414</t>
  </si>
  <si>
    <t>Bus: N42 Geraardsbergen: aanleg verhoogde bushalte (halte parochiaal centrum)</t>
  </si>
  <si>
    <t>WOV/INV/N42/11</t>
  </si>
  <si>
    <t>KP/003952</t>
  </si>
  <si>
    <t>Bus: N42 Geraardsbergen: aanleg verhoogde halte (halte Plankweg)</t>
  </si>
  <si>
    <t>IN/002415</t>
  </si>
  <si>
    <t>WOV/INV/N42/12</t>
  </si>
  <si>
    <t>KP/001806</t>
  </si>
  <si>
    <t>Bus: N406 Dendermonde: aanleggen toegankelijke halte (halte Donckstraat)</t>
  </si>
  <si>
    <t>IN/002416</t>
  </si>
  <si>
    <t>WOV/INV/N406/9</t>
  </si>
  <si>
    <t>KP/003954</t>
  </si>
  <si>
    <t>Bus: N460 Haaltert: aanleggen verhoogde bushaltehaven (Leistraat zuid)</t>
  </si>
  <si>
    <t>IN/002417</t>
  </si>
  <si>
    <t>WOV/INV/N460/14</t>
  </si>
  <si>
    <t>KP/003939</t>
  </si>
  <si>
    <t>IN/002418</t>
  </si>
  <si>
    <t>Aanpassing kruispunt Holdestraat x N399</t>
  </si>
  <si>
    <t>1 opstelrij voor voertuigen, fietspad uit de zijtak aangepast, beter in zicht gebracht</t>
  </si>
  <si>
    <t>WWV/INV/N399/3</t>
  </si>
  <si>
    <t>KP/003955</t>
  </si>
  <si>
    <t>Bus: N462 Zottegem: aanleg verhoogde bushalte (halte Atheneum)</t>
  </si>
  <si>
    <t>IN/002419</t>
  </si>
  <si>
    <t>WOV/INV/N462/9</t>
  </si>
  <si>
    <t>KP/003956</t>
  </si>
  <si>
    <t>Bus: N462 Zottegem: aanleg verhoogde bushalte (halte Sint-Maria-Oudenhove Faliestraat)</t>
  </si>
  <si>
    <t>IN/002420</t>
  </si>
  <si>
    <t>Bus: N462 Zottegem: aanleg verhoogde bushalte (halte Sint-Maria-Oudenhove Faliestraat), thv huisnr.40</t>
  </si>
  <si>
    <t>WOV/INV/N462/10</t>
  </si>
  <si>
    <t>KP/003957</t>
  </si>
  <si>
    <t>Bus: N462 Zottegem: aanleggen verhoogde bushalte (halte Sint-Maria-Oudenhove Dorp)</t>
  </si>
  <si>
    <t>IN/002421</t>
  </si>
  <si>
    <t>WOV/INV/N462/11</t>
  </si>
  <si>
    <t>IN/002422</t>
  </si>
  <si>
    <t>SRK: N436 Assenede: aanleggen fietssuggestiestroken</t>
  </si>
  <si>
    <t>WOV/INV/N436/4</t>
  </si>
  <si>
    <t>IN/002423</t>
  </si>
  <si>
    <t>SRK: N458 Assenede: aanbrengen fietslogo-markeringen</t>
  </si>
  <si>
    <t>WOV/INV/N458/8</t>
  </si>
  <si>
    <t>IN/002424</t>
  </si>
  <si>
    <t>N437 Deinze Damstraat</t>
  </si>
  <si>
    <t>WOV/INV/N437/7</t>
  </si>
  <si>
    <t>IN/002425</t>
  </si>
  <si>
    <t>N448 Assenede Struct Onderh bij rioleringsproject</t>
  </si>
  <si>
    <t>WOV/INV/N448/1</t>
  </si>
  <si>
    <t>IN/002426</t>
  </si>
  <si>
    <t>N448 Evergem-Assenede aanleg fietspaden Stoepestr</t>
  </si>
  <si>
    <t>WOV/INV/N448/2</t>
  </si>
  <si>
    <t>IN/002427</t>
  </si>
  <si>
    <t>N466 Deinze Leernsesteenweg herinrichting</t>
  </si>
  <si>
    <t>WOV/INV/N466/1</t>
  </si>
  <si>
    <t>IN/002428</t>
  </si>
  <si>
    <t>N9 Maldegem Sint Barbarastraat aanleg ovonde</t>
  </si>
  <si>
    <t>WOV/INV/N9/6</t>
  </si>
  <si>
    <t>IN/002429</t>
  </si>
  <si>
    <t>R43 Eeklo fase 3 Nieuwendorpe-Tieltsesteenweg</t>
  </si>
  <si>
    <t>WOV/INV/R43/3</t>
  </si>
  <si>
    <t>IN/002430</t>
  </si>
  <si>
    <t>N8 Oudenaarde Vervangen duiker Maarkebeek</t>
  </si>
  <si>
    <t>WOV/INV/N8/2</t>
  </si>
  <si>
    <t>IN/002431</t>
  </si>
  <si>
    <t>A10/E40 Drongen vervanging Goedingebrug over Leie</t>
  </si>
  <si>
    <t>WOV/INV/A10/5</t>
  </si>
  <si>
    <t>IN/002432</t>
  </si>
  <si>
    <t>A10/E40 Nevele/Gent/Aalst 5 bovenbruggen</t>
  </si>
  <si>
    <t>WOV/INV/A10/7</t>
  </si>
  <si>
    <t>IN/002433</t>
  </si>
  <si>
    <t>A14/E17 Nazareth, Lochristie, Temse, Melsele</t>
  </si>
  <si>
    <t>WOV/INV/A14/3</t>
  </si>
  <si>
    <t>IN/002434</t>
  </si>
  <si>
    <t>A10/E40 Nevele vervanging brug Schipdonkkanaal</t>
  </si>
  <si>
    <t>WOV/INV/A10/9</t>
  </si>
  <si>
    <t>IN/002435</t>
  </si>
  <si>
    <t>E17 Saneren  Moscouviaduct incl. geluidsschermen</t>
  </si>
  <si>
    <t>IN/002436</t>
  </si>
  <si>
    <t>N496 Geraardsbergen saneren brug Dender</t>
  </si>
  <si>
    <t>WOV/INV/N496/1</t>
  </si>
  <si>
    <t>IN/002437</t>
  </si>
  <si>
    <t>A10/E40 Drongen renovatie Solvynsdreef</t>
  </si>
  <si>
    <t>WOV/INV/A10/13</t>
  </si>
  <si>
    <t>KP/003959</t>
  </si>
  <si>
    <t>Bus: N495 Geraardsbergen: aanleggen verhoogde bushalte (halte Denderland)</t>
  </si>
  <si>
    <t>IN/002438</t>
  </si>
  <si>
    <t>WOV/INV/N495/10</t>
  </si>
  <si>
    <t>KP/003433</t>
  </si>
  <si>
    <t>IN/002439</t>
  </si>
  <si>
    <t>Tienen - Parking Kabbeekvest (Oplintersepoort thv. sociaal huis) (ID1694)</t>
  </si>
  <si>
    <t>toekomstige ontwikkeling ziekenhuis op til, eerst daarover duidelijkheid nodig. Dus voor nu gewoon zuil plaatsen</t>
  </si>
  <si>
    <t>KP/003960</t>
  </si>
  <si>
    <t>Bus: N454 Maarkedal: aanleg verhoogde bushalte (halte Leideveld)</t>
  </si>
  <si>
    <t>IN/002440</t>
  </si>
  <si>
    <t>WOV/INV/N454/11</t>
  </si>
  <si>
    <t>IN/002441</t>
  </si>
  <si>
    <t>N390 heraanleg weg en rotonde met N8g</t>
  </si>
  <si>
    <t>WWV/INV/N390/1</t>
  </si>
  <si>
    <t>IN/002442</t>
  </si>
  <si>
    <t>N72 Beringen Fietspaden Beringen-Mijn</t>
  </si>
  <si>
    <t>WL/INV/N72/5</t>
  </si>
  <si>
    <t>IN/002443</t>
  </si>
  <si>
    <t>N156 Ham Ongelijkgrondse kruising fietssnelweg</t>
  </si>
  <si>
    <t>WL/INV/N156/1</t>
  </si>
  <si>
    <t>IN/002444</t>
  </si>
  <si>
    <t>Ontsluiting Kanaal-Zuid, tussenkomst ikv mod 14 ge</t>
  </si>
  <si>
    <t>WL/INV/N73/28</t>
  </si>
  <si>
    <t>IN/002445</t>
  </si>
  <si>
    <t>N717 Lummen ingrepen verkeersveiligheid</t>
  </si>
  <si>
    <t>WL/INV/N717/3</t>
  </si>
  <si>
    <t>IN/002446</t>
  </si>
  <si>
    <t>N712 Pelt doortocht   riolering</t>
  </si>
  <si>
    <t>WL/INV/N712/3</t>
  </si>
  <si>
    <t>IN/002447</t>
  </si>
  <si>
    <t>N74 structureel onderhoud Pelt/Lommel</t>
  </si>
  <si>
    <t>WL/INV/N74/12</t>
  </si>
  <si>
    <t>KP/003825</t>
  </si>
  <si>
    <t>IN/002449</t>
  </si>
  <si>
    <t>Aanleg fietspad op N757 tussen Kinrooi en Maaseik</t>
  </si>
  <si>
    <t>WL/INV/N757/3</t>
  </si>
  <si>
    <t>KP/003937</t>
  </si>
  <si>
    <t>IN/002450</t>
  </si>
  <si>
    <t>PCV-dossier kruispunt met Rodenbachstraat</t>
  </si>
  <si>
    <t>KP/003867</t>
  </si>
  <si>
    <t>IN/002451</t>
  </si>
  <si>
    <t>aanleg terugkeerrotonde op N208</t>
  </si>
  <si>
    <t>KP/001726</t>
  </si>
  <si>
    <t>IN/002452</t>
  </si>
  <si>
    <t>Lokaal structureel onderhoud fietspad op de N 36 te Ronse</t>
  </si>
  <si>
    <t>WOV/INV/N36/3</t>
  </si>
  <si>
    <t>IN/002453</t>
  </si>
  <si>
    <t>N10 - aanleg middenberm voor ontdubbelen N10</t>
  </si>
  <si>
    <t>WA/INV/N10/14</t>
  </si>
  <si>
    <t>IN/002454</t>
  </si>
  <si>
    <t>verplaatsen fietsenrekken</t>
  </si>
  <si>
    <t>KP/002543</t>
  </si>
  <si>
    <t>IN/002455</t>
  </si>
  <si>
    <t>Hoppinpunt Kwaadmechelen Kerk</t>
  </si>
  <si>
    <t>Aanleg van een Hoppinpunt</t>
  </si>
  <si>
    <t>KP/002544</t>
  </si>
  <si>
    <t>Oostham Warande</t>
  </si>
  <si>
    <t>IN/002456</t>
  </si>
  <si>
    <t>KP/002473</t>
  </si>
  <si>
    <t>Koersel Beringen Mijnen</t>
  </si>
  <si>
    <t>IN/002457</t>
  </si>
  <si>
    <t>KP/002496</t>
  </si>
  <si>
    <t>Bree Kanaal Noord</t>
  </si>
  <si>
    <t>IN/002458</t>
  </si>
  <si>
    <t>KP/002546</t>
  </si>
  <si>
    <t>Achel Kerk</t>
  </si>
  <si>
    <t>IN/002459</t>
  </si>
  <si>
    <t>KP/002577</t>
  </si>
  <si>
    <t>Eksel Kerkstraat</t>
  </si>
  <si>
    <t>IN/002460</t>
  </si>
  <si>
    <t>KP/002068</t>
  </si>
  <si>
    <t>IN/002461</t>
  </si>
  <si>
    <t>Verveteren bereikbaarheid P+R</t>
  </si>
  <si>
    <t>WA/INV/R11/8</t>
  </si>
  <si>
    <t>IN/002462</t>
  </si>
  <si>
    <t>N76 Ophaalsluis Lozen</t>
  </si>
  <si>
    <t>WL/INV/N76/8</t>
  </si>
  <si>
    <t>IN/002463</t>
  </si>
  <si>
    <t>E313 Beringen Ham aanleg van spitsstroken</t>
  </si>
  <si>
    <t>WL/INV/E313/3</t>
  </si>
  <si>
    <t>IN/002464</t>
  </si>
  <si>
    <t>N715 Zonhoven - herinrichting</t>
  </si>
  <si>
    <t>WL/INV/N715/10</t>
  </si>
  <si>
    <t>IN/002465</t>
  </si>
  <si>
    <t>Trajectcontrole N258 Aarschot - Scherpenheuvel - Tielt-Winge</t>
  </si>
  <si>
    <t>KP/003961</t>
  </si>
  <si>
    <t>De stad Genk is vragende partij  voor een veilige oversteekplaats voor rolstoelgebruikers ter hoogte van het kruispunt  van de N726 met de Boekrakelaan.</t>
  </si>
  <si>
    <t>IN/002466</t>
  </si>
  <si>
    <t>Veilige rolstoeloversteekplaats N726 (Wagemanskeel x Boekrakelaan)</t>
  </si>
  <si>
    <t>WL/INV/N726/3</t>
  </si>
  <si>
    <t>IN/002467</t>
  </si>
  <si>
    <t>E17 heraanleg zone 1 St-Niklaas - Kruibeke</t>
  </si>
  <si>
    <t>WOV/INV/E17/4</t>
  </si>
  <si>
    <t>IN/002468</t>
  </si>
  <si>
    <t>E17 heraanleg zone 2 Sint-Niklaas - Lokeren</t>
  </si>
  <si>
    <t>WOV/INV/E17/5</t>
  </si>
  <si>
    <t>IN/002469</t>
  </si>
  <si>
    <t>E34 heraanleg zone 1 Kemzeke - Moerbeke</t>
  </si>
  <si>
    <t>WOV/INV/E34/3</t>
  </si>
  <si>
    <t>IN/002470</t>
  </si>
  <si>
    <t>E34 heraanleg zone 2 Moerbeke - Kemzeke</t>
  </si>
  <si>
    <t>WOV/INV/E34/2</t>
  </si>
  <si>
    <t>IN/002471</t>
  </si>
  <si>
    <t>E40 heraanleg zone 1 VLBR - Vlekkem</t>
  </si>
  <si>
    <t>WOV/INV/E40/4</t>
  </si>
  <si>
    <t>IN/002472</t>
  </si>
  <si>
    <t>E40 heraanleg zone 2 Vlekkem - VLBR</t>
  </si>
  <si>
    <t>WOV/INV/E40/5</t>
  </si>
  <si>
    <t>KP/003962</t>
  </si>
  <si>
    <t>IN/002473</t>
  </si>
  <si>
    <t>Zutendaal - N77 - fietsoversteekplaats Terboekt</t>
  </si>
  <si>
    <t>fietsoversteekplaats via middeneiland (ook voor menners) + VFOP</t>
  </si>
  <si>
    <t>WL/INV/N77/8</t>
  </si>
  <si>
    <t>KP/003963</t>
  </si>
  <si>
    <t>IN/002474</t>
  </si>
  <si>
    <t>Zonhoven – N72 x Purmo x Nachtegalenstraat</t>
  </si>
  <si>
    <t>Opstelruimte creëren voor de fietsoversteekplaats (noord), fietspad naar buiten buigen en ter plaatse verbreden naar de nieuwe normen (2m)</t>
  </si>
  <si>
    <t>WL/INV/N72/25</t>
  </si>
  <si>
    <t>KP/003964</t>
  </si>
  <si>
    <t>IN/002475</t>
  </si>
  <si>
    <t>Alken – N754 x Groenmolenstraat Fietsoversteek - dubbelrichtingsfietspad - FVOP</t>
  </si>
  <si>
    <t>Fietsoversteek - dubbelrichtingsfietspad - FVOP</t>
  </si>
  <si>
    <t>WL/INV/N754/16</t>
  </si>
  <si>
    <t>KP/002492</t>
  </si>
  <si>
    <t>IN/002476</t>
  </si>
  <si>
    <t>Inrichten Hoppinpunt</t>
  </si>
  <si>
    <t>WL/INV/N754/17</t>
  </si>
  <si>
    <t>IN/002477</t>
  </si>
  <si>
    <t>N342 Brugge Herinrichting Stationslaan</t>
  </si>
  <si>
    <t>WWV/INV/N342/2</t>
  </si>
  <si>
    <t>KP/002633</t>
  </si>
  <si>
    <t>IN/002478</t>
  </si>
  <si>
    <t>Hoppinpunt 831</t>
  </si>
  <si>
    <t>WL/INV/N730/27</t>
  </si>
  <si>
    <t>IN/002479</t>
  </si>
  <si>
    <t>N35b Lichtervelde: herinrichting Koolskampstraat</t>
  </si>
  <si>
    <t>WWV/INV/N35B/1</t>
  </si>
  <si>
    <t>IN/002480</t>
  </si>
  <si>
    <t>N9 Brugge Studie herinrichting Maalse Steenweg</t>
  </si>
  <si>
    <t>WWV/INV/N9/2</t>
  </si>
  <si>
    <t>IN/002481</t>
  </si>
  <si>
    <t>A12 ongelijkvloerse verbinding zwakke weggebruiker</t>
  </si>
  <si>
    <t>WA/INV/A12/5</t>
  </si>
  <si>
    <t>IN/002482</t>
  </si>
  <si>
    <t>R001 Antwerpen Verleggen afwatering R1 Nieuw Zuid</t>
  </si>
  <si>
    <t>WA/INV/R001/1</t>
  </si>
  <si>
    <t>IN/002483</t>
  </si>
  <si>
    <t>A13 Hasselt - Ontsluitingsinfra parallel E313</t>
  </si>
  <si>
    <t>WL/INV/E313/2</t>
  </si>
  <si>
    <t>KP/003914</t>
  </si>
  <si>
    <t>IN/002484</t>
  </si>
  <si>
    <t>N730 Hoeselt - aanleg carpool</t>
  </si>
  <si>
    <t>WL/INV/N730/3</t>
  </si>
  <si>
    <t>IN/002485</t>
  </si>
  <si>
    <t>Herinrichting ter hoogte van Lutselus Diepenbeek</t>
  </si>
  <si>
    <t>WL/INV/N76/25</t>
  </si>
  <si>
    <t>KP/002555</t>
  </si>
  <si>
    <t>IN/002486</t>
  </si>
  <si>
    <t>R70 Hasselt - Bampslaan Leopoldplein</t>
  </si>
  <si>
    <t>WL/INV/R70/1</t>
  </si>
  <si>
    <t>IN/002487</t>
  </si>
  <si>
    <t>N211 - Heraanleg Merchtemsesteenweg MEI MER</t>
  </si>
  <si>
    <t>WVB/INV/N211/1</t>
  </si>
  <si>
    <t>IN/002488</t>
  </si>
  <si>
    <t>N235 - Herinrichting kruispunt Brouwerijstraat</t>
  </si>
  <si>
    <t>WVB/INV/N235/3</t>
  </si>
  <si>
    <t>IN/002489</t>
  </si>
  <si>
    <t>N5 - Heraanleg Waterlosesteenweg</t>
  </si>
  <si>
    <t>WVB/INV/N5/1</t>
  </si>
  <si>
    <t>KP/003088</t>
  </si>
  <si>
    <t>KP/001796</t>
  </si>
  <si>
    <t>IN/002490</t>
  </si>
  <si>
    <t>N411 Aalst Moorselbaan str. onderhoud bij m13</t>
  </si>
  <si>
    <t>WOV/INV/N411/1</t>
  </si>
  <si>
    <t>KP/003865</t>
  </si>
  <si>
    <t>IN/002493</t>
  </si>
  <si>
    <t>N8 - Verbinding fietspad Schepdaal</t>
  </si>
  <si>
    <t>WVB/INV/N8/2</t>
  </si>
  <si>
    <t>IN/002494</t>
  </si>
  <si>
    <t>N226 - Kraainem - aanleg fietspaden</t>
  </si>
  <si>
    <t>WVB/INV/N226/2</t>
  </si>
  <si>
    <t>IN/002495</t>
  </si>
  <si>
    <t>N21 - Boortmeerbeek: heraanleg ifv module 10/13</t>
  </si>
  <si>
    <t>WVB/INV/N21/14</t>
  </si>
  <si>
    <t>IN/002496</t>
  </si>
  <si>
    <t>N290 - Wemmel: heraanleg fietspaden</t>
  </si>
  <si>
    <t>WVB/INV/N290/3</t>
  </si>
  <si>
    <t>IN/002497</t>
  </si>
  <si>
    <t>N26 - Boortmeerbeek - herinrichting</t>
  </si>
  <si>
    <t>WVB/INV/N26/19</t>
  </si>
  <si>
    <t>IN/002498</t>
  </si>
  <si>
    <t>N26 - Kampenhout: aanleg fietspaden</t>
  </si>
  <si>
    <t>WVB/INV/N26/20</t>
  </si>
  <si>
    <t>IN/002499</t>
  </si>
  <si>
    <t>N9 Bredene - Kruispunt Blauwe Sluis/Esperantolaan</t>
  </si>
  <si>
    <t>WWV/INV/N9/1</t>
  </si>
  <si>
    <t>IN/002500</t>
  </si>
  <si>
    <t>N305 Dentergem: aanleg fietspaden</t>
  </si>
  <si>
    <t>WWV/INV/N305/2</t>
  </si>
  <si>
    <t>IN/002501</t>
  </si>
  <si>
    <t>N357 Oostrozebeke - Ingelmunster: herinrichting</t>
  </si>
  <si>
    <t>WWV/INV/N357/11</t>
  </si>
  <si>
    <t>IN/002505</t>
  </si>
  <si>
    <t>Debietmeters KEN CRA RUP TYS WAA</t>
  </si>
  <si>
    <t>WA/INV/KEN/7</t>
  </si>
  <si>
    <t>IN/002506</t>
  </si>
  <si>
    <t>structureel onderhoud E313 van R1 tot Wommelgem</t>
  </si>
  <si>
    <t>WA/INV/A13/7</t>
  </si>
  <si>
    <t>IN/002507</t>
  </si>
  <si>
    <t>A1 Mechelen Ecotunnels en ecoduikers VAPEO</t>
  </si>
  <si>
    <t>WA/INV/A001/4</t>
  </si>
  <si>
    <t>IN/002508</t>
  </si>
  <si>
    <t>heraanleg kruispunt N19 x N13 - Punt</t>
  </si>
  <si>
    <t>WA/INV/N019/3</t>
  </si>
  <si>
    <t>IN/002509</t>
  </si>
  <si>
    <t>N102 - Meerhout - aanleg vrijliggende fietspaden</t>
  </si>
  <si>
    <t>WA/INV/N102/1</t>
  </si>
  <si>
    <t>IN/002510</t>
  </si>
  <si>
    <t>N118 - Aanleg vrijliggend fietspad en fp op brug</t>
  </si>
  <si>
    <t>WA/INV/N118/5</t>
  </si>
  <si>
    <t>IN/002511</t>
  </si>
  <si>
    <t>N126 - Laakdal-Meerhout - Structureel Onderhoud</t>
  </si>
  <si>
    <t>WA/INV/N126/1</t>
  </si>
  <si>
    <t>IN/002512</t>
  </si>
  <si>
    <t>A12 Boom Persleiding Aquafin thv Bosbeek</t>
  </si>
  <si>
    <t>WA/INV/A012/2</t>
  </si>
  <si>
    <t>IN/002513</t>
  </si>
  <si>
    <t>N136 - Mol - Module 13 Postel</t>
  </si>
  <si>
    <t>WA/INV/N136/1</t>
  </si>
  <si>
    <t>IN/002514</t>
  </si>
  <si>
    <t>N142 - Geel - Parkeervakken omvormen tot fietspade</t>
  </si>
  <si>
    <t>WA/INV/N142/2</t>
  </si>
  <si>
    <t>KP/002406</t>
  </si>
  <si>
    <t>IN/002515</t>
  </si>
  <si>
    <t>N15 HODB Oostelijke rondweg</t>
  </si>
  <si>
    <t>WA/INV/N015/2</t>
  </si>
  <si>
    <t>IN/002516</t>
  </si>
  <si>
    <t>R12 Mechelen onsluiting keerdok- en eandissite</t>
  </si>
  <si>
    <t>WA/INV/N16/2</t>
  </si>
  <si>
    <t>IN/002517</t>
  </si>
  <si>
    <t>N10 Berlaar Ontsluiting De Hutten</t>
  </si>
  <si>
    <t>WA/INV/N10/2</t>
  </si>
  <si>
    <t>IN/002518</t>
  </si>
  <si>
    <t>N15 - Hulshout - Structureel onderhoud</t>
  </si>
  <si>
    <t>WA/INV/N15/4</t>
  </si>
  <si>
    <t>IN/002519</t>
  </si>
  <si>
    <t>N227 Mechelen Herinrichting Jubellaan miv fietspad</t>
  </si>
  <si>
    <t>WA/INV/N227/1</t>
  </si>
  <si>
    <t>IN/002520</t>
  </si>
  <si>
    <t>N171 Kontich Fietstunnel Sint-Rita</t>
  </si>
  <si>
    <t>WA/INV/N171/2</t>
  </si>
  <si>
    <t>IN/002521</t>
  </si>
  <si>
    <t>X10/N153/21 Lille - Herentals Mod 13</t>
  </si>
  <si>
    <t>WA/INV/N153/4</t>
  </si>
  <si>
    <t>KP/003965</t>
  </si>
  <si>
    <t>Bijkomende knelpunt: PCV VB-290: Aanpassen kruispunt Wezembeekstraat x N2 oversteek fietsers incl. VRI-aanpassing.</t>
  </si>
  <si>
    <t>IN/002522</t>
  </si>
  <si>
    <t>Zaventem N2 x Wezembeekstraat</t>
  </si>
  <si>
    <t>Aanpassen VRI geregeld kruispunt voor oversteek van fietsers.\nEventueel bushaltes vlakbij dit kruispunt mee aanpakken?</t>
  </si>
  <si>
    <t>IN/002523</t>
  </si>
  <si>
    <t>R16 - LIER - 11 Fiestostrade Antwerpen-Lier</t>
  </si>
  <si>
    <t>WA/INV/R16/4</t>
  </si>
  <si>
    <t>IN/002524</t>
  </si>
  <si>
    <t>N165 - Fietspaden Noord Laakdal</t>
  </si>
  <si>
    <t>WA/INV/N165/2</t>
  </si>
  <si>
    <t>IN/002525</t>
  </si>
  <si>
    <t>N156 - Geel - Kruispunten</t>
  </si>
  <si>
    <t>WA/INV/N156/2</t>
  </si>
  <si>
    <t>IN/002526</t>
  </si>
  <si>
    <t>Omgevingsvergunning Krijgsbaantunnel</t>
  </si>
  <si>
    <t>WA/INV/R11/5</t>
  </si>
  <si>
    <t>IN/002527</t>
  </si>
  <si>
    <t>A001 - vervangen randbalk O33</t>
  </si>
  <si>
    <t>WA/INV/A001/8</t>
  </si>
  <si>
    <t>IN/002528</t>
  </si>
  <si>
    <t>N26 Mechelen Structureel onderhoud</t>
  </si>
  <si>
    <t>WA/INV/N26/1</t>
  </si>
  <si>
    <t>KP/000172</t>
  </si>
  <si>
    <t>IN/002529</t>
  </si>
  <si>
    <t>KP/000294</t>
  </si>
  <si>
    <t>IN/002530</t>
  </si>
  <si>
    <t>E19 vanaf Kleine Bareel   afrit tot Horstebaan</t>
  </si>
  <si>
    <t>WA/INV/A1/15</t>
  </si>
  <si>
    <t>KP/000707</t>
  </si>
  <si>
    <t>IN/002531</t>
  </si>
  <si>
    <t>renovatie brugdek thv de sporen</t>
  </si>
  <si>
    <t>IN/002532</t>
  </si>
  <si>
    <t>N757 Fietstunnel F571 Dilsen Stokkem</t>
  </si>
  <si>
    <t>WL/INV/N757/4</t>
  </si>
  <si>
    <t>KP/003938</t>
  </si>
  <si>
    <t>IN/002533</t>
  </si>
  <si>
    <t>Ombouw slimme verkeerslichten volgens actieplan</t>
  </si>
  <si>
    <t>IN/002534</t>
  </si>
  <si>
    <t>Optimaliseren lichtenregelingen</t>
  </si>
  <si>
    <t>KP/003904</t>
  </si>
  <si>
    <t>IN/002535</t>
  </si>
  <si>
    <t>Herinrichting kruispunt (trekker stad Genk)</t>
  </si>
  <si>
    <t>Grondige herinrichting van het kruispunt (compacter maken, zijstraten haaks aansluiten, betere oversteekbaarheid voor fietsers/voetgangers)</t>
  </si>
  <si>
    <t>IN/002536</t>
  </si>
  <si>
    <t>regionale ontsluiting kleinstedelijk gebied geel</t>
  </si>
  <si>
    <t>WA/INV/N118/4</t>
  </si>
  <si>
    <t>IN/002537</t>
  </si>
  <si>
    <t>E313 vernieuwen van de brug O41 in de E313</t>
  </si>
  <si>
    <t>WA/INV/A013/10</t>
  </si>
  <si>
    <t>KP/000740</t>
  </si>
  <si>
    <t>IN/002538</t>
  </si>
  <si>
    <t>Zijstraat Genkerhei wordt afgesloten thv N75 (werken door stad Genk)</t>
  </si>
  <si>
    <t>IN/002539</t>
  </si>
  <si>
    <t>N13 - wegwerken missing link fp thv spoorwegbrug</t>
  </si>
  <si>
    <t>WA/INV/N13/4</t>
  </si>
  <si>
    <t>IN/002540</t>
  </si>
  <si>
    <t>X10/N153/31 - Herentals afschaffen overwegen</t>
  </si>
  <si>
    <t>WA/INV/N153/7</t>
  </si>
  <si>
    <t>IN/002541</t>
  </si>
  <si>
    <t>X10/N212/13</t>
  </si>
  <si>
    <t>WA/INV/N212/1</t>
  </si>
  <si>
    <t>IN/002542</t>
  </si>
  <si>
    <t>Stalen afdak fietsersingang KEN</t>
  </si>
  <si>
    <t>WA/INV/KEN/6</t>
  </si>
  <si>
    <t>IN/002543</t>
  </si>
  <si>
    <t>WAA Dakdichting ventillatiegebouw LO</t>
  </si>
  <si>
    <t>WA/INV/WAA/1</t>
  </si>
  <si>
    <t>KP/003775</t>
  </si>
  <si>
    <t>IN/002544</t>
  </si>
  <si>
    <t>N12 SCHILDE Doorstroming busbaan</t>
  </si>
  <si>
    <t>WA/INV/N12/3</t>
  </si>
  <si>
    <t>KP/003744</t>
  </si>
  <si>
    <t>IN/002545</t>
  </si>
  <si>
    <t>N014 - ZOERSEL Fietspaden Oostmalle</t>
  </si>
  <si>
    <t>WA/INV/N014/2</t>
  </si>
  <si>
    <t>KP/000713</t>
  </si>
  <si>
    <t>IN/002546</t>
  </si>
  <si>
    <t>N11 Ekeren Brasschaat Herinrichting wegvak</t>
  </si>
  <si>
    <t>WA/INV/N11/1</t>
  </si>
  <si>
    <t>KP/002210</t>
  </si>
  <si>
    <t>KP/003678</t>
  </si>
  <si>
    <t>KP/003161</t>
  </si>
  <si>
    <t>IN/002547</t>
  </si>
  <si>
    <t>N403 Heraanleg van de weg</t>
  </si>
  <si>
    <t>WOV/INV/N403/4</t>
  </si>
  <si>
    <t>KP/003190</t>
  </si>
  <si>
    <t>KP/002054</t>
  </si>
  <si>
    <t>IN/002548</t>
  </si>
  <si>
    <t>N12 - SCHILDE - Doortocht</t>
  </si>
  <si>
    <t>WA/INV/N012/2</t>
  </si>
  <si>
    <t>KP/002026</t>
  </si>
  <si>
    <t>IN/002549</t>
  </si>
  <si>
    <t>N117 - KALMTHOUT - SWO Bosduin Industriezone</t>
  </si>
  <si>
    <t>WA/INV/N117/1</t>
  </si>
  <si>
    <t>KP/003917</t>
  </si>
  <si>
    <t>IN/002550</t>
  </si>
  <si>
    <t>Fietszone centrum Izegem</t>
  </si>
  <si>
    <t>Roeselaarsestraat onderdeel van fietszone centrum Izegem (aaneenschakeling van fietsstraten).\nMax snelheid beperkt tot 30 km/u, inhaalverbod gemotoriseerde voertuigen.</t>
  </si>
  <si>
    <t>WWV/INV/N357/12</t>
  </si>
  <si>
    <t>KP/003932</t>
  </si>
  <si>
    <t>IN/002551</t>
  </si>
  <si>
    <t>QW-maatregelen fietser</t>
  </si>
  <si>
    <t>Aparte fietsfase ingevoerd (conflictvrij), fietspad omgelegd</t>
  </si>
  <si>
    <t>WWV/INV/N358/5</t>
  </si>
  <si>
    <t>KP/003936</t>
  </si>
  <si>
    <t>IN/002552</t>
  </si>
  <si>
    <t>Conflictvrij maken kruispunt</t>
  </si>
  <si>
    <t>Actieplan VRI\nfietspadmarkeringen thv kruispunt</t>
  </si>
  <si>
    <t>WWV/INV/R32/4</t>
  </si>
  <si>
    <t>IN/002553</t>
  </si>
  <si>
    <t>N43 Deinze - nieuwe oostelijke verbinding met N35</t>
  </si>
  <si>
    <t>WOV/INV/N43/4</t>
  </si>
  <si>
    <t>IN/002554</t>
  </si>
  <si>
    <t>N455/R43 Eeklo Ontsluitingsweg Balgerhoeke</t>
  </si>
  <si>
    <t>WOV/INV/N455/1</t>
  </si>
  <si>
    <t>IN/002555</t>
  </si>
  <si>
    <t>R40 Gent  vertramming lijn 7</t>
  </si>
  <si>
    <t>WOV/INV/R40/6</t>
  </si>
  <si>
    <t>IN/002556</t>
  </si>
  <si>
    <t>Installatie verkeerslichten</t>
  </si>
  <si>
    <t>IN/002557</t>
  </si>
  <si>
    <t>KP/000927</t>
  </si>
  <si>
    <t>KS184 - prior 17.  Zeer veel zware ongevallen met verkeer komende van Mol. Meestal bij slechte weersomstandigheden. 13 zware ongevallen tijdens de laatste 3 jaar.</t>
  </si>
  <si>
    <t>IN/002558</t>
  </si>
  <si>
    <t>Rotonde ombouwen naar lichtengeregeld kruispunt</t>
  </si>
  <si>
    <t>(tijdelijk kleine ingreep ingevoerd, in afwachting van koppeling aan Enterprise One</t>
  </si>
  <si>
    <t>IN/002559</t>
  </si>
  <si>
    <t>N313 Relance</t>
  </si>
  <si>
    <t>WWV/INV/N313/6</t>
  </si>
  <si>
    <t>IN/002560</t>
  </si>
  <si>
    <t>SRK : Brakel N8 : Kruispunt N8-Haeyershoek te voorzien van een verkeersplateau</t>
  </si>
  <si>
    <t>IN/002561</t>
  </si>
  <si>
    <t>in Gent : B401 Richting A14, Bellevue, Dierentuinlaan, Gustaaf Callierlaan, Keizervest, Sint-Lievenslaan, Zuidparklaan</t>
  </si>
  <si>
    <t>WOV/INV/R40/14</t>
  </si>
  <si>
    <t>KP/001577</t>
  </si>
  <si>
    <t>IN/002562</t>
  </si>
  <si>
    <t>WOV/INV/NX/10</t>
  </si>
  <si>
    <t>IN/002563</t>
  </si>
  <si>
    <t>N4 structureel onderhoud verharding</t>
  </si>
  <si>
    <t>Vervanging wegopbouw</t>
  </si>
  <si>
    <t>IN/002564</t>
  </si>
  <si>
    <t>N2 Herk-de-Stad herinrichting kruispunt Pastorijst</t>
  </si>
  <si>
    <t>WL/INV/N2/18</t>
  </si>
  <si>
    <t>IN/002565</t>
  </si>
  <si>
    <t>N76-N779 Genk herinrichting kruispunt</t>
  </si>
  <si>
    <t>WL/INV/N76/31</t>
  </si>
  <si>
    <t>IN/002566</t>
  </si>
  <si>
    <t>N20 Hasselt fietstunnel t.h.v. R71/Jessa</t>
  </si>
  <si>
    <t>WL/INV/N20/13</t>
  </si>
  <si>
    <t>Punctuele verlichting bestaande oversteek St-Jozefkerk</t>
  </si>
  <si>
    <t>Vernieuwen alle markeringen kruispunt</t>
  </si>
  <si>
    <t>West-Vlaanderen</t>
  </si>
  <si>
    <t>Vlaams-Brabant</t>
  </si>
  <si>
    <t>financiele_planning_jaar</t>
  </si>
  <si>
    <t>financiele_planning_kwartaal</t>
  </si>
  <si>
    <t>rubriek_raming</t>
  </si>
  <si>
    <t>toelichting_raming</t>
  </si>
  <si>
    <t>ordegrootte_bedrag</t>
  </si>
  <si>
    <t>WEGENIS</t>
  </si>
  <si>
    <t>Geupdate raming aanbesteding</t>
  </si>
  <si>
    <t>Raming aanbesteding</t>
  </si>
  <si>
    <t>Fietsrelance N405 Denderleeuw</t>
  </si>
  <si>
    <t>Fietspaden 350.000 euro (totaalproject (wegenis + fietspaden) 2.384.816,23 €)</t>
  </si>
  <si>
    <t>OV</t>
  </si>
  <si>
    <t>OV niet op Relance gedeelte</t>
  </si>
  <si>
    <t>VRI</t>
  </si>
  <si>
    <t>Busbeinvloeding</t>
  </si>
  <si>
    <t>Regelaar</t>
  </si>
  <si>
    <t>buiteninstallatie</t>
  </si>
  <si>
    <t>Buiteninstallatie</t>
  </si>
  <si>
    <t>Gedeelte relance fietspaden</t>
  </si>
  <si>
    <t>Gedeelte wegenis &amp; BOB</t>
  </si>
  <si>
    <t>bouwheer = Koksijde</t>
  </si>
  <si>
    <t>geupdate raming aanbesteding</t>
  </si>
  <si>
    <t>gaat over studie - opdracht</t>
  </si>
  <si>
    <t>STUDIE</t>
  </si>
  <si>
    <t>IBO</t>
  </si>
  <si>
    <t>Studieopdracht (voorwaardelijk deel)</t>
  </si>
  <si>
    <t>Buiteninstallatie VKL</t>
  </si>
  <si>
    <t>OVERIGE</t>
  </si>
  <si>
    <t>markering</t>
  </si>
  <si>
    <t>V-plan V08149v18</t>
  </si>
  <si>
    <t>EW- regelaar</t>
  </si>
  <si>
    <t>EW - buiteninstallatie</t>
  </si>
  <si>
    <t>Aanleg fietspaden ifv vierkant groen</t>
  </si>
  <si>
    <t>V-plan V16778v08 indienstname 23/09/2021</t>
  </si>
  <si>
    <t>onteigening in procedure</t>
  </si>
  <si>
    <t>realisatie tegen 15/10/2022</t>
  </si>
  <si>
    <t>V-plan V015980v11 indienstname 05/02/2021</t>
  </si>
  <si>
    <t>Uitgevoerd voor 2020</t>
  </si>
  <si>
    <t>V-plan V012346</t>
  </si>
  <si>
    <t>V-plan  V14235/20 indienstname 30/10/2019</t>
  </si>
  <si>
    <t>VR op dossier X40/N17/1</t>
  </si>
  <si>
    <t>V-plan V014596v11 indienstname 20/10/2021</t>
  </si>
  <si>
    <t>betaald door gemeente in doortochtdossier</t>
  </si>
  <si>
    <t>V-plan V09185v15 indienstname 20/10/2020</t>
  </si>
  <si>
    <t>V-plan V012758v11 indienstname 16/09/2021</t>
  </si>
  <si>
    <t>V-plan V09916/16 - installatie WW0455</t>
  </si>
  <si>
    <t>Reservebedrag</t>
  </si>
  <si>
    <t>studie nog op te maken</t>
  </si>
  <si>
    <t>RLC</t>
  </si>
  <si>
    <t>op pcv-bestek</t>
  </si>
  <si>
    <t>nog door Koen te bevestigen</t>
  </si>
  <si>
    <t>via Relance gvpt</t>
  </si>
  <si>
    <t>V-plan V16319/09 - installatie WW0476</t>
  </si>
  <si>
    <t>op pcv-berstek</t>
  </si>
  <si>
    <t>Nieuwe VRI (V017535v03 - installatienummer WW2068) aansluitend op werken trompetaansluiting A19-R8</t>
  </si>
  <si>
    <t>zie berekening sweco</t>
  </si>
  <si>
    <t>eiland</t>
  </si>
  <si>
    <t>zone 30</t>
  </si>
  <si>
    <t>Opmaak studieplan + plaatsing voor VVOP is bij aannemer.</t>
  </si>
  <si>
    <t>nog verder te ramen</t>
  </si>
  <si>
    <t>raming studiebureau</t>
  </si>
  <si>
    <t>niet relance</t>
  </si>
  <si>
    <t>raming SB</t>
  </si>
  <si>
    <t>Ingreep schoolroute in Sint-Truiden op •</t>
  </si>
  <si>
    <t>Hasp-O stadsrand, (Tuinbouwschool), Diestersteenweg</t>
  </si>
  <si>
    <t>regenboogzebrapad ipv bestaand zebrapad</t>
  </si>
  <si>
    <t>- accentueren VOP met wegdekreflectoren\n- evaluatie na 6 maanden (bedrijfszekerheid; financieel; kwalitatief naar tevredenheid verkeersdeelnemers)</t>
  </si>
  <si>
    <t>Bestaande oversteekplaats voorzien van middengeleider</t>
  </si>
  <si>
    <t>FSS Speldenstraat, fietslogo's Geluwestraat-Geluwesteenweg, rugdekking.</t>
  </si>
  <si>
    <t>Uitbreken fietspad in betonstraatstenen en opnieuw aanleggen in asfalt</t>
  </si>
  <si>
    <t>Voorzien 2 x punctuele verlichting</t>
  </si>
  <si>
    <t>uitgevoerd</t>
  </si>
  <si>
    <t>aanbrengen VOP</t>
  </si>
  <si>
    <t>fietsoversteekvoorziening met fietslogoverbinding</t>
  </si>
  <si>
    <t>Plaatsing VFOP - VVOP</t>
  </si>
  <si>
    <t>dichten middenberm en oversteek in fietslogoverbinding toevoegen</t>
  </si>
  <si>
    <t>Dit wordt verder uitgewerkt binnen traject van de Hoppinpunten:\n- Hoppinpunt aanleggen\n- middengeleider\n- punctuele verlichting</t>
  </si>
  <si>
    <t>Ontruimingstijd/V-plan aanpassen</t>
  </si>
  <si>
    <t>Frietzak signalisatie</t>
  </si>
  <si>
    <t>welk bestek?</t>
  </si>
  <si>
    <t>akkoord obv studie Sweco (oversteekvoorziening met middengeleider én extra verlichting)</t>
  </si>
  <si>
    <t>Dubbelrichtingsfietsoversteek, stukje dubbelrichtingsfietspad in Sevensstraat, fietssuggestiestroken of logo's bij kruispunt</t>
  </si>
  <si>
    <t>knip zijstraat van N76</t>
  </si>
  <si>
    <t>Gevleugeld zebrapad in Diksmuide op 4.</t>
  </si>
  <si>
    <t>N35 Esenplein ( rp 26.6)</t>
  </si>
  <si>
    <t>wegmarkeringen toepassen vanaf</t>
  </si>
  <si>
    <t>plaatsen van logo's op asfalt en beton, niet op de mozaïeken</t>
  </si>
  <si>
    <t>Plaatsen punctuele verlichting VVOP - installatienummer WW2107</t>
  </si>
  <si>
    <t>incl wegenis</t>
  </si>
  <si>
    <t>overige maatregelen</t>
  </si>
  <si>
    <t>herstellen opgeduwde fietspaden</t>
  </si>
  <si>
    <t>VRI volgens actieplan (V014028v18) - installatienummer WW0414 - uitgevoerd 16/12/2021</t>
  </si>
  <si>
    <t>op regulier bestek</t>
  </si>
  <si>
    <t>Raming volgens rapport studiebureau</t>
  </si>
  <si>
    <t>Uitgevoerd in juni 2021</t>
  </si>
  <si>
    <t>relance</t>
  </si>
  <si>
    <t>IBO niet relance</t>
  </si>
  <si>
    <t>Keuring op 21/12/21</t>
  </si>
  <si>
    <t>stralen + markering</t>
  </si>
  <si>
    <t>Enkel wegnemen aslijn</t>
  </si>
  <si>
    <t>VVOP\nvernieuwen markeringen</t>
  </si>
  <si>
    <t>VOP/FOP  + rotonde</t>
  </si>
  <si>
    <t>7 punctuele verlichtingen</t>
  </si>
  <si>
    <t>wegmarkeringen aanbrengen</t>
  </si>
  <si>
    <t>raming nog bij te werken</t>
  </si>
  <si>
    <t>Voorzien punctuele verlichting</t>
  </si>
  <si>
    <t>flitspaal</t>
  </si>
  <si>
    <t>2 punctuele verlichtingen</t>
  </si>
  <si>
    <t>Kerkstraat</t>
  </si>
  <si>
    <t>Grote Markt</t>
  </si>
  <si>
    <t>Oostkade</t>
  </si>
  <si>
    <t>/</t>
  </si>
  <si>
    <t>samen met onderhoud fietspad</t>
  </si>
  <si>
    <t>op relance bestek</t>
  </si>
  <si>
    <t>O40 D415 66</t>
  </si>
  <si>
    <t>wordt uitgevoerd met MIA</t>
  </si>
  <si>
    <t>Proefopstelling</t>
  </si>
  <si>
    <t>omgevingsvergunning</t>
  </si>
  <si>
    <t>Punctuele verlichting gecombineerde VVOP/VFOP</t>
  </si>
  <si>
    <t>start 9 mei tot 22 juni</t>
  </si>
  <si>
    <t>Kabelwerken</t>
  </si>
  <si>
    <t>fietslogo's spoorweg tot Ketenstraat</t>
  </si>
  <si>
    <t>wachten op plan (uitvoering op O40 D415 66 C)</t>
  </si>
  <si>
    <t>signalisatie</t>
  </si>
  <si>
    <t>V-plan V007381 - installatie WW0437</t>
  </si>
  <si>
    <t>V-plan V013097 - installatie WW0229</t>
  </si>
  <si>
    <t>aanpassing ter ondersteuning van aanpassingen VRI</t>
  </si>
  <si>
    <t>volgens actieplan en vierkant groen</t>
  </si>
  <si>
    <t>Onzeker gezien nog geen PCV beslissing</t>
  </si>
  <si>
    <t>Fietsrelance N9 Aalst</t>
  </si>
  <si>
    <t>Fietsrelance N467 Berlare</t>
  </si>
  <si>
    <t>Fietsrelance N405 Aalst</t>
  </si>
  <si>
    <t>SO N41</t>
  </si>
  <si>
    <t>N229 tussen rondpunt en E314 Rotselaar/leuven</t>
  </si>
  <si>
    <t>N19 Rotselaar: Doortocht Wezemaal</t>
  </si>
  <si>
    <t>N26 Herent: Mechelsestwg F2b - KMO-zone Hambos</t>
  </si>
  <si>
    <t>N3 Tervuren: Herinrichting Leuvensesteenweg</t>
  </si>
  <si>
    <t>X21/N026/16</t>
  </si>
  <si>
    <t>X21/N003/43 fietspaden Lovenjoel - Boutersem</t>
  </si>
  <si>
    <t>Werken door De Lijn</t>
  </si>
  <si>
    <t>aandeel AWV, NMBS aanbestedende  overheid</t>
  </si>
  <si>
    <t>N10 - Begijnendijk: Herinrichting Liersesteenweg</t>
  </si>
  <si>
    <t>R23 - HeRINGrichting Leuven</t>
  </si>
  <si>
    <t>R23 - Bodart Leuven</t>
  </si>
  <si>
    <t>AWV/INV/2021/3 P4</t>
  </si>
  <si>
    <t>onder voorbehoud planning aannemer</t>
  </si>
  <si>
    <t>uitgevoerd op onderhoudsbestek markering</t>
  </si>
  <si>
    <t>Geen relance: werd uitgevoerd met Centrale ArbeidersRegie (dus eigen middelen)</t>
  </si>
  <si>
    <t>fietssuggestiestroken/fietslogo</t>
  </si>
  <si>
    <t>De aanbesteding is reeds afgerond</t>
  </si>
  <si>
    <t>op PCV-bestek uitgevoerd</t>
  </si>
  <si>
    <t>Herasfaltering (+fundering)</t>
  </si>
  <si>
    <t>PIDPA voert uit (SWO AWV)</t>
  </si>
  <si>
    <t>Onteigeningen</t>
  </si>
  <si>
    <t>Voorlopige raming door Sweco</t>
  </si>
  <si>
    <t>WOV/INV/N449/1/U1</t>
  </si>
  <si>
    <t>niet relance middelen</t>
  </si>
  <si>
    <t>E40 Structureel onderhoud Gingelom</t>
  </si>
  <si>
    <t>middengeleider op slechte betonbaan</t>
  </si>
  <si>
    <t>halte in beide rijrichtingen</t>
  </si>
  <si>
    <t>beide richtingen</t>
  </si>
  <si>
    <t>Aanpassen middengeleider, markeringen en signalisatie</t>
  </si>
  <si>
    <t>Verbreden huidig enkelrichtingsfietspad en plaatsen signalisatie</t>
  </si>
  <si>
    <t>Afsluiten aflsagstrook + signalisatie</t>
  </si>
  <si>
    <t>Aanpassen markeringen</t>
  </si>
  <si>
    <t>obv geschatte uitvoeringskost uit UV</t>
  </si>
  <si>
    <t>N3/E40 - Bowstringbrug over E40 (Bertem)</t>
  </si>
  <si>
    <t>niet relancemiddelen</t>
  </si>
  <si>
    <t>dummy</t>
  </si>
  <si>
    <t>var zone 30</t>
  </si>
  <si>
    <t>reguliere middelen</t>
  </si>
  <si>
    <t>markeringen</t>
  </si>
  <si>
    <t>PCV bestek X40 D400 51</t>
  </si>
  <si>
    <t>schatting</t>
  </si>
  <si>
    <t>3de</t>
  </si>
  <si>
    <t>dummy, lopend contract</t>
  </si>
  <si>
    <t>verwijderen markeringen en bi-flash, + aanbrengen middeneiland en signalisatie</t>
  </si>
  <si>
    <t>Kylie bekijkt nog om werken te beperken om tot lager bedrag te komen.</t>
  </si>
  <si>
    <t>Quick-win</t>
  </si>
  <si>
    <t>dummy ingreep</t>
  </si>
  <si>
    <t>2021 uitgevoerd</t>
  </si>
  <si>
    <t>dummy - reeds uitgevoerd</t>
  </si>
  <si>
    <t>incl BTW</t>
  </si>
  <si>
    <t>SUM of geraamde_bedrag_kim</t>
  </si>
  <si>
    <t>programma_array</t>
  </si>
  <si>
    <t>{"MDU 3MH227 - 2021","MDU 3MH227 - 2022"}</t>
  </si>
  <si>
    <t>{"MDU 3MH227 - 2021"}</t>
  </si>
  <si>
    <t>{"MDU 3MH210 - 2022"}</t>
  </si>
  <si>
    <t>{"MDU 3MH231 - 2021","MDU 3MH231 - 2022"}</t>
  </si>
  <si>
    <t>{"MDU 3MH210 - 2021"}</t>
  </si>
  <si>
    <t>{"MDU 3MH231 - 2021"}</t>
  </si>
  <si>
    <t>{"MDU 3MH230 - 2021"}</t>
  </si>
  <si>
    <t>{"MDU 3MH229 - 2021"}</t>
  </si>
  <si>
    <t>{"MDU 3MH229 - 2022"}</t>
  </si>
  <si>
    <t>{"MD0 1MH201 - 2018","MD0 1MH201 - 2021"}</t>
  </si>
  <si>
    <t>{"MB0 1MH010 - 2022"}</t>
  </si>
  <si>
    <t>{"MD0 1MH201 - 2018","MD0 1MH201 - 2020"}</t>
  </si>
  <si>
    <t>{"MD0 1MH201 - 2020","MD0 1MH201 - 2022"}</t>
  </si>
  <si>
    <t>{"MD0 1MH201 - 2020"}</t>
  </si>
  <si>
    <t>{"MD0 1MH201 - 2021"}</t>
  </si>
  <si>
    <t>{"MB0 1MH010 - 2020"}</t>
  </si>
  <si>
    <t>{"MDU 3MH210 - 2022","MDU 3MH230 - 2021"}</t>
  </si>
  <si>
    <t>SUM of gereserveerde_bedrag_vastleggingsdeel_excl_btw</t>
  </si>
  <si>
    <t>SUM of afgerekende_bedrag_vastleggingsdeel_excl_btw</t>
  </si>
  <si>
    <t>Subthema (kne)</t>
  </si>
  <si>
    <t>Analysecyclus Gevaarlijke Punten</t>
  </si>
  <si>
    <t>Knelpunt Nummer</t>
  </si>
  <si>
    <t>Omschrijving (kne)</t>
  </si>
  <si>
    <t>Provincie (afdeling)</t>
  </si>
  <si>
    <t>Vervoerregio (kne)</t>
  </si>
  <si>
    <t>Gemeente (kne)</t>
  </si>
  <si>
    <t>Status Knelpunt</t>
  </si>
  <si>
    <t>Status Knelpunt*</t>
  </si>
  <si>
    <t>Reden On hold/Afsluiten</t>
  </si>
  <si>
    <t>Reden On hold/Afsluiten*</t>
  </si>
  <si>
    <t>Toelichting Blokkeren (kne)</t>
  </si>
  <si>
    <t>Ingreep Nummer</t>
  </si>
  <si>
    <t>Omschrijving (ing)</t>
  </si>
  <si>
    <t>Verwachte Aanvangsperiode</t>
  </si>
  <si>
    <t>Periode uitvoering</t>
  </si>
  <si>
    <t>Type (ing)</t>
  </si>
  <si>
    <t>Vlaamse Rand</t>
  </si>
  <si>
    <t>Zaventem</t>
  </si>
  <si>
    <t>Open</t>
  </si>
  <si>
    <t>In Voorbereiding</t>
  </si>
  <si>
    <t>Aanpassen VRI geregeld kruispunt voor oversteek van fietsers.
Eventueel bushaltes vlakbij dit kruispunt mee aanpakken?</t>
  </si>
  <si>
    <t>n.t.b.</t>
  </si>
  <si>
    <t>Limburg</t>
  </si>
  <si>
    <t>Genk</t>
  </si>
  <si>
    <t>TC2021_345 uit centraal regsiter
Uitvoerbaarheid te bekijken bij plaatsbezoek</t>
  </si>
  <si>
    <t>Alken</t>
  </si>
  <si>
    <t>In Uitvoering</t>
  </si>
  <si>
    <t xml:space="preserve">KS617b	Boomsesteenweg – Oudestraat - Boekstraat
	Situering scholen en verantwoording https://stadinkaart.antwerpen.be/project.html?guid=20f14686-c857-470a-bf72-c250f97c7169 Ten westen van de Boomsesteenweg bevindt zich de wijk Koornbloem zonder onderwijsinstellingen. Ten oosten bevinden zich twee basisscholen en 1 secundaire school. Dit punt is in het bijzonder relevant voor de school Zonnebloem (Boekstraat/Frans Stienletlaan, schoolstraat)
	Slachtoffers 0-25 jaar, 2015-2019: 7 LG
	Probleem: Voornamelijk ongevallen op kruispunt Boomsesteenweg – Oudestraat waarbij uitrijdend gemotoriseerd verkeer in aanrijding komt met fietsers op de Boomsesteenweg
</t>
  </si>
  <si>
    <t>Antwerpen</t>
  </si>
  <si>
    <t xml:space="preserve">KS616b 	Turnhoutsebaan – Helmstraat - Kroonstraat
	Slachtoffers 0-25 jaar 2015-2019 5LG, 1 Stoffelijk
	Verantwoording: Kroonstraat wordt fietsstraat, sluit aan op St.-Erasmusstraat (schoolstraat), belang van oversteek zal in de toekomst nog toenemen 
</t>
  </si>
  <si>
    <t>In Onderzoek</t>
  </si>
  <si>
    <t>KP/001820</t>
  </si>
  <si>
    <t xml:space="preserve">KS615b 	Bredabaan (ME) Bredabaan oversteek thv districthuis (thv Houthulsstraat)
o	Bredabaan blijkt een grote barrièrewerking te hebben voor fietsers en voetgangers. Grootste probleem situeert zich hier bij  overstekende fietsers en voetgangers, vooral op de niet-lichtengeregelde oversteken. Volledige segment: slachtoffers 0-25 jaar 2015-2019: 47 LG, 2 ZG, 1 stoffelijk 
o	Situering scholen omgeving Bredabaan: ten noorden van de Bredabaan tellen we 3 basisscholen, 2 secundaire scholen en 1 hogeschool, ten zuiden 3 basisscholen 
o	Bredabaan oversteek thv districthuis (thv Houthulsstraat)
	Slachtoffers 0-25 jaar 2015-2019: 3 LG 1 ZG
	Probleem: oversteekbaarheid voor fietsers en voetgangers 
</t>
  </si>
  <si>
    <t>KP/001664</t>
  </si>
  <si>
    <t>KS868 - N60 - Vijverstraat - Fase : voorrang geven aan het fietspad dat de Vijverstraat kruist nu de Vijverstraat werd afgesloten van de N60.</t>
  </si>
  <si>
    <t>Oost-Vlaanderen</t>
  </si>
  <si>
    <t>Gent</t>
  </si>
  <si>
    <t>Nazareth</t>
  </si>
  <si>
    <t>On Hold</t>
  </si>
  <si>
    <t>Initiatief aan gemeente</t>
  </si>
  <si>
    <t>KP/001663</t>
  </si>
  <si>
    <t>KS867 - N60 - Nieuwe Steenweg - Fase : fietsoversteek op Steenweg net voor rotonde N60 (Bonaparte) om de ventweg te nemen. (op de fietsroutekaart thv F13)</t>
  </si>
  <si>
    <t>Afgesloten</t>
  </si>
  <si>
    <t>Akkoord geen actie vereist</t>
  </si>
  <si>
    <t xml:space="preserve">Besluit PCV 05-10-2021:
De rechtafslagbewegingen vanaf de N60 worden opgenomen in de verkeerslichten. De bypassen worden verwijderd. De verkeerslichten op de N60 krijgen een conflictvrije regeling. De zijtakken worden niet uitgerust met een conflictvrije regeling. De noordwestelijke hoek van het kruispunt wordt gedeeltelijk overrijdbaar aangelegd. 
Afspraken:
V&amp;S: opmaak plan 
VWT: opmaak V-plan 
D411: uitvoeren plan 
EW: uitvoeren V-plan
</t>
  </si>
  <si>
    <t>KP/001660</t>
  </si>
  <si>
    <t>KS864 - N35 - 's Gravenstraat - Fase : bredere veilige oversteek</t>
  </si>
  <si>
    <t>KP/001659</t>
  </si>
  <si>
    <t>KS863 - N35 - Wulvestraat - Fase : bredere veilige oversteek</t>
  </si>
  <si>
    <t>Uitgevoerd</t>
  </si>
  <si>
    <t>Besluit PCV 05-10-2021 : Er worden 2 fietsoversteken aangebracht ter hoogte van de Warandestraat (zie plan dossier). De linksafslagstroken worden ingekort om deze fietsoversteken te kunnen realiseren.
https://apps.mow.vlaanderen.be/pcv/#/dossiers/OV-619</t>
  </si>
  <si>
    <t>KS835 - N442 - Julius De Geyterstraat - Fase : studieresultaten 2022
zou normaliter deel uitmaken van doortocht studie N442</t>
  </si>
  <si>
    <t>Aalst</t>
  </si>
  <si>
    <t>Lede</t>
  </si>
  <si>
    <t>Vlaamse Ardennen</t>
  </si>
  <si>
    <t>Oudenaarde</t>
  </si>
  <si>
    <t>KP/001654</t>
  </si>
  <si>
    <t>Doortocht optimaliseren</t>
  </si>
  <si>
    <t>Beveren</t>
  </si>
  <si>
    <t>Andere</t>
  </si>
  <si>
    <t>Geen quick win mogelijk</t>
  </si>
  <si>
    <t>KP/001653</t>
  </si>
  <si>
    <t>Doortocht schoolomgeving Zandstraat optimaliseren</t>
  </si>
  <si>
    <t>Migratie naar nieuwe statusflow</t>
  </si>
  <si>
    <t>KP/001652</t>
  </si>
  <si>
    <t>Fietsveiligheid bij het oversteken van Haasdonkbaan, Bijlstraat, P. Steenssensstraat... verhogen</t>
  </si>
  <si>
    <t>KP/001651</t>
  </si>
  <si>
    <t>Bestaande fietspaden in klinkers vervangen door veiliger materiaal</t>
  </si>
  <si>
    <t>niet geblokkeerd maar te plannen</t>
  </si>
  <si>
    <t>KS734 - R42 - Raapstraat - Fase : 
Er is een gebrek aan opstelruimte voor de fietser die vanuit de richting van de Antwerpsesteenweg komt en naar het fietspad in de Nieuwe Molenstraat wilt rijden. Voor die beweging te maken moet men bovendien twee maal oversteken, waarvan 1 maal onbegeleid.</t>
  </si>
  <si>
    <t>Waasland</t>
  </si>
  <si>
    <t>Sint-Niklaas</t>
  </si>
  <si>
    <t>KP/001649</t>
  </si>
  <si>
    <t>KS729 - N70 - N16 - Fase : 
comfort van de fietser wordt gestremd door deze uit de voorrang te houden op de rotonde. Bij de afslag naar de N16 is er bovendien een conflictpunt in het kader van de dode hoek.</t>
  </si>
  <si>
    <t>KP/001648</t>
  </si>
  <si>
    <t>KS728 - N41 - Fase : 
Wanneer de fietsroute langsheen de N41 op het grondgebied van Sint-Niklaas komt, is er een gebrek aan verlichting. Dit creëert een subjectief onveiligheidsgevoel maar zorgt ook potentieel onveilige situaties tussen fietsers.</t>
  </si>
  <si>
    <t xml:space="preserve">moet in onderzoek staan
</t>
  </si>
  <si>
    <t>KS719 - N70 - Brugsken - Fase : 
De route Hertjen - Brugsken ligt op LFF en is een veelgebruikte fietsroute voor leerlingen die in Sint-Niklaas naar school gaan en in Temse wonen. Op het kruispunt met de N70 doen er zich twee problemen voor. 1) De wachttijden om voor het Brugsken naar 't Hertjen te rijden zijn lang waardoor er roodlichtnegatie optreedt. 2) Vanuit 't Hertjen kan men enkel de N70 oprijden naar rechts. Dit geeft conflict met de fietsstroom die rechtdoor richting centrum rijdt.</t>
  </si>
  <si>
    <t>KS702 - N42 - Marktweg - Fase : 
De Marktweg is gelegen op fietsroutenetwerk en wordt gebruikt door schoolgaande kinderen die vanuit Goeferdinge, Zarlardinge naar de scholen in het centrum van de stad komen.  Fietsers ervaren dit punt als onveilig omwille van de afwezigheid van een fietsoversteekplaats.
In de fietsenquête die de lokaal bestuur heeft uitgevoerd, werd dit punt ook vaak aangegeven als knelpunt en punt dat te vermijden is omwille van de onduidelijke situatie voor de fietser.</t>
  </si>
  <si>
    <t>Geraardsbergen</t>
  </si>
  <si>
    <t>KP/001645</t>
  </si>
  <si>
    <t>KS697 - N460 - N42 - Fase : 
1. We zijn ons er van bewust dat ter hoogte van het kruispunt met de N42 geen quick win mogelijk is maar aangezien we over dit kruispunt bijna wekelijks worden aangesproken, en dit punt ook met klem op 1 stond als gevaarlijk knelpunt en te vermijden punt in de fietsenquête die werd uitgevoerd naar aanleiding van de opmaak van het fietsbeleidsplan voor Geraardsbergen, nemen we dit kruispunt ook hier mee op.</t>
  </si>
  <si>
    <t>KS696 - N493 - Steenbakkerij tot krpt N42 - Fase : 
Steenbakkerij is een woonwijk met veel jonge gezinnen waarvan de kinderen in het centrum van de stad naar school gaan.  Bovendien vindt Steenbakkerij aansluiting met de achtergelegen woonwijken Overpoort, Waaienberg, Solleveld, Dutskouter.
Op het gedeelte van de N493 tussen Steenbakkerij en Astridlaan is veel voetgangers- en fietsersverkeer, de fietsers hebben een fietspad met zeer beperkte breedte ter beschikking.  In functie van het stimuleren van het traag verkeer vanuit deze wijken naar de stad, werkt het lokaal bestuur momenteel aan een trage verbinding waardoor de fietsers en voetgangers al een deel van de gewestweg kunnen vermijden, in aansluiting is een aanpassing van het fietspad vanaf het huisnummer 188 zeer gewenst.  Het lokaal bestuur krijgt over de toestand van deze fietspaden maandelijks vragen.</t>
  </si>
  <si>
    <t>KS695 - N8 - Parkbos - Fase : 
3. Fietspad ter hoogte van Parkbos/N8 in rood aanduiden zodat het voor afslaand vrachtverkeer nog duidelijker wordt dat daar fietsers kunnen zijn</t>
  </si>
  <si>
    <t>KS692 - N495 - Gentsestraat - Fase : studieresultaten 2021
7. Kruispunt Gentsestraat/Zonnebloemstraat vormt de verbinding voor schoolkinderen vanuit Schendelbeke/Idegem via Jonkersveld.  Deze verbinding en oversteek wordt zeer frequent gebruikt.  Het gebruik van dit kruispunt zal enkel toenemen bij de realisatie van de fietssnelweg tussen Lierde en Geraardsbergen die aansluit op het LFF in de Gentsestraat.  
De schoolomgevingen ter hoogte van Vianeplein en Zikastraat/Atembekestraat/Willem Van Moerbekeplein én het kruispunt Gentsestraat/Zonnebloemstraat zijn prioritair.</t>
  </si>
  <si>
    <t>KS691 - N495 - Driepikkel/Onkerzelestraat - Fase : studieresultaten 2021
6. Oversteek ter hoogte van Driepikkel/Onkerzelestraat: langs beide zijden is een fietspad aanwezig, maar er is geen oversteek voorzien, dit kruispunt wordt gebruikt door kinderen die vanuit Onkerzele richting centrum willen fietsen.  Gezien de aard van het kruispunt is ook bijkomende signalisatie/puntverlichting aangewezen.
De schoolomgevingen ter hoogte van Vianeplein en Zikastraat/Atembekestraat/Willem Van Moerbekeplein én het kruispunt Gentsestraat/Zonnebloemstraat zijn prioritair.</t>
  </si>
  <si>
    <t>KS688 - N495 - Viaeneplein - Fase : 
2. Ter hoogte van het Vianeplein (schoolomgeving) is er gemengd verkeer.  Is het mogelijk hier fietssuggestiestroken aan te brengen op het wegdek?  
Deze fietssuggestiestroken kunnen enerzijds aansluiten op het fietspad richting Moerbeke en anderzijds richting het lopende fietspadenproject naar Galmaarden 
De schoolomgevingen ter hoogte van Vianeplein en Zikastraat/Atembekestraat/Willem Van Moerbekeplein én het kruispunt Gentsestraat/Zonnebloemstraat zijn prioritair.</t>
  </si>
  <si>
    <t>KS687 - N495 - Fase : 
1. Geen fietssuggestiestrook richting fietspad aangeduid komende van Viane richting Moerbeke en in omgekeerde richting naar de oprit van het fietspad
De schoolomgevingen ter hoogte van Vianeplein en Zikastraat/Atembekestraat/Willem Van Moerbekeplein én het kruispunt Gentsestraat/Zonnebloemstraat zijn prioritair.</t>
  </si>
  <si>
    <t>KS686 - N493 - Moutstraat - Fase : 
Langsheen de Oudenaardsestraat ligt een tweerichtingsfietspad.  Ter hoogte van T-kruispunten is de boordsteen niet verlaagd waardoor het voor jonge fietsers moeilijk is om op het fietspad te geraken.</t>
  </si>
  <si>
    <t>KS685 - N493 - Watermolenstraat - Fase : 
Langsheen de Oudenaardsestraat ligt een tweerichtingsfietspad.  Ter hoogte van T-kruispunten is de boordsteen niet verlaagd waardoor het voor jonge fietsers moeilijk is om op het fietspad te geraken.</t>
  </si>
  <si>
    <t>KS684 - N493 - Duitsenbroekstraat - Fase : 
Langsheen de Oudenaardsestraat ligt een tweerichtingsfietspad.  Ter hoogte van T-kruispunten is de boordsteen niet verlaagd waardoor het voor jonge fietsers moeilijk is om op het fietspad te geraken.</t>
  </si>
  <si>
    <t>KS665 - N406 - Gijzegem-Dorp/Pachthofstraat - Fase : studieresultaten 2021.
onveilige oversteekplaats door te weinig ruimte</t>
  </si>
  <si>
    <t>KP/001634</t>
  </si>
  <si>
    <t>KS570 - N9 - Bredestraat/Kort Eindeken - Fase : 
dit is een veel gebruikte oversteekplaats van en naar de scholen in Lovendegem centrum.</t>
  </si>
  <si>
    <t>Lievegem</t>
  </si>
  <si>
    <t>bilateraal overleg is geen reden voor blokkeren</t>
  </si>
  <si>
    <t>KS463 - N465 - Fase : 
Oneffenheden in het fietspad</t>
  </si>
  <si>
    <t>Melle</t>
  </si>
  <si>
    <t>KS459 - N9 - Kapellestraat - Fase : 
Verkeer uit Kapellestraat attent maken op fietsers uit beide richtingen en fietsoversteek op N9 duidelijker maken</t>
  </si>
  <si>
    <t>KS452 - N9 - R4 - Fase : 
Conflicten tussen fietsers en op- en afrijdend verkeer</t>
  </si>
  <si>
    <t>* opfrissen bestaande rode thermo.
* 3 stuks nieuwe driehoekenstrepen volgens bijgevoegde schets.
* aanpassen arcering.
* 1 nieuwe B1 (zijde 900).</t>
  </si>
  <si>
    <t>KS448 - N9 - (tussen Ringvaart en Melle Leeuw) - Fase : 
Graag fietspaden verbeteren</t>
  </si>
  <si>
    <t>KS447 - N9 - (tussen Oude Heirbaan en station Kwatrecht ) - Fase : 
Fietspaden zijn vernieuwd tot ongeveer aan Oude Heirbaan</t>
  </si>
  <si>
    <t>KS395 - N460 - Beekstraat - Fase : studieresultaten 2021
Gevaarlijk en onoverzichtelijk kruispunt - moeilijk te passeren kruispunt - gevaarlijk kruispunt</t>
  </si>
  <si>
    <t>Haaltert</t>
  </si>
  <si>
    <t>KP/001627</t>
  </si>
  <si>
    <t>KS394 - N460 - Diepeweg - Fase : 
Gevaarlijk en onoverzichtelijk kruispunt - moeilijk te passeren kruispunt - gevaarlijk kruispunt</t>
  </si>
  <si>
    <t>bilateraal overleg is niet 'geblokkeerd'</t>
  </si>
  <si>
    <t>KS354 - N448 - Koning Albertstraat - Fase : studieresultaten 2022
Gevaarlijk kruispunt met beperkte zichtbaarheid in de omgeving van de school. Veel fietsers en overstekende schoolkinderen op dit kruispunt. Voertuigen rijden er soms te snel.</t>
  </si>
  <si>
    <t>Assenede</t>
  </si>
  <si>
    <t>KS353 - N458 - Graafjanstraat/Tingelhoek - Fase : studieresultaten 2022.
Gevaarlijk kruispunt met beperkte zichtbaarheid op weg naar de scholen. Veel fietsers en overstekende schoolkinderen op dit kruispunt.</t>
  </si>
  <si>
    <t>KS296 - N17 - Rosstraat - Fase : studieresultaten 2021.
Slechte oversteekbaarheid en zichtbaarheid vanuit Broekkantstraat. Er is een slechte zichtbaarheid op het verkeer komende van Hoogveld.</t>
  </si>
  <si>
    <t>Dendermonde</t>
  </si>
  <si>
    <t>KS294 - N470 - (tussen Stuivenbergstraat en Zeelsebaan) - Fase : studieresultaten 2022.
Op het Grootzand zijn het aantal voetgangersoversteken beperkt. Tussen bushalte Sportpleinstraat en de verkeerslichten aan de Zeelsebaan zijn er geen voetgangers- of fietsoversteken voorzien. Daarnaast zijn de huidige de inrichting van de zebrapaden niet erg zichtbaar/leesbaar. Het is een heel autogericht en rechtlijning profiel. Ook kruispunt Zeelsebaan X Grootzand is geen optie voor fietsers. Fietsers mogen aan het kruispunt na hun oversteekbeweging van Grootzand niet naar rechts want het is geen dubbelrichtingsfietspad.</t>
  </si>
  <si>
    <t>KS293 - N416 - (tussen Vrijstraat en Lindestraat) - Fase : studieresultaten 2022.
Er is momenteel geen "veilige" oversteek over de bevrijdingslaan naar de bushaltes op de Bevrijdingslaan N416. Hier geld een snelheidslimiet van 70km/u. Het is een heel autogericht, rechtlijnig profiel.</t>
  </si>
  <si>
    <t>KS291 - N406 - Tragel - Fase : studieresultaten 2022.
Er is een slechte oversteekbaarheid voor fietsers en voetgangers. Het is de overgang van 70km/u naar 50km/u. Je kan kan iedere weg in- of uitrijden naar alle kanten en dat levert vele conflictsituaties op. Er is ook en ondermaats ingerichte bushalte.</t>
  </si>
  <si>
    <t>KS290 - N47 - Weggevoerdenstraat/Cleophas Heyvaertstraat - Fase : 
De oversteekbaarheid voor fietsers tussen Weggevoerdenstraat en Cleophas Heyvaertstraat is erg slecht. Tijdens de spits wordt de fietser in tegenrichting (uit de Weggevoerdenstraat naar Sint-Gillislaan) niet gezien en vergeten. Bovendien is het opletten want de intensiteiten uit beide richtingen zijn hoog tijdens de spitsuren. Uit Emanuel Hielstraat mag een fietser niet linksaf oversteken… Weggevoerdenstraat is daarom het eerste alternatief voor de fietser en wordt dus heel frequent gebruikt.</t>
  </si>
  <si>
    <t>KS289 - N406 - Mevrouw Courtmanspark - Fase : studieresultaten 2021.
De middenberm/oversteek op Ouburg is erg smal. Ook langs beide kanten van de rijweg is weinig of geen opstelruimte. We stellen vast dat de vrachtwagens met hun sleep over het fietspad rijden ter hoogte van de middenbermen. De breedtes zijn daar niet correct gedimensioneerd en houden onvoldoende rekening met de sleep van een oplegger. Ondanks dat de aansluiting met Mevrouw Courtmanspark overgedimensioneerd is, werd er niet voldoende ruimte voorzien voor de oversteek.</t>
  </si>
  <si>
    <t>KP/001618</t>
  </si>
  <si>
    <t>KS278 - R4 - Akker - Fase : 
Aan het kruispunt R4 - Akker wordt de oversteektijd als te kort ervaren. Met een kind van tien jaar is het als ouder onmogelijk dit kruispunt met veel vrachtverkeer en zonder rustpunt in één groenfase over te steken. Voetgangersoversteken ontbreken.</t>
  </si>
  <si>
    <t>Zelzate</t>
  </si>
  <si>
    <t>KS140 - N445 - Kruisstraat - Fase : studieresultaten 2021.
Onveilige situatie voor fietsers op het traject Kruisstraat – Overmere Kerk.
Op de schoolroutekaart tussen F5 en F6. 
Ontbreken van een oversteekplaats ter hoogte van de ingang van de kleuters in de Fortstraat. Op die locatie kan er ook een verbinding gemaakt worden met de achterliggende woonwijk.
(https://dms.oost-vlaanderen.be/download/d8d8dbe5-5c0c-4596-af2b-cffa2c8066b4/schoolroutekaart%20berlare_def.pdf)</t>
  </si>
  <si>
    <t>Berlare</t>
  </si>
  <si>
    <t>KS128 - N462 - Driehoekstraat/Molenhoekstraat - Fase : studieresultaten 2022.
Gevaarlijke oversteekplaats voor fietsers op een schoolroute</t>
  </si>
  <si>
    <t>Brakel</t>
  </si>
  <si>
    <t>KS127 - N8 - Heyveld - Fase : studieresultaten 2022.
Gevaarlijke oversteekplaats voor fietsers op een schoolroute</t>
  </si>
  <si>
    <t>KP/001614</t>
  </si>
  <si>
    <t>KS126 - N8 - Leizemooie/Abeelpad - Fase : 
Gevaarlijke oversteekplaats voor fietsers op een schoolroute</t>
  </si>
  <si>
    <t>Geen oplossing mogelijk</t>
  </si>
  <si>
    <t>KS080 - N16 - Doornstraat - Fase : 
Het kruispunt Doornstraat / N16 krijgt ook een hoog aandeel fietsers te verwerken die op weg zijn tussen Temse en Sint-Niklaas.  De fietspaden langs de N16 worden in beide richtingen gebruikt, omdat de gewestweg moeilijk over te steken is, maar zijn ingericht als eenrichtingsfietspaden.</t>
  </si>
  <si>
    <t>Temse</t>
  </si>
  <si>
    <t>KS032 - N444 - N415 Staatsbaan - Fase : studieresultaten 2022.
Dubbelrichtingsfietspad snijdt een druk kruispunt waar 70km/uur mag gereden worden. Fietsers moeten hier heel snel oversteken en goed uitkijken.</t>
  </si>
  <si>
    <t>Gavere</t>
  </si>
  <si>
    <t>KS833 - N442 - Meirveld - Fase : studieresultaten 2021.
Veel oversteekbewegingen richting GOB De Kleine Prins</t>
  </si>
  <si>
    <t>KP/001610</t>
  </si>
  <si>
    <t>KS832 - N442 - Fase :
Ter hoogte van Hoogstraat 115 komt een verharde trage weg uit op de gewestweg die frequent gebruikt wordt door fietsers. De trage weg komt van hogeraf en neemt net voor het aansluit met de gewestweg N442 een duik. Ter hoogte van die knik naar beneden is de trage weg maar 1,4 meter breed en is er geen afsluiting.</t>
  </si>
  <si>
    <t>Werken door derden</t>
  </si>
  <si>
    <t>KS827 - N46 - wijk Riedekens - Fase : 
Prioriteit 2. De wegmarkeringen die de oversteekplaats begeleiden zijn niet meer goed zichtbaar. Het pad langs de Riedekensbeek herstellen en verbeteren.</t>
  </si>
  <si>
    <t>KP/001608</t>
  </si>
  <si>
    <t>KS825 - N46 - Boslos - Fase :
Prioriteit 2. Fietsers die wachten in Boslos hebben een slechte zichtbaarheid op het kruisend verkeer waardoor ze niet voldoende goed kunnen inschatten wanneer oversteken veilig kan.</t>
  </si>
  <si>
    <t>KP/001607</t>
  </si>
  <si>
    <t>KS824 - N46 - Steenbakkersstraat - Fase : 
Prioriteit 2. De oversteekplaats is een belangrijke oversteekplaats voor voetgangers en fietsers. Voor fietsers richting centrum via de trage weg in de spoorwegberm.</t>
  </si>
  <si>
    <t>KS823 - N46 - Monseigneur Lambrechtstraat/Sleegstraat - Fase :
Prioriteit 2. Fietsoversteek van enkelrichtingsfietspad naar dubbelrichtingsfietspad wordt als onveilig ervaren.</t>
  </si>
  <si>
    <t>KS822 - N46 - Lotharingenstraat - Fase : studieresultaten 2021.
Prioriteit 1. Kruispunt met druk verkeer en veel afslagbewegingen waarbij de fietser die komt van de Lotharingenbrug richting Nederename zich niet zichtbaar kan opstellen. Geen veilige manier voor een fietser om van het verplichte fietspad zich te begeven in het voorsorteervak voor links.</t>
  </si>
  <si>
    <t>KS821 - N46 - Aalststraat - Fase :
Ter hoogte van de oversteekplaats is de staat van het wegdek niet meer goed. De wegmarkeringen die de oversteekplaats begeleiden zijn niet meer goed zichtbaar.</t>
  </si>
  <si>
    <t>KS820 - N46 - Rekkemstraat - Fase : 
Prioriteit 1. Ter hoogte van de oversteekplaats is de staat van het wegdek niet meer goed. De wegmarkeringen die de oversteekplaats begeleiden zijn niet meer goed zichtbaar.</t>
  </si>
  <si>
    <t>KP/001602</t>
  </si>
  <si>
    <t>KS816 - N43 - Paddenhoek - Fase :
fietsers steken er de gewestweg over, richting de recent ingerichte fietsstraat, zonder voorzieningen</t>
  </si>
  <si>
    <t>Sint-Martens-Latem</t>
  </si>
  <si>
    <t xml:space="preserve">bilateraal overleg is niet geblokkeerd
</t>
  </si>
  <si>
    <t>KS810 - N459 - N60 - Fase :
Prioriteit 1. Slechte zichtbaarheid voetgangers en fietsers. Geen veilige voetgangers-voorzieningen in de nabijheid van dit oprittencomplex. De voetpaden stoppen na de brug van de N60 gepasseerd te zijn. Voetgangers worden gedwongen om over te steken langs de fietspaden.</t>
  </si>
  <si>
    <t>KP/001598</t>
  </si>
  <si>
    <t>KS845 - N456 - (tussen nr. 1 en 48) - Fase :
De Gentstraat is heden voorzien van een fietspad, maar er is geen enkel voetpad aanwezig terwijl dit dicht bij de school is en er een jonge wijk is (Koer) die niet ontsloten is met een voetpad naar school. Bedoeling is dat er aan de noordzijde van de N456 een looplijn (voetpad) wordt aangelegd op de plaats waar heden kasseien liggen, en aan de zuidzijde er parkeerplaatsen worden aangelegd.</t>
  </si>
  <si>
    <t>Kaprijke</t>
  </si>
  <si>
    <t>KP/001597</t>
  </si>
  <si>
    <t>KS750 - N43 - Kapellestraat/Pontstraat - Fase :
veiligheid en oversteekbaarheid van de N43, indraaien Kapellestraat bemoeilijkt wegens smalle aansluiting.</t>
  </si>
  <si>
    <t>Zulte</t>
  </si>
  <si>
    <t>KP/001596</t>
  </si>
  <si>
    <t>KS749 - N43 - Fase : 
gemengd verkeer in de ventweg (kant vrije basisschool Zulte) waarbij er conflicten zijn tss wagens, fietsers, voetgangers,...</t>
  </si>
  <si>
    <t>Geen link met awv infrastructuur</t>
  </si>
  <si>
    <t>KP/001595</t>
  </si>
  <si>
    <t>KS748 - N459 - Fase :
verbinding voor voetgangers tss parking Kreupelstraat en ontmoetingscentrum, overstekende voetgangers richting schoolomgeving,...</t>
  </si>
  <si>
    <t>KS747 - schoolomgevingen - Fase : 
Vraag om aan elke schoolomgeving een regenboog-oversteekplaats aan te brengen. Het schepencollege zal dit doen op gemeentewegen, vraag is om dit ook voor de schoolomgevingen langs de gewestwegen te doen. Het gaat om Campus Kompas langs de Noordlaan en Eureka langs Kapellendries.</t>
  </si>
  <si>
    <t>Wetteren</t>
  </si>
  <si>
    <t>KS746 - schoolomgevingen - Fase :
Vraag om aan elke schoolomgeving een regenboog-oversteekplaats aan te brengen. Het schepencollege zal dit doen op gemeentewegen, vraag is om dit ook voor de schoolomgevingen langs de gewestwegen te doen. Het gaat om Campus Kompas langs de Noordlaan en Eureka langs Kapellendries.</t>
  </si>
  <si>
    <t>KP/001592</t>
  </si>
  <si>
    <t>KS745 - N43 - Fase :
Vraag tot het aanleggen van een gevleugeld zebrapad op de N43</t>
  </si>
  <si>
    <t>KS741 - N460 - (thv De Hazelaar) - Fase : studieresultaten 2021.
Momenteel is er geen enkele voorziening voor fietsers of voetgangers ter hoogte van de school. De omgeving is op geen enkele manier aangepast aan de aanwezigheid van een school. Een  aanpassing is derhalve aangewezen.</t>
  </si>
  <si>
    <t>Ninove</t>
  </si>
  <si>
    <t>KP/001590</t>
  </si>
  <si>
    <t>KS740 - N460 - (thv De Flapuit) - Fase :
Momenteel is er geen enkele voorziening voor fietsers of voetgangers ter hoogte van de school. De omgeving is op geen enkele manier aangepast aan de aanwezigheid van een school. Een  aanpassing is derhalve aangewezen.</t>
  </si>
  <si>
    <t>KS739 - N405 - Fase : studieresultaten 2021.
De huidige klassieke inrichting van het zebrapad is niet ideaal en leidt indirect ook tot een chaotische verkeerssituatie op de gewestweg.</t>
  </si>
  <si>
    <t>KS738 - N405 - Snoekgrachtweg - Fase : studieresultaten 2022.
Ter hoogte van de Snoekgrachtweg werd bij de herinrichting van de Albertlaan een fietsoversteekplaats aangelegd, maar uit de praktijk blijkt dat de dimensionering van de oversteekplaats te wensen over laat. De ruimte tussen de twee eilanden is voor fietsers te klein om zich te kunnen opstellen (zeker voor twee fietsers tegelijkertijd, wat toch een minimum is) en ook als fietsers elkaar op deze locatie willen kruisen is er onvoldoende ruimte. Bovendien zat er een fout in het ontwerp: de bajonet is verkeerd georiënteerd. Bij een bajonet-opstelling kijkt de fietser richting het aankomende verkeer, wat op de betrokken locatie niet het geval is in beide richtingen. Een aanpak van dit pijnpunt dringt zich dus sowieso op.</t>
  </si>
  <si>
    <t>KS736 - N47 - Korte Weverstraat - Fase :
Bij het uitdraaien van de Korte Weverstraat staan haaientanden en verplicht rechts afslaan. Men moet het fietspad met dubbele richting kruisen. Dit zorgt voor jaarlijkse verkeersongevallen doordat besturen enkel naar rechts kijken en fietsers van links niet zien komen.</t>
  </si>
  <si>
    <t>Lebbeke</t>
  </si>
  <si>
    <t>KS735 - N47 - Flor Hofmanslaan - Fase : studieresultaten 2022.
Veilig oversteken voor voetgangers is niet mogelijk door een gebrek aan zebrapaden. Voetgangers kunnen niet veilig oversteken richting de handelszaken.</t>
  </si>
  <si>
    <t>KS732 - N47 - Lindelaan - Fase :
De belijning is volledig vergaan. Het rondpunt is een essentiële schakel voor het fietsverkeer naar de Dendermondse scholen. In 2019 gebeurde er nog een zwaar verkeersongeval met een fietser</t>
  </si>
  <si>
    <t>KS731 - N47 - Fase :
Op het stuk tussen de rotonde en de Brusselsesteenweg liggen er reeds fietssuggestiestroken. De ervaringen van zowel gebruikers als bewoners zijn positief. De gewestweg is op dit punt relatief smal. Het invoeren van fietssuggestiestroken zal de snelheid van het autoverkeer verlagen.</t>
  </si>
  <si>
    <t>KP/001583</t>
  </si>
  <si>
    <t>KS704 - N42 - Fase :
2. Slechte toestand van de smalle fietspaden langsheen de Groteweg (vanaf heraangelegde dorpskern tot grens met Wallonië) gecombineerd met het grote aantal vrachtwagens</t>
  </si>
  <si>
    <t>grote ingreep te plannen</t>
  </si>
  <si>
    <t>KP/001582</t>
  </si>
  <si>
    <t>KS703 - N42 - Fase :
1.  Uitrit/oprit Colruyt: de in/uitrit is hier zeer breed, komt bij afslaande bewegingen soms tot conflicten met fietsers op het fietspad</t>
  </si>
  <si>
    <t>bilateraal overleg is niet geblokkeerd</t>
  </si>
  <si>
    <t>KS701 - N42 - Felicien Cauwelstraat - Fase :
De Felicien Cauwelstraat vormt de verbinding voor schoolgaande kinderen tussen de naburige gemeente Lierde en de secundaire scholen in het centrum van Geraardsbergen.
De fietsers kunnen hier oversteken als voetganger maar de meesten steken gewoon over waardoor vaak conflicten optreden met verkeer op de afslagstroken.
Bovendien maken schoolgaande kinderen overdag continu de oversteekbeweging van het centrum richting de sportinfrastructuur in de Felicien Cauwelstraat.</t>
  </si>
  <si>
    <t>KS700 - N42 - Molendreef - Fase :
We willen de schoolgaande jeugd zoveel mogelijk stimuleren om ook de naschoolse activiteiten met de fiets te doen.  In de Molendreef ligt sportinfrastructuur die op termijn wellicht nog zal uitbreiden.  Het lokaal bestuur zal van de Molendreef een fietsstraat maken op de verplaatsingen met de fiets te stimuleren.  Momenteel is er echter geen oversteek aanwezig die het stadscentrum met de sportinfrastructuur verbindt.</t>
  </si>
  <si>
    <t>KS699 - N460 - Fase :
3. Kruispunt Hollestraat/N460: zelfde als punt 2: tweerichtingsfietspad, maar greppel + boordsteen.</t>
  </si>
  <si>
    <t>KS698 - N460 - Fase :
2. kruispunt N460/Godsbergstraat: langsheen de N460 ligt een (smal) tweerichtingsfietspad dat gebruikt worden door kinderen die vanuit Smeerebbe met de fiets richting centrum Geraardsbergen willen rijden (via Jonkersveld-Schendelbeke).  De combinatie van de greppel met de boordsteen ter hoogte van het fietspad, maakt het voor kinderen die vanuit de Godsbergstraat komen niet evident om het fietspad te nemen aan de overzijde van de N460.</t>
  </si>
  <si>
    <t>KS694 - N8 - Fase :
2. Fietsoversteek ter hoogte van het kruispunt Waterloos/N8, gecombineerd met verlaging van de boordsteen: het jeugdhuis is opnieuw opgestart (ligt momenteel stil door coronamaatregelen).  Vanuit het jeugdhuis stimuleren ze de jongeren om zoveel mogelijk met de fiets te komen, zo hebben ze onder andere een fietsenstalling voorzien, een veilige oversteekmogelijkheid op dit kruispunt zou het gebruik van de fiets nog meer stimuleren.</t>
  </si>
  <si>
    <t>KS693 - N8 - Fase :
1. De school is niet zichtbaar vanaf de gewestweg (school gelegen in Kuregoed), de kinderen komen bijna allemaal via de gewestweg naar school, dit zowel te voet, met de fiets als met de auto.</t>
  </si>
  <si>
    <t>KS690 - N495 - N496 - Fase :
5. kruispunt N496/N495: fietspad in rood aanduiden ter hoogte van het kruispunt van de gewestwegen gecombineerd met gesignaleerde oversteek voor fietsers
De schoolomgevingen ter hoogte van Vianeplein en Zikastraat/Atembekestraat/Willem Van Moerbekeplein én het kruispunt Gentsestraat/Zonnebloemstraat zijn prioritair.</t>
  </si>
  <si>
    <t>KS689 - N495 - Fase :
3. Ter hoogte van station Moerbeke, fietspad over kruispunt N272/N495 in rood aanduiden
4. Dit kruispunt verbindt twee afdelingen van scholen via een trage verbinding: vraag tot aanduiden van de aanwezigheid van vele trageweggebruikers, accentueren van de oversteekplaats bvb. door middel van bi-flash, de trage verbinding komt uit tussen twee zebrapaden, één van de zebrapaden is onvoldoende verlicht en niet aangeduid door middel van verkeersborden, het fietspad ter hoogte van kruispunt Willem Van Moerbekestraat/N495 accentueren in rood, idem ter hoogte van Zikastraat/Atembekestraat - aanduiden 'schoolzone' ter hoogte van beide kruispunten zodat het voor de bestuurders duidelijker is dat er zeer veel passage is van schoolkinderen
De schoolomgevingen ter hoogte van Vianeplein en Zikastraat/Atembekestraat/Willem Van Moerbekeplein én het kruispunt Gentsestraat/Zonnebloemstraat zijn prioritair.</t>
  </si>
  <si>
    <t>KS683 - N42 - Fase :
1. Het voet- en fietspad zijn in dezelfde kleur klinkers uitgevoerd (vanaf Kasteelstraat tot Verbondenenstraat), daardoor is het onduidelijk waar de fietser moet rijden.
2. Geen aanduiding fietsoversteek ter hoogte van het kruispunt Verbondenenstraat/Groteweg/Burgstraat + inrichten van een vaste zone 30 ter hoogte van de school.  Het lokaal bestuur investeert momenteel in het creëren van een veilige fietsverbinding tussen de deelgemeentes Zarlardinge en Goeferdinge en het centrum en zal daartoe onder andere fietsstraten inrichten in de Verbondenenstraat en Burgstraat.  Het fietsverkeer zal ter hoogte van dit kruispunt dus toenemen.</t>
  </si>
  <si>
    <t>KS682 - N454 - Fase :
Op de volledige gewestweg N454 is op het grondgebied van onze gemeente geen fietspad of alternatief. Vooral tussen de Ketse en de lagere school, komen elke ochtend verschillende fietsers alleen of in kleine groepjes naar de school. De ‘Ketse’ is namelijk een trage verbindingsweg met de andere dorpskern én met de kleutercampus van dezelfde school. Eens men de Ketse uitkomt op de N454, is er slechts een  voetpad om van aan dit punt naar de school te gaan. Dit voetpad wordt door jonge fietsers soms gebruikt bij gebreke aan een fietspad, maar het is op bepaalde plaatsen zelfs te smal om met de fiets aan de hand te kunnen passeren.</t>
  </si>
  <si>
    <t>Horebeke</t>
  </si>
  <si>
    <t>KS664 - N411 - Fase : studieresultaten 2022.
Fietsers die vanaf Moorsel dorp de Raymond Uyttersprotstraat in willen, hebben slecht zicht. Ze zien auto's door de hoge snelheid niet naderen van achter de bocht. Omgekeerd geldt dit minder</t>
  </si>
  <si>
    <t>KP/001570</t>
  </si>
  <si>
    <t>KS663 - N411 - Fase :
1. Veel kinderen (er wordt een rang georganiseerd vanuit de school) worden elke ochtend en avond van het rustoord naar de school gebracht en omgekeerd. Dit gebeurt via een trage weg waar vroeger een zebrapad lag en na werken geen meer werd voorzien. Deze oversteekplaats ligt net buiten zone 30 waar je 50 per uur mag rijden. 
2. onveilige en onduidelijke overgang van fietspad naar gemengde situatie
3. te hoge snelheid door onduidelijke overgang zone 50 naar zone 30</t>
  </si>
  <si>
    <t>KS662 - N9 - Fase :
Onveilige fietspaden langs de N9 met kruisende straten</t>
  </si>
  <si>
    <t xml:space="preserve">Bundelbestek: Structureel onderhoud N41 (rijweg + fietspaden)
Fietsrelance:
- Structureel Onderhoud - conforme fietspaden in Berlare op N467  2.76 - 6.56
- Structureel Onderhoud - bijna conforme fietspaden in Aalst op N9  27.1 - 28.5
- Structureel Onderhoud - fietspaden in Aalst op N405  0.0 - 1.8
- Structureel Onderhoud - conforme fietspaden in Aalst op N405  3.1 - 4.5
</t>
  </si>
  <si>
    <t>KS660 - N9 - Arbeidstraat/Marktweg - Fase :
Deze oversteek wordt door scholieren vanuit Nieuwerkeren en Mere gebruikt om de scholencluster in het centrum van Aalst via een geprefereerde fietsroute te gebruiken. De oversteek over de N9, zonder lichten, is ongeveer 23 m breed.</t>
  </si>
  <si>
    <t>KP/001567</t>
  </si>
  <si>
    <t>KS638 - N444 - Lembergsesteenweg - Fase :
Kruispunt is moeilijk over te steken gezien drukke stroom op Hundelgemsesteenweg. Plaats van trage weggebruiker is niet voldoende duidelijk. Nochtans belangrijke fietsroute met opnieuw 2 lagere scholen en 1 middelbare school binnen straal van 500 meter</t>
  </si>
  <si>
    <t>Merelbeke</t>
  </si>
  <si>
    <t>bilateraal overleg, niet geblokkeerd</t>
  </si>
  <si>
    <t>KS637 - N444 - Poelstraat/Potaardeberg - Fase :
Het kruispunt is momenteel onoverzichtelijk en gevaarlijk voor fietsers, en is één van de drukste in de gemeente. Binnen een straal van 500meter liggen 2 lagere scholen en een middelbare school</t>
  </si>
  <si>
    <t>KP/001565</t>
  </si>
  <si>
    <t>kS636 - N444 - Kloosterstraat - Fase :
Oversteekbaarheid zeer moeilijk op drukke weg, gebruikers van zijstraten die over willen steken zijn niet voldoende zichtbaar voor hoofdas Hundelgemsesteenweg. Ook hier verschillende schoolomgevingen in nabijheid.</t>
  </si>
  <si>
    <t>KP/001564</t>
  </si>
  <si>
    <t>KS635 - N444 - R4 - Fase :
De kruising van de het fietspad met de op en afrit beveiligen</t>
  </si>
  <si>
    <t>KS634 - N444 - Guldensporenlaan - Fase : 
Dode hoek Fietser rijdt onbeschermd een drukke rotonde op</t>
  </si>
  <si>
    <t>KP/001562</t>
  </si>
  <si>
    <t>KS633 - N444 - Zwijnaardsesteenweg - Fase :
Dode hoek Fietser rijdt onbeschermd een drukke rotonde op</t>
  </si>
  <si>
    <t>KP/001561</t>
  </si>
  <si>
    <t>KS626 - N60 - Fase :
geen veilige oversteekplaats naar Nukerke dorp (aanwezigheid school), over N60</t>
  </si>
  <si>
    <t>Maarkedal</t>
  </si>
  <si>
    <t>KS625 - N454 - Fase : 
afwezigheid fietspad</t>
  </si>
  <si>
    <t>Fietssuggestiestroken aanbrengen;
Op school met toegang langs de Hofveldstraat (gewestweg) alsook Kolpaarstraat (gemeenteweg)</t>
  </si>
  <si>
    <t>KP/001559</t>
  </si>
  <si>
    <t>KS624 - N454 - Fase :
te hoge snelheden van autobestuurders</t>
  </si>
  <si>
    <t>KP/001558</t>
  </si>
  <si>
    <t>KS614 - N454 - Fase :
te hoge snelheden van autobestuurders</t>
  </si>
  <si>
    <t>KP/001557</t>
  </si>
  <si>
    <t>KS613 - N457 - Fase :
te hoge snelheden van autobestuurders
School (Maarkeweg nr. 61)</t>
  </si>
  <si>
    <t>KS600 - N35 - Fase :
De oversteek van de Volhardingslaan, op de doorsteek tussen Centrumlaan en Velostraat, zou beveiligd moeten worden.</t>
  </si>
  <si>
    <t>Deinze</t>
  </si>
  <si>
    <t>KP/001555</t>
  </si>
  <si>
    <t>KS597 - N35 - (school Erasmus) - Fase :
De ingang van een school rechtstreeks op de gewestweg zorgt niet enkel voor gevaarlijke situaties, maar ook voor een duidelijke impact op de doorstroming.</t>
  </si>
  <si>
    <t>KS592 - N35 - Ten Rodelaan - Fase :
Te korte groentijd voor voetgangers en fietsers</t>
  </si>
  <si>
    <t>KP/001553</t>
  </si>
  <si>
    <t>KS586 - N70 - Weverstraat - Fase :
gebrek visibiliteit fietser, oversteekbaarheid moeilijk (te veel intensiteiten) + fietsers rijden in tegengestelde richting tot aan oversteek</t>
  </si>
  <si>
    <t>KP/001552</t>
  </si>
  <si>
    <t>KS574 - N445 - Fase : 
De 3 variabele zoneborden op de Donklaan die de schoolomgeving van VBS De Duizendpoot aanduiden zijn al een hele tijd buiten werking. Er werd door AWV beloofd deze in het najaar van 2020 te vervangen, maar tot op heden gebeurde dit niet. Het zou nu op de planning staan voor 2021. Het college vraagt om deze borden met spoed weer in werking te stellen. Op de schoolroutekaart van Berlare is dit de omgeving rond het punt F4 (https://dms.oost-vlaanderen.be/download/d8d8dbe5-5c0c-4596-af2b-cffa2c8066b4/schoolroutekaart%20berlare_def.pdf).</t>
  </si>
  <si>
    <t>KS567 - N9 - Oude Staatsbaan/Beke/Legevoorde - Fase : studieresultaten 2021.
oversteekplaats van/naar dorpskern Beke met een lagere school</t>
  </si>
  <si>
    <t>KS562 - N9 - Toekomststraat - Fase : studieresultaten 2021.
oversteek drukke gewestweg wordt als gevaarlijk ervaren tijdens de schoolspits (school in Toekomststraat (oude straatnaam: Verbindingsweg))</t>
  </si>
  <si>
    <t>KS531 - N70 - Bosdreef - Fase :
De verkeerslichten aan de Bosdreef blijven vragen genereren. Vooral het steunlicht met de parking aan Delhaize zorgt voor verwarring. Daarnaast ontbreekt er de mogelijkheid om rechtsaf door rood te fietsen wat op deze plaats veilig. Een afslagstrook ontbreekt voor verkeer in de richting van de Bosdreef.</t>
  </si>
  <si>
    <t>Lochristi</t>
  </si>
  <si>
    <t>KP/001548</t>
  </si>
  <si>
    <t>KS530 - N449 - Fase :
De school heeft een nieuw school in dienst genomen waardoor de ingang verplaatst is. Ook werd er een dynamische zone 30 ingevoerd. Met aanpassing van de markering werd een zebrapad gerealiseerd ter hoogte van de nieuwe uitgang. Voertuigen parkeren haaks in deze omgeving en vanuit de school is er de vraag om op deze zone een kiss&amp;ride zone met langsparkeerplaatsen in te richten.</t>
  </si>
  <si>
    <t>KS529 - N419 - Kemphoekstraat - Fase : studieresultaten 2021.
Kruispunt Kemphoekstraat-Kruibekestraat geen oversteekplaats voor jongeren van onze secundaire school</t>
  </si>
  <si>
    <t>Kruibeke</t>
  </si>
  <si>
    <t>KP/001546</t>
  </si>
  <si>
    <t>KS528 - N419 - Fase :
Centrum Kruibeke geen fietspad</t>
  </si>
  <si>
    <t>KS527 - N419 - Camille Huysmansstraat - Fase :
Oversteek plaats Bazelstraat Camille-Huysmanstraat te weinig verlicht en hier wordt er veel overgestoken door lagere school en kleuterleerlingen van 3 basisscholen</t>
  </si>
  <si>
    <t>Plaatsen punctuele verlichting en kleine aanpassing aan oversteek volgens rapport;
Op Oversteek plaats Bazelstraat Camille-Huysmanstraat</t>
  </si>
  <si>
    <t>KS523 - N70 - Schoolstraat - Fase : studieresultaten 2021.
Vanuit de gemeenteschool (meer dan 700 leerlingen) kregen we volgende vraag: "Graag geven wij de suggestie om op de N70 ter hoogte van de Schoolstraat de oversteek veiliger te maken voor onze kinderen die te voet of per fiets naar school komen."  Ook was er een verkeersongeval op deze oversteekplaats welke aansluit op de fietsstraten zone Schoolstraat, Koning Boudewijnlaan, Koning-Albertlaan.</t>
  </si>
  <si>
    <t>KP/001543</t>
  </si>
  <si>
    <t>KS517 - N449 - Heistraat/Kasteelstraat - Fase :
De oversteekplaats komt steeds terug als knelpunt in elk overleg met de scholen. Er is vraag om deze oversteekplaats beter te beveiligen en te gaan accentueren. Een van de problemen is dat verkeer bij het binnenkomen van de bebouwde kom onvoldoende zich hiervan bewust is gezien er enkel een bord staat.</t>
  </si>
  <si>
    <t>KP/001542</t>
  </si>
  <si>
    <t>KS465 - N9 - N447 - Merelbekestraat - Fase :
Kruispunt moeilijk leesbaar voor fietsers</t>
  </si>
  <si>
    <t>KS462 - N465 - Ovenveldstraat - Fase : 
Oversteek beter beveiligen /zichtbaar maken (zoals zebrapadverlichting)</t>
  </si>
  <si>
    <t>KP/001540</t>
  </si>
  <si>
    <t>KS461 - N465 - Kouterslag - Fase :
Zeer gevaarlijke oversteek voor fietsers</t>
  </si>
  <si>
    <t>KS460 - N9 - (station Kwatrecht) - Fase : studieresultaten 2022.
Moeilijke oversteekbaarheid voor fietsers naar fietssnelweg richting Wetteren</t>
  </si>
  <si>
    <t>- Het aanbrengen van bijkomende signalisatie in de vorm van aanwijzingsborden zodat de te volgen fietsroute duidelijker wordt.
- Vernieuwen van de rode slemlagen op het kruispunt.</t>
  </si>
  <si>
    <t>KS458 - N9 - Fase : 
Slechte oversteekbaarheid ter hoogte van fietsdoorsteek Ringlaan</t>
  </si>
  <si>
    <t>KS453 - N9 - Zwaanhoeklos - Fase :
Oversteekbaarheid verbeteren voor fietsers</t>
  </si>
  <si>
    <t>KS450 - N9 - Fase : 
Momenteel olifantenpad naar jaagpad</t>
  </si>
  <si>
    <t>KP/001535</t>
  </si>
  <si>
    <t>KS449 - N447 - Fase : 
Moeilijke verbinding tussen Heusdenbaan en jaagpad (oversteekbaarheid Heusdenbaan)</t>
  </si>
  <si>
    <t>KS446 - N9 - Tuinstraat - Fase :
Oversteekbaarheid is een probleem</t>
  </si>
  <si>
    <t>* Nieuw middeneilanden te lijmen + inboren.
* 2 st nieuwe D1d (ø700)+ retroreflecterende kokers in verkeerseilanden.
* Kopse kanten verkeerseiland wit te schilderen.
* Eilanden opvullen met beton.</t>
  </si>
  <si>
    <t>KS445 - N447 - Oude Brusselse Weg - Fase :
Kruispunt niet overzichtelijk</t>
  </si>
  <si>
    <t>KP/001532</t>
  </si>
  <si>
    <t>KS414 - N9 - Fase : studieresultaten 2022.
Schoolomgeving PSBLO Kiempunt en toegang Het Leen (provinciaal domein).
In de omgeving is ook een bushalte.
Er is geen voetpad op N9.</t>
  </si>
  <si>
    <t>Eeklo</t>
  </si>
  <si>
    <t>in onderzoek</t>
  </si>
  <si>
    <t>KS413 - N9 - Fase :
De stad Eeklo is een scholenstad waar veel scholieren met het openbaar vervoer naar de school komen. Het station van Eeklo is dan ook een knooppunt van trein - bussen - deelfietsen (er staat  ook een deelauto) en ligt aan N9 - Koningin Astridplein.
Langs het spoor ligt aan beide kanten een fietspad - fietssnelweg.
Deze fietspaden worden veel gebruikt door scholieren, ook voor functioneel als recreatief fietsen.
De vele scholieren (College Onze Lieve Vrouw ten Doorn) die het openbaar vervoer nemen, komen via de Zuidmoerstraat en moeten N9 oversteken.
De vele scholieren die de fietssnelweg gebruiken moeten  het kruispunt N9 - Oostveldstraat oversteken.</t>
  </si>
  <si>
    <t>valt binnen groter project</t>
  </si>
  <si>
    <t>KP/001530</t>
  </si>
  <si>
    <t>KS412 - N434 - Fase :
Boelare - Blommekens ligt binnen de bebouwde kom. Het is een lange, rechte weg waar snelheid kan gehaald worden.De schoolomgeving Freinet is een vaste zone-30. In de onmiddellijke omgeving is er de oversteekplaats van de fietssnelweg F42. Deze fietssnelweg wordt ook veel gebruikt door leerlingen.</t>
  </si>
  <si>
    <t>KP/001529</t>
  </si>
  <si>
    <t>KS411 - N455 - Fase :
N455 ligt binnen de bebouwde kom van Balgerhoeke. Het is een lange, rechte weg waar toch snelheid kan gehaald worden.  De kleuters en lagere schoolkinderen van Sint-Anthonius komen hier naar de kinderopvang. In het kader van duurzame verplaatsingen worden de verplaatsingen te voet  of met een e-bakfiets gedaan.</t>
  </si>
  <si>
    <t>KS410 - N455 - Pastoor Bontestraat - Fase :
Schoolomgeving Sint-Anthonius, Balgerhoeke
In het verleden is het kruispunt N455 - Pastoor Bontestraat samen met lokale politie, AWV, school, oudercomité en Vlaamse Waterweg besproken. Dit kruispunt/knelpunt met oversteekplaats van Pastoor Bontestraat ligt in een bocht waardoor het zicht op de oversteekplaats en het aankomende verkeer van Sint-Laureins nauwelijks zichtbaar is. 
Aan het zebrapad N455 - kerkplein zijn plantvakken en parkeerplaatsen. De zichtbaarheid op het zebrapad kan beter, aanbrengen van een gevleugeld zebrapad.
Momenteel komt het zwaar vervoer van Sint-Laureins door de dorpskern van Balgerhoeke.</t>
  </si>
  <si>
    <t>KS409 - N456 - Fase : 
De inplanting van de bushalte aan het kruispunt Mariapolderdijk/Ketterijstraat is gevaarlijk voor de overstekende kinderen. De bushalte is gelegen net na de bocht en de zichtbaarheid bij het oversteken is zeer twijfelachtig. Een buurtbewoner heeft dit reeds meermaals opgemerkt wanneer scholieren de gewestweg willen oversteken gaande naar of komende van de bushalte. De bushalte werd op deze locatie ingepland omdat ze geen nabije bewoning is in de Ketterijstraat.</t>
  </si>
  <si>
    <t>Sint-Laureins</t>
  </si>
  <si>
    <t>KP/001526</t>
  </si>
  <si>
    <t>KS408 - N455 - Rommelsweg - Fase : 
Gevaarlijk oversteekpunt voor de fietsers kruispunt Leemweg/Rommelsweg. Onveilig voor de fietsers die van de oostkant komen en moeten oversteken om naar school te rijden via de Rommelsweg en Kloosterdreef.</t>
  </si>
  <si>
    <t>KP/001525</t>
  </si>
  <si>
    <t>KS406 - N434 - N455 - Fase : 
De Moerstraat en de Leemweg zijn drukke banen. Heel wat kinderen rijden met de fiets naar school. De automobilisten rijden te snel en moeten opmerkzaam gemaakt worden van de schoolomgeving om trager te rijden.</t>
  </si>
  <si>
    <t>KP/001524</t>
  </si>
  <si>
    <t>KS405 - N434 - N455 - Fase :
De Moerstraat en de Leemweg zijn drukke banen. Heel wat kinderen rijden met de fiets naar school. De automobilisten rijden te snel en moeten opmerkzaam gemaakt worden van de schoolomgeving om trager te rijden.</t>
  </si>
  <si>
    <t>KS404 - N455 - Fase :
In de Leemweg in Sint-Laureins bevindt zich ook de uitgang van de basisschool De Regenboog. Een drukke baan waar veel kinderen oversteken om naar school te gaan. De schoolomgeving is niet goed zichtbaar.</t>
  </si>
  <si>
    <t>KS402 - N434 - Fase : 
De uitgang van Basisschool de Springplank in De Moerstraat is een zeer drukke straat en gevaarlijk om over te steken voor de kinderen.</t>
  </si>
  <si>
    <t>KS393 - N460 - Krakeelstraat - Fase : studieresultaten 2021.
Gevaarlijk en onoverzichtelijk kruispunt - moeilijk te passeren kruispunt - gevaarlijk kruispunt</t>
  </si>
  <si>
    <t>KS376 - N494 - Zonnestraat - Fase : 
Rond de Zonnestraat liggen enkele wijken met jonge kinderen. Als die kinderen te voet of met de fiets naar de school in Wortegem willen, kunnen zij niet veilig oversteken aan de Zonnestraat. Recht tegenover de Zonnestraat is een trage weg langs waar ze richting school kunnen wandelen of fietsen.</t>
  </si>
  <si>
    <t>Wortegem-Petegem</t>
  </si>
  <si>
    <t>Aanleg fietssuggestiestroken;
Aanpassing wegbeeld (gevat in ks 375).</t>
  </si>
  <si>
    <t>KS375 - N494 - Fase : 
Op deze belangrijke schoolroute voor de kinderen van Wortegem is er geen volwaardig fietspad.</t>
  </si>
  <si>
    <t>KS374 - N494 - Fase :
Zone 30 start pas aan het begin van de Waregemseweg, hierdoor komt het verkeer van de Anzegemseweg op een hoge snelheid de dorpskern ingereden langs waar lagere schoolkinderen naar school fietsen en wandelen.</t>
  </si>
  <si>
    <t>KP/001517</t>
  </si>
  <si>
    <t>KS373 - N459 - Ooikeplein - Fase :
GESCHRAPT VOOR AWV : Vanuit het Ooikeplein komen wandelaars, fietsers en schoolgaande jeugd via een trage weg tot bij de bushalte aan de Deinzestraat waar heel wat middelbare scholieren de bus nemen naar Oudenaarde of Deinze. Ze kunnen echter niet veilig de Deinzestraat oversteken.</t>
  </si>
  <si>
    <t>KS372 - N453 - Petegemplein - Fase : 
Schoolgaande jeugd maar ook wandelaars, fietsers en passagiers van De Lijn hebben geen zebrapad om de drukke Kortrijkstraat over te steken. Dit deel van de Kortrijkstraat bevindt zich in de bebouwde kom van Petegem.</t>
  </si>
  <si>
    <t>KS371 - N449 - Fase : studieresultaten 2021
missing link naar Pottershoek + veilige oversteek</t>
  </si>
  <si>
    <t>Wachtebeke</t>
  </si>
  <si>
    <t>KS370 - N449 - Overledebrug - Fase :
fietser komen ter hoogte van deze bottleneck in de verdrukking:vanuit Zaffelare blokkeren de wachtende auto’s de fietspaden (aan rechterzijde van de wagen). Stopstreep staat te dicht op de in- en uitrit van de brug. Samenkomst verkeer vanuit verschillende richtingen (fiets- wandel en gemotoriseerd verkeer). Onzichtbaarheid van verkeer komende van langs de waterweg.</t>
  </si>
  <si>
    <t>KS369 - N449 - Fase : 
Dorpskernherinrichting Wachtebeke: deze werken zijn aanbesteed. We vragen om dit plan nog eens grondig te screenen (nadruk op rugdekking bij de fietsers,...).</t>
  </si>
  <si>
    <t>KS368 - N449 - Fase : studieresultaten 2021
Overgang fietspaden naar fietssuggestiestroken. Vraag tot betere rugdekking voor de fietsers</t>
  </si>
  <si>
    <t>KS367 - N449 - Groenstraat - Fase : 
Zwakke weggebruikers worden ter hoogte van de gewestweg (Rechtstro) geconfronteerd met druk verkeer en moeten heel oplettend zijn bij het oversteken.</t>
  </si>
  <si>
    <t>Wegenwerken in de buurt</t>
  </si>
  <si>
    <t>Automatisch geblokkeerd omdat alle ingrepen zijn geblokkeerd</t>
  </si>
  <si>
    <t>KP/001510</t>
  </si>
  <si>
    <t>KS366 - N449 - Dr. Jules Persynplein - Fase : 
Zwakke weggebruikers worden ter hoogte van de gewestweg (Rechtstro) geconfronteerd met druk verkeer en moeten heel oplettend zijn bij het oversteken.</t>
  </si>
  <si>
    <t>KS365 - N449 - Melkerijstraat - Fase : 
Zwakke weggebruikers worden ter hoogte van de gewestweg (Rechtstro) geconfronteerd met druk verkeer en moeten heel oplettend zijn bij het oversteken.</t>
  </si>
  <si>
    <t>KP/001508</t>
  </si>
  <si>
    <t>KS364 - N449 - Fase :
Het budget ligt vast via Module 13, maar het project zit vast door problemen met het huidige studiebureau. Er is ondertussen een dading opgemaakt. Samen met AWV en onze rioolbeheerder wordt gekeken naar de aanstelling van een nieuw studiebureau. Maar deze aanstelling verloopt ook niet vlot. We hopen dat dit administratief knelpunt snel kan worden opgelost.</t>
  </si>
  <si>
    <t>Geen akkoord met derden</t>
  </si>
  <si>
    <t>KS363 - N449 - Fase : 
Missing link fietspad doorheen het Kloosterbos naar Zelzate (Ocas-rotonde). Er werd een deel van de fietssnelweg F41 aangelegd tussen Langelede en Walderdonk. Deze fietssnelweg stopt aan Walderdonk. Er is een project voorzien (Module 13) om fietspaden aan te leggen langsheen de N449. Maar door problemen met het studiebureau zit dit dossier vast. Er zou echter op korte termijn op een eenvoudige (toch duurzame) manier wel semi-verharding kunnen worden aangelegd (langsheen de gewestweg) om deze aansluiting te realiseren. Dit zou echt een enorme meerwaarde zijn voor schoolgaande jeugd (in de richting van Zelzate).</t>
  </si>
  <si>
    <t>KS352 - N436 - Kriekerijstraat/Elsburgstraat - Fase : studieresultaten 2022.
Gevaarlijk kruispunt met beperkte zichtbaarheid in de omgeving van de school. Veel fietsers en overstekende schoolkinderen op dit kruispunt.</t>
  </si>
  <si>
    <t>KS351 - N448 - Fase : 
Zichtbaarheid toegang naar de school</t>
  </si>
  <si>
    <t>KS350 - N448 - Fase :
Zichtbaarheid schoolomgeving en toegang naar de school.</t>
  </si>
  <si>
    <t>KS349 - N458 - Fase : 
Zichtbaarheid school en toegang naar de school.</t>
  </si>
  <si>
    <t>KS348 - N436 - Fase : 
Zichtbaarheid schoolomgeving en toegang naar de scholen. (Vrije Basisschool 't Ooievaarsnest en GO! De Wegwijzer)</t>
  </si>
  <si>
    <t>KS347 - N436 - Fase : 
Zichtbaarheid schoolomgeving en toegang naar de school.</t>
  </si>
  <si>
    <t>KS337 - N48 - Fase :
1+2+3+4+5: onvoldoende verlichting thv zebrapaden op Glorieuxlaan thv St.Ambrosiusstraat, bushokje (fietsingang school), Wolvestraat, op Bruul net voor rondpunt (1), op Kruisstraat thv Voorzieningheidsstraat en Libbrechtstraat (2), op Zonnestraat thv Klijpeschool (3), op Elzeelsesteenweg thv Sint-Antonius/Paterskerk (4), op Ninoofsesteenweg thv Vesaliusinstituut (5)
2: voetgangers die van plan zijn om over te steken weinig zichtbaar voor automobilisten door geparkeerde voertuigen (zebrapad thv Libbrechtstraat wordt zowel gebruikt door kinderen van O.Decrolyschool in Kruisstraat alsook voor de scholen langs de Glorieuxlaan die via trage weg in verlengde van LIbbrechtstraat bereikbaar zijn voor voetgangers en fietsers)</t>
  </si>
  <si>
    <t>Ronse</t>
  </si>
  <si>
    <t>KS336 - N57 - Fase : 
1+2+3+4+5: onvoldoende verlichting thv zebrapaden op Glorieuxlaan thv St.Ambrosiusstraat, bushokje (fietsingang school), Wolvestraat, op Bruul net voor rondpunt (1), op Kruisstraat thv Voorzieningheidsstraat en Libbrechtstraat (2), op Zonnestraat thv Klijpeschool (3), op Elzeelsesteenweg thv Sint-Antonius/Paterskerk (4), op Ninoofsesteenweg thv Vesaliusinstituut (5)
2: voetgangers die van plan zijn om over te steken weinig zichtbaar voor automobilisten door geparkeerde voertuigen (zebrapad thv Libbrechtstraat wordt zowel gebruikt door kinderen van O.Decrolyschool in Kruisstraat alsook voor de scholen langs de Glorieuxlaan die via trage weg in verlengde van LIbbrechtstraat bereikbaar zijn voor voetgangers en fietsers)</t>
  </si>
  <si>
    <t>KS335 - N36 - Fase : 
1+2+3+4+5: onvoldoende verlichting thv zebrapaden op Glorieuxlaan thv St.Ambrosiusstraat, bushokje (fietsingang school), Wolvestraat, op Bruul net voor rondpunt (1), op Kruisstraat thv Voorzieningheidsstraat en Libbrechtstraat (2), op Zonnestraat thv Klijpeschool (3), op Elzeelsesteenweg thv Sint-Antonius/Paterskerk (4), op Ninoofsesteenweg thv Vesaliusinstituut (5)
2: voetgangers die van plan zijn om over te steken weinig zichtbaar voor automobilisten door geparkeerde voertuigen (zebrapad thv Libbrechtstraat wordt zowel gebruikt door kinderen van O.Decrolyschool in Kruisstraat alsook voor de scholen langs de Glorieuxlaan die via trage weg in verlengde van LIbbrechtstraat bereikbaar zijn voor voetgangers en fietsers)</t>
  </si>
  <si>
    <t>KS334 - N60b - Fase :
1+2+3+4+5: onvoldoende verlichting thv zebrapaden op Glorieuxlaan thv St.Ambrosiusstraat, bushokje (fietsingang school), Wolvestraat, op Bruul net voor rondpunt (1), op Kruisstraat thv Voorzieningheidsstraat en Libbrechtstraat (2), op Zonnestraat thv Klijpeschool (3), op Elzeelsesteenweg thv Sint-Antonius/Paterskerk (4), op Ninoofsesteenweg thv Vesaliusinstituut (5)
2: voetgangers die van plan zijn om over te steken weinig zichtbaar voor automobilisten door geparkeerde voertuigen (zebrapad thv Libbrechtstraat wordt zowel gebruikt door kinderen van O.Decrolyschool in Kruisstraat alsook voor de scholen langs de Glorieuxlaan die via trage weg in verlengde van LIbbrechtstraat bereikbaar zijn voor voetgangers en fietsers)</t>
  </si>
  <si>
    <t>KS333 - N48b - Fase : 
1+2+3+4+5: onvoldoende verlichting thv zebrapaden op Glorieuxlaan thv St.Ambrosiusstraat, bushokje (fietsingang school), Wolvestraat, op Bruul net voor rondpunt (1), op Kruisstraat thv Voorzieningheidsstraat en Libbrechtstraat (2), op Zonnestraat thv Klijpeschool (3), op Elzeelsesteenweg thv Sint-Antonius/Paterskerk (4), op Ninoofsesteenweg thv Vesaliusinstituut (5)
2: voetgangers die van plan zijn om over te steken weinig zichtbaar voor automobilisten door geparkeerde voertuigen (zebrapad thv Libbrechtstraat wordt zowel gebruikt door kinderen van O.Decrolyschool in Kruisstraat alsook voor de scholen langs de Glorieuxlaan die via trage weg in verlengde van LIbbrechtstraat bereikbaar zijn voor voetgangers en fietsers)</t>
  </si>
  <si>
    <t>KP/001495</t>
  </si>
  <si>
    <t>KS295 - N47 - N470 - Fase :
GESCHRAPT VOOR AWV : De fietsoversteken op het kruispunt moeten in 1 richting gebeuren. Dus stel dat je als fietser van Scheldebrug komt, moet je eerst over Grootzand, vervolgens over Zeelsebaan om dan naar de Scheldedijk/Scheldedreef te rijden. Je mag niet oversteken vanaf (zie google maps locatie).</t>
  </si>
  <si>
    <t>KS292 - N416 - Moleneinde - Fase : 
Fietsers komen via een fietssuggestiestrook uit op kruispunt Moleneinde met N416 maar worden aan het kruispunt niet begeleid om een veilige oversteekbeweging te maken. Er zijn momenteel ook geen verkeerslichten aanwezig die verkeer (gemotoriseerd of fietsverkeer) conflictvrij over de schoonaardebaan kan leiden.</t>
  </si>
  <si>
    <t>KS288 - N17 - Rosstraat - Fase : studieresultaten 2021.
Het fietspad op de Baasrodestraat stopt ter hoogte van de Rosstraat.</t>
  </si>
  <si>
    <t>KP/001492</t>
  </si>
  <si>
    <t>KS287 - N416 - Fase :
De Zandstraat blijft (ondanks de kleine verbetering met fietssuggestiestroken) een weg met te hoge verkeersintensiteiten (personenwagens en zwaar verkeer) voor gemengd verkeer. Een pasklare oplossing is er binnen dit beperkte straatprofiel niet.</t>
  </si>
  <si>
    <t>PPS DWV KS279 - R4 - Leegstraat - Fase :
Op het kruispunt R4 - Leegstraat wordt veel roodlicht-rijden vastgesteld. Voetgangersoversteekplaatsen zijn hier wel aanwezig, maar de oversteektijd/groentijd is kort.</t>
  </si>
  <si>
    <t>KS277 - R4 - Kerkstraat - Fase:
Op R4 t.h.v. de kruispunten Westkade, Oostkade, Grote Markt en Kerkstraat beschikken de fietspaden over een rode accent-slem-laag. Door het veelvuldig afslaand verkeer (waaronder zwaar vervoer en lijnbussen) is door de torsiekrachten deze slem veelal verdwenen.</t>
  </si>
  <si>
    <t>KS276 - R4 - Grote Markt - Fase :
Op R4 t.h.v. de kruispunten Westkade, Oostkade, Grote Markt en Kerkstraat beschikken de fietspaden over een rode accent-slem-laag. Door het veelvuldig afslaand verkeer (waaronder zwaar vervoer en lijnbussen) is door de torsiekrachten deze slem veelal verdwenen.</t>
  </si>
  <si>
    <t>KS275 - R4 - Oostkade - Fase :
Op R4 t.h.v. de kruispunten Westkade, Oostkade, Grote Markt en Kerkstraat beschikken de fietspaden over een rode accent-slem-laag. Door het veelvuldig afslaand verkeer (waaronder zwaar vervoer en lijnbussen) is door de torsiekrachten deze slem veelal verdwenen.</t>
  </si>
  <si>
    <t>KS274 - R4 - Westkade - Fase :
Op R4 t.h.v. de kruispunten Westkade, Oostkade, Grote Markt en Kerkstraat beschikken de fietspaden over een rode accent-slem-laag. Door het veelvuldig afslaand verkeer (waaronder zwaar vervoer en lijnbussen) is door de torsiekrachten deze slem veelal verdwenen.</t>
  </si>
  <si>
    <t>VRI: nieuwe installatie plaatsen;
Kanaalstraat x Westkade</t>
  </si>
  <si>
    <t>KP/001486</t>
  </si>
  <si>
    <t>KS273 - R4 - Zelzatebrug - Fase :
bij een brugdraai beschikken fietsers slechts over één schuilhuisje (type De Lijn). Bij slechte weersomstandigheden is dit volstrekt onvoldoende om een groot deel van de wachtenden op te vangen.</t>
  </si>
  <si>
    <t>KS271 - R4 - Zelzatebrug - Fase :
- De afslagstrook richting N474 Gent-Rieme bevindt zich nog steeds op gelijke hoogte met het rechtdoorgaand fietspad waardoor het risico bestaat op dodehoek-ongevallen en enige voorstart van de fietsers bij de groenfase volledig ontbreekt. 
- De huidige busstrook stopt ter hoogte van de kruising met de toerit naar de N474 Beneluxlaan en de weving van de bus met het andere verkeer gebeurt op het korte wegdeel voor de brug.</t>
  </si>
  <si>
    <t>PPS DWV KS269 - R4 - Koning Albertlaan/Emiel Caluslaan - Fase :
Op R4 t.h.v. het kruispunt Koning Albertlaan - Emiel Caluslaan hebben beide voetgangersoversteken geen accentverlichting terwijl er wel portieken aanwezig zijn. Deze oversteekplaats wordt veelvuldig gebruikt door voetgangers en afgestapte fietsers van/naar de nabijgelegen kleuterscholen/lager onderwijs.</t>
  </si>
  <si>
    <t>KS267 - R4 - N436 - Fase :
kwalitatieve en comfortabele fietspaden ontbreken waardoor schoolgaande fietsers zich moeten behelpen met het aanliggend betonstrookje als fietspad en bij het kruisen van de R4 niet kunnen beschikken over een duidelijk te volgen aangepaste route.</t>
  </si>
  <si>
    <t>KS266 - N436 - R4 - Fase :
kwalitatieve en comfortabele fietspaden ontbreken waardoor schoolgaande fietsers zich moeten behelpen met het aanliggend betonstrookje als fietspad en bij het kruisen van de R4 niet kunnen beschikken over een duidelijk te volgen aangepaste route.</t>
  </si>
  <si>
    <t>KS210 - N458 - Fase : 
Er ontbreekt een veilige, maar voornamelijk comfortabele voetgangersverbinding langs de Noordlaan (N458) tussen de Kloosterstraat en de Hoogstraat. De schooluitgang is gelegen in de Kloosterstraat. Via de Hoogstraat kan men de wijken bereiken aan de westzijde van de Oude Burggrave. De gemeente werkt aan betere voetpaden langs Hoogstraat en Oude Burggrave.</t>
  </si>
  <si>
    <t>Evergem</t>
  </si>
  <si>
    <t>KP/001480</t>
  </si>
  <si>
    <t>KS150 - N44 - Fase :
1. Parking die veel wordt gebruikt door ouders die hun kinderen afzetten en ophalen aan de school VBS De Kleiheuvel. 
2. Chaos op de parking, ondanks de afgebakende parkeervakken. 
2. Ouders parkeren zich langs de toegangsweg (parallel met de N44) van de parking, waardoor de vrije doorgang van 3 meter niet meer wordt gevrijwaard. Bijkomend wordt deze toegang gebruikt als in- en uitrit van het verder opgelegen bedrijf. Dit bedrijf neemt geen toegang via de N44, omdat dit niet wordt toegestaan door het Agentschap Wegen en Verkeer.</t>
  </si>
  <si>
    <t>Maldegem</t>
  </si>
  <si>
    <t>KS149 - N410 - Fase :
1. Geen veilige oversteekplaats voor voetgangers. 
2. Snelheid (30 km/u) wordt niet gerespecteerd. 
3. Schoolomgeving wordt niet duidelijk genoeg aangegeven.</t>
  </si>
  <si>
    <t>KS139 - N467 - Fase : 
Voor fietsers is er weinig ruimte en de klinkers liggen in zeer slechte staat (op sommige delen weggezakt).
Oversteekplaats aan het kruispunt Dorp / Nieuwstraat is niet meer goed zichtbaar.
Op de schoolroutekaart Berlare tussen punt F3-F1, wegdeel uit klinkers</t>
  </si>
  <si>
    <t>KS125 - N8 - Meerbeekstraat/Haeyershoek - Fase : studieresultaten 2022.
Gevaarlijke oversteekplaats voor fietsers op een schoolroute</t>
  </si>
  <si>
    <t>KP/001476</t>
  </si>
  <si>
    <t>KS124 - N8 - Teirlinckstraat/Leierwaarde - Fase :
Gevaarlijke oversteekplaats voor fietsers op een schoolroute</t>
  </si>
  <si>
    <t>KS123 - N415 - Lepelstraat/Pottenberg - Fase :
Gevaarlijke oversteekplaats voor fietsers uit een schoolroute</t>
  </si>
  <si>
    <t>KS122 - N446 - Fase : 
Op dit deel van de N446 zijn er nu nog aanliggende fietspaden. Dit deel is niet opgenomen in het dossier fietspaden N446 dat wordt voorbereid. Doortrekken vrijliggende fietspaden over dit kort stuk zou dit punt veiliger maken voor de schoolgaande jeugd - ligt op route naar Lokeren/Sint-Niklaas en station Sinaai</t>
  </si>
  <si>
    <t>Waasmunster</t>
  </si>
  <si>
    <t>KS121 - N446 - Hoogstraat - Fase :
Belangrijke oversteekplaats voor schoolgaande kinderen. Ondanks de huidige regeling met verkeerslichten gebeurde hier reeds enkele ongevallen met overstekende zwakke weggebruikers (voetgangers en fietsers). Dit kruispunt is ook opgenomen in de werken N446.</t>
  </si>
  <si>
    <t>Uitvoering Gepland</t>
  </si>
  <si>
    <t>KS120 - N446 - Pontravelaan/Kerkstraat - Fase :
Zeer gevaarlijk kruispunt, belangrijke oversteekplaats naar lagere scholen en bushalte richting Sint-Niklaas en Lokeren waar tal van secundaire scholen zijn.</t>
  </si>
  <si>
    <t>KS119 - N446 - Durmebrug - Fase :
De Durmebrug is een gekend knelpunt. Smalle weg met aanliggende smalle fietspaden. Er zou binnen afzienbare tijd een nieuwe brug komen maar in afwachting daarvan is het wenselijk dat maatregelen worden genomen om de veiligheid te verbeteren voor fietsers en voetgangers. Voor bewoners van de wijk Sint-Anna is dit de enige route naar de lagere scholen in de gemeente Waasmunster. Maar ook de enige weg naar de bushalte richting Lokeren en Sint-Niklaas met tal van secundaire scholen.</t>
  </si>
  <si>
    <t>KP/001470</t>
  </si>
  <si>
    <t>KS118 - N70 - Doornyckstraat/Groenselstraat - Fase :
Vanuit de woonwijken ten zuiden van de N70 moet men aan hoger genoemd kruispunt oversteken over N70 van Groenselstraat naar Doornyckstraat om zo de F4 te bereiken. De F4 wordt door schoolgaande jeugd van hieruit in 2 richtingen gebruikt nl richting Sint-Niklaas en Lokeren. 2 steden met tal van secundaire scholen maar ook met treinstations belangrijk voor studenten die studeren in Gent, Antwerpen, Brussel, ...
Momenteel zijn hier geen voorzieningen die dit faciliteren.</t>
  </si>
  <si>
    <t>KP/001469</t>
  </si>
  <si>
    <t>KS079 - N16 - Fase :
Met de ontdubbeling van de N16 is er deel fietspad verwijderd.  Er is een module 12 afgesloten waarbij Vlaanderen de volledige kost + 100% zal betalen voor de heraanleg van dat deel fietspad.  Zie ook ons MP
het zou al een hele stap zijn om op korte termijn dat traject van de F18 aan te leggen.  Provincie is bezig met de verder haalbaarheidstudie van het traject vanaf de Doornstraat tot Eigenlo.  In tussentijd kan men verder fietsen via de N16/ Hoogkamerstraat. beide fietspaden langsheen de N16 tussen Hoogkamerstraat en Gasthuisstraat/ doornstraat inrichten als dubbelrichtingsfietpaden + voorzien van veilige fietsverlichting.</t>
  </si>
  <si>
    <t>KP/001468</t>
  </si>
  <si>
    <t>KS078 - N419 - Prinsenlaan - Fase :
Aan de school op Hollebeek worden al plannen uitgewerkt om de omgeving veiliger te maken voor de jonge fietsers en voetgangers.  Veel scholieren moeten de drukke gewestweg oversteken, ter hoogte van de Prinsenlaan en dat wordt door veel ouders als gevaarlijk ervaren, waardoor ze de neiging blijven hebben om kinderen met de wagen naar school te brengen.</t>
  </si>
  <si>
    <t>KP/001467</t>
  </si>
  <si>
    <t>KS077 - N419 - Gelaagstraat - Fase :
De school in de Gelaagstraat trekt veel leerlingen aan uit de omliggende woonwijken.  Aan het kruispunt werd eerder al de slechte zichtbaarheid van fietsers aangekaart, komende van Temse richting Steendorp.</t>
  </si>
  <si>
    <t>KS061 - N465 - Fase :
Het negeren / niet opmerken van zone 30 en het negeren van zebrapaden</t>
  </si>
  <si>
    <t>Oosterzele</t>
  </si>
  <si>
    <t>KS045 - N419 - Kemphoekstraat - Fase : studieresultaten 2021.
Melding uit rapport Route2School: Melding 3
Type: Onveilige oversteekplaats
Omschrijving: Er komen honderden studenten van Kruibeke die de oversteek maken van de Oude-Kruikebe Straat (Bazel) die willen oversteken naar de Kemphoekstraat, studenten nemen zo verder de dreef naar Sint-Joris
Wie ervaart het probleem?: Met de fiets
Locatie: Kemphoekstraat, 9150 Kruibeke</t>
  </si>
  <si>
    <t>KP/001464</t>
  </si>
  <si>
    <t>KS042 - N419 - C. Huysmansstraat - Fase :
Uit de route2school kaarten is gebleken dat de oversteek op de N419 ter hoogte van de C. Huysmansstraat als een onveilige situatie ervaren wordt. 
Deze oversteek wordt onder andere gebruikt door ouders en kinderen van de gemeentelijke kleuterschool (F. De Pillecynstraat) en de gemeentelijke basissschool (E. Gorrebeeckstraat).
In 2020 werd op vraag van de gemeente door het Agentschap Wegen en Verkeer reeds een zebrapad op dit kruispunt aangelegd.
Momenteel is de zichtbaarheid een ernstig probleem. De omgeving rondom de voetgangersoversteek is veel te donker wat de situatie daar onveilig maakt.</t>
  </si>
  <si>
    <t>KP/001463</t>
  </si>
  <si>
    <t>KS031 - N444 - Fase :
Onveilige fietspaden langsheen N444, slechte oversteekplaatsen thv gemeentelijke basisschool</t>
  </si>
  <si>
    <t>KP/001462</t>
  </si>
  <si>
    <t>KS014 - N452 - Delmeirestraat - Fase :
Geen toelichting door gemeente</t>
  </si>
  <si>
    <t>KP/001461</t>
  </si>
  <si>
    <t>KS013 - N437 - Warandestraat - Fase :
Geen toelichting door gemeente</t>
  </si>
  <si>
    <t>KS012 - N415 - N465 - Fase :
Het negeren / niet opmerken van zone 30 en het negeren van zebrapaden</t>
  </si>
  <si>
    <t>KS011 - N445 - Bosstraatje/De Wallekens - Fase : studieresultaten 2021.
Er is een voorsorteerstrook op de N445 om De Wallekens en het Bosstraatje in te rijden, waardoor de breedte van de N445 te groot is voor fietsers/voetgangers om veilig te kunnen oversteken. Op de PCV 01-12-2020 is beslist om op het kruispunt N445/Gaverstraat de fietsers, komende uit de richting Zele, de mogelijkheid te bieden om in twee fasen, infrastructureel begeleid, de oversteekbeweging te maken. Dit ook toepassen op het kruispunt N445/De Wallekens/Bosstraatje (waar een schoolroute op ligt), zou dit kruispunt veiliger maken</t>
  </si>
  <si>
    <t>Laarne</t>
  </si>
  <si>
    <t>KS007 - N41 - Broekstraat/Hooirt - Fase : studieresultaten 2022.
Het dubbelrichtingsfietspad langs de N41 wisselt hier van zijde.De fietsers die het fietspad volgen dienen steeds in 2 fasen over te steken (eerst N41 zelf en dan Broekstraat of Hooirt).Aangezien de fietsers bij het oversteken van Broekstraat of Hooirt pas groenfase krijgen bij roodfase op N41 en de fietsersdrukknoppen geen invloed hebben op de groenfase voor voertuigen op de N41 zorgt dit voor veel tijdsverlies en dus negatie/kruispunt nemen op verkeerde manier.
Vierkant groen voor fietsers is dan ook geen luxe.
Dit punt staat ook vermeld als knelpunt op de schoolroutekaart Hamme : https://dms.oost-vlaanderen.be/download/b8fd38d3-47a5-463a-a1ae-a46b01bf3b3d/schoolroutekaart%20hamme%20def.pdf
Voor andere kruispunten stelt zich probleem met lang oplopende wachttijden door feit dat drukknoppen fietsers niet inwerken op groenfase op N41.
Drukknoppen staan ook gevaarlijk dicht tegen N41</t>
  </si>
  <si>
    <t>Hamme</t>
  </si>
  <si>
    <t>KS003 - N46 - Fase : studieresultaten 2022.
2 Herzeelse scholen zijn gelegen langs een drukke gewestweg (de N46).</t>
  </si>
  <si>
    <t>Herzele</t>
  </si>
  <si>
    <t>- Het AWV verwijdert de asmarkering, daar waar er geen fietspaden aanwezig zijn.
- Het AWV brengt fietssuggestiestroken aan met een breedte van 1,75 m, daar waar er geen fietspaden aanwezig zijn.
- Het AWV brengt het opschrift SCHOOL aan op de rijweg ter hoogte van de school</t>
  </si>
  <si>
    <t>Kempen</t>
  </si>
  <si>
    <t>Mol</t>
  </si>
  <si>
    <t>Westhoek</t>
  </si>
  <si>
    <t>Zonnebeke</t>
  </si>
  <si>
    <t>Zonhoven</t>
  </si>
  <si>
    <t>Beringen</t>
  </si>
  <si>
    <t>KS809 - In het algemeen vragen een betere aanduiding van de schoolomgeving. Nog al te vaak zien we dat de zone 30 genegeerd wordt en dat er te snel gereden wordt in de schoolomgeving.
In de schoolomgeving langs de Houtstraat is er een grote parkeerproblematiek aan het begin en einde van de school. We hebben al verschillende maatregelen getroffen op gemeentelijke wegen (verbeteren trage weg, invoeren schoolstraat), maar we zien geen verbetering. Het fietspad richting de school is hier ook ondermaats.</t>
  </si>
  <si>
    <t>Gingelom</t>
  </si>
  <si>
    <t xml:space="preserve">
</t>
  </si>
  <si>
    <t>KS808 - In het algemeen vragen een betere aanduiding van de schoolomgeving. Nog al te vaak zien we dat de zone 30 genegeerd wordt en dat er te snel gereden wordt in de schoolomgeving.
In de schoolomgeving langs de Houtstraat is er een grote parkeerproblematiek aan het begin en einde van de school. We hebben al verschillende maatregelen getroffen op gemeentelijke wegen (verbeteren trage weg, invoeren schoolstraat), maar we zien geen verbetering. Het fietspad richting de school is hier ook ondermaats.</t>
  </si>
  <si>
    <t xml:space="preserve">- dynamische zone 30 
</t>
  </si>
  <si>
    <t>Schilde</t>
  </si>
  <si>
    <t>KP/001448</t>
  </si>
  <si>
    <t>KS805 - verkeersveiligheid</t>
  </si>
  <si>
    <t>KS787 -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</si>
  <si>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Kortrijk</t>
  </si>
  <si>
    <t>Anzegem</t>
  </si>
  <si>
    <t>KS786 -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</si>
  <si>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KS785 -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</si>
  <si>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Trajectcontrole
aanvraag voor SNC2021_016 omgevormd naar TC2021_321. zie centraal register</t>
  </si>
  <si>
    <t>KS784 -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</si>
  <si>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KS783 -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</si>
  <si>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KS782 -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</si>
  <si>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KS781 -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</si>
  <si>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KS780 -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</si>
  <si>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KS779 -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</si>
  <si>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KS778 -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</si>
  <si>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KS777 -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</si>
  <si>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KS776 -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</si>
  <si>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Leuven</t>
  </si>
  <si>
    <t>Haacht</t>
  </si>
  <si>
    <t>QW1 en QW3 uitvoeren in markering:
QW1: rand van de rijbaan aangeven met witte randmarkering
QW3: verwijderen van de VOP-markering t.h.v. de middenberm</t>
  </si>
  <si>
    <t>KP/001434</t>
  </si>
  <si>
    <t>KS860 - Vraag naar zebrapad omwille van moeilijke oversteek door aanwezigheid bocht Molsekiezel.</t>
  </si>
  <si>
    <t>Lommel</t>
  </si>
  <si>
    <t>KP/001433</t>
  </si>
  <si>
    <t>KS859 - Doorgaand zwaar verkeer vanaf N80 naar Meerdegatstraat</t>
  </si>
  <si>
    <t>Mechelen</t>
  </si>
  <si>
    <t>Ravels</t>
  </si>
  <si>
    <t>Eerst op PCV
- VFOP
- fietslogoverbindingsmarkering
- uitbuigen fietspad mogelijk? (OV paal opschuiven)</t>
  </si>
  <si>
    <t>Arendonk</t>
  </si>
  <si>
    <t>Menen</t>
  </si>
  <si>
    <t>Schrappen</t>
  </si>
  <si>
    <t>Bree</t>
  </si>
  <si>
    <t>Duffel</t>
  </si>
  <si>
    <t>KS713 - Kruispunt met Pastorijstraat:
Kruispunt ligt wat verscholen en niet echt duidelijk.
Aansluiting fietspaden van Sint-Truidersteenweg naar Pastorijstraat onduidelijk.
Smalle voetpaden.</t>
  </si>
  <si>
    <t>Hasselt</t>
  </si>
  <si>
    <t>Roeselare</t>
  </si>
  <si>
    <t>Wielsbeke</t>
  </si>
  <si>
    <t>Oostende</t>
  </si>
  <si>
    <t>Ichtegem</t>
  </si>
  <si>
    <t>Heusden-Zolder</t>
  </si>
  <si>
    <t>Harelbeke</t>
  </si>
  <si>
    <t>KS623 - 9-        Markeringen ‘school’ aan schoolomgevingen gelegen aan Gewestwegen
Daarnaast is het college vragende partij om het 16-tal schoolomgevingen gelegen aan Gewestwegen voor automobilisten beter zichtbaar te maken door het aanbrengen van groene markeringen ‘SCHOOL’ dwars over de weg.</t>
  </si>
  <si>
    <t>KP/001411</t>
  </si>
  <si>
    <t>KS622 - 8-        Omgeving Kerk (EK) 
o        Situering en verantwoording: https://stadinkaart.antwerpen.be/project.html?guid=9b7f4fb4-6305-48f4-a239-3c071bc22066 De knelpunten liggen in de kern van Ekeren en op een snijpunt van woon-schoolroutes voor fietsers. In de onmiddellijke omgeving zijn er vier basisscholen en één secundaire school. 
o        Slachtoffers: 0-25 jaar 2015-2019: 3 LG en 1 stoffelijk
o        Probleem: de fietsoversteken zijn gemarkeerd alsof ze in de voorrang  liggen terwijl sommige bebording het tegendeel aangeeft. Dit werkt verwarrend. Het knelpunt ligt bovendien op de Verkeerseducatieve Route van Ekeren (VERO).</t>
  </si>
  <si>
    <t>KS621 - 7-        August Van de Wielelei - Ivan Macquinaylei (DE)
o        Situering en verantwoording: https://stadinkaart.antwerpen.be/project.html?guid=689f3342-143e-4641-98da-aec1a84eb744; de August Van de Wielelei fungeert als een barrière (onder meer afleesbaar uit het grote aantal fietsers dat de fietspaden aan beide zijden van de weg in twee richtingen gebruikt). Specifiek in de omgeving van de Ivan Maquinaylei is er een grote concentratie aan scholen. Ten noorden van de Van de Wielelei zijn er 4 basisscholen, ten zuiden 3 secundaire scholen en 1 basisschool.
o        Slachtoffers 0-25 jaar 2015-2019: 4 LG 1 ZG
o        Probleem: oversteek voor fietsers is niet veilig;  alle ongevallen gebeurden bij licht, vrijwel allemaal tijdens de spits; beperkte zichtbaarheid op wachtende fietsers en voetgangers</t>
  </si>
  <si>
    <t>Budgettaire redenen</t>
  </si>
  <si>
    <t>KS620 - 6-        Hendrick Marckstraat – Prins Boudewijnlaan – Hindenstraat (WI)
o        Situering en verantwoording: https://stadinkaart.antwerpen.be/project.html?guid=91d16c9b-2fd3-4044-aefa-3b727ba5fc4d . De Prins Boudewijnlaan/Elisabethlaan (N173) fungeert als een belangrijke barrière. Ten westen ervan liggen twee basisscholen (en een universitaire campus), ten oosten 4 basisscholen. Het dichtstbij is de basisschool in de Keizershoevestraat.
o        Slachtoffers 0-25 jaar 2015-2019: 5 LG 
o        Probleem: oversteekbaarheid 2x2; fietsers en voetgangers worden aangereden</t>
  </si>
  <si>
    <t xml:space="preserve">KS616a   Turnhoutsebaan (BO) - Gijselsstraat - Statielei
	Slachtoffers 0-25 jaar 2015-2019: 3 LG, 1 ZG
	Probleem: fietsers worden aangereden door gemotoriseerd verkeer uit Gijselsstraat en verkeer naar/van tankstation
</t>
  </si>
  <si>
    <t>Ingelmunster</t>
  </si>
  <si>
    <t>Ham</t>
  </si>
  <si>
    <t>Heuvelland</t>
  </si>
  <si>
    <t>KS561 - gevaar door gemengd verkeer
gevaar na verkeersremmer: na gescheiden door de remmer komt de fietser terug in gemengd verkeer</t>
  </si>
  <si>
    <t>KS560 - bruuske overgang fietspad naar gemengd verkeer (net ten N van de bebouwde kom voor de inkomende fietsers)
gevaar door gemengd verkeer</t>
  </si>
  <si>
    <t>KS557 - bruuske en onveilige overgang fietspad naar gemend verkeer (voor fietsers komende van Kemmel die het dorp binnenrijden, thv het x Kemmelstraat-Nieuwkerkestraat)
gevaar door gemengd verkeer</t>
  </si>
  <si>
    <t>KP/001397</t>
  </si>
  <si>
    <t>KS553 - We hebben bericht gekregen dat in 2021 het gedeelte van de fietspaden langs de N73 tussen de Craenenhoefweg en de Oudstrijdersstraat/Kanaalstraat gerenoveerd zullen worden. Ook het andere gedeelte (richting Heppen) van de fietspaden is echter in heel slechte staat.</t>
  </si>
  <si>
    <t>Leopoldsburg</t>
  </si>
  <si>
    <t>Bilzen</t>
  </si>
  <si>
    <t>KS548 - Oversteek kempische Steenweg Vijverstraat/Tulpinstraat: duurtijd is te kort
Afwikkeling verkeer van Vijverstraat naar Kempische Steenweg is nog een hekel punt ’s morgens en ’s avonds omdat afslaand verkeer naar Hasselt voorrang moet gegeven aan overstekende voetgangers (ouders en kinderen) die van de parking t.o.v. de kerk gebruik maken.
Fietsers vanuit de Vijversstraat die naar Kempische steenweg willen, fietsen of staan nu tussen de wagens aan te schuiven voor het rode verkeerslicht. Soms rijden ze daardoor over het voetpad.</t>
  </si>
  <si>
    <t>Oplossing is gekoppeld aan infrastructuurproject van de Vlaamse waterweg; geen quick win mogelijk</t>
  </si>
  <si>
    <t>Kinrooi</t>
  </si>
  <si>
    <t>KS490 - Kolmenstraat: Gebrek aan voetpaden.
School niet goed zichtbaar in straatbeeld.
Kruispunt met de Alkenstraat/Hasseltse Dreef: geen fietspaden.
Stevoortse Kiezel (N739) dubbel richtingsfietspad te smal en geen voetpad.
Sint-Maartenplein doorsteek aan de Stip: gevaarlijk om in huidige situatie uit te rijden + zebrapad.</t>
  </si>
  <si>
    <t>KS489 - Kruispunt Kermtstraat/Koorstraat en Diestersteenweg onveilig voor fietsers.
Koorstraat: Geen voorziening voor voetgangers + fietspad te smal.
Alle zebrapaden bij de 2 scholen zijn niet goed zichtbaar of verlicht.
Elektrische fietsen en schoolgaande kinderen geen goede combinatie.
Mensen parkeren kriskras op voetpad voor de school 't Kabaske.
Het rondpunt Diestersteenweg en Lummense Kiezel staat soms op de tijdsstippen dat de school begint of eindigt vast.</t>
  </si>
  <si>
    <t>Toeleidende fietspaden in de zijstraten
lichtengeregelde FOP's ipv OFOS'en</t>
  </si>
  <si>
    <t>Wevelgem</t>
  </si>
  <si>
    <t>Turnhout</t>
  </si>
  <si>
    <t>Herentals</t>
  </si>
  <si>
    <t>Herent</t>
  </si>
  <si>
    <t>Pelt</t>
  </si>
  <si>
    <t>KP/001379</t>
  </si>
  <si>
    <t>KS425 - hiervoor maakte studiebureau Sweco in opdracht van AWV een analyse van de mogelijkheden van enkele quick wins, maar dit werd nooit uitgevoerd. Vraag om dit opnieuw op te nemen.</t>
  </si>
  <si>
    <t xml:space="preserve">VVOP
</t>
  </si>
  <si>
    <t>Zutendaal</t>
  </si>
  <si>
    <t>Sint-Truiden</t>
  </si>
  <si>
    <t xml:space="preserve">- vervolledigen VVOP
</t>
  </si>
  <si>
    <t>&lt; 2020</t>
  </si>
  <si>
    <t>Scherpenheuvel-Zichem</t>
  </si>
  <si>
    <t>Grobbendonk</t>
  </si>
  <si>
    <t>De Panne</t>
  </si>
  <si>
    <t>Huldenberg</t>
  </si>
  <si>
    <t>KP/001367</t>
  </si>
  <si>
    <t>KS329 - Oversteekbaarheid van N227 op diverse locaties (zie Google Maps coördinaten) + snelheid in de aansluitende straten. In zijstraten van de Jubellaan zijn verschillende scholen gelegen (Kruisbaan, C. de Rorestraat, Acaciastraat, Abeelstraat, ...). De vele oversteekbewegingen op de Jubellaan moeten daarom veiliger gemaakt worden.</t>
  </si>
  <si>
    <t>Ranst</t>
  </si>
  <si>
    <t>Staden</t>
  </si>
  <si>
    <t>Koksijde</t>
  </si>
  <si>
    <t>KS251 - Langs de Toekomstlaan zijn vrijliggende fietspaden. In de Nieuwstraat is er een recent dubbelrichtingsfietspad. Het oversteken aan de Nieuwstraat in de Toekomstlaan is een moeilijk punt gezien deze gelegen is in een bocht, de snelheid er redelijk hoog is, brede rijweg. 
Deze beweging wordt vooral gedaan door fietsers komende van Koksijde-Dorp die naar Wulpen wensen te rijden.</t>
  </si>
  <si>
    <t>Olen</t>
  </si>
  <si>
    <t>Oudsbergen</t>
  </si>
  <si>
    <t>KP/001351</t>
  </si>
  <si>
    <t>KS165 - Prior 4. De auto's rijden te hard, het is heel druk, en met oversteken moet je stoppen maar daar is de fietspad heel smal voor. En dat is gevaarlijk want er moeten ook nog andere fietsers langs. Auto's stoppen soms niet als je staat te wachten bij het zebrapad. Oversteken duurt lang.</t>
  </si>
  <si>
    <t>KP/001350</t>
  </si>
  <si>
    <t>KS164 - prior 12.  Gevaarlijk en druk kruispunt. Fietsers hebben het gevoel dat ze bij groen licht toch nog voorrang geven aan auto's die van N71 naar Balendijk rijden. - De auto's rijden daar heel hard. Markeringen ter plaatse van de oversteekplaatsen die de N71 dwarsen kloppen niet, deze zijn nog aangeduid als fietspaden.</t>
  </si>
  <si>
    <t>KP/001349</t>
  </si>
  <si>
    <t>KS163 - prior 28.  Grote oneffenheid op het fietspad bij de aansluiting van de klinkers op het rode asfalt op het fietspad. Fietsers wijken hierdoor uit naar links wat resulteert in zeer gevaarlijke situaties</t>
  </si>
  <si>
    <t>Knelpunt wordt structureel aangepakt binnen investeringsproject 'Overkapping Stationsstraat'</t>
  </si>
  <si>
    <t>KP/001347</t>
  </si>
  <si>
    <t>KS160 - Prior.1. Tijdspanne tussen rood in de ene richting en groen in de andere richting is relatief kort. Het komt regelmatig voor dat voetgangers/fietsers al groen licht hebben terwijl er nog auto's (de oranjerijders) van de ring de stationsstraat indraaien. - Fietsers hebben het gevoel dat ze bij groen licht toch nog voorrang moeten geven aan afslaande auto's. Op de bypass moeten fietsers voorrang verlenen aan auto’s. 
Druk en gevaarlijk kruispunt en auto’s rijden veel te hard.</t>
  </si>
  <si>
    <t>KP/001346</t>
  </si>
  <si>
    <t>KS154 - Ontbreken van oversteekplaats voor voetgangers en fietsers komende van de Schaffensesteenweg richting Paal-Dorp.
Presentatie gemeente: https://drive.google.com/file/d/1EDwidM0caiCmiWhL-P03U6CerkXzeq82/view?usp=sharing</t>
  </si>
  <si>
    <t>Tongeren</t>
  </si>
  <si>
    <t>KS107 - Prioriteit: 3
De Sint-Elooisstraat is een smalle en drukke verbindingsweg waar fietsers de rijweg moeten delen met gemotoriseerd verkeer. Schoolkinderen die in het 'noordelijke gedeelte' van Ruddervoorde, moeten deze straat een stukje volgen en/of oversteken om de school in de Leegtestraat te bereiken. De beperkte breedte laat geen fietspaden toe, maar er zijn wel kleinere ingrepen mogelijk om de aanwezigheid van fietsers (waaronder ook schoolkinderen) te accentueren.</t>
  </si>
  <si>
    <t>Brugge</t>
  </si>
  <si>
    <t>Oostkamp</t>
  </si>
  <si>
    <t>Meerhout</t>
  </si>
  <si>
    <t>Lier</t>
  </si>
  <si>
    <t>KP/001341</t>
  </si>
  <si>
    <t>KS096 - Geen oversteekvoorzieningen voor fietsers en voetgangers (bushalte)</t>
  </si>
  <si>
    <t>Ardooie</t>
  </si>
  <si>
    <t>Torhout</t>
  </si>
  <si>
    <t>Wuustwezel</t>
  </si>
  <si>
    <t>Knokke-Heist</t>
  </si>
  <si>
    <t>Kortemark</t>
  </si>
  <si>
    <t>KP/001330</t>
  </si>
  <si>
    <t>7.        Oversteekplaats voor voetgangers Kerkplein-N715. Om de veiligheid voor de voetgangers te verhogen zou het aangewezen zijn om een oversteekplaats voor voetgangers in te richten op het kruispunt Kerkplein met de N715 Dorpsstraat. Deze oversteekplaats ligt op de georganiseerde en begeleide route van de schoolkinderen.</t>
  </si>
  <si>
    <t>Wervik</t>
  </si>
  <si>
    <t>Lubbeek</t>
  </si>
  <si>
    <t>Lubbeek wenst een oversteek ter hoogte van Rozenstraat. In onmiddelijke nabeijheid liggen 2 andere oversteken. 
Besproken op PCV van december 2021. 
Volgende acties: gemeente maakt AR op voor uitbreiding snelheidsregime 50km/u en voor schrappen zebrapad wolvendreef en nieuw te plaatsen zebrapad aan Rozenstraat. 
AWV verwijderd zebrapad Wolvendreef en bijhorende bi-flash. 
AWV brengt middeneiland aan ter hoogte van Rozenweg Lubbeek
AWV brengt zebrapad aan
AWV past borden snelheidsregime aan</t>
  </si>
  <si>
    <t>Oud-Turnhout</t>
  </si>
  <si>
    <t>- aanpassen VRI
- FOP toevoegen
- FOP verplaatsen naar trageweg
- voetpad voorzien achter bomen (gracht inbuizen?)</t>
  </si>
  <si>
    <t>Retie</t>
  </si>
  <si>
    <t>KS807 - In het algemeen vragen een betere aanduiding van de schoolomgeving. Nog al te vaak zien we dat de zone 30 genegeerd wordt en dat er te snel gereden wordt in de schoolomgeving.
In de schoolomgeving langs de Houtstraat is er een grote parkeerproblematiek aan het begin en einde van de school. We hebben al verschillende maatregelen getroffen op gemeentelijke wegen (verbeteren trage weg, invoeren schoolstraat), maar we zien geen verbetering. Het fietspad richting de school is hier ook ondermaats.</t>
  </si>
  <si>
    <t>Steenokkerzeel</t>
  </si>
  <si>
    <t>Aanpassen lichtenregeling en BOB nodig?
VVOP of VOP + VRI voorzien?</t>
  </si>
  <si>
    <t>KP/001306</t>
  </si>
  <si>
    <t>KS794 - De oversteekbaarheid van de N1 is niet optimaal. De Hendrik I-lei loopt door een deel van de stad dat relatief dichtbevolkt is met scholen aan beide zijden van de weg. Enkele oversteekplaatsen kunnen verbeterd worden: fietsoversteekplaats bij Willemsstraat en De Boeckstraat kan geoptimaliseerd worden (verbreed, centraler). Op korte termijn worden fietspaden op de Willemsstraat aangelegd in het kader van zijn functie als bovenlokale functionele fietsroute. De oversteek van de N1 kan dit karakter van de Willemsstraat (zijnde BFF) best benadrukken.</t>
  </si>
  <si>
    <t>Vilvoorde</t>
  </si>
  <si>
    <t>KP/001303</t>
  </si>
  <si>
    <t>KS791 - De verbinding tussen het fietspad van de R22 en de Martelarenstraat werd in 2020 door de stad Vilvoorde verbreed (verdubbeling van de breedte). Dit segment functioneert als schoolroute tussen Perk, het noordelijk deel van Peutie en de scholen in Vilvoorde-centrum. Door de uitgevoerde verbreding rest er nu nog een knelpunt in deze omgeving: het fietspad langs de R22 tussen deze verbrede verbinding en de toegang tot de fietsersbrug blijft zeer smal (te smal voor comfortabel dubbelrichtingsverkeer).</t>
  </si>
  <si>
    <t>Wellen</t>
  </si>
  <si>
    <t>KP/001298</t>
  </si>
  <si>
    <t>KP/001297</t>
  </si>
  <si>
    <t>Bierbeek</t>
  </si>
  <si>
    <t>Diest</t>
  </si>
  <si>
    <t>KP/001293</t>
  </si>
  <si>
    <t>KS856 - Geen openbare verlichting aanwezig</t>
  </si>
  <si>
    <t>KP/001292</t>
  </si>
  <si>
    <t>KS855 - Is een belangrijke oversteekplaats voor schoolgaande fietsers</t>
  </si>
  <si>
    <t>Kortenberg</t>
  </si>
  <si>
    <t>KP/001289</t>
  </si>
  <si>
    <t>KS852 - Oversteekplaats schoolgaande kinderen</t>
  </si>
  <si>
    <t>Riemst</t>
  </si>
  <si>
    <t>KP/001288</t>
  </si>
  <si>
    <t>KS851 - Oversteekbaarheid voetgangers schoolgaande jeugd</t>
  </si>
  <si>
    <t>KP/001287</t>
  </si>
  <si>
    <t>KS850 - Parkeerplaats schoolbus kinderen</t>
  </si>
  <si>
    <t>QW1 en QW2 uitvoeren
QW1: Bestaande scheidingselementen tussen het fietspad en de rijbaan verbreden en zodoende de breedte van de rijbaan verkleinen tot 5.5 meter. Initieel via verdrijvingsvakken in markeringen.
QW2: asfaltlaag van het fietspad op de rotonde vernieuwen en een nieuwe rode slemlaag aanbrengen</t>
  </si>
  <si>
    <t>Boortmeerbeek</t>
  </si>
  <si>
    <t xml:space="preserve">fietslicht FA toevoegen dat samen met fietsers FC en de voetgangers groen heeft in de vierkant groen fase.
Er zal een bordje B23 'rechtdoor door rood' moeten bijgeplaatst worden zodat fietsers tot aan het fietslicht kunnen rijden. </t>
  </si>
  <si>
    <t>KP/001282</t>
  </si>
  <si>
    <t>KS769 - Het fietspad hier is te smal en ligt voor een groot stuk gelijk met de rijbaan, met een heel smalle schrikstrook. Dit in combinatie met het vaak te snel rijden maakt dat dit geen veilige fietsverbinding is. Dit is geen gewestweg, maar wel een intergemeentelijke lokale wegen verbonden met het vraagstuk rond de verbindingsweg en dus potentieel een oplossing binnen het nul plus alternatief. Het is ook een schoolroute, tussen middelbare scholen in Borsbeek en Boechout. Veel gebruikte route en potentieel een bredere oplossing, hoewel ‘lokaal’, wel intergemeentelijk en een quick-win in het onderzoek naar de verbindingsweg</t>
  </si>
  <si>
    <t>Borsbeek</t>
  </si>
  <si>
    <t>Wommelgem</t>
  </si>
  <si>
    <t>Zoersel</t>
  </si>
  <si>
    <t>KP/001279</t>
  </si>
  <si>
    <t>KS766 - Hier is een oversteekplaats met in het midden zelfs een begeleider, alsook een gemachtigde opzichter is hier aanwezig. In donker vaak gevaarlijke situatie zelfs met gemachtigd opzichter.</t>
  </si>
  <si>
    <t>KP/001277</t>
  </si>
  <si>
    <t>KS764 - geen enkele oversteekplaats voor fietsers. Vraag komt van ouders uit Schalmeidreef of De Schaaf. Op dat stuk Oostmallebaan geldt reeds 70 km/u.</t>
  </si>
  <si>
    <t>KP/001275</t>
  </si>
  <si>
    <t>KS762 - Is een gevaarlijk punt om over te steken (zebrapad aanwezig)</t>
  </si>
  <si>
    <t>Negatief advies</t>
  </si>
  <si>
    <t>KP/001274</t>
  </si>
  <si>
    <t>KS761- Voetgangers hebben groen licht om Handelslei over te steken, alsook het verkeer dat uit Kerkhoflei en Processieweg de N12 opdraaien.</t>
  </si>
  <si>
    <t>Geen Quick-win mogelijk</t>
  </si>
  <si>
    <t>KP/001266</t>
  </si>
  <si>
    <t>KS744 - Het kruispunt O.L.Vrouwstraat-Grote Baan is zeer druk gebruikt maar vrij gevaarlijk.</t>
  </si>
  <si>
    <t>KP/001265</t>
  </si>
  <si>
    <t>Snelheidsovertredingen (ook door vrachtverkeer) die begaan worden op de Bredaseweg (N119) waarlangs een lagere school is gelegen (met variabele zone 30) en veel kinderen de gewestweg moeten oversteken. Daarnaast ontbreken op de Bredaseweg nog meerdere wegmarkeringen, zoals bvb. blokmarkeringen bij fietsoversteken en BUS waar de bussen halteren op de rijbaan.</t>
  </si>
  <si>
    <t>Maaseik</t>
  </si>
  <si>
    <t>- fietspad verbreden
- fietspad asfaltere
- hagen inkorten</t>
  </si>
  <si>
    <t>KP/001263</t>
  </si>
  <si>
    <t>KS733 - In deze zone zijn de fietspaden nog gelijkgronds en aanliggend. Gemotoriseerd verkeer kan bij het afwijken van de eigen rijstrook gemakkelijk 'foutief' over het fietspad rijden. Fietsers komen hierdoor in gevaar.</t>
  </si>
  <si>
    <t>KP/001262</t>
  </si>
  <si>
    <t>KS730 - De route is een route met grote, soms zware verkeersstromen. De brede, soms redelijk rechte straten kunnen uitnodigen tot hogere snelheden. Zachte weggebruikers, zoals fietsers, kunnen hierdoor in gevaar komen. Oversteekbewegingen in Rekkem en aan Nieuw-Kwartier verlopen o.a. stroef.</t>
  </si>
  <si>
    <t>Schoten</t>
  </si>
  <si>
    <t>KS725 - Kruisen van de Brugse Steenweg thv Sint Jorisplein vraagt aandacht voor alle weggebruikers. Schoolgaande jeugd komende Ramskapelle/centrum steken hier de N376 over om naar de School "De Pagaaier" te gaan.
Op deze weg normaal ook redelijk veel zwaar verkeer.</t>
  </si>
  <si>
    <t>Nieuwpoort</t>
  </si>
  <si>
    <t>KP/001257</t>
  </si>
  <si>
    <t>KS722 - Kruisen van de Kaai tussen Vismijn en Bua Thai (vooral zijde Vismijn) van fietsers(schoolgaande )/voetgangers met gemotoriseerd verkeer.
Bij het oversteken stoppen fietsers soms en andere dwingen de wagens te stoppen. Bestuurders van wagens durven hun voorrang niet te nemen door het kort bijeen liggen van fietsoversteek en zebrapad. Stoppen voor zebrapad zorgt meestal voor een belemmering van fietspad door de wagens die het rondpunt verlaten.</t>
  </si>
  <si>
    <t>KP/001252</t>
  </si>
  <si>
    <t>Het fietspad zou iets meer geaccuentueerd mogen worden zodat auto's die inrijden van op de N14 beter zien dat het een dubbelrichtingsfietspad is. (idem aan Bruul)</t>
  </si>
  <si>
    <t>KS711 - Als je uit de Binnenweg komt, geen probleem bij het oversteken: oversteekplaats met zebrapad + voldoende verlicht.
Wel een probleem als je van de Oude Liersebaan oversteekt naar de Binnenweg: als je correct oversteekt via de oversteekplaats, dan kom je in de Binnenweg terecht langs de linkerkant van de baan. Je moet dan in de Binnenweg enkele meters verder (er ligt een kort ‘voet’padje) terug oversteken. Dat zorgt voor gevaarlijke situaties … automobilisten in de Binnenweg verwachten geen fietser ‘aan de verkeerde kant van de baan’, die daar wil oversteken, automobilisten die de Binnenweg inrijden worden plots geconfronteerd met een fietser die wil oversteken naar de juiste kant van de straat.</t>
  </si>
  <si>
    <t>KP/001248</t>
  </si>
  <si>
    <t>KS706 - De zeer drukke Expressweg dient gedwarst te worden om van Wielsbeke naar deelgemeente Ooigem te gaan.</t>
  </si>
  <si>
    <t>Boutersem</t>
  </si>
  <si>
    <t>KP/001245</t>
  </si>
  <si>
    <t>KS680 - Het huidige zebrapad ligt ongeveer halfweg tussen de uitrit van de school (tussen privé terrein en schoolgebouw dwars op Stationsstraat) en de uitrit van de parking aan de Stationsstraat van de school. Op deze plek heeft die weinig functie voor fietsers en voetgangers. Fietsers en voetgangers verlaten de school via de parking korter aan het station.</t>
  </si>
  <si>
    <t>QW1 snelheidsverlaging 50km/u wordt weerhouden.
QW2 oversteekplaats voor voetgangers aan de westzijde van kruispunt</t>
  </si>
  <si>
    <t>KP/001242</t>
  </si>
  <si>
    <t>KS677 - De "Dreef" is een trage weg afgesloten voor wagenverkeer die veelvuldig gebruik wordt door enerzijds gebruikers van de Finse piste die er langs gelegen is maar ook door zwakke weggebruikers die hier een veilige en kortere verbinding hebben met de centra van Roosbeek en Butsel, er zijn ook plannen om hier ook nog een trage verbinding te maken met de site Eyckeveld waar alle sport- en cultuurfaciliteiten gecentraliseerd zijn en onze gemeenteschool gelegen is langsheen de Kerkomsesteenweg. Het kruispunt van de "dreef" met de N3 ligt nog net binnen de zone 50. Momenteel zijn hier geen oversteekmogelijkheden. De kortst mogelijke oversteekplaats is op meer dan 100m aan het drukke kruispunt tussen N3 en N234. Hier is geen enkele voorziening om veilig over te steken, terwijl finse piste door bewoners en scholen vaak gebruikt wordt. Ze vormt ook een alternatieve route voor fietsers uit Kerkom, Roosbeek en Butsel.  Bovendien zijn er ook plannen om een extra trage weg te trekken naar de site Eyckeveld langsheen de Kerkomsesteenweg. Deze oversteekplaats ligt nog net binnen de bebouwde kom, maar het verkeer richting Tienen trekt hier al volop op te snelheden die een pak hoger liggen dan 50 km per uur. Ook verkeer komende van Tienen is hier nog niet in vertragingsmodus. In de plannen van de doortocht N3 door Roosbeek is opgenomen dat de zone 50 hier uitgebreid zou worden richting Tienen en een middenberm oversteken mogelijk zou maken. Echter is de doortocht nog niet in fase van aanleg dus zouden we hier al een tijdelijke oplossing willen voorzien in afwachting van de heraanleg van de N3</t>
  </si>
  <si>
    <t>KP/001239</t>
  </si>
  <si>
    <t>KS674 - Langsheen de N234 tussen km 0 en km 0,6 ligt een smal fietspad langs beide zijden vanaf N3 tot aan de Brugstraat. Ook ligt er aan de noordzijde een smal en onderbroken voetpad. Het fietspad loopt onder de Spoorwegbrug verhoogd verder. Onder de spoorweg is ook een verbinding voor voetgangers die van perron wisselen. Aan de schoolzijde heb je echter vaak dubbelrichting fietsverkeer. Fietsers die uit centrum Boutersem (via Brugstraat of Korfbalstraat)  of van het NMBS Station komen moeten in principe tweemaal de Stationsstraat oversteken om de school binnen te rijden. Ook fietsers die op weg naar huis de richting van de N3 uitmoeten , dienen eerst over te steken om aan de juiste kant te komen. Oversteekplaatsen zijn op deze drukke gewestweg niet voorzien. Bovendien is er een conflict tussen de treingebruikers die van perron wisselen en het doorgaand fietsverkeer.</t>
  </si>
  <si>
    <t>Lille</t>
  </si>
  <si>
    <t>KP/001235</t>
  </si>
  <si>
    <t>KS670 - heel veel kinderen moeten over deze drukke gewestweg naar de Engelschool (fiets en tevoet)</t>
  </si>
  <si>
    <t>KP/001234</t>
  </si>
  <si>
    <t>KS669 - zeer smal aangelegde rijweg thv schoolomgeving - dagelijks heel veel zwaar vrachtvervoer die via deze weg van Oudenburg naar Aartrijke moet - heel veel fietsers</t>
  </si>
  <si>
    <t>KP/001233</t>
  </si>
  <si>
    <t>KS667- oversteekplaats schoolroute 2 scholen aanpassing zebrapad zeer drukke gewestweg</t>
  </si>
  <si>
    <t>KS661 - Het Robecijnplein is gelegen langs en is onderdeel van de N512. Deze gewestweg werd aangeduid als Bovenlokaal Functioneel Fietsroutenetwerk en als schoolfietsroute die leidt naar de basisschool De Polyglot, waar eveneens volwassenonderwijs wordt gegeven. De school kent een totaal van 453 Leerlingen die hoofdzakelijk van buiten de gemeente Spiere-Helkijn afkomstig zijn (80%).
De beperkte belevingswaarde en comfort voor de gebruikers van het openbaar vervoer en de onveilige oversteek van de N512 vormen het knelpunt.
Het Robecijnplein speelt een belangrijke rol. Hier bevindt zich namelijk een belangrijk knooppunt van verschillende verkeersmodi. Op vandaag bevindt zich hier een druk gebruikte parking met een beperkte belevingswaarde en is het een belangrijk knooppunt van openbaar vervoer. Zowel De Lijn en de TEC hebben hier een halte die gezien de nabijheid van de school De Polyglot frequent gebruikt wordt, zo telde De Lijn 557 opstappers ter hoogte van de halte Spiere kerk richting Waregem in januari 2020, richting Kortrijk station stapten die maand 79 mensen op. Maar ook de schoolfietsroute kent een oversteekpunt ter hoogte van het Robecijnplein naar de Sint-Amandswijk.
Het Robecijnplein kent met andere woorden veel verschillende gebruikers, echter is het vandaag voornamelijk ingericht in dienst van het gemotoriseerd verkeer. De trage weggebruiker wordt naar de randen gedrukt, wat geen stimulans is en een onveiligheidsgevoel teweeg brengt bij de trage weggebruiker. Zo ontbreken er markeringen, kwalitatieve fietspaden en voetpaden en voldoende straatverlichting op het Robecijnplein en langs de gewestweg ter hoogte van de kerk om de leefbaarheid voor de trage weggebruiker te waarborgen (zone A en B op plan terug te vinden op de onedrive). Het ontbreken van duidelijke structuren zorgt eveneens voor een moeilijk leesbare ruimte die conflictsituatie in de hand werkt. Daarnaast verliest het Robecijnplein de kwaliteit van de aanwezige Spierebeek en breekt het de beek in twee afzonderlijke structuren.
Naast de inrichting van het Robecijnplein is de oversteekbaarheid van de N512 een knelpunt. Deze gewestweg met een snelheidslimiet van 50 km/u kent een groot aandeel zwaar verkeer, ook het grootste deel van de verkeersongevallen in Spiere-Helkijn situeren zich langs de gewestwegen N512 en N353. Op vandaag is geen oversteekmogelijkheid ter hoogte van het Robecijnplein. Aangezien het oversteken van de N512 essentieel is voor enerzijds scholieren om op deze manier de school De Polyglot te bereiken via de verkeersluwe Sint-Amandswijk, op deze manier vermijden ze de N353.
Anderzijds steken recreanten die langs de Spierebeek willen wandelen ook de N512 over. Op vandaag is het dan ook niet mogelijk de N512 vlot en veilig over te steken.</t>
  </si>
  <si>
    <t>Spiere-Helkijn</t>
  </si>
  <si>
    <t>KS659 - Bij het binnenrijden van de bebouwde kom in Pepingen-centrum gaat het dubbelrichtingsfietspad over in twee aanliggende dubbelrichtingsfietspaden.
Fietsers steken niet over en rijden in tegengestelde rijrichting verder op het enkelrichtingsfietspad. De gemeente kreeg enkele opmerkingen van inwoners dat de situatie er onduidelijk is voor fietsers, nl. de overgang van dubbel- naar enkelrichtingsfietspad.
Dit zorgt voor onveilige situaties:
- Bij kruispunten komen de fietsers uit een onverwachte rijrichting, dit kan voor conflictsituaties zorgen met bestuurders.
- Fietsers wijken uit op het voetpad om fietsers uit de tegengestelde rijrichting te kunnen kruisen. T.h.v. de schoolomgeving van Harten Troef kan dit voor conflicten zorgen met schoolgaande kinderen die te voet of met de fiets naar school komen. 
Schoolroute:
Het fietspad ligt op de schoolroute naar Harten Troef (Boekhoutstraat). Het fietspad wordt ook gebruikt om naar de middelbare scholen in de stad Halle te fietsen.</t>
  </si>
  <si>
    <t>Pepingen</t>
  </si>
  <si>
    <t>QW1: Extra signalisatie plaatsen bij de oversteek
QW2: Beide oversteekplaatsen éénrichting maken</t>
  </si>
  <si>
    <t>KS658 - De verlichting van de oversteekplaatsen. 
Op het zebrapad hebben voetgangers (de schoolgaande kinderen) voorrang, maar ze worden niet altijd tijdig opgemerkt bij het oversteken. Automobilisten merken de oversteekplaats ook te laat op, waardoor ze niet stoppen om de voetgangers of fietsers over te laten steken.
Schoolroute:
De oversteken worden gebruikt door kinderen die met de fiets naar school gaan in Pepingen-centrum (Harten Troef) en naar de middelbare scholen in de stad Halle.
De oversteken/zebrapaden in Pepingen-centrum (doortocht) worden gebruikt door de leerlingen van Harten Troef.
De busgebruikers naar middelbare scholen in de stad Halle gebruiken de zebrapaden en oversteken in Pepingen-centrum, alsok aan het kruispunt N272xN28 en EikstraatxN28.</t>
  </si>
  <si>
    <t>KS657 - De verlichting van de oversteekplaatsen. 
Op het zebrapad hebben voetgangers (de schoolgaande kinderen) voorrang, maar ze worden niet altijd tijdig opgemerkt bij het oversteken. Automobilisten merken de oversteekplaats ook te laat op, waardoor ze niet stoppen om de voetgangers of fietsers over te laten steken.
Schoolroute:
De oversteken worden gebruikt door kinderen die met de fiets naar school gaan in Pepingen-centrum (Harten Troef) en naar de middelbare scholen in de stad Halle.
De oversteken/zebrapaden in Pepingen-centrum (doortocht) worden gebruikt door de leerlingen van Harten Troef.
De busgebruikers naar middelbare scholen in de stad Halle gebruiken de zebrapaden en oversteken in Pepingen-centrum, alsok aan het kruispunt N272xN28 en EikstraatxN28.</t>
  </si>
  <si>
    <t>KP/001227</t>
  </si>
  <si>
    <t>KS656 - De verlichting van de oversteekplaatsen. 
Op het zebrapad hebben voetgangers (de schoolgaande kinderen) voorrang, maar ze worden niet altijd tijdig opgemerkt bij het oversteken. Automobilisten merken de oversteekplaats ook te laat op, waardoor ze niet stoppen om de voetgangers of fietsers over te laten steken.
Schoolroute:
De oversteken worden gebruikt door kinderen die met de fiets naar school gaan in Pepingen-centrum (Harten Troef) en naar de middelbare scholen in de stad Halle.
De oversteken/zebrapaden in Pepingen-centrum (doortocht) worden gebruikt door de leerlingen van Harten Troef.
De busgebruikers naar middelbare scholen in de stad Halle gebruiken de zebrapaden en oversteken in Pepingen-centrum, alsok aan het kruispunt N272xN28 en EikstraatxN28.</t>
  </si>
  <si>
    <t>Studie heraanleg N28 opgestart. Wachten op resultaat studie om te bepalen of hier alsnog iets moet gebeuren.</t>
  </si>
  <si>
    <t>KP/001225</t>
  </si>
  <si>
    <t>KS654 - 2.Kruispunt N3/Bierbeekstraat: hier gebeurden al veel ongevallen met zachte weggebruikers. Doordat de verkeerslichtenregeling recent werd vernieuwd rijden weer meer voertuigen door rood!</t>
  </si>
  <si>
    <t>KP/001224</t>
  </si>
  <si>
    <t>KS653 - 1.Tiensesteenweg richting Tienen: bij lage zon beperkt zicht op oversteekplaats t.h.v. kruispunt N3/Kloosterstraat.</t>
  </si>
  <si>
    <t>Overijse</t>
  </si>
  <si>
    <t>ZIE OOK IN/000980
QW1: verplaatsen bebouwde kom, verlagen snelheidslimiet naar 50 km/u</t>
  </si>
  <si>
    <t xml:space="preserve">QW2: aanleg middeneilanden
QW3: aanleg toeleidende fietspaden op Hertstraat
+ verschuiven bushalte 30 m naar zuiden
Andere ingrepen is:
QW1: verplaatsen bebouwde kom, verlagen snelheidslimiet naar 50 km/u
</t>
  </si>
  <si>
    <t>KS639 - Kruispunt met Kouterstraat is zonder voetgangers-/fietsersoversteek. De voetgangersoversteek werd eerder niet weerhouden op een PCV wegens snelheidsprobleem op de Dreef. 
Het is de ontsluiting van een wijk waar kinderen en fietsers oversteken om de bus richting Leuven te nemen en een knelpunt op de (boven-)lokale fietsroute vanuit Overijse-Terlanen/Tombeek en Huldenberg-Ottenburg naar middelbare scholen in Tervuren</t>
  </si>
  <si>
    <t xml:space="preserve">Plan op te maken.
In het verleden werd afgesproken dat gemeente Overijse ervoor zou zorgen dat er voldoende ruimte zou vrijblijven bij hertracering IJse om een oversteek met middenberm aan te brengen. 
Dossier IJse loopt vertraging op.
Afspraak: AWV maakt een wenselijk ontwerp op. Overijse en VMM dienen hier dan rekening mee te houden bij hun dossier van de IJse. </t>
  </si>
  <si>
    <t>KP/001214</t>
  </si>
  <si>
    <t>KS630 - Hoge verkeersdruk en snelheden ter hoogte van het zebrapad nabij lagere school.</t>
  </si>
  <si>
    <t>Voorzien van fietsoversteek thv de bestaande voetgangersoversteek. Aanpassen middengeleider en aanbrengen markeringen.
Alsook het aanpassen van de signlisatie en de bewegwijzering naar de verschillende fietsroute.</t>
  </si>
  <si>
    <t>Aanleg van het dubbelrichtingsfietspad aan de zijde van de doorsteek naar de
Ballingweg.</t>
  </si>
  <si>
    <t>KP/001210</t>
  </si>
  <si>
    <t>5-        Sint-Bernardsesteenweg segment Rector Vermeylenlaan - Salesianenlaan (HO)
o        Situering en verantwoording: https://stadinkaart.antwerpen.be/project.html?guid=51279cd4-bccf-48f4-87de-e578d55d95c5 SBS fungeert als barrière. In een straal van 500 meter bevinden zich 4 basisscholen en 2 hogescholen. Specifiek in de Salesianenlaan: twee hogescholen en een basisschool (en 1 in de onmiddellijke omgeving), goede bereikbaarheid met het OV maakt dat er veel voetgangers zijn die de Sint-Bernardsesteenweg moeten oversteken; school Don Bosco is vlakbij (laatste schakel in woon-schoolroute)
o        Slachtoffers 0-25 jaar 2015-2019: 23 LG, 1 ZG, 1 stoffelijk
o        Probleem: oversteekbaarheid voor voetgangers en fietsers.
Voornamelijk ter hoogte van de Heidestraat, ter hoogte van huisnummer 1100 en ter hoogte van Basisschool Don Bosco.
Fietsers worden aangereden bij het dwarsen van de Salesianenlaan door zowel in- als uitrijdend gemotoriseerd verkeer. 
o        Verantwoording: Basisschool en middelbare school Don Bosco, Basisschool Accent en KDG-Hogeschool vlakbij (laatste schakel in woon-schoolroute), SBS fungeert als barrière</t>
  </si>
  <si>
    <t>KS618 - 4-        Grote Steenweg – Koninklijkelaan (BE)
o        Verantwoording en situering: Grote Steenweg fungeert als barrière. Ten oosten ervan situeren zich 3 basisscholen en 1 secundaire school, ten westen 4 basisscholen (in de maas Grote Steenweg – Elisabethlaan) en 1 secundaire school). De twee secundaire scholen bevinden zich in de onmiddellijke nabijheid van de Koninklijkelaan.  https://stadinkaart.antwerpen.be/project.html?guid=f78475ce-19ca-4f02-b575-429f57a041c9
o        Slachtoffers tussen 0-25jaar 2015-2019: 19 LG, 1 ZG, 10 stoffelijk 
o        Probleem: fietsers worden aangereden door uitkomend gemotoriseerd verkeer, te weinig zichtbaarheid door o.m. nutskasten
o        Slachtoffers tussen 0-25jaar 2015-2019: 11  LG, 1 ZG, 1 stoffelijk 
o        Probleem: fietsers (in tegenrichting) worden aangereden door uitkomend gemotoriseerd verkeer (te weinig uitrijzicht, onverwachte fietsers uit tegenrichting)</t>
  </si>
  <si>
    <t>KS617a    Boomsesteenweg (WI) - Geleegweg
        Situering en verantwoording: vooral relevant voor fietsers langsheen de N177 (vanuit het zuiden van Antwerpen op weg naar onderwijsinstellingen in Wilrijk) https://stadinkaart.antwerpen.be/project.html?guid=5005f66b-0cc3-428b-be46-ef4260174909
        Slachtoffers 0-25 jaar, 2015-2019: 4 LG, 1 ZG
        Probleem: uitrijdend gemotoriseerd verkeer komt in aanrijding met fietsers op de Boomsesteenweg</t>
  </si>
  <si>
    <t>KS615a - Bredabaan x Barnkrachtstraat
1-        Bredabaan (ME) 
o        Bredabaan blijkt een grote barrièrewerking te hebben voor fietsers en voetgangers. Grootste probleem situeert zich hier bij  overstekende fietsers en voetgangers, vooral op de niet-lichtengeregelde oversteken. Volledige segment: slachtoffers 0-25 jaar 2015-2019: 47 LG, 2 ZG, 1 stoffelijk 
o        Situering scholen omgeving Bredabaan: ten noorden van de Bredabaan tellen we 3 basisscholen, 2 secundaire scholen en 1 hogeschool, ten zuiden 3 basisscholen https://stadinkaart.antwerpen.be/project.html?guid=166ca131-c557-4dbb-bc2c-b5512e813f3f
o        Bredabaan - Barnkrachtstraat 
        Slachtoffers 0-25 jaar 2015-2019: 3LG, 1 ZG:
        Probleem: overstekende fietsers en voetgangers worden aangereden door gemotoriseerd verkeer (verkeerspolitie checkt uren: ongevallen gebeuren voornamelijk in de dag/bij licht, in het bijzonder veel in de avondspits; mobiliteit checkt snelheidsmetingen)</t>
  </si>
  <si>
    <t>- VVOP 2de oversteekplaats (deze zonder VRI)
- markering "School" plaatsen</t>
  </si>
  <si>
    <t>Heist-op-den-Berg</t>
  </si>
  <si>
    <t>KS604 - 1.de toestand van de fietsinfrastructuur op de Nieuwelaan (het fietspad van aan het kruispunt Manke Vos tot aan de Brusselsesteenweg is geheel vervormd)
2. het ontbreken van beveiligde (via verkeerslichten of oplaaiende borden om overstekende voetgangers en fietsers aan te kondigen), verlichtte oversteekplaatsen op de Nieuwelaan 
dit terwijl de Nieuwelaan de schoolroute naar de Leertuin en de Sinte Maartenschool is (beide scholen hebben op een afstand van ongeveer 250 meter een ingang op de Nieuwelaan).</t>
  </si>
  <si>
    <t>Meise</t>
  </si>
  <si>
    <t>KP/001198</t>
  </si>
  <si>
    <t>KS603 - Voor jonge fietsers is de Zandstraat veel gebruikt maar ook door gemotoriseerd verkeer. Er is geen fietspad en er is overal voorrang van rechts.</t>
  </si>
  <si>
    <t>Avelgem</t>
  </si>
  <si>
    <t>Izegem</t>
  </si>
  <si>
    <t>Middelkerke</t>
  </si>
  <si>
    <t>Het knelpunt is de aansluiting van de Pleinstraat op de Aarschotsesteenweg, op de grens Leuven/Holsbeek. 
Op dit punt is er zowel ’s ochtends, ’s middags als ’s avonds zeer druk verkeer en dit al vele jaren. Deze drukte is afkomstig van de nabijgelegen winkels, broodjeszaak, bedrijventerrein De Vunt en ander verkeer tussen Holsbeek en Wilsele. Bijgevolg kunnen de auto’s komende van de Pleinstraat, en dus ook van het bedrijventerrein De Vunt, nauwelijks invoegen op de Aarschotsesteenweg. 
Dit brengt de veiligheid van fietsers en voetgangers in gevaar.
Het oversteken van fietsers en voetgangers is immers niet beveiligd.
Wat het extra gevaarlijk maakt, is dat het moeilijke invoegen van voertuigen op de Aarschotsesteenweg, maakt dat chauffeurs lang staan te wachten op de Pleinstraat, en zodra er een opening in het verkeer op de Aarschotsesteenweg komt, gehaast invoegen om de opening niet te missen. Op dat ogenblik hebben zij vaak slecht zicht op en/of te weinig aandacht voor de fietsers en voetgangers.
Het kruispunt bevindt zich op een belangrijke schoolroute, en dit voor 2 basisscholen:
-	De route vanuit Wilsele (Aarschotsesteenweg) naar de Vrije Basisschool De Plein (Klein Langeveld, Holsbeek)
-	De route vanuit Holsbeek (Pleinstraat) naar de Freinetschool De Krullevaart (GO! Basisschool).</t>
  </si>
  <si>
    <t>Holsbeek</t>
  </si>
  <si>
    <t>KP/001187</t>
  </si>
  <si>
    <t>KS589 - Wildparkeren zorgt voor gevaarlijke situatie met kinderen die te voet of met de fiets naar school komen.</t>
  </si>
  <si>
    <t>KP/001186</t>
  </si>
  <si>
    <t>KS588 - Wildparkeren N141</t>
  </si>
  <si>
    <t>Poperinge</t>
  </si>
  <si>
    <t>KP/001184</t>
  </si>
  <si>
    <t>KS584 - Zichtbaarheid schoolomgevingen</t>
  </si>
  <si>
    <t>KP/001183</t>
  </si>
  <si>
    <t>KS583 - Zichtbaarheid schoolomgevingen</t>
  </si>
  <si>
    <t>KP/001182</t>
  </si>
  <si>
    <t>KS582 - Aanliggende fietspaden met beperkte veiligheidsstroken</t>
  </si>
  <si>
    <t>KP/001181</t>
  </si>
  <si>
    <t>KS581 - Aanliggende fietspaden met beperkte veiligheidsstroken</t>
  </si>
  <si>
    <t>KP/001179</t>
  </si>
  <si>
    <t>KS579 - N736 werd geselecteerd als fietssnelweg maar de uitvoering werd nog niet gestart.</t>
  </si>
  <si>
    <t>Maasmechelen</t>
  </si>
  <si>
    <t>KP/001178</t>
  </si>
  <si>
    <t>KS578 - N78 heeft geen voetpad tussen de Looheuvelstraat en de Reinboomstraat. Hierdoor moeten leerlingen die te voet naar school komen over het bestaande fietspad wandelen. In de Groenstraat is er wel voldoende ruimte om een voetpad aan te leggen. De Groenstraat ligt parallel met de N78 en kan de leerlingen via een voetpad op een veilige manier laten wandelen tussen de Looheuvelstraat en de Reinboomstraat. Dit in analogie met de Koning Albertlaan.</t>
  </si>
  <si>
    <t>KS569 - slechte toestand van het gehel betonnen fietspad door wortelopdruk
gevaarlijke, druk gebruikte oversteek kruispunt met Vierstraat</t>
  </si>
  <si>
    <t xml:space="preserve">- conflictvrij regelen linksaf N78 &gt; Looheuvelstraat
- wegnemen herhalingslicht linkerzijde N78 in zuidelijke richting + toevoegen herhalingslicht op ooghoogte
- optimaliseren groentijd vanuit Looheuvelstraat obv tellingen </t>
  </si>
  <si>
    <t>KP/001167</t>
  </si>
  <si>
    <t>KS555 - Oversteekplaats voor fietsers op druk punt. De belijning is conform het vademecum aangebracht. Dit is een drukke rotonde met wachtende voertuigen op de armen waardoor de wagens over de oversteek staan en de fietser vaak niet wordt opgemerkt. Er is ook maar een beperkte opstelplaats voor fietsers op middenberm.</t>
  </si>
  <si>
    <t>KS551 - niet voldoende zichtbaar einde fietspad/bruuske overgang naar gemengd verkeer
gevaar gemengd verkeer</t>
  </si>
  <si>
    <t>KP/001164</t>
  </si>
  <si>
    <t>KS550 - Dit kruispunt is heel slecht verlicht waardoor het als gevaarlijk ervaren wordt door de weggebruikers.</t>
  </si>
  <si>
    <t>KP/001163</t>
  </si>
  <si>
    <t>KS547 - Kempische Steenweg: fietspaden worden in beide richtingen als dubbelfietspad gebruikt om de oversteek van de kempische Steenweg te vermijden</t>
  </si>
  <si>
    <t>KP/001162</t>
  </si>
  <si>
    <t>KS546 - Paalsteenstraat/Banneuxstraat en Kempische Steenweg: onveilige oversteek</t>
  </si>
  <si>
    <t>KP/001160</t>
  </si>
  <si>
    <t>KS544 - Sluiproutes tussen Genkersteenweg en Kempische Steenweg (Putvennenstraat, Tuilpinstraat, Kiewitstraat, Borggravenvijverstraat)</t>
  </si>
  <si>
    <t>KP/001157</t>
  </si>
  <si>
    <t>KS541 - Op de Nieuwpoortsesteenweg zijn er, bij het naderen van dit kruispunt, geen fietspaden meer. Fietsers dienen in te voegen op het rijvak, samen met automobilisten of ander verkeer.</t>
  </si>
  <si>
    <t>studie VIAS
Ontsluitingsstudie lopende 2022
mogelijks lichten maar geen garantie op doorstroming</t>
  </si>
  <si>
    <t>KP/001154</t>
  </si>
  <si>
    <t>KS537 - Diverse verkeersstromen zijn mogelijk rond dit punt, waardoor dit de verkeersleesbaarheid voor zachte weggebruikers niet ten goede komt.</t>
  </si>
  <si>
    <t>overleg stad 20/6</t>
  </si>
  <si>
    <t>Diksmuide</t>
  </si>
  <si>
    <t>KP/001152</t>
  </si>
  <si>
    <t>KS535 - Zichtbaarheid van belangrijkste oversteekplaats in nabijheid van school is niet goed geneog.</t>
  </si>
  <si>
    <t>KP/001151</t>
  </si>
  <si>
    <t>KS533 - De omgeving Wolske ligt tussen de Diepenbekerweg (N2) en de Universiteitslaan (N702). 
Sluiproute + fietspaden ontbreken
Kruispunt Nieuwe Steenweg en Maastrichtersteenweg: onoverzichtelijk</t>
  </si>
  <si>
    <t>KS525 - Onduidelijke infrastructuur voor fietsers en voetgangers.
Zwartveldstraat en Hendrik-Van Veldekesingel (onder de brug) zou als verbinding kunnen dienen: Voetgangers mogen op dit moment niet onder de brug door. Toch zou het een heel verschil maken als dat toch mogelijk is (want nu moet men 300 m omwandelen). 
Trambusbaan - Van Veldekesingel: Fietsers (ook automobilisten) die vanuit fietspad / doodlopende straat onder de brug willen geraken, moeten goed uitkijken voor verkeer dat van links, van rechts en langs achter komt.</t>
  </si>
  <si>
    <t>KS524 - Knelpunt:  Tuinwijk is de verbinding tussen de wijken met het centrum. Hier is in het fietsstraat/ éénrichtingsstraat een moeilijke oversteek op de N35 Esenweg. Politiebegeleiding is voorzien tijdens ochtendspits. Dit zou altijd een veilige oversteek moeten zijn en niet enkel als er politiebegeleiding voorzien is. 
De openbare verlichting is onvoldoende om deze plaats visueel duidelijk te maken. 
Dit kruispunt vormt de belangrijskte verbinding naar het centrum. Deze wordt dagelijks veelvuldig gebruikt.</t>
  </si>
  <si>
    <t>KP/001146</t>
  </si>
  <si>
    <t>KS522 - Het kruispunt N2 (Wijkstraat) met de Toekomststraat is een druk kruispunt: het doorgaand verkeer tijdens de ochtend- en avondspits, het bestemmingsverkeer tijdens de op- en afhaal momenten aan de scholen van het centrum, het bestemmingsverkeer voor de Shopping Diepenbeek waarvan de inrit zich op enkele meters bevindt. De schoolgaande kinderen van de gemeentelijke basisschool op de Kloosterstraat + vrije basisschool Paleis op de Wijkstraat + methodeschool De Loep op de Toekomststraat (naast het autoverkeer dat het centrum wilt verlaten) maken gebruik van dit kruispunt in hun schoolroute van/naar het centrum. De Toekomststraat kent zijn beperkingen voor herinrichting (de begraafplaats aan de westzijde is erfgoed en de lintbebouwing aan de oostzijde grenst met de rijbaan, waardoor hier maar weinig opties zijn). Graag hadden we dit tot uw aandacht gebracht in de hoop deze omgeving veiliger te kunnen maken.</t>
  </si>
  <si>
    <t>Diepenbeek</t>
  </si>
  <si>
    <t>KP/001144</t>
  </si>
  <si>
    <t>KS520 - Veiligere schoolomgeving Kester omgeving Bruneaustraat (N272)</t>
  </si>
  <si>
    <t>Gooik</t>
  </si>
  <si>
    <t>KP/001143</t>
  </si>
  <si>
    <t>KS519 - Veiligere schoolomgeving Kester omgeving Bruneaustraat (N272)</t>
  </si>
  <si>
    <t>KS514 - Onveilige + te smalle fietspaden op de Singel.
Ventwegen rond de 11de Liniecampus is nu gemengd verkeer, geen fietspaden, weinig voetpaden.</t>
  </si>
  <si>
    <t>KS511 - Oversteken thv Trekschurenstraat, Luikersteenweg (N20) tussen Kortessem en Henegauw: geen fietspaden.
Ouders en andere mensen blijven kris kras over Luikersteenweg oversteken.
Aan Luikersteenweg 403 staan veel hindernissen op de stoep - via melding: In Rapertingen zijn er aan weerszijden van de Luikersteenweg 2 punten waar het volledige voetpad versperd wordt door paaltjes / borden / fietsbeugels / stroomkasten … Hier worden de voetgangers dus het fietspad opgedreven. De voetgangers zijn in deze voornamelijk (groot)ouders met kinderen die richting onze SBS Rapertingen stappen. Dit is een reeds lang bestaand probleem, maar wordt nu gevaarlijker door het grote aantal spedelecs e.d. dat daar tegenwoordig voorbijkomt aan behoorlijke snelheden.</t>
  </si>
  <si>
    <t>Kapellen</t>
  </si>
  <si>
    <t>Brasschaat</t>
  </si>
  <si>
    <t>KS505 - Te hoge snelheid ter hoogte van dit kruispunt, versus overstekende fietsers en voetgangers.
Bocht in het tracé.</t>
  </si>
  <si>
    <t>KP/001131</t>
  </si>
  <si>
    <t>KS504 - De bocht van het fietspad komende van N36 west, richting Meensesteenweg Zilverberg ligt vlak naast de rijbaan waar veel zwaar verkeer al dan niet correct de bocht neemt richting Meensesteenweg.</t>
  </si>
  <si>
    <t>overleg met stad.</t>
  </si>
  <si>
    <t>KP/001130</t>
  </si>
  <si>
    <t>Overstekende kinderen (o.a. buitenschoolse kinderopvang) naar school in Zilverenhoeklaan. Meestal in aanwezigheid van gemachtigd opzichter, doch vaak met slechte zichtbaarheid</t>
  </si>
  <si>
    <t>KP/001129</t>
  </si>
  <si>
    <t>KS502 - Fietspad loopt niet volledig door rond de rotonde, er zijn op drie takken dubbelrichtingsoversteken aanwezig.</t>
  </si>
  <si>
    <t>Stabroek</t>
  </si>
  <si>
    <t>KP/001126</t>
  </si>
  <si>
    <t>Smal fietspad + slechte kwaliteit</t>
  </si>
  <si>
    <t>KP/001123</t>
  </si>
  <si>
    <t>KS496 - Hoewel hier een (uitgestelde) heraanleg is gepland binnen pakweg 5-6 jaar, willen we toch de aandacht vestigen op het feit dat dit een veelgebruikte schoolroute is voor kinderen/jeugd wonende in omgeving Beitem/Zilverberg richting de stad en terug. Tot aan Hof ter Weze is het fietspad quasi vrijliggend, maar daarna wordt dit aanliggend en is er zeer weinig afstand tussen fietser en rijbaan.</t>
  </si>
  <si>
    <t>Veurne</t>
  </si>
  <si>
    <t>KP/001117</t>
  </si>
  <si>
    <t>KS486 - Gevaarlijke oversteken op de Kleine Ring</t>
  </si>
  <si>
    <t>KS485 - Fietspaden en voetpaden op de Stokrooieweg en Zolderse Kiezel zijn onveilig en te smal.
Onveilige oversteekplaats Massinweg en Stokrooiestraat (N729).
Rijkelstraat gevaarlijk: geparkeerde voertuigen, fietsers en voetgangers, stoep is hellend en moeilijk om met een buggy of fiets over te wandelen.
Zolderse Kiezel: bocht aan kruispunt met Schouterveldstraat is gevaarlijk, slecht zicht.
Uitrit parking: zorgt voor opstoppingen + slecht zicht op voetgangers en fietsers</t>
  </si>
  <si>
    <t>KP/001115</t>
  </si>
  <si>
    <t>KS483 - nu geen mogelijkheid om voor scholieren om de N19 richting de wijk Schorvoort over te steken. Hierdoor rijden fietsers massaal in de verkeerde richting op het enkelrichtingfietspad vanuit Turnhout centrum.</t>
  </si>
  <si>
    <t>Tervuren</t>
  </si>
  <si>
    <t>KP/001113</t>
  </si>
  <si>
    <t>KS480 - gezamenlijk gebruik van voetpad/fietspad</t>
  </si>
  <si>
    <t>KP/001112</t>
  </si>
  <si>
    <t>KS479 - Voetgangers (veelal scholieren) steken de Tervurenlaan over buiten de daartoe voorzien voetgangersoversteken. Op die manier wordt een olifantenpaadje gevormd op de middenberm.</t>
  </si>
  <si>
    <t>KP/001110</t>
  </si>
  <si>
    <t>KS477 - geen aparte voetgangersinfrastructuur. Voetgangers dienen het fietspad te delen met de (vaak snelle, functionele) fietsers</t>
  </si>
  <si>
    <t>KP/001107</t>
  </si>
  <si>
    <t>KS474 - 9)        Het fietspad langs de Poederleeseweg ligt direct naast de rijbaan, maar voor een weg waar 70 km/u gereden mag worden, levert dit dikwijls gevaarlijke situaties op voor fietsers.</t>
  </si>
  <si>
    <t>KP/001106</t>
  </si>
  <si>
    <t>KS473 - 8)        Ter hoogte van de kruispunten Poederleeseweg – Watervoort en Poederleeseweg – Holle Weg moeten heel wat fietsers oversteken, maar er is geen veilige mogelijkheid om de rijbaan hier te kruisen. Voertuigen mogen er 70 km/u rijden, dus een veilige oversteek voor fietsers en voetgangers is zeker gewenst.</t>
  </si>
  <si>
    <t>KP/001103</t>
  </si>
  <si>
    <t>KS470 - 5)        Dit knelpunt hangt samen met knelpunt 4. De markering op het fietspad en het onderbord M10 op de Wijngaard doet uitschijnen dat fietsers van beide richtingen kunnen komen, maar in theorie mag dit niet gezien de aanwezigheid van het bord D7. De situatie is zeer onduidelijk en zorgt voor conflicten.</t>
  </si>
  <si>
    <t>KP/001102</t>
  </si>
  <si>
    <t>KS469 - 4)        Vanaf de ovonde tot aan de Wijngaard mag volgens de verkeersborden aan de oneven kant niet in beide richtingen gefietst worden, maar de markering spreekt dit tegen. Aan de even kant mag ook slechts in één richting gefietst worden. Gezien deze onduidelijkheid worden de verkeersregels helemaal niet goed opgevolgd. Hierdoor ontstaan dikwijls conflicten tussen fietsers. De fietspaden zijn er niet breed genoeg om elkaar veilig te kunnen kruisen.</t>
  </si>
  <si>
    <t>Dit wordt verder uitgewerkt binnen traject van de Hoppinpunten:
- Hoppinpunt aanleggen
- middengeleider
- punctuele verlichting</t>
  </si>
  <si>
    <t>Brecht</t>
  </si>
  <si>
    <t>Hamont-Achel</t>
  </si>
  <si>
    <t>KS435 - schoolroute kaart Anzegem: er wordt te snel gereden in Kruisweg-Kerkstraat en Statiestraat. De zebrapaden kunnen beter geaccentueerd worden. In de Wortegemsesteenweg en Berglaan zijn er geen fietspaden of suggestiestroken. In de Statiestraat zijn er wel suggestiestroken.
Schoolroute Kaster: overdreven snelheid in Bevrijdingslaan. De zebrapaden kunnen beter geaccentueerd worden
Schoolroute Ingooigem:  De zebrapaden kunnen beter geaccentueerd worden
Schoolroute Tiegem: overdreven snelheid in Westdorp en Oostdorp. Geen fietsvoorzieningen in deze straten. Geen fietsvoorzieningen in Kapellestraat (deel tussen Sint-Arnolduslaan en N36 ligt op schoolroute). De zebrapaden kunnen beter geaccentueerd worden
Schoolroute Gijzelbrechtegem: De zebrapaden kunnen beter geaccentueerd worden
Schoolroute Vichte: overdreven snelheid in Peter Benoitstraat en Harelbekestraat. studie van het kruispunt N36-Beukenhofstraat-Oudenaardestraat en dichte omgeving. Er zijn hier namelijk veel conflictpunten:
-Inrijden Vichteplaats
-Linksafbeweging naar parking aan kerk (kop-staart aanrijding, niet zien van fietsers als men tussen de file linksaf slaat)
-Uitrit parking Okay
-Fietsers die rechtdoor rijden komende uit Oudenaardestraat
De zebrapaden kunnen beter geaccentueerd worden</t>
  </si>
  <si>
    <t>KP/001086</t>
  </si>
  <si>
    <t>KS434 - De signalisatie van de fietspaden rond de ring is niet eenduidig</t>
  </si>
  <si>
    <t>KP/001084</t>
  </si>
  <si>
    <t>KS432 - Veel lintbebouwing en aantakkende straten (verblijfsfunctie primeert waardoor veel kruisende bewegingen over de steenweg).</t>
  </si>
  <si>
    <t>KP/001081</t>
  </si>
  <si>
    <t>KS429 - Bushalte aan oostzijde weg is direct na kruising gelegen waardoor bij haltering van een bus een file vormt achter bus. Hierdoor wordt het kruispunt geblokkeerd waardoor fietsers en voetgangers niet veilig en vlot kunnen oversteken tijdens hun groenfase.</t>
  </si>
  <si>
    <t>KP/001075</t>
  </si>
  <si>
    <t>KS422 - De toestand van Het Gangske is dat dit vroeger is aangelegd met een middengootje voor de afwatering. Gebruik heeft ons geleerd dat dit voor de kinderen en ouderen als gevaarlijk wordt aangegeven.</t>
  </si>
  <si>
    <t>KP/001072</t>
  </si>
  <si>
    <t>KS417 - Op de Bovelingenstraat wordt vaak overdreven snel gereden. Ook is er geen fietspad aanwezig</t>
  </si>
  <si>
    <t>Heers</t>
  </si>
  <si>
    <t>- accentueren VOP met wegdekreflectoren
- evaluatie na 6 maanden (bedrijfszekerheid; financieel; kwalitatief naar tevredenheid verkeersdeelnemers)</t>
  </si>
  <si>
    <t>Hoogstraten</t>
  </si>
  <si>
    <t>KP/001066</t>
  </si>
  <si>
    <t>KS400 - Gevaarlijke fietsoversteek.</t>
  </si>
  <si>
    <t>Balen</t>
  </si>
  <si>
    <t>KP/001062</t>
  </si>
  <si>
    <t>KS392 - Langs de Einsteinlaan is een basisschool en tienerschool gelegen. De schoolroutes naar deze school zijn via de Driftweg en de Nieuwe Steenweg. Deze straten zijn voorzien van fietsinfrastructuur (vrijliggend fietspad langs de Driftweg en fietssuggestiestroken langs de Nieuwe Steenweg). De Einsteinlaan is vaak ook een sluiproute om snel van De Haan-centrum naar de Vosseslag te rijden (Kardinaal Mercierlaan - Einsteinlaan - Ringlaan-Noord) daar dit kaarsrechte banen zijn zonder enige wegversmalling of andere remmende maatregelen (wat wel is op de Driftweg). Het respect van 30 km/u wordt continu genegeerd.</t>
  </si>
  <si>
    <t>De Haan</t>
  </si>
  <si>
    <t>KS391 - Betreft VBS De Bolster in Blauberg:
In Goorbaan werd vorig jaar een 'schoolstraat' ingevoerd. Hiervoor werden stapspots voorzien t.h.v. het kerkplein. Ook de ingang van de school werd verplaatst naar Goorbaan (voordien Blaubergsesteenweg). Door deze maatregelen steken kinderen/ouders nu over aan het zebrapad t.h.v. Blauberg 1. Deze oversteek valt net buiten de variabele zone 30 schoolomgeving en is niet verlicht.</t>
  </si>
  <si>
    <t>Herselt</t>
  </si>
  <si>
    <t>KS388 - Dagelijks komen en gaan heel wat schoolgaande leerlingen van en naar Zeebrugge met het openbaar vervoer. We kregen vanuit de verschillende schoolvervoerplannen, die de Stad Brugge met de scholen opmaakt, dan ook de opmerking dat heel wat leerlingen vanuit het station van Zeebrugge-dorp richting de Meeuwenstraat in Zeebrugge wandelen om dan zo naar de desbetreffende school te wandelen. 
Vanuit het station is het met de Visartsluis moeilijk extra ruimte te voorzien maar het gaat vooral om de mogelijkheden vanaf de Visartsluis tot aan de Meeuwenstraat om beter toegankelijk te maken voor de voetgangers. Intentie is om dit hier via quick wins dit voetgangersvriendelijker te maken want nu is het oversteken hier vrij gevaarlijk. We stellen onder meer volgende mogelijkheden voor:    
•        De linksafstrook op de Isabellalaan richting de Noordzeestraat zouden we pas laten beginnen na het zebrapad. Op deze manier dienen voertuigen na het zebrapad pas in te voegen en krijgt de voetganger meer opstelruimte 
•        Eventueel ook paaltjes plaatsen op het zebrapad Isabellalaan X N34b (maar we geven de voorkeur om zo weinig mogelijk oversteken te gebruiken) 
•        Via het aanleggen van dolomietpaden/steenslagpaden/… of een andere quick win hadden we graag de looproute van deze jongeren beteren willen faciliteren, liefst via de zuidzijde van de N34b richting Meeuwenstraat zodat de leerling zo weinig mogelijk oversteken moet maken
Dit werd reeds afgestemd met het Agentschap Wegen en Verkeer district Brugge en voor hen was dit al een goede basis om op verder te werken. De detailuitwerking dient nog te volgen.</t>
  </si>
  <si>
    <t>KS387 - Ouders parkeren 's ochtends en 's avonds bij het brengen en halen van de kinderen op de parking van de nabijgelegen dancing Mac Queen en wandelen dan een stukje langs de N79 naar de school. Er is hier geen scheiding tussen de zwakke weggebruikers en het verkeer op de gewestweg. Het is reeds meermaals voorgevallen dat wandelende of fietsende ouders en kinderen aan de kant moeten springen omdat sommige automobilisten voorbijsteken over het voet-/fietspad aan de verkeerslichten ter hoogte van de school.
Daarnaast wordt er op de gewestweg ter hoogte van de schoolomgeving bij de aanvang en het einde van de schooldag vaak te snel gereden ondanks de reeds aanwezige variabele zone 30.</t>
  </si>
  <si>
    <t>Borgloon</t>
  </si>
  <si>
    <t>- versmallen rijweg
- (al dan niet met snelheidsverlaging naar 50 km/u = nog op te starten)
- voetpad scheiden van fietspad met omegabeugels (hiertoe inname landbouwperceel nodig</t>
  </si>
  <si>
    <t>KP/001057</t>
  </si>
  <si>
    <t>KS386 - Afwezigheid veilige oversteken</t>
  </si>
  <si>
    <t>KP/001054</t>
  </si>
  <si>
    <t>KS383 - Onveilige oversteekplaatsen N212 x Oranjestraat &amp; Ter Elzen x N212</t>
  </si>
  <si>
    <t>KP/001053</t>
  </si>
  <si>
    <t>KS382 - Aftandse fiets en voetgangersinfrastructuur</t>
  </si>
  <si>
    <t>KP/001047</t>
  </si>
  <si>
    <t>KS360 - De Duinkerkelaan- Nieuwpoortlaan is een zeer fiets-onvriendelijke straat. De straat is zeer smal, er rijdt een tram, de breedte van de straat is beperkt en dient gedeeld te worden met verschillende weggebruikers.</t>
  </si>
  <si>
    <t>KP/001046</t>
  </si>
  <si>
    <t>KS359 - Fietspad te smal en in slechte staat
Het fietspad vanaf ETAP tussen Oostmalle en Westmalle is verzakt waarbij de naastliggende gracht een extra risico vormt. De gracht is momenteel de buffer tussen het niveauverschil van de rijbaan en het fietspad. Ofwel de gracht inbuizen en het fietspad deels op de gracht uitbreiden ofwel een stuk innemen en het fietspad uitbreiden weg van de rijbaan.</t>
  </si>
  <si>
    <t>Malle</t>
  </si>
  <si>
    <t>Relance Schoolroutes. Aannemer kan hier bekijken hoe dit fietspad terug in orde kan gebracht worden. Indien mogelijk iets verbreden.</t>
  </si>
  <si>
    <t>KP/001045</t>
  </si>
  <si>
    <t>KS358 - De oversteekplaats is zeer breed over de baan en onveilig voor fietsers. Er ligt een schooltje ter hoogte van de Noorddreef. Het kruispunt dient dus gedwarst te worden door elke fietser die vanuit de Veurnestraat komt en de school wenst te bereiken.</t>
  </si>
  <si>
    <t>KP/001043</t>
  </si>
  <si>
    <t>KS355 - Tussen het rondpunt Esplanade en de Bortierlaan is het wegdek zeer smal. De fietsers zijn gedwongen op de straat te fietsen. Binnen de schoolfietsrouteplannen wordt de Duinkerkelaan zoveel mogelijk niet opgenomen. Deze wordt als veel te onveilig beschouwd. Na aanpassing mag deze wel op de schoolrouteplannen worden opgenomen.</t>
  </si>
  <si>
    <t>KP/001042</t>
  </si>
  <si>
    <t>KS344 - De strook bevindt zich voor de school 'Immaculata Instituut De Panne'. De grote toegangspoort van de school ligt aan deze zijde en er is een inrit voor een fietsenberging. De fietsende kinderen kunnen enkel op de straat fietsen. Er is maar een beperkte</t>
  </si>
  <si>
    <t>QW1: signalisatie met borden en F49 borden met bi-flashes
QW2: markeren van verdrijvingsvlak</t>
  </si>
  <si>
    <t>Zandhoven</t>
  </si>
  <si>
    <t>KP/001039</t>
  </si>
  <si>
    <t>KS341 - Fietspaden ter hoogte van zijstraten zijn niet altijd even herkenbaar voor de weggebruikers. Dit op de R12, maar ook N1, N227, en andere gewestwegen. Dit is belangrijk voor alle scholen in het stadscentrum</t>
  </si>
  <si>
    <t xml:space="preserve">VVOP
+ markering VVOP
</t>
  </si>
  <si>
    <t>KP/001032</t>
  </si>
  <si>
    <t>KS325 - Vanaf het kruispunt Zeelaan tot en met de kruispunt Kasteelstraat fietsen de fietsers op straat. Er is geen enkele inrichting aanwezig om de fietser te beschermen. Een eindje verder ligt een school waardoor er veel fietsverkeer is rond het kruispunt dat er rechtstreeks naartoe gaat.</t>
  </si>
  <si>
    <t>KP/001022</t>
  </si>
  <si>
    <t>Vlak na de afrit zit een fietsoversteek voor de wissel van dubbelrichtingsfietspad naar een enkelrichtingsfietspad. Fietsers worden niet verwacht op dit punt en er wordt al zeker niet verwacht dat fietsers er oversteken. De aanwezigheid van fietsers is onvoldoende duidelijk. het dubbelrichtingsfietspad ter hoogte van de op en afritten is te smal en niet duidelijk</t>
  </si>
  <si>
    <t>KP/001018</t>
  </si>
  <si>
    <t>KS306 - Gebrekkige fietsinfrastructuur tussen Iepersestraat en Brugsepoort</t>
  </si>
  <si>
    <t>correctie status</t>
  </si>
  <si>
    <t>KP/001017</t>
  </si>
  <si>
    <t>KS305 - De locatie is weinig beveiligd voor fietsers. Deze worden vaak gedwongen in de goot te rijden om het dominant autoverkeer niet te hinderen. In de laatste 5 jaar hebben 26 ongevallen met fietsers plaatsgevonden in de N34, bijna allemaal met gewonden. Dit punt heeft de hoogste prioriteit gekregen binnen de verkeerscommissie.</t>
  </si>
  <si>
    <t>KP/001015</t>
  </si>
  <si>
    <t>Tekort aan fietsenstalling in schoolomgeving</t>
  </si>
  <si>
    <t>Merksplas</t>
  </si>
  <si>
    <t>KP/001014</t>
  </si>
  <si>
    <t>Tekort aan veilige fietsenstallingen voor (elektrische) fietsen</t>
  </si>
  <si>
    <t>dichten middengeleider voor voertuigen van Hippodroomstraat en Zandbergstraat
aanpassen VRI naar maximaal conflictvrij
aanpassen afslagstroken N43
renovatie fietspaden N43 Gentsesteenweg</t>
  </si>
  <si>
    <t>KP/001010</t>
  </si>
  <si>
    <t>KS297 - Het kruispunt Stationsstraat met de Noordhoekstraat is voor fietsers zeer gevaarlijk. Er is weinig beveiliging voor de fietser aanwezig, ook al ligt ze op een schoolfietsroute. Het kruispunt fungeert als hoofdinvalsweg van de autosnelweg E40 naar De Panne. Het autoverkeer is hier dominant. De fietsers komt op het kruispunt zonder enige bescherming. Er liggen 2 scholen op enkele 100 meter van het kruispunt. Heel wat fietsers dwarsen het kruispunt om tot de school te geraken.</t>
  </si>
  <si>
    <t>Tienen</t>
  </si>
  <si>
    <t>KS285 - Op de Aarschotsesteenweg ter hoogte van de ingangen van de school, komen verschillende modi samen: voetgangers, fietsers, bus en auto's.  Het fietspad ligt tussen de autoparkeerplaatsen en de rijbaan, wat voor heel wat conflicten zorgt. Het zou veiliger zijn als het fietspad verlegd kon worden tussen de plaatsen voor wagens en de omheining van de school. Bovendien is er wel een groenstrook, maar geen volwaardig voetpad aan de kant van de school. Er is geen ingerichte Kiss and Ride strook. 
De school heeft op dit moment 2 ingangen langs de Aarschotsesteenweg: grote poort langs bushalte en kleine poort richting woning met huisnummer 644. Tijdens de komende maanden zal de nieuwbouw in de Kumtichstraat 394 opgeleverd worden. De nieuwe toegang zou dan de voornaamste toegang worden voor fietsers en voetgangers worden, voor wagens blijft de kleine poort op de Aarschotsesteenweg de belangrijkste toegang. De grote toegang langs de Aarschotsesteenweg zal dan niet langer gebruikt worden, enkel de kleine poort dichter bij woning op Aarschotsesteenweg 644.  De locatie van het huidige zebrapad is niet afgestemd op een belangrijke toegang langs deze kleine poort.  Ook de Octopuspaal staat bij dit nieuwe gebruik niet langer op de beste locatie. De zichtbaarheid/ veiligheid van het zebrapad kan beter vb. door verlichting met galgpaal en/ of ledlichtjes op zebrastrepen.</t>
  </si>
  <si>
    <t>KP/001007</t>
  </si>
  <si>
    <t>KS284 - Nieuwe buurt, nieuwe (snelle) weg</t>
  </si>
  <si>
    <t>Houthalen-Helchteren</t>
  </si>
  <si>
    <t>KP/001006</t>
  </si>
  <si>
    <t>KS283 - omgeving lagere school Lillo</t>
  </si>
  <si>
    <t>KP/001004</t>
  </si>
  <si>
    <t>KS281 - 2 uitgangen middelbaar Inspirocollege</t>
  </si>
  <si>
    <t>KP/001003</t>
  </si>
  <si>
    <t>KS280 - Omgeving 3 scholen (2 lagere + 1 kleuter)</t>
  </si>
  <si>
    <t>Zemst</t>
  </si>
  <si>
    <t>Gemeente vraagt of dit kruispunt zal worden uitgerust met verkeerslichten, mits  flankerende maatregelen zoals door AWV reeds werd toegelicht 
en besproken op 9 november ll. Tijdens dit overleg werd 
duidelijk dat een globalere aanpak van de zuidelijk doortocht 
van Eppegem wenselijk is. april 22: overleg met Colruyt aug 22 verdere bespreking met ZEM, ook Iveco contacteren</t>
  </si>
  <si>
    <t>Kalmthout</t>
  </si>
  <si>
    <t>Hulshout</t>
  </si>
  <si>
    <t>Galmaarden</t>
  </si>
  <si>
    <t>KS260 - Onveilige situatie voor fietsers op de gewestweg ter hoogte van de Plaats (in aansluiting op de Hernestraat).
Geen fietspad, ook niet in de nabije toekomst. Veel zwaar verkeer. 
Eveneens een moeilijk zichtbare oversteekplaats voetgangers ter hoogte van Plaatsstraat 1A, net achter de bocht komende van richting Kester naar Galmaarden.</t>
  </si>
  <si>
    <t>KP/000993</t>
  </si>
  <si>
    <t>KS259 - Automobilistenhouden zich niet aan de opgelegde snelheden</t>
  </si>
  <si>
    <t>KP/000992</t>
  </si>
  <si>
    <t>KS258 - Automobilistenhouden zich niet aan de opgelegde snelheden</t>
  </si>
  <si>
    <t>KP/000991</t>
  </si>
  <si>
    <t>KS257 - Automobilistenhouden zich niet aan de opgelegde snelheden</t>
  </si>
  <si>
    <t>KP/000990</t>
  </si>
  <si>
    <t>KS256 - Automobilistenhouden zich niet aan de opgelegde snelheden</t>
  </si>
  <si>
    <t>KP/000978</t>
  </si>
  <si>
    <t>KS238 - In de Ophovenstrat werd geen VOP voorzien.</t>
  </si>
  <si>
    <t>Heraanleg kruispunt N18-Kapellestraat in Mol met VRI.
Herinrichting aansluiting Postelarenweg naar eenrichtingsverkeer.</t>
  </si>
  <si>
    <t>KS229 - Aanwezigheid van rioolkolk en de goot (beton) die lager ligt zorgt voor oncomfortabele oversteek
Rozenberg: geen fietscomfort bij oversteek zijstraten: Bresserdijk, Lichtstoetstraat, Bergstraat</t>
  </si>
  <si>
    <t>KS220 - N26xAudenhovelaan. Dit kruispunt werd een tijdje geleden opnieuw ingericht. Helaas heeft AWV geen rekening gehouden met de opmerkingen die door de gemeente werden geformuleerd, waardoor er vandaag een onveilige situatie is. Die echter snel kan opgelost worden. 
Vandaag is er daar geen oversteekplaats voor fietsers voorzien. Een opstelstrook voor fietsers in de Pontstraat en de Audenhovenlaan lost daar veel op. Ook springen de lichten voor auto’s komende van de Audenhovenlaan al op groen, terwijl het voor voetgangers nog rood is. Autobestuurders zien de voetgangers stil staan dus rijden verder, terwijl op dat moment het groen wordt voor voetgangers die dan plots wel oversteken. Dit probleem wordt veroorzaakt doordat deze auto’s al groen krijgen tijdens de links groen vanop de N26. 
Verder werd tijdens de herinrichting spijtig genoeg geen moeite gedaan om verkeerslichten van (potentiële) voet- en fietspaden in de Pontstraat te verplaatsen. Hierdoor blijft een onveilige situatie bestaan.</t>
  </si>
  <si>
    <t xml:space="preserve"> N26 Boortmeerbeek  - Aanleggen vrijliggende fietspaden + aanpassen kruispunten nav PCV Tussen Pontsraat/Audenhovenlaan en Kallebeekstraat
VT/PCV/BOO/N26/2238</t>
  </si>
  <si>
    <t>VRI plaatsen
PCV VB-328</t>
  </si>
  <si>
    <t>KS215 - N267xGoorweg verbetering oversteekplaats
 AWV wacht op bevestiging van gemeente dat Goorweg is geknipt</t>
  </si>
  <si>
    <t>KS214 - Prioriteit =&gt; snelheid verlagen naar 30 km/h met verkeersdrempels, oversteekplaats beter zichtbaar maken. Is momenteel in overleg met AWV, de PCV en provincie Vlaams-Brabant als alternatief voor het ingewikkeld ontwerp met verkeerslichten.
https://docs.google.com/document/d/1djuWCPXOVgHyEPYHtl--z3nmbqB87S5v/edit</t>
  </si>
  <si>
    <t>Momenteel is die 50 km/h vanaf het kruispunt met N26 tot aan het kruispunt Molenheide/Molenstraat. Dit om de oversteek van de F8 langs de Vaart al veiliger te maken. Beter wordt op de oversteek de snelheid verlaagd naar 30 km/h; de rest van de weg kan dan 50 km/h worden van N26 tot aan het kruispunt met de N227. Dit zal noodzakelijk zijn aangezien we om het sluipverkeer te weren uit Schiplaken drie trajectcontroles voorzien waardoor er meer verkeer de route N26 – N267 zal volgen om naar de E19 te rijden, zoals het hoort. Inwoners van schiplaken krijgen het dan nog moeilijker om op de N267 te geraken als zij naar de E19 willen. Ook zal dit ervoor zorgen dat de verschillende oversteekplaatsen voor fietsers en de zebrapaden voor voetgangers een pak veiliger zal maken.
https://docs.google.com/document/d/1djuWCPXOVgHyEPYHtl--z3nmbqB87S5v/edit</t>
  </si>
  <si>
    <t>Lummen</t>
  </si>
  <si>
    <t>Nijlen</t>
  </si>
  <si>
    <t>KS200 - Geen oversteekvoorzieningen voor fietsers voorzien ifv Githo
Hoge prioriteit voor de gemeente (de 2 vorige formulieren ook, maar dat ben ik vergeten)</t>
  </si>
  <si>
    <t>Bocholt</t>
  </si>
  <si>
    <t>KP/000935</t>
  </si>
  <si>
    <t>KS193 - de wijk Maria Duyne kan via de Klemskerkestraat doorheen het recreatiedomein Grasduinen (temidden van de Bredense campings bovendien) makkelijker verbonden worden met de Duinenstraat (cfr GO school De Zandlopertjes in de Schoollaan/Centrumplein. Bovendien zal in Grasduinen ook het nieuwe zwembad worden gebouwd.
De nieuwe school van het GO in de Europastraat (met behoud van een aantal functies in het oude gebouw aan de overzijde) kan veiliger worden bereikt door de structurele heraanleg van de Europastraat tussen Unescostraat en August Plovieplein én door een volwaardige afrit voor fietsers van de autovrije dijkweg rond de Spuikom (de ideale fietsroute van de wijk Bredene Sas naar de nieuwe school) naar het kruispunt Polderstraat (dubbelrichtingsfietspad naar de Vicognewijken Bredene Duinen) , August Plovieplein en Europastraat waaraan de site van het GO basisonderwijs (en de eerste 2 leerjaren van het secundair onderwijs) liggen</t>
  </si>
  <si>
    <t>Bredene</t>
  </si>
  <si>
    <t>KP/000934</t>
  </si>
  <si>
    <t>KS192 - de wijk Maria Duyne kan via de Klemskerkestraat doorheen het recreatiedomein Grasduinen (temidden van de Bredense campings bovendien) makkelijker verbonden worden met de Duinenstraat (cfr GO school De Zandlopertjes in de Schoollaan/Centrumplein. Bovendien zal in Grasduinen ook het nieuwe zwembad worden gebouwd.
De nieuwe school van het GO in de Europastraat (met behoud van een aantal functies in het oude gebouw aan de overzijde) kan veiliger worden bereikt door de structurele heraanleg van de Europastraat tussen Unescostraat en August Plovieplein én door een volwaardige afrit voor fietsers van de autovrije dijkweg rond de Spuikom (de ideale fietsroute van de wijk Bredene Sas naar de nieuwe school) naar het kruispunt Polderstraat (dubbelrichtingsfietspad naar de Vicognewijken Bredene Duinen) , August Plovieplein en Europastraat waaraan de site van het GO basisonderwijs (en de eerste 2 leerjaren van het secundair onderwijs) liggen</t>
  </si>
  <si>
    <t>Sint-Katelijne-Waver</t>
  </si>
  <si>
    <t>KP/000930</t>
  </si>
  <si>
    <t>KS188 - Kruispunt N14 x Albertstraat: oversteekplaats voor fietsers voorzien en heel het kruispunt onder de lichtenregeling brengen waardoor er geen conflict meer is tussen de Hogevelden en de overstekende voetgangers op de N14 + Kruispunt N15a x Ijzerenveld: onduidelijke situatie hoe de fietsers hier moeten oversteken.</t>
  </si>
  <si>
    <t>KS186 - *Op de N26/Leuvensesteenweg
--&gt; Op het kruispunt van de Aarschotsebaan en de N26  zou een oversteekplaats voor fietsers en voetgangers voorzien van een portiek met verlichting zeker goed van pas komen.  Kinderen komende van Buken gebruiken deze oversteek om naar Parkschool Relst te fietsen en omgekeerd komen de leerlingen uit Relst langs dit kruispunt om zo hun weg verder te zetten naar de fietssnelweg F8 aan de vaart. Hier kunnen ze verder rijden richting Sint Angela in Tildonk, Leuven of richting Kampenhout Sas, Mechelen</t>
  </si>
  <si>
    <t>Kampenhout</t>
  </si>
  <si>
    <t>Op de N21/Haachtsesteenweg
--&gt; Oversteekplaats voor de fietsers en voetgangers ter hoogte van wijk de Hutte voorzien van portiek met verlichting.
--&gt;  Kruispunt van Warandestraat/Van Bellinghenlaan gaan laatste stuk als fietsstraat dienen, zo kunnen fietsers op een veilige manier zich opstellen voor het gemotoriseerd verkeer om de oversteek met de N21 te maken.
--&gt; Op de N21 vertrekkende uit Berg rijrichting Haacht rijden veel middelbare schoolkinderen met de fiets langs het fietspad naar school. De kant rijrichting Haacht is enorm donker, dit deels omdat de straatlichten aan de overkant van de gewestweg staan en het fietspad afgescheiden is door struiken.  Verlichting zoals bijvoorbeeld op de Tervuursesteenweg of met verlichting met sensors zodat verlichting aangaat als er een fietser langskomt zou een grote stap vooruit zijn wat verkeersveiligheid betreft.</t>
  </si>
  <si>
    <t>KP/000926</t>
  </si>
  <si>
    <t>KS183 - prior 25.  Automobilisten houden zich, ondanks de flitscamera, niet aan de snelheid en rijden erg hard ook al is er een zebrapad.</t>
  </si>
  <si>
    <t>uitgevoerd
KS182 - De schoolroute van Teuven naar de scholen in De Plank en Voeren kruist hier de gewestweg. Fietsers komen vanuit de Plankerweg en moeten via De Plank richting de school aldaar en verder richting Sint-Martensvoeren. De gewestweg is hier 70 kilometer per uur.</t>
  </si>
  <si>
    <t>Voeren</t>
  </si>
  <si>
    <t>KP/000920</t>
  </si>
  <si>
    <t>KS176 - prior 8. Heel veel putten in het fietspad Lepelstraat - Gestelsedijk.</t>
  </si>
  <si>
    <t>KP/000917</t>
  </si>
  <si>
    <t>KS173 - Prior 21.  via Ruwe Heuvelweg zal veilige fietsdoorsteek naar industriepark Maatheide gerealiseerd worden. Daardoor dient op de Molsekiezel een veilig fietsoversteekpunt voorzien te worden.</t>
  </si>
  <si>
    <t>KP/000912</t>
  </si>
  <si>
    <t>KS168 - Prior 27.  Komende van Kattenbos richting station over het fietspad dan nemen (meestal vrachtwagens) daar de binnenbocht over het fietspad.</t>
  </si>
  <si>
    <t>KP/000910</t>
  </si>
  <si>
    <t>KS166 - prior 13 . Van station Lommel naar Provil moeten leerlingen die met de trein naar school komen door de modderige berm stappen. Bij regenweer grote plassen aanwezig zodat men op het smalle fietspad moet wandelen</t>
  </si>
  <si>
    <t>KS159 - Prior 18.   De rotonde op de baan Werkplaatsen // Ringlaan // Maatheide is zeer onveilig bij het oversteken per fiets. Verkeer heeft een slecht overzicht op de oversteekplaatsen aan de rotonde. Snelheden liggen hier ook veel te hoog.
Er is één dubbelrichtingsoversteekplaats is. De oversteekplaatsen met een zebrapad zijn duidelijker aanwezig.</t>
  </si>
  <si>
    <t xml:space="preserve">- op de 4 takken een VOP in combi met dubbelrichtingsFOP's in fietslogoverbinding (inclusief aanpassen fietspaden rotonde).
</t>
  </si>
  <si>
    <t>KP/000907</t>
  </si>
  <si>
    <t>KS158 - Prior 26. Er is geen veilige oversteekplaats. Door de wegversmalling 50m voor de plaats om over te steken is het aankomend verkeer ook nog eens moeilijk te zien</t>
  </si>
  <si>
    <t>Wezembeek-Oppem</t>
  </si>
  <si>
    <t>KP/000904</t>
  </si>
  <si>
    <t>Geen knelpunten aan gewestwegen</t>
  </si>
  <si>
    <t>Dessel</t>
  </si>
  <si>
    <t>KS153 - Er zijn heel wat ouders en kinderen die van de Wijerstraat richting school fietsen/wandelen. De Wijerstraat is echter éénrichtingsverkeer vanuit de Diestersesteenweg, wat de situatie zeer gevaarlijk maakt voor fietsers en voetgangers. 
Presentatie gemeente: https://drive.google.com/file/d/1EDwidM0caiCmiWhL-P03U6CerkXzeq82/view?usp=sharing</t>
  </si>
  <si>
    <t xml:space="preserve">Knip Wijerstraat
VOP verplaatsen, verbreden, punctueel verlichten
Omegabeugels dichten voor betere looplijn naar VOP
</t>
  </si>
  <si>
    <t>KS152 - Ouders parkeren hun auto dagelijks op een plaats waar te weinig plaats is voor een auto waardoor ze gedeeltelijk het fietspad inpalmen. Dit maakt het fietspad erg smal en veroorzaakt tevens een gevaarlijke situatie voor de fietser.
Presentatie gemeente: https://drive.google.com/file/d/1EDwidM0caiCmiWhL-P03U6CerkXzeq82/view?usp=sharing</t>
  </si>
  <si>
    <t>KS151 - Fietsers komende van Diest die richting Tervant gaan, steken over aan de verkeerslichten om daarna rechts hun weg verder te zetten. Hier ligt echter een enkelrichtingsfietspad, waardoor deze tegen de richting in fietsen. 
Presentatie door gemeente: https://drive.google.com/file/d/1EDwidM0caiCmiWhL-P03U6CerkXzeq82/view?usp=sharing</t>
  </si>
  <si>
    <t>KS148 - 1.        Verkeerslichtenregeling oversteek N74-Donkweg
Over de N74 (2 x 2 rijbaan) de veiligheid voor fietsers verhogen bij het oversteken.
Nu is er slechts één verkeerslicht om de fietsers groen licht te geven om over te streken.
Dit bevindt zich aan de zijde waar de fietser de rijbaan moet oversteken.
Voor automobilisten is dit verkeerslicht echter moeilijk zichtbaar. Bij groen zijn ze het licht al voorbij en denken ze dat de overstekende fietser rood heeft omdat er aan de overzijde enkel een rood licht staat voor voetgangers.</t>
  </si>
  <si>
    <t>Zwijndrecht</t>
  </si>
  <si>
    <t xml:space="preserve">PCV dossier
KS147 wordt geschrapt, KS145 opgewaardeerd </t>
  </si>
  <si>
    <t>KP/000898</t>
  </si>
  <si>
    <t>KS146 - Er ontbreken lichten voor voetgangers om veilig over te kunnen steken van noord naar zuid aan het lichtengeregeld kruispunt Kruibeeksesteenweg - N419 - Oude Heirbaan (kant Kruibeeksesteenweg). Ook fietsers worden hiermee in bepaalde gevallen geconfronteerd. Ook met de nabijheid van een bushalte is dat zeker geen overbodige luxe. Dit werd reeds aangekaart bij AWV en terecht bevonden (middelen/tijd werden gezocht maar nog niet gevonden).</t>
  </si>
  <si>
    <t>KS145 - Het beveiligen van de oversteek Melselestraat- Krijgsbaan kan niet los gezien worden van andere maatregelen die door de lokale besturen dienen genomen te worden. Daar het immers over een missing link in een route gaat op de grens van twee gemeenten engageert alvast het Zwijndrechts bestuur zich voor wat betreft haar aandeel. Dit wordt ook verder nog eerstdaags overlegd met de collega’s van de gemeente Beveren. De bevindingen daarvan zullen later bij de indiening verwerkt worden. 
Tussen de Melselestraat en de aansluiting op de fietsostrade F425 is de afstand via deze oversteek = 1 km via de vandaag gevolgde route (gemeten van de Melselestraat aan de aftakking naar de fietsstraat tot en met de kortste aansluiting op de F425).
De alternatieven geven 250-600 meter omrijfactor. Dit is vanuit routingstandpunt gezien een te grote omrijfactor en verklaart waarom men niet opteert voor de nochtans verkeersveilige tunnelverbinding (die al dan niet in het donker ook als minder “sociaal veilig” ervaren wordt).
Vanuit het onderwijs (scholenoverleg Zwijndrecht 15/1/21) werd gevraagd om deze  oversteek Melselestraat-Krijgsbaan te beveiligen. Het fysiek onmogelijk maken van de oversteek is onrealistisch (wel reeds voor auto’s) en gelet voorgaande opmerkingen ook niet wenselijk.</t>
  </si>
  <si>
    <t>KS144 - Uit de evaluatie van de zone dertig (PCV 30/10/20) die werd ingevoerd na goedkeuring op de PCV in het gedeelte van de N70 met onvermijdelijk mengverkeer in het centrum van Zwijndrecht, bleek dat het louter aanbrengen van de zone dertig borden ruim onvoldoende tot nauwelijks effect had op de snelheid (V85 voor invoering = 45 km/u; V85 na invoering =43km/u ). Liefst 74% van het verkeer rijdt te snel. Op deze PCV werden dan ook afspraken gemaakt om bijkomende verkeersremming uit te werken. Wij grijpen het aanbod van de minister om extra middelen vrij te maken voor de beveiliging van schoolroutes aan om dit dossier asap gerealiseerd te zien. Het gaat hier immers om 4 relatief eenvoudig te realiseren ingrepen. 
De N70 snijdt dwars door onze gemeente en de dorpskern en is dan ook een drukke straat waar veel schoolkinderen dagelijks langskomen of deze dienen te kruisen. Er ligt bovendien een jeugdcentrum, een kunstacademie (DKO) en een grote lagere- en kleuterschool op/of vlakbij de baan (binnen het zone dertig gebied). Deze maatregelen worden als een pakket ingediend.
De N70 is in zijn geheel een onderdeel van het BFF. In de doortocht van het centrum is dit echter onvermijdelijk via mengverkeer. Het optimaal functioneren van de zone dertig is dan ook het enige middel om de verkeersveiligheid voor de zwakke weggebruiker zoveel mogelijk te garanderen.</t>
  </si>
  <si>
    <t>Beernem</t>
  </si>
  <si>
    <t>KS142 - Alle leerlingen ten zuiden van de E40 en de stationsomgeving komen via het station, Sint-Jorisstraat, door de A. Rodenbachstraat naar de Sint-Andreaslaan. Daar nemen ze het zebrapad om de Gewestweg te dwarsen en fietsen verder door park Kleuterweelde naar het fietspad langs het kanaal om verder via de fietsbrug en de Bargelaan naar de middenschool Sint-Lutgard te rijden in de Rollebaanstraat.
Het knelpunt is het zebrapad om de Sint-Andreaslaan te dwarsen. Chauffeurs stoppen niet.</t>
  </si>
  <si>
    <t>Begijnendijk</t>
  </si>
  <si>
    <t>Zuienkerke</t>
  </si>
  <si>
    <t>KP/000890</t>
  </si>
  <si>
    <t>KS136 - ontbreken van fietsoversteken terwijl er op alle takken fietspaden zijn
- ontbreken van een VOP</t>
  </si>
  <si>
    <t>knelpunt wordt opgelost binnen uitvoering bestaand PCV-dossier (T-Forum)</t>
  </si>
  <si>
    <t>KS135 - Geen centrale wachtruimte voor voetgangers, die zich in de zone van de U-turns bevinden en ook in de binnenbochten van het gemotoriseerd verkeer.
- Reeds op het terrein met Winfried Casters besproken. Er zou een mogelijkheid kunnen zijn om de beide zebrapaden op te schuiven zodat er een meer veilige centrale wachtruimte ontstaat.</t>
  </si>
  <si>
    <t>KS130  - Busperron is niet toegankelijk aangelegd
- Zebrapad botst langs beide zijden op een stoeprand terwijl het middelste vlak wel toegankelijk is
- Aansluiting van fietspad v/n Oude Katzij is nu vrij haaks aangelegd. Vraag om de aanzetten te verbeteren (met rugdekking) en dan zal de stad Tongeren van de Oude Katzij bijkomstig een fietsstraat maken (= nieuwe beleidsvisie).</t>
  </si>
  <si>
    <t>KP/000884</t>
  </si>
  <si>
    <t>KS117 - Het gemeentelijke mobiliteitsplan voorziet de invoering van zone 30KM/uur in het centrum van Lichtaart. De Leistraat is een drukke straat met de meeste winkels van het dorp en ook schoolverkeer.</t>
  </si>
  <si>
    <t>Kasterlee</t>
  </si>
  <si>
    <t>KP/000883</t>
  </si>
  <si>
    <t>KS116 - Dit gedeelte staat reeds op planning AWV voor een aantal maatregelen. We geven graag aan dat deze gewestweg heel wat vrachtverkeer, zwaar vrachtverkeer en uitzonderlijk transport moet verwerken. Dit is geen goede combinatie met de 2 scholen in Dworp die langs deze steenweg gelegen zijn.</t>
  </si>
  <si>
    <t>Beersel</t>
  </si>
  <si>
    <t xml:space="preserve">- snelheidsverlaging &gt; 50 km/u in ruimere zone dan kruispunt
- dubbelrichtingsfietsoversteek met middengeleider </t>
  </si>
  <si>
    <t>KP/000877</t>
  </si>
  <si>
    <t>Hier is totaal geen fietsoversteek voorzien voor fietsers die vanuit Waarloos naar Kontich centrum fietsen en andersom. De enige mogelijkheid nu is dat fietsers de beveiligde oversteek aan Neerveld gebruiken maar dit betekent dat ze een 100tal meter in tegenovergestelde richting moeten fietsen op het enkelrichtingsfietspad aan de N1.</t>
  </si>
  <si>
    <t>Kontich</t>
  </si>
  <si>
    <t>KS108 - Prioriteit: 4
Oversteekbeweging voor voetgangers en fietsers ter hoogte van sport- en recreatiedomein De Valkaart op de A. Rodenbachstraat. Strikt genomen niet echt een schoolroute maar wel relevant omwille van verplaatsingen tussen school en De Valkaart voor bijvoorbeeld zwemles.</t>
  </si>
  <si>
    <t>KS106 - Prioriteit: 2
De rotonde Kortrijksestraat - Siemenslaan is op vandaag reeds een belangrijke link op het schoolroutewerk, voor schoolkinderen die met de fiets vanuit Ruddervoorde, Waardamme of Ruddervoorde richting school in het centrum van Oostkamp of Brugge fietsen. Dit zal in de toekomst nog meer het geval zijn door de realisatie van een  nieuwe functionele fietsverbinding die vanaf de Fabiolalaan de connectie zal maken tussen het westelijke gedeelte van Oostkamp en de rotonde. In kader van dat dossier, waarvoor we mikken op uitvoering tijdens huidige legislatuur, zal de rotonde sowieso aangepast moeten worden.</t>
  </si>
  <si>
    <t>KS105 - Prioriteit: 1
De schoolroute voor schoolkinderen die vanaf de Kortrijksestraat (N50) te voet of met de fiets naar de schooltoegang aan het Dorpsplein komen, verloopt via de Kerkstraat. Hierbij moet de drukke N50 overgestoken worden. Een aantal ingrepen dringen zich op om dit kritieke punt op de schoolroute veiliger te maken.  
Dit knelpunt werd reeds met het Agentschap Wegen en Verkeer besproken, daarbij werd besloten om verdere uitwerking via PCV te laten verlopen.</t>
  </si>
  <si>
    <t>KP/000871</t>
  </si>
  <si>
    <t>Schoolomgeving langs gemeenteweg Veldstraat (voorheen gewestweg) met bijzonder hoge verkeersintensiteit. Enkel variabele zone-30 aanwezig, doch infrastructureel daarop niet aangepast.</t>
  </si>
  <si>
    <t>KP/000868</t>
  </si>
  <si>
    <t>KS098 - Volgens de reglementering mag het zwaar vervoer Koolskamp verlaten richting Lichtervelde maar mogen ze Koolskamp niet binnenkomen vanaf afrittencomplex E403 Lichtervelde. Echter lappen vele vrachtwagens dit aan hun laars (naar Dujardin Foods en korte route richting Pittem). Probleem is reeds lang gekend maar blijft praktisch moeilijk om op te lossen. Ter hoogte van de oversteek waarover net sprake is de Kloosterstraat veel smaller dan de rest van de N35. Als hier twee vrachtwagens kruisen, zijn ze meermaals genoodzaakt om bijna, net niet, op het voetpad te rijden, wat een extra gevaar met zich meebrengt voor de voetgangers;</t>
  </si>
  <si>
    <t>Berlaar</t>
  </si>
  <si>
    <t>KS083 - Op dit gedeelte van de gewestweg zijn er nog moordstrookjes aanwezig. Dit is een missing link tussen de vernieuwde dorpskern Bekkevoort en de grens met Tielt-Winge. Als de fietspaden veiliger worden, kunnen de (lagere) schoolkinderen de gemeentelijke basisschool (en ook sportpark De Heide) op een veiligere manier bereiken met de fiets (evenals de andere zachte weggebruikers).
Er is ondertussen sprake van een rioleringsdossier (GIP nummer is B210102B) op te starten in Tielt-Winge tot het kruispunt Oude Tiensebaan (in Bekkevoort). Graag wenst de gemeente het fietspad verder verbeterd te zien tot aan het kruispunt met de Schillekensberg/Robbesrodestraat.</t>
  </si>
  <si>
    <t>Bekkevoort</t>
  </si>
  <si>
    <t>opgenomen in investeringsproject</t>
  </si>
  <si>
    <t>KP/000858</t>
  </si>
  <si>
    <t>KS082 - Op dit gedeelte van de gewestweg zijn er nog moordstrookjes aanwezig. De scholenstad Diest is met de fiets te bereiken via de moordstrookjes. Dit is een zeer gevaarlijke situatie voor de (middelbare) schoolkinderen en andere zachte weggebruikers. In april 2020 is daar nog een dodelijk ongeval gebeurd met een fietser.
De scholenstad Diest ligt op een kleine 7km van het centrum van Bekkevoort = fietsafstand voor de middelbare schoolkinderen.</t>
  </si>
  <si>
    <t>KP/000857</t>
  </si>
  <si>
    <t>KS081 - is een gewestweg maar met grote passage van voertuigen o.a. Bobbejaanland en doorgaand verkeer oost/west-as + ingericht met fietssuggestiestroken</t>
  </si>
  <si>
    <t>KP/000855</t>
  </si>
  <si>
    <t>KS072 - Gevaarlijk om over te steken. Er is momenteel geen veilige oversteekplaats/ zebrapad voorzien.</t>
  </si>
  <si>
    <t>Auto's komende van het kerkplein, en met de intentie om af te slaan op de N76, richting Diepenbeek worden niet door de VRI geleid.  De VRI leiden dan wel weer de overstekende fiets- en voetgangers. De afslaande auto's kunnen dus niet weten of de fiets- en voetgangers oversteken.  De voorrangssituatie is erg onduidelijk in de situatie van overstekende personen of in de situatie dat er niemand oversteekt. 
 Dit creëert een gevaarlijke situatie.</t>
  </si>
  <si>
    <t>Kortessem</t>
  </si>
  <si>
    <t>KS070 - Geruime tijd is gemeente Westerlo vragende partij om de oversteek t.h.v. Ernest Claesstraat in dubbelrichting te voorzien, met duidelijke signalisatie.  
Een tweede mogelijkheid om alsnog een dubbelrichtingsoversteek te creëren biedt zich wat verder van de kruising aan.  T.h.v. Chateau Wastiau (achter het Total tankstation) kan een trage verbinding, gelegen tussen het tankstation en Chateau Wastiau, met een oversteek en middeneiland verbonden worden met de overzijde van Olenseweg.  Hierdoor dient er aan de westelijke zijde van Olenseweg wel een stukje tweerichtingsfietspad gecreërd te worden om de doorsteek naar Ernest Claesstraat te kunnen verwezenlijken. 
Deze mogelijkheid omhelst wel extra aandacht voor bestuurders, ze dienen eerst aandachtig te zijn voor overstekende fietsers om dan te letten op de verkeerssituatie aan de verkeerslichten (of vanuit de andere richting eerst de kruising te passeren om dan aandachtig te zijn voor overstekende fietsers). 
Fietsers dienen hier steeds de voorrang van de wagens te respecteren en kunnen halt houden op het te plaatsen middeneiland. (verslag overleg AWV en gemeente Westerlo 14/10/2020)</t>
  </si>
  <si>
    <t>Westerlo</t>
  </si>
  <si>
    <t>KS068 - Oversteek ter hoogte van Stippelberg aan de N152 Zoerlering is een veelvuldig gebruikte kruising voor schoolgaande kinderen komende uit Zoerle-Parwijs, Heultje en Hulshout.  De oversteek is momenteel bemand door een gemachtigd opzichter. 
AWV gaf reeds te kennen hier infrastructurele maatregelen te treffen (verleggen en vernieuwen fietspad), bijkomend zou er galgverlichting geplaatst worden. 
Deze werken werden reeds geagendeerd om meerdere overlegmomenten tussen de gemeente en AWV, maar werden tot op heden nog niet uitgevoerd. 
Misschien kan deze prioriteitenlijst en subsidie-budget de kruising opnieuw onder de aandacht brengen?</t>
  </si>
  <si>
    <t>KS067 - Uit de Peper- en Zouttocht van de fietsersbond kwam de melding dat de fietsers half op de rijbaan komen te staan om de knoppen te bedienen. 
AWV erkent deze problematiek.  Bij ontwerp van nieuwe kruispunten wordt er vandaag de dag meer aan het comfort van de fietser gedacht. 
Een mogelijke oplossing zou het plaatsen van kortere paaltjes met drukknop kunnen zijn.  Deze paaltjes dienen dan technisch verbonden te zijn met de huidige verkeerslichten.  Een werkje welk enig budget omhelst. 
Een tweede mogelijke oplossing is een verbindingsstuk aan de huidige paal, waardoor de drukknop voor fietsers wat achteruit kan geplaatst worden. – AWV neemt deze tweede optie mee op. 
(nota uit verslag overleg AWV en gemeente Westerlo 14/10/2020)</t>
  </si>
  <si>
    <t>KP/000848</t>
  </si>
  <si>
    <t>Vorselaar kent 50% studenten en leerkrachten. Vandaar ook dat we al die omgevingen nu in een grote inhaalbeweging willen aanpakken. De noodzaak is groot omwille van de duizenden studenten die langs drie verschillende poorten het domein moeten bereiken. Dat verloopt langs drukke verkeersassen. De hogeschool alleen heeft al 1000 studenten en leerkrachten maar is ook de thuisbasis van een geïntegreerde bib + is de toegang voor zwakke weggebruikers uit eigen gemeente voor kleuter- en basisschool in het schooldomein.</t>
  </si>
  <si>
    <t>Vorselaar</t>
  </si>
  <si>
    <t>KP/000847</t>
  </si>
  <si>
    <t>KS064 - Vorselaar is een onderwijsdorp. De allerjongste kleuters (250x) van BS Duizendpoot moeten via de drukste hoofdas in Vorselaar (Lepelstraat) hun school betreden. De lagere schoolstudenten (570x) van BS Windekind en secundaire schoolstudenten van Kardinaal Van Roey-instituut (1500 studenten) moeten dat ook doen. Op deze as zit ontzettend veel verkeer, spijtig genoeg niet langs een gewestweg waardoor we in het verleden nooit een beroep konden doen op subsidies. De roep om een heraanleg is groot.</t>
  </si>
  <si>
    <t>VVOP ter hoogte van nabijgelegen zebrapad.
Asverschuiving met rustpunt.</t>
  </si>
  <si>
    <t>KP/000845</t>
  </si>
  <si>
    <t>KS062 - Door het ontbreken van degelijke fietspaden op deze bruggen worden deze zones als onveilig ervaren.</t>
  </si>
  <si>
    <t>Rumst</t>
  </si>
  <si>
    <t>Hechtel-Eksel</t>
  </si>
  <si>
    <t>KP/000835</t>
  </si>
  <si>
    <t>- Enkelrichtingsfietsoversteken met toeleidende fietspaden
- verhoogd plateau</t>
  </si>
  <si>
    <t>KP/000832</t>
  </si>
  <si>
    <t>KS047 - Ontbrekende fietspaden</t>
  </si>
  <si>
    <t>Lennik</t>
  </si>
  <si>
    <t>Roosdaal</t>
  </si>
  <si>
    <t>Aanpassen kruispunt N8 met Ramerstraat / Daalbeekstraat.
Via SWO met Roosdaal (grotere werken in Ramerstraat incl. rioleringen)
PCV VB-220</t>
  </si>
  <si>
    <t>Hooglede</t>
  </si>
  <si>
    <t>KS041 - Dit kruispunt ligt langs een belangrijke schoolroute. De school De Linde in Zarren ligt nabij dit kruispunt. Vorig jaar werd een schoolvervoersplan opgemaakt voor deze school. Hierin werd getracht om het duurzaam verplaatsen naar school te stimuleren en het dichtbij parkeren (vaak fout parkeren) aan te pakken. Zo willen we de druk in de onmiddellijke omgeving van de school wat luwer maken want de Stadenstraat (N36) is sowieso al een drukkere weg. Het is ook belangrijk om te weten dat de school over 3 in- en uitgangen beschikt. Niet iedere in- en uitgang mag door iedereen gebruikt worden. 
Ingang nummer 1 is een trage weg die ontsluit op de Koordhoekstraat en is enkel voor fietsers en voetgangers. Ingang nummer 2 (de huidige in- en uitgang) is enkel voor kleuters en voor leerlingen van de lagere school die zich te voet of met de fiets verplaatsen. En ingang nummer 3 is voor lagere schoolkinderen die met de auto naar school worden gebracht. De ouders en grootouders parkeren zich op de parking aan de kerk en kunnen dan via een trage weg langs het Zarrenplein de school achteraan bereiken. Hiervoor moeten ze telkens de Staatsbaan kruisen. 
We zijn ervan overtuigd dat we hiermee de veiligheid rond de schoolomgeving verhogen maar om het oversteken van de kinderen veiliger te maken zouden we graag verkeerslichten zien op dit kruispunt. Ook voor kinderen die met de fiets naar school willen komen is dit kruispunt een struikelblok. Door de beperkte zichtbaarheid langs de kant van Diksmuide en de grootte van het kruispunt is het voor kinderen moeilijk om vlug genoeg deze weg te kruisen. Wanneer er verkeerslichten zouden staan hebben ze meer tijd om deze beweging te maken. Bovendien ligt ons nieuw Krekedalfietspad ook dichtbij dit kruispunt. Inwoners van Zarren die gebruik willen maken van dit fietspad moeten ook de Staatsbaan kruisen. De Provincie investeert veel geld in het aanleggen van fietsroutes maar soms wordt vergeten dat mensen ook op een veilige manier tot daar moeten kunnen fietsen. Ik denk dat er in de toekomst meer moet ingezet worden op zo'n schakelpunten willen we de modal-shift gunstig beïnvloeden.</t>
  </si>
  <si>
    <t>Puurs-Sint-Amands</t>
  </si>
  <si>
    <t>Hove</t>
  </si>
  <si>
    <t>Koekelare</t>
  </si>
  <si>
    <t>KS037 - Knelpunt: oversteekbaarheid N28, de busgebruikers van bushalte Termeren kunnen niet vlot de N28 oversteken om naar de bushalte aan de overzijde te geraken. De bus wordt er voornamelijk genomen door schoolgaand verkeer (secundaire scholen in Halle en Lennik). 
Daarnaast kreeg de gemeente ook de melding dat voetgangers zich onveilig voelen om op deze locatie over te steken, omwille van de brede rijbaan die ze dienen over te steken, het snelheidsregime van 70 km/u, de verlichting langs het kruispunt...
AWV neemt dit kruispunt mee op bij de herinrichting van de N28 (aanleg fietspaden en gescheiden riolering). Volgens de laatste berichtgeving werd er nog geen budget vrijgemaakt voor deze heraanleg. Indien de uitvoering van de heraanleg wordt uitgesteld of langer op zich zal laten wachten, kan dit knelpunt eventueel al worden aangepakt. 
Opm. de gemeente werkt samen met een studiebureau aan een fietspadendossier in de Eikstraat. Bij de realisatie van fietspaden in de Eikstraat, zal ook een fietsoversteek gewenst zijn op het kruispunt N28-Eikstraat.</t>
  </si>
  <si>
    <t>KP/000823</t>
  </si>
  <si>
    <t>KS036 - Oversteek voor schoolgaande fietsers vanuit Dormaal-Halle-Booienhoven naar scholencentrum in Zoutleeuw</t>
  </si>
  <si>
    <t>Zoutleeuw</t>
  </si>
  <si>
    <t>KP/000821</t>
  </si>
  <si>
    <t>KS034 - Leerlingen van Haasrode die naar Leuven moeten gaan</t>
  </si>
  <si>
    <t>Oud-Heverlee</t>
  </si>
  <si>
    <t>KP/000819</t>
  </si>
  <si>
    <t>KS030 - De Lepelstraat is dé hoofdas van Vorselaar maar tegelijk de plaats waar verschillende scholen zich concentreren: een kleuterschool (Duizendpoot), lagere school (Windekind), secundaire school (Kardinaal Van Roey instituut), deeltijds kunstonderwijs (muziekacademie in gebouw Horizon) én een hogeschool (Thomas More hogeschool).</t>
  </si>
  <si>
    <t>KP/000818</t>
  </si>
  <si>
    <t>KS029 - Kruispunt met grote bovenlokale functie (ontsluiting KMO-zone, sluipverkeer E34-E313), 33 ongevallen de voorbije jaren (ongevallenanalyse gemaakt)</t>
  </si>
  <si>
    <t>Nieuwerkerken</t>
  </si>
  <si>
    <t>KP/000815</t>
  </si>
  <si>
    <t>KS025 - Tussen de Heirbaan en de Heerstraat te Elen ligt thans een enkelrichtingsfietspad. De Rijksweg is een schoolroute voor scholieren richting Stedelijke Humaniora Dilsen. Hierbij kunnen de fietsers enkele parallelwegen nemen, zoals de Heirbaan en de Heerstraat, wat veilige lokale wegen zijn. Echter kunnen deze twee parallelwegen momenteel slechts in één richting (richting noord) genomen worden.</t>
  </si>
  <si>
    <t>Dilsen-Stokkem</t>
  </si>
  <si>
    <t>KP/000810</t>
  </si>
  <si>
    <t>KS020 - De fietssnelweg kruist hier de N757 momenteel gelijkgronds. Dit is nog een onveilige situatie. De fietssnelweg is een interessante route voor schoolgaande jeugd tussen Maaseik, Elen, Rotem en Dilsen.</t>
  </si>
  <si>
    <t>KS018 - In 2017 ontvingen we dit schrijven van AWV:
""Het Agentschap Wegen en Verkeer kan akkoord gaan met het invoeren van een zone 30 zoals aangegeven in bijlage van jullie brief van 6 februari 2017. Deze zone 30 moet dan inderdaad worden aangegeven met borden F4a en F4b. Wat bedoeld wordt met 'F4a en F4b met LED-functie' is niet helemaal duidelijk.
Gezien de reden van invoering gaan we ervan uit dat de zone 30 permanent wordt ingesteld. Variabele borden F4a en F4b worden enkel gebruikt wanneer het snelheidsregime wijzigt. Indien wordt bedoeld dat op het vaste bord F4a of F4b LED-lampen worden geplaatst om het bord te benadrukken, dan kan ik u meedelen dat die op gewestwegen niet worden geplaatst. Dergelijke borden geven aanleiding tot discussie over het al dan niet reglementair zijn van de borden en kunnen door de weggebruiker verkeerd worden geïnterpreteerd
(enkel geldig indien de lampen branden). Met het aanbrengen van randlijnen kan AWV eveneens akkoord gaan. De momenteel aànwezige aslijn is echter in strijd met de ontwerpprincipes van een zone 30.
In eerste instantie dient de gemeente een aanvullend reglement op te maken. De zone dient duidelijk en sluitend te worden afgebakend om te kunnen goedgekeurd te worden.
Eénmaal goedgekeurd zal AWV randlijnen aanbrengen, de aslijn verwijderen en borden F4a en F4b plaatsen op de gewestweg. De gemeente dient tegelijkertijd borden F4a en F4b te voorzien aan begin en einde van de zone op de gemeentewegen."
In deze voorgestelde zone bevindt zich ook het kruispunt met de Varsenareweg (Permekeschool) en de Dorpsstraat (richting VBS De Klimtoren).</t>
  </si>
  <si>
    <t>Jabbeke</t>
  </si>
  <si>
    <t>KP/000807</t>
  </si>
  <si>
    <t>KS017 - nvt</t>
  </si>
  <si>
    <t>Lendelede</t>
  </si>
  <si>
    <t>Lo-Reninge</t>
  </si>
  <si>
    <t>KP/000805</t>
  </si>
  <si>
    <t>KS015 - Door het ontbreken van degelijke fietspaden op deze bruggen worden deze zones als onveilig ervaren.</t>
  </si>
  <si>
    <t>Lanaken</t>
  </si>
  <si>
    <t>Geetbets</t>
  </si>
  <si>
    <t>KS004 - Zoals u weet is de Menenstraat een secundaire weg met hoge intensiteiten. 
Zwaar verkeer maakt vaak gebruik van deze verbindingsweg. Eerdere verkeerstellingen tonen deze verkeersintensiteit aan. Verder is het zó dat, wanneer voertuigen te kort op elkaar volgen, de bestuurders zich vooral focussen op het vlot aansluiten op het voorliggend verkeer. Hierdoor wordt een oversteekplaats vaak niet of te laat opgemerkt, stoppen slechts weinig bestuurders en ontstaan gevaarlijke situaties ter hoogte van deze oversteekplaats waar kinderen op piekuren geregeld oversteken. Zo ook bij dit zebrapad op een gewestweg ter hoogte van een schoolomgeving.</t>
  </si>
  <si>
    <t>Oudenburg</t>
  </si>
  <si>
    <t>Knelpuntnummer</t>
  </si>
  <si>
    <t>Hoofdthema</t>
  </si>
  <si>
    <t>Subthema</t>
  </si>
  <si>
    <t>Ingreepnummer</t>
  </si>
  <si>
    <t>Raming KIM</t>
  </si>
  <si>
    <t>Raming BOD</t>
  </si>
  <si>
    <t>Afgerekend BOD</t>
  </si>
  <si>
    <t/>
  </si>
  <si>
    <t>Eindtotaal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</si>
</sst>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0"/>
      <color rgb="FF000000"/>
      <name val="Arial"/>
      <scheme val="minor"/>
    </font>
    <font>
      <sz val="10"/>
      <color theme="1"/>
      <name val="Arial"/>
      <scheme val="minor"/>
    </font>
  </fonts>
  <fills count="2">
    <fill>
      <patternFill patternType="none"/>
    </fill>
    <fill>
      <patternFill patternType="gray125"/>
    </fill>
  </fills>
  <borders count="17">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style="thin">
        <color indexed="8"/>
      </right>
      <top style="thin">
        <color indexed="8"/>
      </top>
      <bottom/>
      <diagonal/>
    </border>
    <border>
      <left style="thin">
        <color indexed="8"/>
      </left>
      <right/>
      <top style="thin">
        <color indexed="65"/>
      </top>
      <bottom/>
      <diagonal/>
    </border>
    <border>
      <left style="thin">
        <color indexed="8"/>
      </left>
      <right/>
      <top/>
      <bottom/>
      <diagonal/>
    </border>
    <border>
      <left/>
      <right style="thin">
        <color indexed="8"/>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1">
    <xf numFmtId="0" fontId="0" fillId="0" borderId="0"/>
  </cellStyleXfs>
  <cellXfs count="30">
    <xf numFmtId="0" fontId="0" fillId="0" borderId="0" xfId="0" applyFont="1" applyAlignment="1"/>
    <xf numFmtId="0" fontId="1" fillId="0" borderId="0" xfId="0" applyFont="1" applyAlignment="1"/>
    <xf numFmtId="0" fontId="1" fillId="0" borderId="0" xfId="0" applyFont="1"/>
    <xf numFmtId="0" fontId="1" fillId="0" borderId="0" xfId="0" applyFont="1" applyAlignment="1"/>
    <xf numFmtId="0" fontId="0" fillId="0" borderId="1" xfId="0" applyFont="1" applyBorder="1" applyAlignment="1"/>
    <xf numFmtId="0" fontId="0" fillId="0" borderId="2" xfId="0" applyFont="1" applyBorder="1" applyAlignment="1"/>
    <xf numFmtId="0" fontId="0" fillId="0" borderId="1" xfId="0" pivotButton="1" applyFont="1" applyBorder="1" applyAlignment="1"/>
    <xf numFmtId="0" fontId="0" fillId="0" borderId="3" xfId="0" applyFont="1" applyBorder="1" applyAlignment="1"/>
    <xf numFmtId="0" fontId="0" fillId="0" borderId="4" xfId="0" applyFont="1" applyBorder="1" applyAlignment="1"/>
    <xf numFmtId="0" fontId="0" fillId="0" borderId="1" xfId="0" applyNumberFormat="1" applyFont="1" applyBorder="1" applyAlignment="1"/>
    <xf numFmtId="0" fontId="0" fillId="0" borderId="4" xfId="0" applyNumberFormat="1" applyFont="1" applyBorder="1" applyAlignment="1"/>
    <xf numFmtId="0" fontId="0" fillId="0" borderId="5" xfId="0" applyFont="1" applyBorder="1" applyAlignment="1"/>
    <xf numFmtId="0" fontId="0" fillId="0" borderId="6" xfId="0" applyFont="1" applyBorder="1" applyAlignment="1"/>
    <xf numFmtId="0" fontId="0" fillId="0" borderId="6" xfId="0" applyNumberFormat="1" applyFont="1" applyBorder="1" applyAlignment="1"/>
    <xf numFmtId="0" fontId="0" fillId="0" borderId="7" xfId="0" applyNumberFormat="1" applyFont="1" applyBorder="1" applyAlignment="1"/>
    <xf numFmtId="0" fontId="0" fillId="0" borderId="8" xfId="0" applyFont="1" applyBorder="1" applyAlignment="1"/>
    <xf numFmtId="0" fontId="0" fillId="0" borderId="9" xfId="0" applyFont="1" applyBorder="1" applyAlignment="1"/>
    <xf numFmtId="0" fontId="0" fillId="0" borderId="8" xfId="0" applyNumberFormat="1" applyFont="1" applyBorder="1" applyAlignment="1"/>
    <xf numFmtId="0" fontId="0" fillId="0" borderId="10" xfId="0" applyNumberFormat="1" applyFont="1" applyBorder="1" applyAlignment="1"/>
    <xf numFmtId="0" fontId="0" fillId="0" borderId="11" xfId="0" pivotButton="1" applyFont="1" applyBorder="1" applyAlignment="1"/>
    <xf numFmtId="0" fontId="0" fillId="0" borderId="11" xfId="0" applyFont="1" applyBorder="1" applyAlignment="1"/>
    <xf numFmtId="0" fontId="0" fillId="0" borderId="12" xfId="0" pivotButton="1" applyFont="1" applyBorder="1" applyAlignment="1"/>
    <xf numFmtId="0" fontId="0" fillId="0" borderId="13" xfId="0" applyFont="1" applyBorder="1" applyAlignment="1"/>
    <xf numFmtId="0" fontId="0" fillId="0" borderId="12" xfId="0" applyFont="1" applyBorder="1" applyAlignment="1"/>
    <xf numFmtId="0" fontId="0" fillId="0" borderId="13" xfId="0" applyNumberFormat="1" applyFont="1" applyBorder="1" applyAlignment="1"/>
    <xf numFmtId="0" fontId="0" fillId="0" borderId="14" xfId="0" applyFont="1" applyBorder="1" applyAlignment="1"/>
    <xf numFmtId="0" fontId="0" fillId="0" borderId="15" xfId="0" applyFont="1" applyBorder="1" applyAlignment="1"/>
    <xf numFmtId="0" fontId="0" fillId="0" borderId="16" xfId="0" applyNumberFormat="1" applyFont="1" applyBorder="1" applyAlignment="1"/>
    <xf numFmtId="0" fontId="0" fillId="0" borderId="16" xfId="0" pivotButton="1" applyFont="1" applyBorder="1" applyAlignment="1"/>
    <xf numFmtId="0" fontId="0" fillId="0" borderId="16" xfId="0" applyFont="1" applyBorder="1" applyAlignment="1"/>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fahych\Projectplace\Downloads\Read-only%20files\2023-0038.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Iliaens, Liessa" refreshedDate="44851.922368287036" refreshedVersion="4" recordCount="2747" xr:uid="{00000000-000A-0000-FFFF-FFFF07000000}">
  <cacheSource type="worksheet">
    <worksheetSource ref="A1:AE2748" sheet="bedragen BOD (vastleggingsdelen" r:id="rId2"/>
  </cacheSource>
  <cacheFields count="31">
    <cacheField name="knelpunt_id" numFmtId="0">
      <sharedItems containsMixedTypes="1" containsNumber="1" containsInteger="1" minValue="1" maxValue="4706" count="1653">
        <n v="1"/>
        <n v="2"/>
        <n v="537"/>
        <n v="4191"/>
        <n v="3"/>
        <n v="4"/>
        <n v="5"/>
        <n v="6"/>
        <n v="7"/>
        <n v="8"/>
        <n v="9"/>
        <n v="10"/>
        <n v="11"/>
        <n v="12"/>
        <n v="13"/>
        <n v="14"/>
        <n v="15"/>
        <n v="16"/>
        <s v="&lt;null&gt;"/>
        <n v="18"/>
        <n v="19"/>
        <n v="20"/>
        <n v="21"/>
        <n v="23"/>
        <n v="24"/>
        <n v="25"/>
        <n v="1229"/>
        <n v="26"/>
        <n v="30"/>
        <n v="27"/>
        <n v="28"/>
        <n v="29"/>
        <n v="31"/>
        <n v="32"/>
        <n v="33"/>
        <n v="34"/>
        <n v="35"/>
        <n v="36"/>
        <n v="37"/>
        <n v="38"/>
        <n v="39"/>
        <n v="40"/>
        <n v="41"/>
        <n v="42"/>
        <n v="43"/>
        <n v="44"/>
        <n v="45"/>
        <n v="1105"/>
        <n v="1106"/>
        <n v="1182"/>
        <n v="1380"/>
        <n v="46"/>
        <n v="47"/>
        <n v="48"/>
        <n v="49"/>
        <n v="50"/>
        <n v="51"/>
        <n v="52"/>
        <n v="53"/>
        <n v="54"/>
        <n v="55"/>
        <n v="56"/>
        <n v="57"/>
        <n v="58"/>
        <n v="59"/>
        <n v="60"/>
        <n v="61"/>
        <n v="62"/>
        <n v="63"/>
        <n v="64"/>
        <n v="65"/>
        <n v="66"/>
        <n v="67"/>
        <n v="68"/>
        <n v="69"/>
        <n v="70"/>
        <n v="71"/>
        <n v="72"/>
        <n v="73"/>
        <n v="74"/>
        <n v="75"/>
        <n v="76"/>
        <n v="77"/>
        <n v="78"/>
        <n v="79"/>
        <n v="80"/>
        <n v="81"/>
        <n v="82"/>
        <n v="83"/>
        <n v="84"/>
        <n v="85"/>
        <n v="87"/>
        <n v="88"/>
        <n v="89"/>
        <n v="90"/>
        <n v="91"/>
        <n v="92"/>
        <n v="93"/>
        <n v="94"/>
        <n v="95"/>
        <n v="96"/>
        <n v="97"/>
        <n v="98"/>
        <n v="99"/>
        <n v="100"/>
        <n v="101"/>
        <n v="102"/>
        <n v="103"/>
        <n v="104"/>
        <n v="105"/>
        <n v="106"/>
        <n v="107"/>
        <n v="108"/>
        <n v="109"/>
        <n v="110"/>
        <n v="111"/>
        <n v="112"/>
        <n v="113"/>
        <n v="114"/>
        <n v="115"/>
        <n v="116"/>
        <n v="117"/>
        <n v="118"/>
        <n v="119"/>
        <n v="120"/>
        <n v="121"/>
        <n v="122"/>
        <n v="123"/>
        <n v="124"/>
        <n v="125"/>
        <n v="126"/>
        <n v="128"/>
        <n v="129"/>
        <n v="130"/>
        <n v="131"/>
        <n v="132"/>
        <n v="133"/>
        <n v="134"/>
        <n v="1623"/>
        <n v="135"/>
        <n v="136"/>
        <n v="137"/>
        <n v="138"/>
        <n v="139"/>
        <n v="140"/>
        <n v="141"/>
        <n v="143"/>
        <n v="144"/>
        <n v="1155"/>
        <n v="1160"/>
        <n v="1379"/>
        <n v="145"/>
        <n v="379"/>
        <n v="146"/>
        <n v="147"/>
        <n v="148"/>
        <n v="149"/>
        <n v="150"/>
        <n v="151"/>
        <n v="914"/>
        <n v="152"/>
        <n v="154"/>
        <n v="155"/>
        <n v="156"/>
        <n v="157"/>
        <n v="158"/>
        <n v="1313"/>
        <n v="1314"/>
        <n v="159"/>
        <n v="1388"/>
        <n v="160"/>
        <n v="161"/>
        <n v="162"/>
        <n v="163"/>
        <n v="164"/>
        <n v="1099"/>
        <n v="165"/>
        <n v="867"/>
        <n v="167"/>
        <n v="168"/>
        <n v="169"/>
        <n v="170"/>
        <n v="171"/>
        <n v="173"/>
        <n v="174"/>
        <n v="175"/>
        <n v="176"/>
        <n v="177"/>
        <n v="178"/>
        <n v="179"/>
        <n v="180"/>
        <n v="182"/>
        <n v="183"/>
        <n v="184"/>
        <n v="185"/>
        <n v="186"/>
        <n v="187"/>
        <n v="189"/>
        <n v="190"/>
        <n v="191"/>
        <n v="192"/>
        <n v="193"/>
        <n v="194"/>
        <n v="195"/>
        <n v="196"/>
        <n v="198"/>
        <n v="199"/>
        <n v="200"/>
        <n v="201"/>
        <n v="202"/>
        <n v="203"/>
        <n v="205"/>
        <n v="206"/>
        <n v="207"/>
        <n v="208"/>
        <n v="209"/>
        <n v="210"/>
        <n v="211"/>
        <n v="212"/>
        <n v="214"/>
        <n v="22"/>
        <n v="252"/>
        <n v="255"/>
        <n v="256"/>
        <n v="731"/>
        <n v="253"/>
        <n v="259"/>
        <n v="260"/>
        <n v="262"/>
        <n v="263"/>
        <n v="264"/>
        <n v="265"/>
        <n v="266"/>
        <n v="267"/>
        <n v="268"/>
        <n v="269"/>
        <n v="270"/>
        <n v="271"/>
        <n v="272"/>
        <n v="273"/>
        <n v="274"/>
        <n v="275"/>
        <n v="276"/>
        <n v="277"/>
        <n v="314"/>
        <n v="278"/>
        <n v="280"/>
        <n v="281"/>
        <n v="282"/>
        <n v="284"/>
        <n v="285"/>
        <n v="286"/>
        <n v="287"/>
        <n v="288"/>
        <n v="289"/>
        <n v="292"/>
        <n v="293"/>
        <n v="295"/>
        <n v="1465"/>
        <n v="296"/>
        <n v="297"/>
        <n v="299"/>
        <n v="300"/>
        <n v="301"/>
        <n v="302"/>
        <n v="303"/>
        <n v="304"/>
        <n v="305"/>
        <n v="306"/>
        <n v="2265"/>
        <n v="308"/>
        <n v="290"/>
        <n v="309"/>
        <n v="359"/>
        <n v="740"/>
        <n v="310"/>
        <n v="1263"/>
        <n v="311"/>
        <n v="312"/>
        <n v="313"/>
        <n v="315"/>
        <n v="358"/>
        <n v="1264"/>
        <n v="316"/>
        <n v="317"/>
        <n v="318"/>
        <n v="319"/>
        <n v="320"/>
        <n v="1262"/>
        <n v="321"/>
        <n v="323"/>
        <n v="324"/>
        <n v="325"/>
        <n v="326"/>
        <n v="327"/>
        <n v="328"/>
        <n v="329"/>
        <n v="330"/>
        <n v="332"/>
        <n v="334"/>
        <n v="335"/>
        <n v="336"/>
        <n v="337"/>
        <n v="338"/>
        <n v="339"/>
        <n v="340"/>
        <n v="344"/>
        <n v="739"/>
        <n v="346"/>
        <n v="347"/>
        <n v="348"/>
        <n v="349"/>
        <n v="350"/>
        <n v="352"/>
        <n v="354"/>
        <n v="355"/>
        <n v="356"/>
        <n v="357"/>
        <n v="360"/>
        <n v="361"/>
        <n v="362"/>
        <n v="363"/>
        <n v="364"/>
        <n v="365"/>
        <n v="366"/>
        <n v="367"/>
        <n v="368"/>
        <n v="369"/>
        <n v="370"/>
        <n v="371"/>
        <n v="372"/>
        <n v="373"/>
        <n v="374"/>
        <n v="375"/>
        <n v="376"/>
        <n v="377"/>
        <n v="378"/>
        <n v="380"/>
        <n v="381"/>
        <n v="382"/>
        <n v="1336"/>
        <n v="383"/>
        <n v="384"/>
        <n v="385"/>
        <n v="386"/>
        <n v="387"/>
        <n v="390"/>
        <n v="391"/>
        <n v="392"/>
        <n v="393"/>
        <n v="394"/>
        <n v="395"/>
        <n v="409"/>
        <n v="396"/>
        <n v="397"/>
        <n v="399"/>
        <n v="400"/>
        <n v="401"/>
        <n v="402"/>
        <n v="403"/>
        <n v="404"/>
        <n v="405"/>
        <n v="406"/>
        <n v="407"/>
        <n v="408"/>
        <n v="410"/>
        <n v="411"/>
        <n v="412"/>
        <n v="414"/>
        <n v="415"/>
        <n v="416"/>
        <n v="417"/>
        <n v="418"/>
        <n v="419"/>
        <n v="421"/>
        <n v="420"/>
        <n v="422"/>
        <n v="4535"/>
        <n v="423"/>
        <n v="424"/>
        <n v="425"/>
        <n v="426"/>
        <n v="428"/>
        <n v="429"/>
        <n v="430"/>
        <n v="431"/>
        <n v="433"/>
        <n v="434"/>
        <n v="435"/>
        <n v="437"/>
        <n v="438"/>
        <n v="439"/>
        <n v="440"/>
        <n v="441"/>
        <n v="442"/>
        <n v="443"/>
        <n v="444"/>
        <n v="445"/>
        <n v="446"/>
        <n v="447"/>
        <n v="448"/>
        <n v="449"/>
        <n v="450"/>
        <n v="451"/>
        <n v="452"/>
        <n v="453"/>
        <n v="454"/>
        <n v="455"/>
        <n v="456"/>
        <n v="457"/>
        <n v="458"/>
        <n v="460"/>
        <n v="461"/>
        <n v="462"/>
        <n v="463"/>
        <n v="464"/>
        <n v="471"/>
        <n v="465"/>
        <n v="466"/>
        <n v="467"/>
        <n v="468"/>
        <n v="470"/>
        <n v="472"/>
        <n v="474"/>
        <n v="475"/>
        <n v="476"/>
        <n v="478"/>
        <n v="479"/>
        <n v="480"/>
        <n v="481"/>
        <n v="482"/>
        <n v="483"/>
        <n v="484"/>
        <n v="485"/>
        <n v="486"/>
        <n v="487"/>
        <n v="488"/>
        <n v="489"/>
        <n v="490"/>
        <n v="491"/>
        <n v="492"/>
        <n v="493"/>
        <n v="494"/>
        <n v="495"/>
        <n v="496"/>
        <n v="497"/>
        <n v="498"/>
        <n v="501"/>
        <n v="502"/>
        <n v="503"/>
        <n v="504"/>
        <n v="506"/>
        <n v="507"/>
        <n v="508"/>
        <n v="510"/>
        <n v="511"/>
        <n v="512"/>
        <n v="513"/>
        <n v="515"/>
        <n v="516"/>
        <n v="517"/>
        <n v="518"/>
        <n v="519"/>
        <n v="520"/>
        <n v="521"/>
        <n v="522"/>
        <n v="523"/>
        <n v="525"/>
        <n v="526"/>
        <n v="527"/>
        <n v="528"/>
        <n v="529"/>
        <n v="530"/>
        <n v="531"/>
        <n v="532"/>
        <n v="533"/>
        <n v="534"/>
        <n v="535"/>
        <n v="536"/>
        <n v="538"/>
        <n v="539"/>
        <n v="540"/>
        <n v="541"/>
        <n v="542"/>
        <n v="543"/>
        <n v="544"/>
        <n v="545"/>
        <n v="546"/>
        <n v="547"/>
        <n v="548"/>
        <n v="549"/>
        <n v="550"/>
        <n v="505"/>
        <n v="551"/>
        <n v="1068"/>
        <n v="552"/>
        <n v="553"/>
        <n v="554"/>
        <n v="555"/>
        <n v="557"/>
        <n v="558"/>
        <n v="559"/>
        <n v="561"/>
        <n v="562"/>
        <n v="564"/>
        <n v="565"/>
        <n v="566"/>
        <n v="567"/>
        <n v="568"/>
        <n v="569"/>
        <n v="570"/>
        <n v="572"/>
        <n v="575"/>
        <n v="576"/>
        <n v="577"/>
        <n v="579"/>
        <n v="580"/>
        <n v="581"/>
        <n v="583"/>
        <n v="584"/>
        <n v="585"/>
        <n v="586"/>
        <n v="587"/>
        <n v="588"/>
        <n v="590"/>
        <n v="591"/>
        <n v="592"/>
        <n v="593"/>
        <n v="594"/>
        <n v="595"/>
        <n v="596"/>
        <n v="597"/>
        <n v="600"/>
        <n v="601"/>
        <n v="602"/>
        <n v="603"/>
        <n v="605"/>
        <n v="607"/>
        <n v="608"/>
        <n v="609"/>
        <n v="610"/>
        <n v="612"/>
        <n v="613"/>
        <n v="615"/>
        <n v="618"/>
        <n v="619"/>
        <n v="620"/>
        <n v="622"/>
        <n v="623"/>
        <n v="624"/>
        <n v="625"/>
        <n v="626"/>
        <n v="628"/>
        <n v="629"/>
        <n v="630"/>
        <n v="631"/>
        <n v="632"/>
        <n v="633"/>
        <n v="634"/>
        <n v="635"/>
        <n v="636"/>
        <n v="637"/>
        <n v="639"/>
        <n v="640"/>
        <n v="641"/>
        <n v="642"/>
        <n v="643"/>
        <n v="644"/>
        <n v="645"/>
        <n v="648"/>
        <n v="651"/>
        <n v="653"/>
        <n v="655"/>
        <n v="656"/>
        <n v="657"/>
        <n v="658"/>
        <n v="659"/>
        <n v="660"/>
        <n v="661"/>
        <n v="662"/>
        <n v="663"/>
        <n v="664"/>
        <n v="665"/>
        <n v="666"/>
        <n v="667"/>
        <n v="668"/>
        <n v="670"/>
        <n v="671"/>
        <n v="672"/>
        <n v="673"/>
        <n v="944"/>
        <n v="674"/>
        <n v="675"/>
        <n v="676"/>
        <n v="677"/>
        <n v="680"/>
        <n v="678"/>
        <n v="679"/>
        <n v="1132"/>
        <n v="681"/>
        <n v="682"/>
        <n v="683"/>
        <n v="684"/>
        <n v="685"/>
        <n v="686"/>
        <n v="687"/>
        <n v="688"/>
        <n v="689"/>
        <n v="690"/>
        <n v="691"/>
        <n v="692"/>
        <n v="694"/>
        <n v="695"/>
        <n v="696"/>
        <n v="697"/>
        <n v="17"/>
        <n v="698"/>
        <n v="699"/>
        <n v="701"/>
        <n v="702"/>
        <n v="703"/>
        <n v="704"/>
        <n v="705"/>
        <n v="707"/>
        <n v="708"/>
        <n v="709"/>
        <n v="710"/>
        <n v="711"/>
        <n v="712"/>
        <n v="714"/>
        <n v="715"/>
        <n v="716"/>
        <n v="717"/>
        <n v="719"/>
        <n v="722"/>
        <n v="723"/>
        <n v="724"/>
        <n v="725"/>
        <n v="726"/>
        <n v="727"/>
        <n v="4583"/>
        <n v="728"/>
        <n v="729"/>
        <n v="771"/>
        <n v="790"/>
        <n v="1194"/>
        <n v="823"/>
        <n v="760"/>
        <n v="796"/>
        <n v="806"/>
        <n v="1091"/>
        <n v="1092"/>
        <n v="1093"/>
        <n v="1423"/>
        <n v="1424"/>
        <n v="776"/>
        <n v="753"/>
        <n v="826"/>
        <n v="812"/>
        <n v="757"/>
        <n v="782"/>
        <n v="787"/>
        <n v="788"/>
        <n v="764"/>
        <n v="852"/>
        <n v="853"/>
        <n v="854"/>
        <n v="856"/>
        <n v="857"/>
        <n v="858"/>
        <n v="868"/>
        <n v="871"/>
        <n v="872"/>
        <n v="875"/>
        <n v="877"/>
        <n v="879"/>
        <n v="881"/>
        <n v="882"/>
        <n v="884"/>
        <n v="885"/>
        <n v="888"/>
        <n v="889"/>
        <n v="891"/>
        <n v="892"/>
        <n v="893"/>
        <n v="894"/>
        <n v="896"/>
        <n v="897"/>
        <n v="898"/>
        <n v="899"/>
        <n v="901"/>
        <n v="904"/>
        <n v="905"/>
        <n v="906"/>
        <n v="907"/>
        <n v="908"/>
        <n v="909"/>
        <n v="916"/>
        <n v="917"/>
        <n v="918"/>
        <n v="919"/>
        <n v="920"/>
        <n v="921"/>
        <n v="924"/>
        <n v="925"/>
        <n v="927"/>
        <n v="928"/>
        <n v="930"/>
        <n v="933"/>
        <n v="934"/>
        <n v="935"/>
        <n v="936"/>
        <n v="937"/>
        <n v="940"/>
        <n v="941"/>
        <n v="942"/>
        <n v="943"/>
        <n v="946"/>
        <n v="947"/>
        <n v="949"/>
        <n v="950"/>
        <n v="951"/>
        <n v="952"/>
        <n v="954"/>
        <n v="955"/>
        <n v="956"/>
        <n v="957"/>
        <n v="958"/>
        <n v="960"/>
        <n v="961"/>
        <n v="963"/>
        <n v="968"/>
        <n v="969"/>
        <n v="970"/>
        <n v="971"/>
        <n v="973"/>
        <n v="974"/>
        <n v="976"/>
        <n v="979"/>
        <n v="980"/>
        <n v="984"/>
        <n v="987"/>
        <n v="986"/>
        <n v="988"/>
        <n v="991"/>
        <n v="992"/>
        <n v="994"/>
        <n v="995"/>
        <n v="996"/>
        <n v="997"/>
        <n v="998"/>
        <n v="999"/>
        <n v="1000"/>
        <n v="1002"/>
        <n v="1003"/>
        <n v="1004"/>
        <n v="1006"/>
        <n v="1008"/>
        <n v="1010"/>
        <n v="1421"/>
        <n v="1011"/>
        <n v="1013"/>
        <n v="1014"/>
        <n v="1015"/>
        <n v="1017"/>
        <n v="1018"/>
        <n v="1019"/>
        <n v="1020"/>
        <n v="1021"/>
        <n v="1022"/>
        <n v="1023"/>
        <n v="1024"/>
        <n v="1026"/>
        <n v="1028"/>
        <n v="1029"/>
        <n v="1030"/>
        <n v="1031"/>
        <n v="1034"/>
        <n v="1037"/>
        <n v="1038"/>
        <n v="1039"/>
        <n v="1040"/>
        <n v="1041"/>
        <n v="1043"/>
        <n v="1044"/>
        <n v="1050"/>
        <n v="1051"/>
        <n v="1052"/>
        <n v="1053"/>
        <n v="1054"/>
        <n v="1055"/>
        <n v="1056"/>
        <n v="1057"/>
        <n v="1060"/>
        <n v="1063"/>
        <n v="3875"/>
        <n v="1064"/>
        <n v="1066"/>
        <n v="1067"/>
        <n v="1071"/>
        <n v="1074"/>
        <n v="1075"/>
        <n v="1079"/>
        <n v="1080"/>
        <n v="1081"/>
        <n v="1082"/>
        <n v="1083"/>
        <n v="1085"/>
        <n v="1086"/>
        <n v="1088"/>
        <n v="1089"/>
        <n v="1090"/>
        <n v="1095"/>
        <n v="1096"/>
        <n v="1103"/>
        <n v="1104"/>
        <n v="1107"/>
        <n v="1113"/>
        <n v="1114"/>
        <n v="1115"/>
        <n v="1116"/>
        <n v="1118"/>
        <n v="1119"/>
        <n v="1120"/>
        <n v="1122"/>
        <n v="1123"/>
        <n v="1124"/>
        <n v="1125"/>
        <n v="1126"/>
        <n v="1129"/>
        <n v="1131"/>
        <n v="1133"/>
        <n v="1138"/>
        <n v="1142"/>
        <n v="1143"/>
        <n v="1144"/>
        <n v="1145"/>
        <n v="1146"/>
        <n v="1147"/>
        <n v="1149"/>
        <n v="1151"/>
        <n v="1152"/>
        <n v="1153"/>
        <n v="1154"/>
        <n v="1156"/>
        <n v="1163"/>
        <n v="1164"/>
        <n v="824"/>
        <n v="1169"/>
        <n v="1171"/>
        <n v="1173"/>
        <n v="1174"/>
        <n v="1177"/>
        <n v="1179"/>
        <n v="1180"/>
        <n v="1183"/>
        <n v="1188"/>
        <n v="1189"/>
        <n v="1190"/>
        <n v="1191"/>
        <n v="1192"/>
        <n v="1193"/>
        <n v="1195"/>
        <n v="1196"/>
        <n v="1197"/>
        <n v="1202"/>
        <n v="1203"/>
        <n v="1208"/>
        <n v="1213"/>
        <n v="1216"/>
        <n v="1220"/>
        <n v="1221"/>
        <n v="1223"/>
        <n v="1224"/>
        <n v="1225"/>
        <n v="1226"/>
        <n v="1227"/>
        <n v="1228"/>
        <n v="1230"/>
        <n v="1231"/>
        <n v="1240"/>
        <n v="1243"/>
        <n v="1244"/>
        <n v="1245"/>
        <n v="1246"/>
        <n v="1248"/>
        <n v="1249"/>
        <n v="1250"/>
        <n v="1252"/>
        <n v="1254"/>
        <n v="1255"/>
        <n v="1256"/>
        <n v="1257"/>
        <n v="1258"/>
        <n v="1259"/>
        <n v="1261"/>
        <n v="1266"/>
        <n v="1267"/>
        <n v="1268"/>
        <n v="1271"/>
        <n v="1272"/>
        <n v="1273"/>
        <n v="1274"/>
        <n v="1275"/>
        <n v="1276"/>
        <n v="1277"/>
        <n v="1278"/>
        <n v="1281"/>
        <n v="1283"/>
        <n v="1284"/>
        <n v="1285"/>
        <n v="1286"/>
        <n v="1287"/>
        <n v="1291"/>
        <n v="1292"/>
        <n v="1293"/>
        <n v="1295"/>
        <n v="1296"/>
        <n v="1298"/>
        <n v="1301"/>
        <n v="1304"/>
        <n v="1305"/>
        <n v="1306"/>
        <n v="1308"/>
        <n v="1309"/>
        <n v="1310"/>
        <n v="1311"/>
        <n v="1315"/>
        <n v="1316"/>
        <n v="1319"/>
        <n v="1322"/>
        <n v="1323"/>
        <n v="1324"/>
        <n v="1325"/>
        <n v="1326"/>
        <n v="1327"/>
        <n v="1328"/>
        <n v="1331"/>
        <n v="1333"/>
        <n v="1335"/>
        <n v="1339"/>
        <n v="1341"/>
        <n v="1345"/>
        <n v="1346"/>
        <n v="1349"/>
        <n v="1350"/>
        <n v="1354"/>
        <n v="1356"/>
        <n v="1357"/>
        <n v="1359"/>
        <n v="1360"/>
        <n v="1363"/>
        <n v="1364"/>
        <n v="1365"/>
        <n v="1366"/>
        <n v="1367"/>
        <n v="1368"/>
        <n v="1369"/>
        <n v="1370"/>
        <n v="1371"/>
        <n v="1372"/>
        <n v="1373"/>
        <n v="1374"/>
        <n v="1375"/>
        <n v="1381"/>
        <n v="1382"/>
        <n v="1383"/>
        <n v="1384"/>
        <n v="1386"/>
        <n v="1387"/>
        <n v="1390"/>
        <n v="1391"/>
        <n v="1392"/>
        <n v="1393"/>
        <n v="1394"/>
        <n v="1395"/>
        <n v="1398"/>
        <n v="1399"/>
        <n v="1400"/>
        <n v="1403"/>
        <n v="1407"/>
        <n v="1408"/>
        <n v="1410"/>
        <n v="1411"/>
        <n v="1412"/>
        <n v="1415"/>
        <n v="1416"/>
        <n v="1418"/>
        <n v="1419"/>
        <n v="1425"/>
        <n v="1426"/>
        <n v="1427"/>
        <n v="1428"/>
        <n v="1429"/>
        <n v="1431"/>
        <n v="1432"/>
        <n v="1433"/>
        <n v="1438"/>
        <n v="1439"/>
        <n v="1440"/>
        <n v="1441"/>
        <n v="1442"/>
        <n v="1443"/>
        <n v="1446"/>
        <n v="1447"/>
        <n v="1448"/>
        <n v="1449"/>
        <n v="1450"/>
        <n v="1451"/>
        <n v="1453"/>
        <n v="1454"/>
        <n v="1455"/>
        <n v="1456"/>
        <n v="1457"/>
        <n v="1458"/>
        <n v="1459"/>
        <n v="1461"/>
        <n v="1464"/>
        <n v="1467"/>
        <n v="1468"/>
        <n v="1469"/>
        <n v="1474"/>
        <n v="1475"/>
        <n v="1476"/>
        <n v="1477"/>
        <n v="1478"/>
        <n v="1479"/>
        <n v="1480"/>
        <n v="1481"/>
        <n v="1482"/>
        <n v="1483"/>
        <n v="1485"/>
        <n v="1486"/>
        <n v="1490"/>
        <n v="1491"/>
        <n v="1492"/>
        <n v="1493"/>
        <n v="1494"/>
        <n v="1495"/>
        <n v="1496"/>
        <n v="1497"/>
        <n v="1498"/>
        <n v="1499"/>
        <n v="1500"/>
        <n v="1501"/>
        <n v="1502"/>
        <n v="1505"/>
        <n v="1506"/>
        <n v="1507"/>
        <n v="1509"/>
        <n v="1510"/>
        <n v="1512"/>
        <n v="1513"/>
        <n v="1515"/>
        <n v="1520"/>
        <n v="1521"/>
        <n v="1527"/>
        <n v="1528"/>
        <n v="1530"/>
        <n v="1532"/>
        <n v="1534"/>
        <n v="1536"/>
        <n v="1537"/>
        <n v="1538"/>
        <n v="1539"/>
        <n v="1540"/>
        <n v="1543"/>
        <n v="1544"/>
        <n v="1545"/>
        <n v="1546"/>
        <n v="1548"/>
        <n v="1551"/>
        <n v="1552"/>
        <n v="1553"/>
        <n v="1554"/>
        <n v="1555"/>
        <n v="1556"/>
        <n v="1557"/>
        <n v="1558"/>
        <n v="1559"/>
        <n v="1560"/>
        <n v="1561"/>
        <n v="1562"/>
        <n v="1564"/>
        <n v="1566"/>
        <n v="1567"/>
        <n v="1568"/>
        <n v="1569"/>
        <n v="1570"/>
        <n v="1573"/>
        <n v="1574"/>
        <n v="1575"/>
        <n v="1576"/>
        <n v="1577"/>
        <n v="1578"/>
        <n v="1583"/>
        <n v="1586"/>
        <n v="1588"/>
        <n v="1592"/>
        <n v="1593"/>
        <n v="1594"/>
        <n v="1596"/>
        <n v="1599"/>
        <n v="1600"/>
        <n v="1602"/>
        <n v="1604"/>
        <n v="1605"/>
        <n v="1606"/>
        <n v="1609"/>
        <n v="1615"/>
        <n v="1621"/>
        <n v="1626"/>
        <n v="1627"/>
        <n v="1628"/>
        <n v="1633"/>
        <n v="1635"/>
        <n v="1636"/>
        <n v="1701"/>
        <n v="1641"/>
        <n v="1643"/>
        <n v="1644"/>
        <n v="1646"/>
        <n v="1648"/>
        <n v="1649"/>
        <n v="1660"/>
        <n v="1661"/>
        <n v="1666"/>
        <n v="1667"/>
        <n v="1670"/>
        <n v="1671"/>
        <n v="1672"/>
        <n v="1674"/>
        <n v="1675"/>
        <n v="1676"/>
        <n v="1677"/>
        <n v="1678"/>
        <n v="1679"/>
        <n v="1680"/>
        <n v="1681"/>
        <n v="1683"/>
        <n v="1684"/>
        <n v="1685"/>
        <n v="1688"/>
        <n v="1690"/>
        <n v="1692"/>
        <n v="1693"/>
        <n v="1696"/>
        <n v="1697"/>
        <n v="1698"/>
        <n v="1702"/>
        <n v="1710"/>
        <n v="1711"/>
        <n v="1712"/>
        <n v="1511"/>
        <n v="1420"/>
        <n v="1430"/>
        <n v="1798"/>
        <n v="1783"/>
        <n v="1784"/>
        <n v="1785"/>
        <n v="1786"/>
        <n v="1787"/>
        <n v="1788"/>
        <n v="880"/>
        <n v="1789"/>
        <n v="1792"/>
        <n v="1790"/>
        <n v="1791"/>
        <n v="1793"/>
        <n v="1794"/>
        <n v="1795"/>
        <n v="1796"/>
        <n v="1797"/>
        <n v="1417"/>
        <n v="1800"/>
        <n v="1260"/>
        <n v="1462"/>
        <n v="1801"/>
        <n v="1802"/>
        <n v="1803"/>
        <n v="1016"/>
        <n v="1804"/>
        <n v="1176"/>
        <n v="1035"/>
        <n v="1773"/>
        <n v="181"/>
        <n v="1753"/>
        <n v="1754"/>
        <n v="1755"/>
        <n v="1756"/>
        <n v="1766"/>
        <n v="1549"/>
        <n v="500"/>
        <n v="759"/>
        <n v="741"/>
        <n v="732"/>
        <n v="733"/>
        <n v="751"/>
        <n v="4523"/>
        <n v="4524"/>
        <n v="611"/>
        <n v="1717"/>
        <n v="1713"/>
        <n v="1005"/>
        <n v="1691"/>
        <n v="815"/>
        <n v="793"/>
        <n v="778"/>
        <n v="2002"/>
        <n v="807"/>
        <n v="2004"/>
        <n v="799"/>
        <n v="765"/>
        <n v="2053"/>
        <n v="2054"/>
        <n v="1758"/>
        <n v="2058"/>
        <n v="1437"/>
        <n v="1436"/>
        <n v="1351"/>
        <n v="2056"/>
        <n v="1036"/>
        <n v="2060"/>
        <n v="127"/>
        <n v="2061"/>
        <n v="1799"/>
        <n v="1767"/>
        <n v="1526"/>
        <n v="1529"/>
        <n v="2518"/>
        <n v="789"/>
        <n v="766"/>
        <n v="822"/>
        <n v="768"/>
        <n v="730"/>
        <n v="599"/>
        <n v="983"/>
        <n v="1362"/>
        <n v="2103"/>
        <n v="749"/>
        <n v="1624"/>
        <n v="2105"/>
        <n v="802"/>
        <n v="742"/>
        <n v="734"/>
        <n v="1618"/>
        <n v="4566"/>
        <n v="2152"/>
        <n v="2511"/>
        <n v="911"/>
        <n v="1389"/>
        <n v="2153"/>
        <n v="2154"/>
        <n v="2155"/>
        <n v="2156"/>
        <n v="2157"/>
        <n v="2158"/>
        <n v="1776"/>
        <n v="1187"/>
        <n v="2159"/>
        <n v="1769"/>
        <n v="1768"/>
        <n v="1772"/>
        <n v="1770"/>
        <n v="1771"/>
        <n v="2160"/>
        <n v="2161"/>
        <n v="2162"/>
        <n v="1777"/>
        <n v="1763"/>
        <n v="2163"/>
        <n v="1752"/>
        <n v="2164"/>
        <n v="859"/>
        <n v="1764"/>
        <n v="2165"/>
        <n v="1765"/>
        <n v="3052"/>
        <n v="3126"/>
        <n v="1687"/>
        <n v="1042"/>
        <n v="1716"/>
        <n v="818"/>
        <n v="1148"/>
        <n v="2167"/>
        <n v="2483"/>
        <n v="2484"/>
        <n v="811"/>
        <n v="1128"/>
        <n v="797"/>
        <n v="794"/>
        <n v="2547"/>
        <n v="1012"/>
        <n v="1270"/>
        <n v="869"/>
        <n v="964"/>
        <n v="966"/>
        <n v="978"/>
        <n v="4284"/>
        <n v="1032"/>
        <n v="2055"/>
        <n v="1210"/>
        <n v="1409"/>
        <n v="1473"/>
        <n v="2202"/>
        <n v="1694"/>
        <n v="1695"/>
        <n v="4356"/>
        <n v="1150"/>
        <n v="1508"/>
        <n v="948"/>
        <n v="1235"/>
        <n v="883"/>
        <n v="1413"/>
        <n v="1414"/>
        <n v="1484"/>
        <n v="2203"/>
        <n v="2204"/>
        <n v="2205"/>
        <n v="2207"/>
        <n v="1084"/>
        <n v="4558"/>
        <n v="1760"/>
        <n v="1444"/>
        <n v="1571"/>
        <n v="166"/>
        <n v="863"/>
        <n v="2219"/>
        <n v="1445"/>
        <n v="86"/>
        <n v="2220"/>
        <n v="2222"/>
        <n v="2223"/>
        <n v="1504"/>
        <n v="2517"/>
        <n v="2166"/>
        <n v="2224"/>
        <n v="2230"/>
        <n v="2226"/>
        <n v="2251"/>
        <n v="1542"/>
        <n v="2218"/>
        <n v="2252"/>
        <n v="2254"/>
        <n v="2255"/>
        <n v="2256"/>
        <n v="2257"/>
        <n v="2258"/>
        <n v="2259"/>
        <n v="2260"/>
        <n v="2261"/>
        <n v="2229"/>
        <n v="3981"/>
        <n v="2227"/>
        <n v="2266"/>
        <n v="1027"/>
        <n v="2506"/>
        <n v="2615"/>
        <n v="1378"/>
        <n v="1514"/>
        <n v="1175"/>
        <n v="977"/>
        <n v="188"/>
        <n v="2235"/>
        <n v="827"/>
        <n v="1781"/>
        <n v="1778"/>
        <n v="2215"/>
        <n v="2214"/>
        <n v="816"/>
        <n v="1211"/>
        <n v="735"/>
        <n v="1463"/>
        <n v="866"/>
        <n v="197"/>
        <n v="2307"/>
        <n v="2309"/>
        <n v="1686"/>
        <n v="1589"/>
        <n v="752"/>
        <n v="345"/>
        <n v="1338"/>
        <n v="2311"/>
        <n v="2312"/>
        <n v="2313"/>
        <n v="2315"/>
        <n v="2316"/>
        <n v="1134"/>
        <n v="2216"/>
        <n v="2209"/>
        <n v="2305"/>
        <n v="4302"/>
        <n v="2304"/>
        <n v="2303"/>
        <n v="2302"/>
        <n v="1782"/>
        <n v="758"/>
        <n v="4352"/>
        <n v="4353"/>
        <n v="4354"/>
        <n v="142"/>
        <n v="2234"/>
        <n v="2241"/>
        <n v="801"/>
        <n v="800"/>
        <n v="1757"/>
        <n v="2701"/>
        <n v="861"/>
        <n v="2878"/>
        <n v="2872"/>
        <n v="2870"/>
        <n v="2867"/>
        <n v="2857"/>
        <n v="2835"/>
        <n v="3827"/>
        <n v="4359"/>
        <n v="2849"/>
        <n v="2845"/>
        <n v="2842"/>
        <n v="2841"/>
        <n v="578"/>
        <n v="798"/>
        <n v="2846"/>
        <n v="1705"/>
        <n v="1668"/>
        <n v="1664"/>
        <n v="1659"/>
        <n v="1658"/>
        <n v="1656"/>
        <n v="1655"/>
        <n v="1642"/>
        <n v="1640"/>
        <n v="1639"/>
        <n v="1634"/>
        <n v="1631"/>
        <n v="1630"/>
        <n v="1629"/>
        <n v="1611"/>
        <n v="1582"/>
        <n v="1487"/>
        <n v="855"/>
        <n v="1397"/>
        <n v="1377"/>
        <n v="1355"/>
        <n v="1302"/>
        <n v="1299"/>
        <n v="1251"/>
        <n v="1247"/>
        <n v="1232"/>
        <n v="1214"/>
        <n v="1205"/>
        <n v="1204"/>
        <n v="1159"/>
        <n v="1140"/>
        <n v="1078"/>
        <n v="1076"/>
        <n v="1001"/>
        <n v="993"/>
        <n v="931"/>
        <n v="895"/>
        <n v="922"/>
        <n v="748"/>
        <n v="814"/>
        <n v="747"/>
        <n v="720"/>
        <n v="718"/>
        <n v="700"/>
        <n v="669"/>
        <n v="638"/>
        <n v="627"/>
        <n v="582"/>
        <n v="571"/>
        <n v="514"/>
        <n v="427"/>
        <n v="413"/>
        <n v="398"/>
        <n v="389"/>
        <n v="341"/>
        <n v="333"/>
        <n v="294"/>
        <n v="254"/>
        <n v="2106"/>
        <n v="915"/>
        <n v="2901"/>
        <n v="2897"/>
        <n v="2893"/>
        <n v="2889"/>
        <n v="2869"/>
        <n v="2863"/>
        <n v="3106"/>
        <n v="791"/>
        <n v="4534"/>
        <n v="1953"/>
        <n v="4272"/>
        <n v="4569"/>
        <n v="2382"/>
        <n v="2383"/>
        <n v="2389"/>
        <n v="2422"/>
        <n v="3192"/>
        <n v="4232"/>
        <n v="4278"/>
        <n v="2616"/>
        <n v="213"/>
        <n v="4402"/>
        <n v="3136"/>
        <n v="3137"/>
        <n v="1025"/>
        <n v="4007"/>
        <n v="4404"/>
        <n v="762"/>
        <n v="2497"/>
        <n v="1435"/>
        <n v="1200"/>
        <n v="1533"/>
        <n v="825"/>
        <n v="770"/>
        <n v="4455"/>
        <n v="4456"/>
        <n v="4457"/>
        <n v="4458"/>
        <n v="4459"/>
        <n v="4460"/>
        <n v="4461"/>
        <n v="4462"/>
        <n v="4463"/>
        <n v="4464"/>
        <n v="4465"/>
        <n v="4466"/>
        <n v="4467"/>
        <n v="4468"/>
        <n v="4469"/>
        <n v="4470"/>
        <n v="4471"/>
        <n v="4472"/>
        <n v="4473"/>
        <n v="4474"/>
        <n v="4475"/>
        <n v="4476"/>
        <n v="4477"/>
        <n v="4478"/>
        <n v="4479"/>
        <n v="4480"/>
        <n v="4481"/>
        <n v="4482"/>
        <n v="4483"/>
        <n v="4484"/>
        <n v="4485"/>
        <n v="4486"/>
        <n v="4487"/>
        <n v="4488"/>
        <n v="1460"/>
        <n v="929"/>
        <n v="4584"/>
        <n v="1759"/>
        <n v="1761"/>
        <n v="1762"/>
        <n v="2213"/>
        <n v="2212"/>
        <n v="2208"/>
        <n v="1775"/>
        <n v="2211"/>
        <n v="2210"/>
        <n v="1780"/>
        <n v="1779"/>
        <n v="2269"/>
        <n v="3868"/>
        <n v="1699"/>
        <n v="4602"/>
        <n v="574"/>
        <n v="1472"/>
        <n v="1471"/>
        <n v="1470"/>
        <n v="864"/>
        <n v="4554"/>
        <n v="810"/>
        <n v="4529"/>
        <n v="2503"/>
        <n v="4273"/>
        <n v="792"/>
        <n v="1007"/>
        <n v="1009"/>
        <n v="1135"/>
        <n v="1591"/>
        <n v="4652"/>
        <n v="3540"/>
        <n v="4653"/>
        <n v="1111"/>
        <n v="1137"/>
        <n v="1376"/>
        <n v="1110"/>
        <n v="1340"/>
        <n v="1166"/>
        <n v="1049"/>
        <n v="886"/>
        <n v="2921"/>
        <n v="4573"/>
        <n v="4654"/>
        <n v="4655"/>
        <n v="4656"/>
        <n v="2249"/>
        <n v="4658"/>
        <n v="4577"/>
        <n v="4659"/>
        <n v="4660"/>
        <n v="4661"/>
        <n v="4663"/>
        <n v="3907"/>
        <n v="4664"/>
        <n v="4403"/>
        <n v="4575"/>
        <n v="4505"/>
        <n v="2005"/>
        <n v="3017"/>
        <n v="3018"/>
        <n v="2947"/>
        <n v="2970"/>
        <n v="3020"/>
        <n v="3051"/>
        <n v="2542"/>
        <n v="4702"/>
        <n v="4703"/>
        <n v="4704"/>
        <n v="4705"/>
        <n v="2966"/>
        <n v="3107"/>
        <n v="4552"/>
        <n v="3029"/>
        <n v="3562"/>
        <n v="2239"/>
        <n v="4503"/>
        <n v="2880"/>
        <n v="4706"/>
        <n v="172"/>
        <n v="331"/>
        <n v="744"/>
        <n v="4576"/>
        <n v="4542"/>
        <n v="777"/>
        <n v="4249"/>
        <n v="4218"/>
        <n v="750"/>
        <n v="2684"/>
        <n v="4152"/>
        <n v="3635"/>
        <n v="3664"/>
        <n v="2528"/>
        <n v="2500"/>
        <n v="4555"/>
        <n v="4570"/>
        <n v="4574"/>
        <n v="982"/>
        <n v="1632"/>
      </sharedItems>
    </cacheField>
    <cacheField name="knelpuntnummer" numFmtId="0">
      <sharedItems count="1653">
        <s v="KP/000001"/>
        <s v="KP/000002"/>
        <s v="KP/000500"/>
        <s v="KP/003717"/>
        <s v="KP/000003"/>
        <s v="KP/000004"/>
        <s v="KP/000005"/>
        <s v="KP/000006"/>
        <s v="KP/000007"/>
        <s v="KP/000008"/>
        <s v="KP/000009"/>
        <s v="KP/000010"/>
        <s v="KP/000011"/>
        <s v="KP/000012"/>
        <s v="KP/000013"/>
        <s v="KP/000014"/>
        <s v="KP/000015"/>
        <s v="KP/000016"/>
        <s v="&lt;null&gt;"/>
        <s v="KP/000018"/>
        <s v="KP/000019"/>
        <s v="KP/000020"/>
        <s v="KP/000021"/>
        <s v="KP/000023"/>
        <s v="KP/000024"/>
        <s v="KP/000025"/>
        <s v="KP/001174"/>
        <s v="KP/000026"/>
        <s v="KP/000030"/>
        <s v="KP/000027"/>
        <s v="KP/000028"/>
        <s v="KP/000029"/>
        <s v="KP/000031"/>
        <s v="KP/000032"/>
        <s v="KP/000033"/>
        <s v="KP/000034"/>
        <s v="KP/000035"/>
        <s v="KP/000036"/>
        <s v="KP/000037"/>
        <s v="KP/000038"/>
        <s v="KP/000039"/>
        <s v="KP/000040"/>
        <s v="KP/000041"/>
        <s v="KP/000042"/>
        <s v="KP/000043"/>
        <s v="KP/000044"/>
        <s v="KP/000045"/>
        <s v="KP/001050"/>
        <s v="KP/001051"/>
        <s v="KP/001127"/>
        <s v="KP/001325"/>
        <s v="KP/000046"/>
        <s v="KP/000047"/>
        <s v="KP/000048"/>
        <s v="KP/000049"/>
        <s v="KP/000050"/>
        <s v="KP/000051"/>
        <s v="KP/000052"/>
        <s v="KP/000053"/>
        <s v="KP/000054"/>
        <s v="KP/000055"/>
        <s v="KP/000056"/>
        <s v="KP/000057"/>
        <s v="KP/000058"/>
        <s v="KP/000059"/>
        <s v="KP/000060"/>
        <s v="KP/000061"/>
        <s v="KP/000062"/>
        <s v="KP/000063"/>
        <s v="KP/000064"/>
        <s v="KP/000065"/>
        <s v="KP/000066"/>
        <s v="KP/000067"/>
        <s v="KP/000068"/>
        <s v="KP/000069"/>
        <s v="KP/000070"/>
        <s v="KP/000071"/>
        <s v="KP/000072"/>
        <s v="KP/000073"/>
        <s v="KP/000074"/>
        <s v="KP/000075"/>
        <s v="KP/000076"/>
        <s v="KP/000077"/>
        <s v="KP/000078"/>
        <s v="KP/000079"/>
        <s v="KP/000080"/>
        <s v="KP/000081"/>
        <s v="KP/000082"/>
        <s v="KP/000083"/>
        <s v="KP/000084"/>
        <s v="KP/000085"/>
        <s v="KP/000087"/>
        <s v="KP/000088"/>
        <s v="KP/000089"/>
        <s v="KP/000090"/>
        <s v="KP/000091"/>
        <s v="KP/000092"/>
        <s v="KP/000093"/>
        <s v="KP/000094"/>
        <s v="KP/000095"/>
        <s v="KP/000096"/>
        <s v="KP/000097"/>
        <s v="KP/000098"/>
        <s v="KP/000099"/>
        <s v="KP/000100"/>
        <s v="KP/000101"/>
        <s v="KP/000102"/>
        <s v="KP/000103"/>
        <s v="KP/000104"/>
        <s v="KP/000105"/>
        <s v="KP/000106"/>
        <s v="KP/000107"/>
        <s v="KP/000108"/>
        <s v="KP/000109"/>
        <s v="KP/000110"/>
        <s v="KP/000111"/>
        <s v="KP/000112"/>
        <s v="KP/000113"/>
        <s v="KP/000114"/>
        <s v="KP/000115"/>
        <s v="KP/000116"/>
        <s v="KP/000117"/>
        <s v="KP/000118"/>
        <s v="KP/000119"/>
        <s v="KP/000120"/>
        <s v="KP/000121"/>
        <s v="KP/000122"/>
        <s v="KP/000123"/>
        <s v="KP/000124"/>
        <s v="KP/000125"/>
        <s v="KP/000126"/>
        <s v="KP/000128"/>
        <s v="KP/000129"/>
        <s v="KP/000130"/>
        <s v="KP/000131"/>
        <s v="KP/000132"/>
        <s v="KP/000133"/>
        <s v="KP/000134"/>
        <s v="KP/001568"/>
        <s v="KP/000135"/>
        <s v="KP/000136"/>
        <s v="KP/000137"/>
        <s v="KP/000138"/>
        <s v="KP/000139"/>
        <s v="KP/000140"/>
        <s v="KP/000141"/>
        <s v="KP/000143"/>
        <s v="KP/000144"/>
        <s v="KP/001100"/>
        <s v="KP/001105"/>
        <s v="KP/001324"/>
        <s v="KP/000145"/>
        <s v="KP/000342"/>
        <s v="KP/000146"/>
        <s v="KP/000147"/>
        <s v="KP/000148"/>
        <s v="KP/000149"/>
        <s v="KP/000150"/>
        <s v="KP/000151"/>
        <s v="KP/000859"/>
        <s v="KP/000152"/>
        <s v="KP/000154"/>
        <s v="KP/000155"/>
        <s v="KP/000156"/>
        <s v="KP/000157"/>
        <s v="KP/000158"/>
        <s v="KP/001258"/>
        <s v="KP/001259"/>
        <s v="KP/000159"/>
        <s v="KP/001333"/>
        <s v="KP/000160"/>
        <s v="KP/000161"/>
        <s v="KP/000162"/>
        <s v="KP/000163"/>
        <s v="KP/000164"/>
        <s v="KP/001044"/>
        <s v="KP/000165"/>
        <s v="KP/000812"/>
        <s v="KP/000167"/>
        <s v="KP/000168"/>
        <s v="KP/000169"/>
        <s v="KP/000170"/>
        <s v="KP/000171"/>
        <s v="KP/000173"/>
        <s v="KP/000174"/>
        <s v="KP/000175"/>
        <s v="KP/000176"/>
        <s v="KP/000177"/>
        <s v="KP/000178"/>
        <s v="KP/000179"/>
        <s v="KP/000180"/>
        <s v="KP/000182"/>
        <s v="KP/000183"/>
        <s v="KP/000184"/>
        <s v="KP/000185"/>
        <s v="KP/000186"/>
        <s v="KP/000187"/>
        <s v="KP/000189"/>
        <s v="KP/000190"/>
        <s v="KP/000191"/>
        <s v="KP/000192"/>
        <s v="KP/000193"/>
        <s v="KP/000194"/>
        <s v="KP/000195"/>
        <s v="KP/000196"/>
        <s v="KP/000198"/>
        <s v="KP/000199"/>
        <s v="KP/000200"/>
        <s v="KP/000201"/>
        <s v="KP/000202"/>
        <s v="KP/000203"/>
        <s v="KP/000205"/>
        <s v="KP/000206"/>
        <s v="KP/000207"/>
        <s v="KP/000208"/>
        <s v="KP/000209"/>
        <s v="KP/000210"/>
        <s v="KP/000211"/>
        <s v="KP/000212"/>
        <s v="KP/000214"/>
        <s v="KP/000022"/>
        <s v="KP/000215"/>
        <s v="KP/000218"/>
        <s v="KP/000219"/>
        <s v="KP/000694"/>
        <s v="KP/000216"/>
        <s v="KP/000222"/>
        <s v="KP/000223"/>
        <s v="KP/000225"/>
        <s v="KP/000226"/>
        <s v="KP/000227"/>
        <s v="KP/000228"/>
        <s v="KP/000229"/>
        <s v="KP/000230"/>
        <s v="KP/000231"/>
        <s v="KP/000232"/>
        <s v="KP/000233"/>
        <s v="KP/000234"/>
        <s v="KP/000235"/>
        <s v="KP/000236"/>
        <s v="KP/000237"/>
        <s v="KP/000238"/>
        <s v="KP/000239"/>
        <s v="KP/000240"/>
        <s v="KP/000277"/>
        <s v="KP/000241"/>
        <s v="KP/000243"/>
        <s v="KP/000244"/>
        <s v="KP/000245"/>
        <s v="KP/000247"/>
        <s v="KP/000248"/>
        <s v="KP/000249"/>
        <s v="KP/000250"/>
        <s v="KP/000251"/>
        <s v="KP/000252"/>
        <s v="KP/000255"/>
        <s v="KP/000256"/>
        <s v="KP/000258"/>
        <s v="KP/001410"/>
        <s v="KP/000259"/>
        <s v="KP/000260"/>
        <s v="KP/000262"/>
        <s v="KP/000263"/>
        <s v="KP/000264"/>
        <s v="KP/000265"/>
        <s v="KP/000266"/>
        <s v="KP/000267"/>
        <s v="KP/000268"/>
        <s v="KP/000269"/>
        <s v="KP/001822"/>
        <s v="KP/000271"/>
        <s v="KP/000253"/>
        <s v="KP/000272"/>
        <s v="KP/000322"/>
        <s v="KP/000703"/>
        <s v="KP/000273"/>
        <s v="KP/001208"/>
        <s v="KP/000274"/>
        <s v="KP/000275"/>
        <s v="KP/000276"/>
        <s v="KP/000278"/>
        <s v="KP/000321"/>
        <s v="KP/001209"/>
        <s v="KP/000279"/>
        <s v="KP/000280"/>
        <s v="KP/000281"/>
        <s v="KP/000282"/>
        <s v="KP/000283"/>
        <s v="KP/001207"/>
        <s v="KP/000284"/>
        <s v="KP/000286"/>
        <s v="KP/000287"/>
        <s v="KP/000288"/>
        <s v="KP/000289"/>
        <s v="KP/000290"/>
        <s v="KP/000291"/>
        <s v="KP/000292"/>
        <s v="KP/000293"/>
        <s v="KP/000295"/>
        <s v="KP/000297"/>
        <s v="KP/000298"/>
        <s v="KP/000299"/>
        <s v="KP/000300"/>
        <s v="KP/000301"/>
        <s v="KP/000302"/>
        <s v="KP/000303"/>
        <s v="KP/000307"/>
        <s v="KP/000702"/>
        <s v="KP/000309"/>
        <s v="KP/000310"/>
        <s v="KP/000311"/>
        <s v="KP/000312"/>
        <s v="KP/000313"/>
        <s v="KP/000315"/>
        <s v="KP/000317"/>
        <s v="KP/000318"/>
        <s v="KP/000319"/>
        <s v="KP/000320"/>
        <s v="KP/000323"/>
        <s v="KP/000324"/>
        <s v="KP/000325"/>
        <s v="KP/000326"/>
        <s v="KP/000327"/>
        <s v="KP/000328"/>
        <s v="KP/000329"/>
        <s v="KP/000330"/>
        <s v="KP/000331"/>
        <s v="KP/000332"/>
        <s v="KP/000333"/>
        <s v="KP/000334"/>
        <s v="KP/000335"/>
        <s v="KP/000336"/>
        <s v="KP/000337"/>
        <s v="KP/000338"/>
        <s v="KP/000339"/>
        <s v="KP/000340"/>
        <s v="KP/000341"/>
        <s v="KP/000343"/>
        <s v="KP/000344"/>
        <s v="KP/000345"/>
        <s v="KP/001281"/>
        <s v="KP/000346"/>
        <s v="KP/000347"/>
        <s v="KP/000348"/>
        <s v="KP/000349"/>
        <s v="KP/000350"/>
        <s v="KP/000353"/>
        <s v="KP/000354"/>
        <s v="KP/000355"/>
        <s v="KP/000356"/>
        <s v="KP/000357"/>
        <s v="KP/000358"/>
        <s v="KP/000372"/>
        <s v="KP/000359"/>
        <s v="KP/000360"/>
        <s v="KP/000362"/>
        <s v="KP/000363"/>
        <s v="KP/000364"/>
        <s v="KP/000365"/>
        <s v="KP/000366"/>
        <s v="KP/000367"/>
        <s v="KP/000368"/>
        <s v="KP/000369"/>
        <s v="KP/000370"/>
        <s v="KP/000371"/>
        <s v="KP/000373"/>
        <s v="KP/000374"/>
        <s v="KP/000375"/>
        <s v="KP/000377"/>
        <s v="KP/000378"/>
        <s v="KP/000379"/>
        <s v="KP/000380"/>
        <s v="KP/000381"/>
        <s v="KP/000382"/>
        <s v="KP/000384"/>
        <s v="KP/000383"/>
        <s v="KP/000385"/>
        <s v="KP/003897"/>
        <s v="KP/000386"/>
        <s v="KP/000387"/>
        <s v="KP/000388"/>
        <s v="KP/000389"/>
        <s v="KP/000391"/>
        <s v="KP/000392"/>
        <s v="KP/000393"/>
        <s v="KP/000394"/>
        <s v="KP/000396"/>
        <s v="KP/000397"/>
        <s v="KP/000398"/>
        <s v="KP/000400"/>
        <s v="KP/000401"/>
        <s v="KP/000402"/>
        <s v="KP/000403"/>
        <s v="KP/000404"/>
        <s v="KP/000405"/>
        <s v="KP/000406"/>
        <s v="KP/000407"/>
        <s v="KP/000408"/>
        <s v="KP/000409"/>
        <s v="KP/000410"/>
        <s v="KP/000411"/>
        <s v="KP/000412"/>
        <s v="KP/000413"/>
        <s v="KP/000414"/>
        <s v="KP/000415"/>
        <s v="KP/000416"/>
        <s v="KP/000417"/>
        <s v="KP/000418"/>
        <s v="KP/000419"/>
        <s v="KP/000420"/>
        <s v="KP/000421"/>
        <s v="KP/000423"/>
        <s v="KP/000424"/>
        <s v="KP/000425"/>
        <s v="KP/000426"/>
        <s v="KP/000427"/>
        <s v="KP/000434"/>
        <s v="KP/000428"/>
        <s v="KP/000429"/>
        <s v="KP/000430"/>
        <s v="KP/000431"/>
        <s v="KP/000433"/>
        <s v="KP/000435"/>
        <s v="KP/000437"/>
        <s v="KP/000438"/>
        <s v="KP/000439"/>
        <s v="KP/000441"/>
        <s v="KP/000442"/>
        <s v="KP/000443"/>
        <s v="KP/000444"/>
        <s v="KP/000445"/>
        <s v="KP/000446"/>
        <s v="KP/000447"/>
        <s v="KP/000448"/>
        <s v="KP/000449"/>
        <s v="KP/000450"/>
        <s v="KP/000451"/>
        <s v="KP/000452"/>
        <s v="KP/000453"/>
        <s v="KP/000454"/>
        <s v="KP/000455"/>
        <s v="KP/000456"/>
        <s v="KP/000457"/>
        <s v="KP/000458"/>
        <s v="KP/000459"/>
        <s v="KP/000460"/>
        <s v="KP/000461"/>
        <s v="KP/000464"/>
        <s v="KP/000465"/>
        <s v="KP/000466"/>
        <s v="KP/000467"/>
        <s v="KP/000469"/>
        <s v="KP/000470"/>
        <s v="KP/000471"/>
        <s v="KP/000473"/>
        <s v="KP/000474"/>
        <s v="KP/000475"/>
        <s v="KP/000476"/>
        <s v="KP/000478"/>
        <s v="KP/000479"/>
        <s v="KP/000480"/>
        <s v="KP/000481"/>
        <s v="KP/000482"/>
        <s v="KP/000483"/>
        <s v="KP/000484"/>
        <s v="KP/000485"/>
        <s v="KP/000486"/>
        <s v="KP/000488"/>
        <s v="KP/000489"/>
        <s v="KP/000490"/>
        <s v="KP/000491"/>
        <s v="KP/000492"/>
        <s v="KP/000493"/>
        <s v="KP/000494"/>
        <s v="KP/000495"/>
        <s v="KP/000496"/>
        <s v="KP/000497"/>
        <s v="KP/000498"/>
        <s v="KP/000499"/>
        <s v="KP/000501"/>
        <s v="KP/000502"/>
        <s v="KP/000503"/>
        <s v="KP/000504"/>
        <s v="KP/000505"/>
        <s v="KP/000506"/>
        <s v="KP/000507"/>
        <s v="KP/000508"/>
        <s v="KP/000509"/>
        <s v="KP/000510"/>
        <s v="KP/000511"/>
        <s v="KP/000512"/>
        <s v="KP/000513"/>
        <s v="KP/000468"/>
        <s v="KP/000514"/>
        <s v="KP/001013"/>
        <s v="KP/000515"/>
        <s v="KP/000516"/>
        <s v="KP/000517"/>
        <s v="KP/000518"/>
        <s v="KP/000520"/>
        <s v="KP/000521"/>
        <s v="KP/000522"/>
        <s v="KP/000524"/>
        <s v="KP/000525"/>
        <s v="KP/000527"/>
        <s v="KP/000528"/>
        <s v="KP/000529"/>
        <s v="KP/000530"/>
        <s v="KP/000531"/>
        <s v="KP/000532"/>
        <s v="KP/000533"/>
        <s v="KP/000535"/>
        <s v="KP/000538"/>
        <s v="KP/000539"/>
        <s v="KP/000540"/>
        <s v="KP/000542"/>
        <s v="KP/000543"/>
        <s v="KP/000544"/>
        <s v="KP/000546"/>
        <s v="KP/000547"/>
        <s v="KP/000548"/>
        <s v="KP/000549"/>
        <s v="KP/000550"/>
        <s v="KP/000551"/>
        <s v="KP/000553"/>
        <s v="KP/000554"/>
        <s v="KP/000555"/>
        <s v="KP/000556"/>
        <s v="KP/000557"/>
        <s v="KP/000558"/>
        <s v="KP/000559"/>
        <s v="KP/000560"/>
        <s v="KP/000563"/>
        <s v="KP/000564"/>
        <s v="KP/000565"/>
        <s v="KP/000566"/>
        <s v="KP/000568"/>
        <s v="KP/000570"/>
        <s v="KP/000571"/>
        <s v="KP/000572"/>
        <s v="KP/000573"/>
        <s v="KP/000575"/>
        <s v="KP/000576"/>
        <s v="KP/000578"/>
        <s v="KP/000581"/>
        <s v="KP/000582"/>
        <s v="KP/000583"/>
        <s v="KP/000585"/>
        <s v="KP/000586"/>
        <s v="KP/000587"/>
        <s v="KP/000588"/>
        <s v="KP/000589"/>
        <s v="KP/000591"/>
        <s v="KP/000592"/>
        <s v="KP/000593"/>
        <s v="KP/000594"/>
        <s v="KP/000595"/>
        <s v="KP/000596"/>
        <s v="KP/000597"/>
        <s v="KP/000598"/>
        <s v="KP/000599"/>
        <s v="KP/000600"/>
        <s v="KP/000602"/>
        <s v="KP/000603"/>
        <s v="KP/000604"/>
        <s v="KP/000605"/>
        <s v="KP/000606"/>
        <s v="KP/000607"/>
        <s v="KP/000608"/>
        <s v="KP/000611"/>
        <s v="KP/000614"/>
        <s v="KP/000616"/>
        <s v="KP/000618"/>
        <s v="KP/000619"/>
        <s v="KP/000620"/>
        <s v="KP/000621"/>
        <s v="KP/000622"/>
        <s v="KP/000623"/>
        <s v="KP/000624"/>
        <s v="KP/000625"/>
        <s v="KP/000626"/>
        <s v="KP/000627"/>
        <s v="KP/000628"/>
        <s v="KP/000629"/>
        <s v="KP/000630"/>
        <s v="KP/000631"/>
        <s v="KP/000633"/>
        <s v="KP/000634"/>
        <s v="KP/000635"/>
        <s v="KP/000636"/>
        <s v="KP/000889"/>
        <s v="KP/000637"/>
        <s v="KP/000638"/>
        <s v="KP/000639"/>
        <s v="KP/000640"/>
        <s v="KP/000643"/>
        <s v="KP/000641"/>
        <s v="KP/000642"/>
        <s v="KP/001077"/>
        <s v="KP/000644"/>
        <s v="KP/000645"/>
        <s v="KP/000646"/>
        <s v="KP/000647"/>
        <s v="KP/000648"/>
        <s v="KP/000649"/>
        <s v="KP/000650"/>
        <s v="KP/000651"/>
        <s v="KP/000652"/>
        <s v="KP/000653"/>
        <s v="KP/000654"/>
        <s v="KP/000655"/>
        <s v="KP/000657"/>
        <s v="KP/000658"/>
        <s v="KP/000659"/>
        <s v="KP/000660"/>
        <s v="KP/000017"/>
        <s v="KP/000661"/>
        <s v="KP/000662"/>
        <s v="KP/000664"/>
        <s v="KP/000665"/>
        <s v="KP/000666"/>
        <s v="KP/000667"/>
        <s v="KP/000668"/>
        <s v="KP/000670"/>
        <s v="KP/000671"/>
        <s v="KP/000672"/>
        <s v="KP/000673"/>
        <s v="KP/000674"/>
        <s v="KP/000675"/>
        <s v="KP/000677"/>
        <s v="KP/000678"/>
        <s v="KP/000679"/>
        <s v="KP/000680"/>
        <s v="KP/000682"/>
        <s v="KP/000685"/>
        <s v="KP/000686"/>
        <s v="KP/000687"/>
        <s v="KP/000688"/>
        <s v="KP/000689"/>
        <s v="KP/000690"/>
        <s v="KP/003945"/>
        <s v="KP/000691"/>
        <s v="KP/000692"/>
        <s v="KP/000734"/>
        <s v="KP/000753"/>
        <s v="KP/001139"/>
        <s v="KP/000786"/>
        <s v="KP/000723"/>
        <s v="KP/000759"/>
        <s v="KP/000769"/>
        <s v="KP/001036"/>
        <s v="KP/001037"/>
        <s v="KP/001038"/>
        <s v="KP/001368"/>
        <s v="KP/001369"/>
        <s v="KP/000739"/>
        <s v="KP/000716"/>
        <s v="KP/000789"/>
        <s v="KP/000775"/>
        <s v="KP/000720"/>
        <s v="KP/000745"/>
        <s v="KP/000750"/>
        <s v="KP/000751"/>
        <s v="KP/000727"/>
        <s v="KP/000797"/>
        <s v="KP/000798"/>
        <s v="KP/000799"/>
        <s v="KP/000801"/>
        <s v="KP/000802"/>
        <s v="KP/000803"/>
        <s v="KP/000813"/>
        <s v="KP/000816"/>
        <s v="KP/000817"/>
        <s v="KP/000820"/>
        <s v="KP/000822"/>
        <s v="KP/000824"/>
        <s v="KP/000826"/>
        <s v="KP/000827"/>
        <s v="KP/000829"/>
        <s v="KP/000830"/>
        <s v="KP/000833"/>
        <s v="KP/000834"/>
        <s v="KP/000836"/>
        <s v="KP/000837"/>
        <s v="KP/000838"/>
        <s v="KP/000839"/>
        <s v="KP/000841"/>
        <s v="KP/000842"/>
        <s v="KP/000843"/>
        <s v="KP/000844"/>
        <s v="KP/000846"/>
        <s v="KP/000849"/>
        <s v="KP/000850"/>
        <s v="KP/000851"/>
        <s v="KP/000852"/>
        <s v="KP/000853"/>
        <s v="KP/000854"/>
        <s v="KP/000861"/>
        <s v="KP/000862"/>
        <s v="KP/000863"/>
        <s v="KP/000864"/>
        <s v="KP/000865"/>
        <s v="KP/000866"/>
        <s v="KP/000869"/>
        <s v="KP/000870"/>
        <s v="KP/000872"/>
        <s v="KP/000873"/>
        <s v="KP/000875"/>
        <s v="KP/000878"/>
        <s v="KP/000879"/>
        <s v="KP/000880"/>
        <s v="KP/000881"/>
        <s v="KP/000882"/>
        <s v="KP/000885"/>
        <s v="KP/000886"/>
        <s v="KP/000887"/>
        <s v="KP/000888"/>
        <s v="KP/000891"/>
        <s v="KP/000892"/>
        <s v="KP/000894"/>
        <s v="KP/000895"/>
        <s v="KP/000896"/>
        <s v="KP/000897"/>
        <s v="KP/000899"/>
        <s v="KP/000900"/>
        <s v="KP/000901"/>
        <s v="KP/000902"/>
        <s v="KP/000903"/>
        <s v="KP/000905"/>
        <s v="KP/000906"/>
        <s v="KP/000908"/>
        <s v="KP/000913"/>
        <s v="KP/000914"/>
        <s v="KP/000915"/>
        <s v="KP/000916"/>
        <s v="KP/000918"/>
        <s v="KP/000919"/>
        <s v="KP/000921"/>
        <s v="KP/000924"/>
        <s v="KP/000925"/>
        <s v="KP/000929"/>
        <s v="KP/000932"/>
        <s v="KP/000931"/>
        <s v="KP/000933"/>
        <s v="KP/000936"/>
        <s v="KP/000937"/>
        <s v="KP/000939"/>
        <s v="KP/000940"/>
        <s v="KP/000941"/>
        <s v="KP/000942"/>
        <s v="KP/000943"/>
        <s v="KP/000944"/>
        <s v="KP/000945"/>
        <s v="KP/000947"/>
        <s v="KP/000948"/>
        <s v="KP/000949"/>
        <s v="KP/000951"/>
        <s v="KP/000953"/>
        <s v="KP/000955"/>
        <s v="KP/001366"/>
        <s v="KP/000956"/>
        <s v="KP/000958"/>
        <s v="KP/000959"/>
        <s v="KP/000960"/>
        <s v="KP/000962"/>
        <s v="KP/000963"/>
        <s v="KP/000964"/>
        <s v="KP/000965"/>
        <s v="KP/000966"/>
        <s v="KP/000967"/>
        <s v="KP/000968"/>
        <s v="KP/000969"/>
        <s v="KP/000971"/>
        <s v="KP/000973"/>
        <s v="KP/000974"/>
        <s v="KP/000975"/>
        <s v="KP/000976"/>
        <s v="KP/000979"/>
        <s v="KP/000982"/>
        <s v="KP/000983"/>
        <s v="KP/000984"/>
        <s v="KP/000985"/>
        <s v="KP/000986"/>
        <s v="KP/000988"/>
        <s v="KP/000989"/>
        <s v="KP/000995"/>
        <s v="KP/000996"/>
        <s v="KP/000997"/>
        <s v="KP/000998"/>
        <s v="KP/000999"/>
        <s v="KP/001000"/>
        <s v="KP/001001"/>
        <s v="KP/001002"/>
        <s v="KP/001005"/>
        <s v="KP/001008"/>
        <s v="KP/003401"/>
        <s v="KP/001009"/>
        <s v="KP/001011"/>
        <s v="KP/001012"/>
        <s v="KP/001016"/>
        <s v="KP/001019"/>
        <s v="KP/001020"/>
        <s v="KP/001024"/>
        <s v="KP/001025"/>
        <s v="KP/001026"/>
        <s v="KP/001027"/>
        <s v="KP/001028"/>
        <s v="KP/001030"/>
        <s v="KP/001031"/>
        <s v="KP/001033"/>
        <s v="KP/001034"/>
        <s v="KP/001035"/>
        <s v="KP/001040"/>
        <s v="KP/001041"/>
        <s v="KP/001048"/>
        <s v="KP/001049"/>
        <s v="KP/001052"/>
        <s v="KP/001058"/>
        <s v="KP/001059"/>
        <s v="KP/001060"/>
        <s v="KP/001061"/>
        <s v="KP/001063"/>
        <s v="KP/001064"/>
        <s v="KP/001065"/>
        <s v="KP/001067"/>
        <s v="KP/001068"/>
        <s v="KP/001069"/>
        <s v="KP/001070"/>
        <s v="KP/001071"/>
        <s v="KP/001074"/>
        <s v="KP/001076"/>
        <s v="KP/001078"/>
        <s v="KP/001083"/>
        <s v="KP/001087"/>
        <s v="KP/001088"/>
        <s v="KP/001089"/>
        <s v="KP/001090"/>
        <s v="KP/001091"/>
        <s v="KP/001092"/>
        <s v="KP/001094"/>
        <s v="KP/001096"/>
        <s v="KP/001097"/>
        <s v="KP/001098"/>
        <s v="KP/001099"/>
        <s v="KP/001101"/>
        <s v="KP/001108"/>
        <s v="KP/001109"/>
        <s v="KP/000787"/>
        <s v="KP/001114"/>
        <s v="KP/001116"/>
        <s v="KP/001118"/>
        <s v="KP/001119"/>
        <s v="KP/001122"/>
        <s v="KP/001124"/>
        <s v="KP/001125"/>
        <s v="KP/001128"/>
        <s v="KP/001133"/>
        <s v="KP/001134"/>
        <s v="KP/001135"/>
        <s v="KP/001136"/>
        <s v="KP/001137"/>
        <s v="KP/001138"/>
        <s v="KP/001140"/>
        <s v="KP/001141"/>
        <s v="KP/001142"/>
        <s v="KP/001147"/>
        <s v="KP/001148"/>
        <s v="KP/001153"/>
        <s v="KP/001158"/>
        <s v="KP/001161"/>
        <s v="KP/001165"/>
        <s v="KP/001166"/>
        <s v="KP/001168"/>
        <s v="KP/001169"/>
        <s v="KP/001170"/>
        <s v="KP/001171"/>
        <s v="KP/001172"/>
        <s v="KP/001173"/>
        <s v="KP/001175"/>
        <s v="KP/001176"/>
        <s v="KP/001185"/>
        <s v="KP/001188"/>
        <s v="KP/001189"/>
        <s v="KP/001190"/>
        <s v="KP/001191"/>
        <s v="KP/001193"/>
        <s v="KP/001194"/>
        <s v="KP/001195"/>
        <s v="KP/001197"/>
        <s v="KP/001199"/>
        <s v="KP/001200"/>
        <s v="KP/001201"/>
        <s v="KP/001202"/>
        <s v="KP/001203"/>
        <s v="KP/001204"/>
        <s v="KP/001206"/>
        <s v="KP/001211"/>
        <s v="KP/001212"/>
        <s v="KP/001213"/>
        <s v="KP/001216"/>
        <s v="KP/001217"/>
        <s v="KP/001218"/>
        <s v="KP/001219"/>
        <s v="KP/001220"/>
        <s v="KP/001221"/>
        <s v="KP/001222"/>
        <s v="KP/001223"/>
        <s v="KP/001226"/>
        <s v="KP/001228"/>
        <s v="KP/001229"/>
        <s v="KP/001230"/>
        <s v="KP/001231"/>
        <s v="KP/001232"/>
        <s v="KP/001236"/>
        <s v="KP/001237"/>
        <s v="KP/001238"/>
        <s v="KP/001240"/>
        <s v="KP/001241"/>
        <s v="KP/001243"/>
        <s v="KP/001246"/>
        <s v="KP/001249"/>
        <s v="KP/001250"/>
        <s v="KP/001251"/>
        <s v="KP/001253"/>
        <s v="KP/001254"/>
        <s v="KP/001255"/>
        <s v="KP/001256"/>
        <s v="KP/001260"/>
        <s v="KP/001261"/>
        <s v="KP/001264"/>
        <s v="KP/001267"/>
        <s v="KP/001268"/>
        <s v="KP/001269"/>
        <s v="KP/001270"/>
        <s v="KP/001271"/>
        <s v="KP/001272"/>
        <s v="KP/001273"/>
        <s v="KP/001276"/>
        <s v="KP/001278"/>
        <s v="KP/001280"/>
        <s v="KP/001284"/>
        <s v="KP/001286"/>
        <s v="KP/001290"/>
        <s v="KP/001291"/>
        <s v="KP/001294"/>
        <s v="KP/001295"/>
        <s v="KP/001299"/>
        <s v="KP/001301"/>
        <s v="KP/001302"/>
        <s v="KP/001304"/>
        <s v="KP/001305"/>
        <s v="KP/001308"/>
        <s v="KP/001309"/>
        <s v="KP/001310"/>
        <s v="KP/001311"/>
        <s v="KP/001312"/>
        <s v="KP/001313"/>
        <s v="KP/001314"/>
        <s v="KP/001315"/>
        <s v="KP/001316"/>
        <s v="KP/001317"/>
        <s v="KP/001318"/>
        <s v="KP/001319"/>
        <s v="KP/001320"/>
        <s v="KP/001326"/>
        <s v="KP/001327"/>
        <s v="KP/001328"/>
        <s v="KP/001329"/>
        <s v="KP/001331"/>
        <s v="KP/001332"/>
        <s v="KP/001335"/>
        <s v="KP/001336"/>
        <s v="KP/001337"/>
        <s v="KP/001338"/>
        <s v="KP/001339"/>
        <s v="KP/001340"/>
        <s v="KP/001343"/>
        <s v="KP/001344"/>
        <s v="KP/001345"/>
        <s v="KP/001348"/>
        <s v="KP/001352"/>
        <s v="KP/001353"/>
        <s v="KP/001355"/>
        <s v="KP/001356"/>
        <s v="KP/001357"/>
        <s v="KP/001360"/>
        <s v="KP/001361"/>
        <s v="KP/001363"/>
        <s v="KP/001364"/>
        <s v="KP/001370"/>
        <s v="KP/001371"/>
        <s v="KP/001372"/>
        <s v="KP/001373"/>
        <s v="KP/001374"/>
        <s v="KP/001376"/>
        <s v="KP/001377"/>
        <s v="KP/001378"/>
        <s v="KP/001383"/>
        <s v="KP/001384"/>
        <s v="KP/001385"/>
        <s v="KP/001386"/>
        <s v="KP/001387"/>
        <s v="KP/001388"/>
        <s v="KP/001391"/>
        <s v="KP/001392"/>
        <s v="KP/001393"/>
        <s v="KP/001394"/>
        <s v="KP/001395"/>
        <s v="KP/001396"/>
        <s v="KP/001398"/>
        <s v="KP/001399"/>
        <s v="KP/001400"/>
        <s v="KP/001401"/>
        <s v="KP/001402"/>
        <s v="KP/001403"/>
        <s v="KP/001404"/>
        <s v="KP/001406"/>
        <s v="KP/001409"/>
        <s v="KP/001412"/>
        <s v="KP/001413"/>
        <s v="KP/001414"/>
        <s v="KP/001419"/>
        <s v="KP/001420"/>
        <s v="KP/001421"/>
        <s v="KP/001422"/>
        <s v="KP/001423"/>
        <s v="KP/001424"/>
        <s v="KP/001425"/>
        <s v="KP/001426"/>
        <s v="KP/001427"/>
        <s v="KP/001428"/>
        <s v="KP/001430"/>
        <s v="KP/001431"/>
        <s v="KP/001435"/>
        <s v="KP/001436"/>
        <s v="KP/001437"/>
        <s v="KP/001438"/>
        <s v="KP/001439"/>
        <s v="KP/001440"/>
        <s v="KP/001441"/>
        <s v="KP/001442"/>
        <s v="KP/001443"/>
        <s v="KP/001444"/>
        <s v="KP/001445"/>
        <s v="KP/001446"/>
        <s v="KP/001447"/>
        <s v="KP/001450"/>
        <s v="KP/001451"/>
        <s v="KP/001452"/>
        <s v="KP/001454"/>
        <s v="KP/001455"/>
        <s v="KP/001457"/>
        <s v="KP/001458"/>
        <s v="KP/001460"/>
        <s v="KP/001465"/>
        <s v="KP/001466"/>
        <s v="KP/001472"/>
        <s v="KP/001473"/>
        <s v="KP/001475"/>
        <s v="KP/001477"/>
        <s v="KP/001479"/>
        <s v="KP/001481"/>
        <s v="KP/001482"/>
        <s v="KP/001483"/>
        <s v="KP/001484"/>
        <s v="KP/001485"/>
        <s v="KP/001488"/>
        <s v="KP/001489"/>
        <s v="KP/001490"/>
        <s v="KP/001491"/>
        <s v="KP/001493"/>
        <s v="KP/001496"/>
        <s v="KP/001497"/>
        <s v="KP/001498"/>
        <s v="KP/001499"/>
        <s v="KP/001500"/>
        <s v="KP/001501"/>
        <s v="KP/001502"/>
        <s v="KP/001503"/>
        <s v="KP/001504"/>
        <s v="KP/001505"/>
        <s v="KP/001506"/>
        <s v="KP/001507"/>
        <s v="KP/001509"/>
        <s v="KP/001511"/>
        <s v="KP/001512"/>
        <s v="KP/001513"/>
        <s v="KP/001514"/>
        <s v="KP/001515"/>
        <s v="KP/001518"/>
        <s v="KP/001519"/>
        <s v="KP/001520"/>
        <s v="KP/001521"/>
        <s v="KP/001522"/>
        <s v="KP/001523"/>
        <s v="KP/001528"/>
        <s v="KP/001531"/>
        <s v="KP/001533"/>
        <s v="KP/001537"/>
        <s v="KP/001538"/>
        <s v="KP/001539"/>
        <s v="KP/001541"/>
        <s v="KP/001544"/>
        <s v="KP/001545"/>
        <s v="KP/001547"/>
        <s v="KP/001549"/>
        <s v="KP/001550"/>
        <s v="KP/001551"/>
        <s v="KP/001554"/>
        <s v="KP/001560"/>
        <s v="KP/001566"/>
        <s v="KP/001571"/>
        <s v="KP/001572"/>
        <s v="KP/001573"/>
        <s v="KP/001578"/>
        <s v="KP/001580"/>
        <s v="KP/001581"/>
        <s v="KP/001646"/>
        <s v="KP/001586"/>
        <s v="KP/001588"/>
        <s v="KP/001589"/>
        <s v="KP/001591"/>
        <s v="KP/001593"/>
        <s v="KP/001594"/>
        <s v="KP/001605"/>
        <s v="KP/001606"/>
        <s v="KP/001611"/>
        <s v="KP/001612"/>
        <s v="KP/001615"/>
        <s v="KP/001616"/>
        <s v="KP/001617"/>
        <s v="KP/001619"/>
        <s v="KP/001620"/>
        <s v="KP/001621"/>
        <s v="KP/001622"/>
        <s v="KP/001623"/>
        <s v="KP/001624"/>
        <s v="KP/001625"/>
        <s v="KP/001626"/>
        <s v="KP/001628"/>
        <s v="KP/001629"/>
        <s v="KP/001630"/>
        <s v="KP/001633"/>
        <s v="KP/001635"/>
        <s v="KP/001637"/>
        <s v="KP/001638"/>
        <s v="KP/001641"/>
        <s v="KP/001642"/>
        <s v="KP/001643"/>
        <s v="KP/001647"/>
        <s v="KP/001655"/>
        <s v="KP/001656"/>
        <s v="KP/001657"/>
        <s v="KP/001456"/>
        <s v="KP/001365"/>
        <s v="KP/001375"/>
        <s v="KP/001711"/>
        <s v="KP/001696"/>
        <s v="KP/001697"/>
        <s v="KP/001698"/>
        <s v="KP/001699"/>
        <s v="KP/001700"/>
        <s v="KP/001701"/>
        <s v="KP/000825"/>
        <s v="KP/001702"/>
        <s v="KP/001705"/>
        <s v="KP/001703"/>
        <s v="KP/001704"/>
        <s v="KP/001706"/>
        <s v="KP/001707"/>
        <s v="KP/001708"/>
        <s v="KP/001709"/>
        <s v="KP/001710"/>
        <s v="KP/001362"/>
        <s v="KP/001713"/>
        <s v="KP/001205"/>
        <s v="KP/001407"/>
        <s v="KP/001714"/>
        <s v="KP/001715"/>
        <s v="KP/001716"/>
        <s v="KP/000961"/>
        <s v="KP/001717"/>
        <s v="KP/001121"/>
        <s v="KP/000980"/>
        <s v="KP/001686"/>
        <s v="KP/000181"/>
        <s v="KP/001666"/>
        <s v="KP/001667"/>
        <s v="KP/001668"/>
        <s v="KP/001669"/>
        <s v="KP/001679"/>
        <s v="KP/001494"/>
        <s v="KP/000463"/>
        <s v="KP/000722"/>
        <s v="KP/000704"/>
        <s v="KP/000695"/>
        <s v="KP/000696"/>
        <s v="KP/000714"/>
        <s v="KP/003885"/>
        <s v="KP/003886"/>
        <s v="KP/000574"/>
        <s v="KP/001662"/>
        <s v="KP/001658"/>
        <s v="KP/000950"/>
        <s v="KP/001636"/>
        <s v="KP/000778"/>
        <s v="KP/000756"/>
        <s v="KP/000741"/>
        <s v="KP/001723"/>
        <s v="KP/000770"/>
        <s v="KP/001725"/>
        <s v="KP/000762"/>
        <s v="KP/000728"/>
        <s v="KP/001729"/>
        <s v="KP/001730"/>
        <s v="KP/001671"/>
        <s v="KP/001734"/>
        <s v="KP/001382"/>
        <s v="KP/001381"/>
        <s v="KP/001296"/>
        <s v="KP/001732"/>
        <s v="KP/000981"/>
        <s v="KP/001736"/>
        <s v="KP/000127"/>
        <s v="KP/001737"/>
        <s v="KP/001712"/>
        <s v="KP/001680"/>
        <s v="KP/001471"/>
        <s v="KP/001474"/>
        <s v="KP/002044"/>
        <s v="KP/000752"/>
        <s v="KP/000729"/>
        <s v="KP/000785"/>
        <s v="KP/000731"/>
        <s v="KP/000693"/>
        <s v="KP/000562"/>
        <s v="KP/000928"/>
        <s v="KP/001307"/>
        <s v="KP/001739"/>
        <s v="KP/000712"/>
        <s v="KP/001569"/>
        <s v="KP/001741"/>
        <s v="KP/000765"/>
        <s v="KP/000705"/>
        <s v="KP/000697"/>
        <s v="KP/001563"/>
        <s v="KP/003928"/>
        <s v="KP/001743"/>
        <s v="KP/002037"/>
        <s v="KP/000856"/>
        <s v="KP/001334"/>
        <s v="KP/001744"/>
        <s v="KP/001745"/>
        <s v="KP/001746"/>
        <s v="KP/001747"/>
        <s v="KP/001748"/>
        <s v="KP/001749"/>
        <s v="KP/001689"/>
        <s v="KP/001132"/>
        <s v="KP/001750"/>
        <s v="KP/001682"/>
        <s v="KP/001681"/>
        <s v="KP/001685"/>
        <s v="KP/001683"/>
        <s v="KP/001684"/>
        <s v="KP/001751"/>
        <s v="KP/001752"/>
        <s v="KP/001753"/>
        <s v="KP/001690"/>
        <s v="KP/001676"/>
        <s v="KP/001754"/>
        <s v="KP/001665"/>
        <s v="KP/001755"/>
        <s v="KP/000804"/>
        <s v="KP/001677"/>
        <s v="KP/001756"/>
        <s v="KP/001678"/>
        <s v="KP/002578"/>
        <s v="KP/002652"/>
        <s v="KP/001632"/>
        <s v="KP/000987"/>
        <s v="KP/001661"/>
        <s v="KP/000781"/>
        <s v="KP/001093"/>
        <s v="KP/001758"/>
        <s v="KP/002009"/>
        <s v="KP/002010"/>
        <s v="KP/000774"/>
        <s v="KP/001073"/>
        <s v="KP/000760"/>
        <s v="KP/000757"/>
        <s v="KP/002073"/>
        <s v="KP/000957"/>
        <s v="KP/001215"/>
        <s v="KP/000814"/>
        <s v="KP/000909"/>
        <s v="KP/000911"/>
        <s v="KP/000923"/>
        <s v="KP/003810"/>
        <s v="KP/000977"/>
        <s v="KP/001731"/>
        <s v="KP/001155"/>
        <s v="KP/001354"/>
        <s v="KP/001418"/>
        <s v="KP/001759"/>
        <s v="KP/001639"/>
        <s v="KP/001640"/>
        <s v="KP/003820"/>
        <s v="KP/001095"/>
        <s v="KP/001453"/>
        <s v="KP/000893"/>
        <s v="KP/001180"/>
        <s v="KP/000828"/>
        <s v="KP/001358"/>
        <s v="KP/001359"/>
        <s v="KP/001429"/>
        <s v="KP/001760"/>
        <s v="KP/001761"/>
        <s v="KP/001762"/>
        <s v="KP/001764"/>
        <s v="KP/001029"/>
        <s v="KP/003920"/>
        <s v="KP/001673"/>
        <s v="KP/001389"/>
        <s v="KP/001516"/>
        <s v="KP/000166"/>
        <s v="KP/000808"/>
        <s v="KP/001776"/>
        <s v="KP/001390"/>
        <s v="KP/000086"/>
        <s v="KP/001777"/>
        <s v="KP/001779"/>
        <s v="KP/001780"/>
        <s v="KP/001449"/>
        <s v="KP/002043"/>
        <s v="KP/001757"/>
        <s v="KP/001781"/>
        <s v="KP/001787"/>
        <s v="KP/001783"/>
        <s v="KP/001808"/>
        <s v="KP/001487"/>
        <s v="KP/001775"/>
        <s v="KP/001809"/>
        <s v="KP/001811"/>
        <s v="KP/001812"/>
        <s v="KP/001813"/>
        <s v="KP/001814"/>
        <s v="KP/001815"/>
        <s v="KP/001816"/>
        <s v="KP/001817"/>
        <s v="KP/001818"/>
        <s v="KP/001786"/>
        <s v="KP/003507"/>
        <s v="KP/001784"/>
        <s v="KP/001823"/>
        <s v="KP/000972"/>
        <s v="KP/002032"/>
        <s v="KP/002141"/>
        <s v="KP/001323"/>
        <s v="KP/001459"/>
        <s v="KP/001120"/>
        <s v="KP/000922"/>
        <s v="KP/000188"/>
        <s v="KP/001792"/>
        <s v="KP/000790"/>
        <s v="KP/001694"/>
        <s v="KP/001691"/>
        <s v="KP/001772"/>
        <s v="KP/001771"/>
        <s v="KP/000779"/>
        <s v="KP/001156"/>
        <s v="KP/000698"/>
        <s v="KP/001408"/>
        <s v="KP/000811"/>
        <s v="KP/000197"/>
        <s v="KP/001833"/>
        <s v="KP/001835"/>
        <s v="KP/001631"/>
        <s v="KP/001534"/>
        <s v="KP/000715"/>
        <s v="KP/000308"/>
        <s v="KP/001283"/>
        <s v="KP/001837"/>
        <s v="KP/001838"/>
        <s v="KP/001839"/>
        <s v="KP/001841"/>
        <s v="KP/001842"/>
        <s v="KP/001079"/>
        <s v="KP/001773"/>
        <s v="KP/001766"/>
        <s v="KP/001831"/>
        <s v="KP/003814"/>
        <s v="KP/001830"/>
        <s v="KP/001829"/>
        <s v="KP/001828"/>
        <s v="KP/001695"/>
        <s v="KP/000721"/>
        <s v="KP/003816"/>
        <s v="KP/003817"/>
        <s v="KP/003818"/>
        <s v="KP/000142"/>
        <s v="KP/001791"/>
        <s v="KP/001798"/>
        <s v="KP/000764"/>
        <s v="KP/000763"/>
        <s v="KP/001670"/>
        <s v="KP/002227"/>
        <s v="KP/000806"/>
        <s v="KP/002404"/>
        <s v="KP/002398"/>
        <s v="KP/002396"/>
        <s v="KP/002393"/>
        <s v="KP/002383"/>
        <s v="KP/002361"/>
        <s v="KP/003353"/>
        <s v="KP/003823"/>
        <s v="KP/002375"/>
        <s v="KP/002371"/>
        <s v="KP/002368"/>
        <s v="KP/002367"/>
        <s v="KP/000541"/>
        <s v="KP/000761"/>
        <s v="KP/002372"/>
        <s v="KP/001650"/>
        <s v="KP/001613"/>
        <s v="KP/001609"/>
        <s v="KP/001604"/>
        <s v="KP/001603"/>
        <s v="KP/001601"/>
        <s v="KP/001600"/>
        <s v="KP/001587"/>
        <s v="KP/001585"/>
        <s v="KP/001584"/>
        <s v="KP/001579"/>
        <s v="KP/001576"/>
        <s v="KP/001575"/>
        <s v="KP/001574"/>
        <s v="KP/001556"/>
        <s v="KP/001527"/>
        <s v="KP/001432"/>
        <s v="KP/000800"/>
        <s v="KP/001342"/>
        <s v="KP/001322"/>
        <s v="KP/001300"/>
        <s v="KP/001247"/>
        <s v="KP/001244"/>
        <s v="KP/001196"/>
        <s v="KP/001192"/>
        <s v="KP/001177"/>
        <s v="KP/001159"/>
        <s v="KP/001150"/>
        <s v="KP/001149"/>
        <s v="KP/001104"/>
        <s v="KP/001085"/>
        <s v="KP/001023"/>
        <s v="KP/001021"/>
        <s v="KP/000946"/>
        <s v="KP/000938"/>
        <s v="KP/000876"/>
        <s v="KP/000840"/>
        <s v="KP/000867"/>
        <s v="KP/000711"/>
        <s v="KP/000777"/>
        <s v="KP/000710"/>
        <s v="KP/000683"/>
        <s v="KP/000681"/>
        <s v="KP/000663"/>
        <s v="KP/000632"/>
        <s v="KP/000601"/>
        <s v="KP/000590"/>
        <s v="KP/000545"/>
        <s v="KP/000534"/>
        <s v="KP/000477"/>
        <s v="KP/000390"/>
        <s v="KP/000376"/>
        <s v="KP/000361"/>
        <s v="KP/000352"/>
        <s v="KP/000304"/>
        <s v="KP/000296"/>
        <s v="KP/000257"/>
        <s v="KP/000217"/>
        <s v="KP/001742"/>
        <s v="KP/000860"/>
        <s v="KP/002427"/>
        <s v="KP/002423"/>
        <s v="KP/002419"/>
        <s v="KP/002415"/>
        <s v="KP/002395"/>
        <s v="KP/002389"/>
        <s v="KP/002632"/>
        <s v="KP/000754"/>
        <s v="KP/003896"/>
        <s v="KP/001721"/>
        <s v="KP/003798"/>
        <s v="KP/003931"/>
        <s v="KP/001908"/>
        <s v="KP/001909"/>
        <s v="KP/001915"/>
        <s v="KP/001948"/>
        <s v="KP/002718"/>
        <s v="KP/003758"/>
        <s v="KP/003804"/>
        <s v="KP/002142"/>
        <s v="KP/000213"/>
        <s v="KP/003824"/>
        <s v="KP/002662"/>
        <s v="KP/002663"/>
        <s v="KP/000970"/>
        <s v="KP/003533"/>
        <s v="KP/003826"/>
        <s v="KP/000725"/>
        <s v="KP/002023"/>
        <s v="KP/001380"/>
        <s v="KP/001145"/>
        <s v="KP/001478"/>
        <s v="KP/000788"/>
        <s v="KP/000733"/>
        <s v="KP/003830"/>
        <s v="KP/003831"/>
        <s v="KP/003832"/>
        <s v="KP/003833"/>
        <s v="KP/003834"/>
        <s v="KP/003835"/>
        <s v="KP/003836"/>
        <s v="KP/003837"/>
        <s v="KP/003838"/>
        <s v="KP/003839"/>
        <s v="KP/003840"/>
        <s v="KP/003841"/>
        <s v="KP/003842"/>
        <s v="KP/003843"/>
        <s v="KP/003844"/>
        <s v="KP/003845"/>
        <s v="KP/003846"/>
        <s v="KP/003847"/>
        <s v="KP/003848"/>
        <s v="KP/003849"/>
        <s v="KP/003850"/>
        <s v="KP/003851"/>
        <s v="KP/003852"/>
        <s v="KP/003853"/>
        <s v="KP/003854"/>
        <s v="KP/003855"/>
        <s v="KP/003856"/>
        <s v="KP/003857"/>
        <s v="KP/003858"/>
        <s v="KP/003859"/>
        <s v="KP/003860"/>
        <s v="KP/003861"/>
        <s v="KP/003862"/>
        <s v="KP/003863"/>
        <s v="KP/001405"/>
        <s v="KP/000874"/>
        <s v="KP/003946"/>
        <s v="KP/001672"/>
        <s v="KP/001674"/>
        <s v="KP/001675"/>
        <s v="KP/001770"/>
        <s v="KP/001769"/>
        <s v="KP/001765"/>
        <s v="KP/001688"/>
        <s v="KP/001768"/>
        <s v="KP/001767"/>
        <s v="KP/001693"/>
        <s v="KP/001692"/>
        <s v="KP/001826"/>
        <s v="KP/003394"/>
        <s v="KP/001644"/>
        <s v="KP/003947"/>
        <s v="KP/000537"/>
        <s v="KP/001417"/>
        <s v="KP/001416"/>
        <s v="KP/001415"/>
        <s v="KP/000809"/>
        <s v="KP/003916"/>
        <s v="KP/000773"/>
        <s v="KP/003891"/>
        <s v="KP/002029"/>
        <s v="KP/003799"/>
        <s v="KP/000755"/>
        <s v="KP/000952"/>
        <s v="KP/000954"/>
        <s v="KP/001080"/>
        <s v="KP/001536"/>
        <s v="KP/003948"/>
        <s v="KP/003066"/>
        <s v="KP/003949"/>
        <s v="KP/001056"/>
        <s v="KP/001082"/>
        <s v="KP/001321"/>
        <s v="KP/001055"/>
        <s v="KP/001285"/>
        <s v="KP/001111"/>
        <s v="KP/000994"/>
        <s v="KP/000831"/>
        <s v="KP/002447"/>
        <s v="KP/003935"/>
        <s v="KP/003950"/>
        <s v="KP/003951"/>
        <s v="KP/003952"/>
        <s v="KP/001806"/>
        <s v="KP/003954"/>
        <s v="KP/003939"/>
        <s v="KP/003955"/>
        <s v="KP/003956"/>
        <s v="KP/003957"/>
        <s v="KP/003959"/>
        <s v="KP/003433"/>
        <s v="KP/003960"/>
        <s v="KP/003825"/>
        <s v="KP/003937"/>
        <s v="KP/003867"/>
        <s v="KP/001726"/>
        <s v="KP/002543"/>
        <s v="KP/002544"/>
        <s v="KP/002473"/>
        <s v="KP/002496"/>
        <s v="KP/002546"/>
        <s v="KP/002577"/>
        <s v="KP/002068"/>
        <s v="KP/003961"/>
        <s v="KP/003962"/>
        <s v="KP/003963"/>
        <s v="KP/003964"/>
        <s v="KP/002492"/>
        <s v="KP/002633"/>
        <s v="KP/003914"/>
        <s v="KP/002555"/>
        <s v="KP/003088"/>
        <s v="KP/001796"/>
        <s v="KP/003865"/>
        <s v="KP/002406"/>
        <s v="KP/003965"/>
        <s v="KP/000172"/>
        <s v="KP/000294"/>
        <s v="KP/000707"/>
        <s v="KP/003938"/>
        <s v="KP/003904"/>
        <s v="KP/000740"/>
        <s v="KP/003775"/>
        <s v="KP/003744"/>
        <s v="KP/000713"/>
        <s v="KP/002210"/>
        <s v="KP/003678"/>
        <s v="KP/003161"/>
        <s v="KP/003190"/>
        <s v="KP/002054"/>
        <s v="KP/002026"/>
        <s v="KP/003917"/>
        <s v="KP/003932"/>
        <s v="KP/003936"/>
        <s v="KP/000927"/>
        <s v="KP/001577"/>
      </sharedItems>
    </cacheField>
    <cacheField name="hoofdthema" numFmtId="0">
      <sharedItems/>
    </cacheField>
    <cacheField name="subthema" numFmtId="0">
      <sharedItems count="9">
        <s v="Fiets"/>
        <s v="Gevaarlijke Punt"/>
        <s v="Hoppinpunt"/>
        <s v="&lt;null&gt;"/>
        <s v="Schoolroute"/>
        <s v="Mia Proeftuin"/>
        <s v="Verkeersonveilige Situatie"/>
        <s v="Onaangepaste Halte Ov"/>
        <s v="Slechte Staat Bruggen"/>
      </sharedItems>
    </cacheField>
    <cacheField name="ingreep_id" numFmtId="0">
      <sharedItems containsSemiMixedTypes="0" containsString="0" containsNumber="1" containsInteger="1" minValue="1" maxValue="3503"/>
    </cacheField>
    <cacheField name="ingreepnummer" numFmtId="0">
      <sharedItems/>
    </cacheField>
    <cacheField name="ingreep_titel" numFmtId="0">
      <sharedItems/>
    </cacheField>
    <cacheField name="ingreep_omschrijving" numFmtId="0">
      <sharedItems containsBlank="1"/>
    </cacheField>
    <cacheField name="ingreep_type" numFmtId="0">
      <sharedItems/>
    </cacheField>
    <cacheField name="ingreep_aidnummer" numFmtId="0">
      <sharedItems/>
    </cacheField>
    <cacheField name="opgevolgd_in_bod" numFmtId="0">
      <sharedItems/>
    </cacheField>
    <cacheField name="opgevolgd_in_bod_omschrijving" numFmtId="0">
      <sharedItems/>
    </cacheField>
    <cacheField name="bestek_id" numFmtId="0">
      <sharedItems containsMixedTypes="1" containsNumber="1" containsInteger="1" minValue="5913" maxValue="12915"/>
    </cacheField>
    <cacheField name="dossiernummer" numFmtId="0">
      <sharedItems containsMixedTypes="1" containsNumber="1" containsInteger="1" minValue="10520" maxValue="10520"/>
    </cacheField>
    <cacheField name="vastlegging_id" numFmtId="0">
      <sharedItems containsMixedTypes="1" containsNumber="1" containsInteger="1" minValue="52751" maxValue="159551"/>
    </cacheField>
    <cacheField name="inkoopordernummer" numFmtId="0">
      <sharedItems containsMixedTypes="1" containsNumber="1" containsInteger="1" minValue="106851" maxValue="100062906"/>
    </cacheField>
    <cacheField name="inkooporder_omschrijving_bod" numFmtId="0">
      <sharedItems/>
    </cacheField>
    <cacheField name="programma_array" numFmtId="0">
      <sharedItems count="28">
        <s v="&lt;null&gt;"/>
        <s v="{&quot;MDU 3MH227 - 2021&quot;,&quot;MDU 3MH227 - 2022&quot;}"/>
        <s v="{&quot;MDU 3MH227 - 2021&quot;}"/>
        <s v="{&quot;MDU 3MH210 - 2022&quot;}"/>
        <s v="{&quot;MDU 3MH231 - 2021&quot;,&quot;MDU 3MH231 - 2022&quot;}"/>
        <s v="{&quot;MDU 3MH214 - 2021&quot;}"/>
        <s v="{&quot;MDU 3MH210 - 2021&quot;}"/>
        <s v="{&quot;MDU 3MH227 - 2022&quot;}"/>
        <s v="{&quot;MDU 3MH231 - 2021&quot;}"/>
        <s v="{&quot;MDU 3MH230 - 2021&quot;}"/>
        <s v="{&quot;MDU 3MH229 - 2021&quot;}"/>
        <s v="{&quot;MD0 1MH201 - 2021&quot;,&quot;MD0 1MH201 - 2022&quot;}"/>
        <s v="{&quot;MDU 3MH229 - 2021&quot;,&quot;MDU 3MH229 - 2022&quot;}"/>
        <s v="{&quot;MDU 3MH231 - 2022&quot;}"/>
        <s v="{&quot;MDU 3MH229 - 2022&quot;}"/>
        <s v="{&quot;MB0 1MH010 - 2021&quot;}"/>
        <s v="{&quot;MD0 1MH201 - 2018&quot;,&quot;MD0 1MH201 - 2021&quot;}"/>
        <s v="{&quot;MB0 1MH010 - 2022&quot;}"/>
        <s v="{&quot;MD0 1MH201 - 2018&quot;,&quot;MD0 1MH201 - 2020&quot;}"/>
        <s v="{&quot;MD0 1MH201 - 2020&quot;,&quot;MD0 1MH201 - 2022&quot;}"/>
        <s v="{&quot;MD0 1MH201 - 2020&quot;}"/>
        <s v="{&quot;MD0 1MH201 - 2021&quot;}"/>
        <s v="{&quot;MB0 1MH010 - 2020&quot;}"/>
        <s v="{&quot;MDU 3MH210 - 2022&quot;,&quot;MDU 3MH230 - 2021&quot;}"/>
        <s v="{&quot;MB0 1ME032 - 2021&quot;}"/>
        <s v="{&quot;MB0 1ME032 - 2021&quot;,&quot;MB0 1ME032 - 2022&quot;}"/>
        <s v="{&quot;MDU 3MH214 - 2022&quot;}"/>
        <s v="{&quot;MDU 3MH210 - 2020&quot;}"/>
      </sharedItems>
    </cacheField>
    <cacheField name="vastleggingsdeel_id" numFmtId="0">
      <sharedItems containsMixedTypes="1" containsNumber="1" containsInteger="1" minValue="4808" maxValue="11197"/>
    </cacheField>
    <cacheField name="naam" numFmtId="0">
      <sharedItems containsMixedTypes="1" containsNumber="1" containsInteger="1" minValue="7327" maxValue="7327"/>
    </cacheField>
    <cacheField name="toelichting" numFmtId="0">
      <sharedItems containsBlank="1"/>
    </cacheField>
    <cacheField name="ingreep_aidnummer2" numFmtId="0">
      <sharedItems containsBlank="1"/>
    </cacheField>
    <cacheField name="knelpunt_percentage_raming" numFmtId="0">
      <sharedItems containsBlank="1" containsMixedTypes="1" containsNumber="1" minValue="0" maxValue="100"/>
    </cacheField>
    <cacheField name="bedrag_gedeelte_excl_btw" numFmtId="0">
      <sharedItems containsBlank="1" containsMixedTypes="1" containsNumber="1" minValue="0" maxValue="1467784.56"/>
    </cacheField>
    <cacheField name="bedrag_afgerekend" numFmtId="0">
      <sharedItems containsBlank="1" containsMixedTypes="1" containsNumber="1" minValue="0" maxValue="838865.40700000001"/>
    </cacheField>
    <cacheField name="bedrag_af_te_rekenen" numFmtId="0">
      <sharedItems containsBlank="1" containsMixedTypes="1" containsNumber="1" minValue="-6899.5349699999997" maxValue="92643.066500000001"/>
    </cacheField>
    <cacheField name="bedrag_beschikbaar" numFmtId="0">
      <sharedItems containsBlank="1" containsMixedTypes="1" containsNumber="1" minValue="0" maxValue="779470.12"/>
    </cacheField>
    <cacheField name="gereserveerde_bedrag_vastleggingsdeel_excl_btw" numFmtId="0">
      <sharedItems containsString="0" containsBlank="1" containsNumber="1" minValue="0" maxValue="1467784.56"/>
    </cacheField>
    <cacheField name="afgerekende_bedrag_vastleggingsdeel_excl_btw" numFmtId="0">
      <sharedItems containsString="0" containsBlank="1" containsNumber="1" minValue="0" maxValue="838865.40700000001"/>
    </cacheField>
    <cacheField name="nog_af_te_rekenen_bedrag_vastleggingsdeel_excl_btw" numFmtId="0">
      <sharedItems containsString="0" containsBlank="1" containsNumber="1" minValue="-6899.5349699999997" maxValue="92643.066500000001"/>
    </cacheField>
    <cacheField name="beschikbare_bedrag_vastleggingsdeel_excl_btw" numFmtId="0">
      <sharedItems containsString="0" containsBlank="1" containsNumber="1" minValue="0" maxValue="779470.1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Fahy, Christophe" refreshedDate="44853.540111921298" refreshedVersion="7" recordCount="3008" xr:uid="{00000000-000A-0000-FFFF-FFFF0C000000}">
  <cacheSource type="worksheet">
    <worksheetSource ref="A1:S3009" sheet="bedragen KIM (budgettering &amp; pl"/>
  </cacheSource>
  <cacheFields count="19">
    <cacheField name="knelpunt_id" numFmtId="0">
      <sharedItems containsMixedTypes="1" containsNumber="1" containsInteger="1" minValue="1" maxValue="4706" count="1653">
        <n v="1"/>
        <n v="2"/>
        <n v="537"/>
        <n v="4191"/>
        <n v="3"/>
        <n v="4"/>
        <n v="5"/>
        <n v="6"/>
        <n v="7"/>
        <n v="8"/>
        <n v="9"/>
        <n v="10"/>
        <n v="11"/>
        <n v="12"/>
        <n v="13"/>
        <n v="14"/>
        <n v="15"/>
        <n v="16"/>
        <s v="&lt;null&gt;"/>
        <n v="18"/>
        <n v="19"/>
        <n v="20"/>
        <n v="21"/>
        <n v="23"/>
        <n v="24"/>
        <n v="25"/>
        <n v="1229"/>
        <n v="26"/>
        <n v="30"/>
        <n v="27"/>
        <n v="28"/>
        <n v="29"/>
        <n v="31"/>
        <n v="32"/>
        <n v="33"/>
        <n v="34"/>
        <n v="35"/>
        <n v="36"/>
        <n v="37"/>
        <n v="38"/>
        <n v="39"/>
        <n v="40"/>
        <n v="41"/>
        <n v="42"/>
        <n v="43"/>
        <n v="44"/>
        <n v="45"/>
        <n v="1105"/>
        <n v="1106"/>
        <n v="1182"/>
        <n v="1380"/>
        <n v="46"/>
        <n v="47"/>
        <n v="48"/>
        <n v="49"/>
        <n v="50"/>
        <n v="51"/>
        <n v="52"/>
        <n v="53"/>
        <n v="54"/>
        <n v="55"/>
        <n v="56"/>
        <n v="57"/>
        <n v="58"/>
        <n v="59"/>
        <n v="60"/>
        <n v="61"/>
        <n v="62"/>
        <n v="63"/>
        <n v="64"/>
        <n v="65"/>
        <n v="66"/>
        <n v="67"/>
        <n v="68"/>
        <n v="69"/>
        <n v="70"/>
        <n v="71"/>
        <n v="72"/>
        <n v="73"/>
        <n v="74"/>
        <n v="75"/>
        <n v="76"/>
        <n v="77"/>
        <n v="78"/>
        <n v="79"/>
        <n v="80"/>
        <n v="81"/>
        <n v="82"/>
        <n v="83"/>
        <n v="84"/>
        <n v="85"/>
        <n v="87"/>
        <n v="88"/>
        <n v="89"/>
        <n v="90"/>
        <n v="91"/>
        <n v="92"/>
        <n v="93"/>
        <n v="94"/>
        <n v="95"/>
        <n v="96"/>
        <n v="97"/>
        <n v="98"/>
        <n v="99"/>
        <n v="100"/>
        <n v="101"/>
        <n v="102"/>
        <n v="103"/>
        <n v="104"/>
        <n v="105"/>
        <n v="106"/>
        <n v="107"/>
        <n v="108"/>
        <n v="109"/>
        <n v="110"/>
        <n v="111"/>
        <n v="112"/>
        <n v="113"/>
        <n v="114"/>
        <n v="115"/>
        <n v="116"/>
        <n v="117"/>
        <n v="118"/>
        <n v="119"/>
        <n v="120"/>
        <n v="121"/>
        <n v="122"/>
        <n v="123"/>
        <n v="124"/>
        <n v="125"/>
        <n v="126"/>
        <n v="128"/>
        <n v="129"/>
        <n v="130"/>
        <n v="131"/>
        <n v="132"/>
        <n v="133"/>
        <n v="134"/>
        <n v="1623"/>
        <n v="135"/>
        <n v="136"/>
        <n v="137"/>
        <n v="138"/>
        <n v="139"/>
        <n v="140"/>
        <n v="141"/>
        <n v="143"/>
        <n v="144"/>
        <n v="1155"/>
        <n v="1160"/>
        <n v="1379"/>
        <n v="145"/>
        <n v="379"/>
        <n v="146"/>
        <n v="147"/>
        <n v="148"/>
        <n v="149"/>
        <n v="150"/>
        <n v="151"/>
        <n v="914"/>
        <n v="152"/>
        <n v="154"/>
        <n v="155"/>
        <n v="156"/>
        <n v="157"/>
        <n v="158"/>
        <n v="1313"/>
        <n v="1314"/>
        <n v="159"/>
        <n v="1388"/>
        <n v="160"/>
        <n v="161"/>
        <n v="162"/>
        <n v="163"/>
        <n v="164"/>
        <n v="1099"/>
        <n v="165"/>
        <n v="867"/>
        <n v="167"/>
        <n v="168"/>
        <n v="169"/>
        <n v="170"/>
        <n v="171"/>
        <n v="173"/>
        <n v="174"/>
        <n v="175"/>
        <n v="176"/>
        <n v="177"/>
        <n v="178"/>
        <n v="179"/>
        <n v="180"/>
        <n v="182"/>
        <n v="183"/>
        <n v="184"/>
        <n v="185"/>
        <n v="186"/>
        <n v="187"/>
        <n v="189"/>
        <n v="190"/>
        <n v="191"/>
        <n v="192"/>
        <n v="193"/>
        <n v="194"/>
        <n v="195"/>
        <n v="196"/>
        <n v="198"/>
        <n v="199"/>
        <n v="200"/>
        <n v="201"/>
        <n v="202"/>
        <n v="203"/>
        <n v="205"/>
        <n v="206"/>
        <n v="207"/>
        <n v="208"/>
        <n v="209"/>
        <n v="210"/>
        <n v="211"/>
        <n v="212"/>
        <n v="214"/>
        <n v="22"/>
        <n v="252"/>
        <n v="255"/>
        <n v="256"/>
        <n v="731"/>
        <n v="253"/>
        <n v="259"/>
        <n v="260"/>
        <n v="262"/>
        <n v="263"/>
        <n v="264"/>
        <n v="265"/>
        <n v="266"/>
        <n v="267"/>
        <n v="268"/>
        <n v="269"/>
        <n v="270"/>
        <n v="271"/>
        <n v="272"/>
        <n v="273"/>
        <n v="274"/>
        <n v="275"/>
        <n v="276"/>
        <n v="277"/>
        <n v="314"/>
        <n v="278"/>
        <n v="280"/>
        <n v="281"/>
        <n v="282"/>
        <n v="284"/>
        <n v="285"/>
        <n v="286"/>
        <n v="287"/>
        <n v="288"/>
        <n v="289"/>
        <n v="292"/>
        <n v="293"/>
        <n v="295"/>
        <n v="1465"/>
        <n v="296"/>
        <n v="297"/>
        <n v="299"/>
        <n v="300"/>
        <n v="301"/>
        <n v="302"/>
        <n v="303"/>
        <n v="304"/>
        <n v="305"/>
        <n v="306"/>
        <n v="2265"/>
        <n v="308"/>
        <n v="290"/>
        <n v="309"/>
        <n v="359"/>
        <n v="740"/>
        <n v="310"/>
        <n v="1263"/>
        <n v="311"/>
        <n v="312"/>
        <n v="313"/>
        <n v="315"/>
        <n v="358"/>
        <n v="1264"/>
        <n v="316"/>
        <n v="317"/>
        <n v="318"/>
        <n v="319"/>
        <n v="320"/>
        <n v="1262"/>
        <n v="321"/>
        <n v="323"/>
        <n v="324"/>
        <n v="325"/>
        <n v="326"/>
        <n v="327"/>
        <n v="328"/>
        <n v="329"/>
        <n v="330"/>
        <n v="332"/>
        <n v="334"/>
        <n v="335"/>
        <n v="336"/>
        <n v="337"/>
        <n v="338"/>
        <n v="339"/>
        <n v="340"/>
        <n v="344"/>
        <n v="739"/>
        <n v="346"/>
        <n v="347"/>
        <n v="348"/>
        <n v="349"/>
        <n v="350"/>
        <n v="352"/>
        <n v="354"/>
        <n v="355"/>
        <n v="356"/>
        <n v="357"/>
        <n v="360"/>
        <n v="361"/>
        <n v="362"/>
        <n v="363"/>
        <n v="364"/>
        <n v="365"/>
        <n v="366"/>
        <n v="367"/>
        <n v="368"/>
        <n v="369"/>
        <n v="370"/>
        <n v="371"/>
        <n v="372"/>
        <n v="373"/>
        <n v="374"/>
        <n v="375"/>
        <n v="376"/>
        <n v="377"/>
        <n v="378"/>
        <n v="380"/>
        <n v="381"/>
        <n v="382"/>
        <n v="1336"/>
        <n v="383"/>
        <n v="384"/>
        <n v="385"/>
        <n v="386"/>
        <n v="387"/>
        <n v="390"/>
        <n v="391"/>
        <n v="392"/>
        <n v="393"/>
        <n v="394"/>
        <n v="395"/>
        <n v="409"/>
        <n v="396"/>
        <n v="397"/>
        <n v="399"/>
        <n v="400"/>
        <n v="401"/>
        <n v="402"/>
        <n v="403"/>
        <n v="404"/>
        <n v="405"/>
        <n v="406"/>
        <n v="407"/>
        <n v="408"/>
        <n v="410"/>
        <n v="411"/>
        <n v="412"/>
        <n v="414"/>
        <n v="415"/>
        <n v="416"/>
        <n v="417"/>
        <n v="418"/>
        <n v="419"/>
        <n v="421"/>
        <n v="420"/>
        <n v="422"/>
        <n v="4535"/>
        <n v="423"/>
        <n v="424"/>
        <n v="425"/>
        <n v="426"/>
        <n v="428"/>
        <n v="429"/>
        <n v="430"/>
        <n v="431"/>
        <n v="433"/>
        <n v="434"/>
        <n v="435"/>
        <n v="437"/>
        <n v="438"/>
        <n v="439"/>
        <n v="440"/>
        <n v="441"/>
        <n v="442"/>
        <n v="443"/>
        <n v="444"/>
        <n v="445"/>
        <n v="446"/>
        <n v="447"/>
        <n v="448"/>
        <n v="449"/>
        <n v="450"/>
        <n v="451"/>
        <n v="452"/>
        <n v="453"/>
        <n v="454"/>
        <n v="455"/>
        <n v="456"/>
        <n v="457"/>
        <n v="458"/>
        <n v="460"/>
        <n v="461"/>
        <n v="462"/>
        <n v="463"/>
        <n v="464"/>
        <n v="471"/>
        <n v="465"/>
        <n v="466"/>
        <n v="467"/>
        <n v="468"/>
        <n v="470"/>
        <n v="472"/>
        <n v="474"/>
        <n v="475"/>
        <n v="476"/>
        <n v="478"/>
        <n v="479"/>
        <n v="480"/>
        <n v="481"/>
        <n v="482"/>
        <n v="483"/>
        <n v="484"/>
        <n v="485"/>
        <n v="486"/>
        <n v="487"/>
        <n v="488"/>
        <n v="489"/>
        <n v="490"/>
        <n v="491"/>
        <n v="492"/>
        <n v="493"/>
        <n v="494"/>
        <n v="495"/>
        <n v="496"/>
        <n v="497"/>
        <n v="498"/>
        <n v="501"/>
        <n v="502"/>
        <n v="503"/>
        <n v="504"/>
        <n v="506"/>
        <n v="507"/>
        <n v="508"/>
        <n v="510"/>
        <n v="511"/>
        <n v="512"/>
        <n v="513"/>
        <n v="515"/>
        <n v="516"/>
        <n v="517"/>
        <n v="518"/>
        <n v="519"/>
        <n v="520"/>
        <n v="521"/>
        <n v="522"/>
        <n v="523"/>
        <n v="525"/>
        <n v="526"/>
        <n v="527"/>
        <n v="528"/>
        <n v="529"/>
        <n v="530"/>
        <n v="531"/>
        <n v="532"/>
        <n v="533"/>
        <n v="534"/>
        <n v="535"/>
        <n v="536"/>
        <n v="538"/>
        <n v="539"/>
        <n v="540"/>
        <n v="541"/>
        <n v="542"/>
        <n v="543"/>
        <n v="544"/>
        <n v="545"/>
        <n v="546"/>
        <n v="547"/>
        <n v="548"/>
        <n v="549"/>
        <n v="550"/>
        <n v="505"/>
        <n v="551"/>
        <n v="1068"/>
        <n v="552"/>
        <n v="553"/>
        <n v="554"/>
        <n v="555"/>
        <n v="557"/>
        <n v="558"/>
        <n v="559"/>
        <n v="561"/>
        <n v="562"/>
        <n v="564"/>
        <n v="565"/>
        <n v="566"/>
        <n v="567"/>
        <n v="568"/>
        <n v="569"/>
        <n v="570"/>
        <n v="572"/>
        <n v="575"/>
        <n v="576"/>
        <n v="577"/>
        <n v="579"/>
        <n v="580"/>
        <n v="581"/>
        <n v="583"/>
        <n v="584"/>
        <n v="585"/>
        <n v="586"/>
        <n v="587"/>
        <n v="588"/>
        <n v="590"/>
        <n v="591"/>
        <n v="592"/>
        <n v="593"/>
        <n v="594"/>
        <n v="595"/>
        <n v="596"/>
        <n v="597"/>
        <n v="600"/>
        <n v="601"/>
        <n v="602"/>
        <n v="603"/>
        <n v="605"/>
        <n v="607"/>
        <n v="608"/>
        <n v="609"/>
        <n v="610"/>
        <n v="612"/>
        <n v="613"/>
        <n v="615"/>
        <n v="618"/>
        <n v="619"/>
        <n v="620"/>
        <n v="622"/>
        <n v="623"/>
        <n v="624"/>
        <n v="625"/>
        <n v="626"/>
        <n v="628"/>
        <n v="629"/>
        <n v="630"/>
        <n v="631"/>
        <n v="632"/>
        <n v="633"/>
        <n v="634"/>
        <n v="635"/>
        <n v="636"/>
        <n v="637"/>
        <n v="639"/>
        <n v="640"/>
        <n v="641"/>
        <n v="642"/>
        <n v="643"/>
        <n v="644"/>
        <n v="645"/>
        <n v="648"/>
        <n v="651"/>
        <n v="653"/>
        <n v="655"/>
        <n v="656"/>
        <n v="657"/>
        <n v="658"/>
        <n v="659"/>
        <n v="660"/>
        <n v="661"/>
        <n v="662"/>
        <n v="663"/>
        <n v="664"/>
        <n v="665"/>
        <n v="666"/>
        <n v="667"/>
        <n v="668"/>
        <n v="670"/>
        <n v="671"/>
        <n v="672"/>
        <n v="673"/>
        <n v="944"/>
        <n v="674"/>
        <n v="675"/>
        <n v="676"/>
        <n v="677"/>
        <n v="680"/>
        <n v="678"/>
        <n v="679"/>
        <n v="1132"/>
        <n v="681"/>
        <n v="682"/>
        <n v="683"/>
        <n v="684"/>
        <n v="685"/>
        <n v="686"/>
        <n v="687"/>
        <n v="688"/>
        <n v="689"/>
        <n v="690"/>
        <n v="691"/>
        <n v="692"/>
        <n v="694"/>
        <n v="695"/>
        <n v="696"/>
        <n v="697"/>
        <n v="17"/>
        <n v="698"/>
        <n v="699"/>
        <n v="701"/>
        <n v="702"/>
        <n v="703"/>
        <n v="704"/>
        <n v="705"/>
        <n v="707"/>
        <n v="708"/>
        <n v="709"/>
        <n v="710"/>
        <n v="711"/>
        <n v="712"/>
        <n v="714"/>
        <n v="715"/>
        <n v="716"/>
        <n v="717"/>
        <n v="719"/>
        <n v="722"/>
        <n v="723"/>
        <n v="724"/>
        <n v="725"/>
        <n v="726"/>
        <n v="727"/>
        <n v="4583"/>
        <n v="728"/>
        <n v="729"/>
        <n v="771"/>
        <n v="790"/>
        <n v="1194"/>
        <n v="823"/>
        <n v="760"/>
        <n v="796"/>
        <n v="806"/>
        <n v="1091"/>
        <n v="1092"/>
        <n v="1093"/>
        <n v="1423"/>
        <n v="1424"/>
        <n v="776"/>
        <n v="753"/>
        <n v="826"/>
        <n v="812"/>
        <n v="757"/>
        <n v="782"/>
        <n v="787"/>
        <n v="788"/>
        <n v="764"/>
        <n v="852"/>
        <n v="853"/>
        <n v="854"/>
        <n v="856"/>
        <n v="857"/>
        <n v="858"/>
        <n v="868"/>
        <n v="871"/>
        <n v="872"/>
        <n v="875"/>
        <n v="877"/>
        <n v="879"/>
        <n v="881"/>
        <n v="882"/>
        <n v="884"/>
        <n v="885"/>
        <n v="888"/>
        <n v="889"/>
        <n v="891"/>
        <n v="892"/>
        <n v="893"/>
        <n v="894"/>
        <n v="896"/>
        <n v="897"/>
        <n v="898"/>
        <n v="899"/>
        <n v="901"/>
        <n v="904"/>
        <n v="905"/>
        <n v="906"/>
        <n v="907"/>
        <n v="908"/>
        <n v="909"/>
        <n v="916"/>
        <n v="917"/>
        <n v="918"/>
        <n v="919"/>
        <n v="920"/>
        <n v="921"/>
        <n v="924"/>
        <n v="925"/>
        <n v="927"/>
        <n v="928"/>
        <n v="930"/>
        <n v="933"/>
        <n v="934"/>
        <n v="935"/>
        <n v="936"/>
        <n v="937"/>
        <n v="940"/>
        <n v="941"/>
        <n v="942"/>
        <n v="943"/>
        <n v="946"/>
        <n v="947"/>
        <n v="949"/>
        <n v="950"/>
        <n v="951"/>
        <n v="952"/>
        <n v="954"/>
        <n v="955"/>
        <n v="956"/>
        <n v="957"/>
        <n v="958"/>
        <n v="960"/>
        <n v="961"/>
        <n v="963"/>
        <n v="968"/>
        <n v="969"/>
        <n v="970"/>
        <n v="971"/>
        <n v="973"/>
        <n v="974"/>
        <n v="976"/>
        <n v="979"/>
        <n v="980"/>
        <n v="984"/>
        <n v="987"/>
        <n v="986"/>
        <n v="988"/>
        <n v="991"/>
        <n v="992"/>
        <n v="994"/>
        <n v="995"/>
        <n v="996"/>
        <n v="997"/>
        <n v="998"/>
        <n v="999"/>
        <n v="1000"/>
        <n v="1002"/>
        <n v="1003"/>
        <n v="1004"/>
        <n v="1006"/>
        <n v="1008"/>
        <n v="1010"/>
        <n v="1421"/>
        <n v="1011"/>
        <n v="1013"/>
        <n v="1014"/>
        <n v="1015"/>
        <n v="1017"/>
        <n v="1018"/>
        <n v="1019"/>
        <n v="1020"/>
        <n v="1021"/>
        <n v="1022"/>
        <n v="1023"/>
        <n v="1024"/>
        <n v="1026"/>
        <n v="1028"/>
        <n v="1029"/>
        <n v="1030"/>
        <n v="1031"/>
        <n v="1034"/>
        <n v="1037"/>
        <n v="1038"/>
        <n v="1039"/>
        <n v="1040"/>
        <n v="1041"/>
        <n v="1043"/>
        <n v="1044"/>
        <n v="1050"/>
        <n v="1051"/>
        <n v="1052"/>
        <n v="1053"/>
        <n v="1054"/>
        <n v="1055"/>
        <n v="1056"/>
        <n v="1057"/>
        <n v="1060"/>
        <n v="1063"/>
        <n v="3875"/>
        <n v="1064"/>
        <n v="1066"/>
        <n v="1067"/>
        <n v="1071"/>
        <n v="1074"/>
        <n v="1075"/>
        <n v="1079"/>
        <n v="1080"/>
        <n v="1081"/>
        <n v="1082"/>
        <n v="1083"/>
        <n v="1085"/>
        <n v="1086"/>
        <n v="1088"/>
        <n v="1089"/>
        <n v="1090"/>
        <n v="1095"/>
        <n v="1096"/>
        <n v="1103"/>
        <n v="1104"/>
        <n v="1107"/>
        <n v="1113"/>
        <n v="1114"/>
        <n v="1115"/>
        <n v="1116"/>
        <n v="1118"/>
        <n v="1119"/>
        <n v="1120"/>
        <n v="1122"/>
        <n v="1123"/>
        <n v="1124"/>
        <n v="1125"/>
        <n v="1126"/>
        <n v="1129"/>
        <n v="1131"/>
        <n v="1133"/>
        <n v="1138"/>
        <n v="1142"/>
        <n v="1143"/>
        <n v="1144"/>
        <n v="1145"/>
        <n v="1146"/>
        <n v="1147"/>
        <n v="1149"/>
        <n v="1151"/>
        <n v="1152"/>
        <n v="1153"/>
        <n v="1154"/>
        <n v="1156"/>
        <n v="1163"/>
        <n v="1164"/>
        <n v="824"/>
        <n v="1169"/>
        <n v="1171"/>
        <n v="1173"/>
        <n v="1174"/>
        <n v="1177"/>
        <n v="1179"/>
        <n v="1180"/>
        <n v="1183"/>
        <n v="1188"/>
        <n v="1189"/>
        <n v="1190"/>
        <n v="1191"/>
        <n v="1192"/>
        <n v="1193"/>
        <n v="1195"/>
        <n v="1196"/>
        <n v="1197"/>
        <n v="1202"/>
        <n v="1203"/>
        <n v="1208"/>
        <n v="1213"/>
        <n v="1216"/>
        <n v="1220"/>
        <n v="1221"/>
        <n v="1223"/>
        <n v="1224"/>
        <n v="1225"/>
        <n v="1226"/>
        <n v="1227"/>
        <n v="1228"/>
        <n v="1230"/>
        <n v="1231"/>
        <n v="1240"/>
        <n v="1243"/>
        <n v="1244"/>
        <n v="1245"/>
        <n v="1246"/>
        <n v="1248"/>
        <n v="1249"/>
        <n v="1250"/>
        <n v="1252"/>
        <n v="1254"/>
        <n v="1255"/>
        <n v="1256"/>
        <n v="1257"/>
        <n v="1258"/>
        <n v="1259"/>
        <n v="1261"/>
        <n v="1266"/>
        <n v="1267"/>
        <n v="1268"/>
        <n v="1271"/>
        <n v="1272"/>
        <n v="1273"/>
        <n v="1274"/>
        <n v="1275"/>
        <n v="1276"/>
        <n v="1277"/>
        <n v="1278"/>
        <n v="1281"/>
        <n v="1283"/>
        <n v="1284"/>
        <n v="1285"/>
        <n v="1286"/>
        <n v="1287"/>
        <n v="1291"/>
        <n v="1292"/>
        <n v="1293"/>
        <n v="1295"/>
        <n v="1296"/>
        <n v="1298"/>
        <n v="1301"/>
        <n v="1304"/>
        <n v="1305"/>
        <n v="1306"/>
        <n v="1308"/>
        <n v="1309"/>
        <n v="1310"/>
        <n v="1311"/>
        <n v="1315"/>
        <n v="1316"/>
        <n v="1319"/>
        <n v="1322"/>
        <n v="1323"/>
        <n v="1324"/>
        <n v="1325"/>
        <n v="1326"/>
        <n v="1327"/>
        <n v="1328"/>
        <n v="1331"/>
        <n v="1333"/>
        <n v="1335"/>
        <n v="1339"/>
        <n v="1341"/>
        <n v="1345"/>
        <n v="1346"/>
        <n v="1349"/>
        <n v="1350"/>
        <n v="1354"/>
        <n v="1356"/>
        <n v="1357"/>
        <n v="1359"/>
        <n v="1360"/>
        <n v="1363"/>
        <n v="1364"/>
        <n v="1365"/>
        <n v="1366"/>
        <n v="1367"/>
        <n v="1368"/>
        <n v="1369"/>
        <n v="1370"/>
        <n v="1371"/>
        <n v="1372"/>
        <n v="1373"/>
        <n v="1374"/>
        <n v="1375"/>
        <n v="1381"/>
        <n v="1382"/>
        <n v="1383"/>
        <n v="1384"/>
        <n v="1386"/>
        <n v="1387"/>
        <n v="1390"/>
        <n v="1391"/>
        <n v="1392"/>
        <n v="1393"/>
        <n v="1394"/>
        <n v="1395"/>
        <n v="1398"/>
        <n v="1399"/>
        <n v="1400"/>
        <n v="1403"/>
        <n v="1407"/>
        <n v="1408"/>
        <n v="1410"/>
        <n v="1411"/>
        <n v="1412"/>
        <n v="1415"/>
        <n v="1416"/>
        <n v="1418"/>
        <n v="1419"/>
        <n v="1425"/>
        <n v="1426"/>
        <n v="1427"/>
        <n v="1428"/>
        <n v="1429"/>
        <n v="1431"/>
        <n v="1432"/>
        <n v="1433"/>
        <n v="1438"/>
        <n v="1439"/>
        <n v="1440"/>
        <n v="1441"/>
        <n v="1442"/>
        <n v="1443"/>
        <n v="1446"/>
        <n v="1447"/>
        <n v="1448"/>
        <n v="1449"/>
        <n v="1450"/>
        <n v="1451"/>
        <n v="1453"/>
        <n v="1454"/>
        <n v="1455"/>
        <n v="1456"/>
        <n v="1457"/>
        <n v="1458"/>
        <n v="1459"/>
        <n v="1461"/>
        <n v="1464"/>
        <n v="1467"/>
        <n v="1468"/>
        <n v="1469"/>
        <n v="1474"/>
        <n v="1475"/>
        <n v="1476"/>
        <n v="1477"/>
        <n v="1478"/>
        <n v="1479"/>
        <n v="1480"/>
        <n v="1481"/>
        <n v="1482"/>
        <n v="1483"/>
        <n v="1485"/>
        <n v="1486"/>
        <n v="1490"/>
        <n v="1491"/>
        <n v="1492"/>
        <n v="1493"/>
        <n v="1494"/>
        <n v="1495"/>
        <n v="1496"/>
        <n v="1497"/>
        <n v="1498"/>
        <n v="1499"/>
        <n v="1500"/>
        <n v="1501"/>
        <n v="1502"/>
        <n v="1505"/>
        <n v="1506"/>
        <n v="1507"/>
        <n v="1509"/>
        <n v="1510"/>
        <n v="1512"/>
        <n v="1513"/>
        <n v="1515"/>
        <n v="1520"/>
        <n v="1521"/>
        <n v="1527"/>
        <n v="1528"/>
        <n v="1530"/>
        <n v="1532"/>
        <n v="1534"/>
        <n v="1536"/>
        <n v="1537"/>
        <n v="1538"/>
        <n v="1539"/>
        <n v="1540"/>
        <n v="1543"/>
        <n v="1544"/>
        <n v="1545"/>
        <n v="1546"/>
        <n v="1548"/>
        <n v="1551"/>
        <n v="1552"/>
        <n v="1553"/>
        <n v="1554"/>
        <n v="1555"/>
        <n v="1556"/>
        <n v="1557"/>
        <n v="1558"/>
        <n v="1559"/>
        <n v="1560"/>
        <n v="1561"/>
        <n v="1562"/>
        <n v="1564"/>
        <n v="1566"/>
        <n v="1567"/>
        <n v="1568"/>
        <n v="1569"/>
        <n v="1570"/>
        <n v="1573"/>
        <n v="1574"/>
        <n v="1575"/>
        <n v="1576"/>
        <n v="1577"/>
        <n v="1578"/>
        <n v="1583"/>
        <n v="1586"/>
        <n v="1588"/>
        <n v="1592"/>
        <n v="1593"/>
        <n v="1594"/>
        <n v="1596"/>
        <n v="1599"/>
        <n v="1600"/>
        <n v="1602"/>
        <n v="1604"/>
        <n v="1605"/>
        <n v="1606"/>
        <n v="1609"/>
        <n v="1615"/>
        <n v="1621"/>
        <n v="1626"/>
        <n v="1627"/>
        <n v="1628"/>
        <n v="1633"/>
        <n v="1635"/>
        <n v="1636"/>
        <n v="1701"/>
        <n v="1641"/>
        <n v="1643"/>
        <n v="1644"/>
        <n v="1646"/>
        <n v="1648"/>
        <n v="1649"/>
        <n v="1660"/>
        <n v="1661"/>
        <n v="1666"/>
        <n v="1667"/>
        <n v="1670"/>
        <n v="1671"/>
        <n v="1672"/>
        <n v="1674"/>
        <n v="1675"/>
        <n v="1676"/>
        <n v="1677"/>
        <n v="1678"/>
        <n v="1679"/>
        <n v="1680"/>
        <n v="1681"/>
        <n v="1683"/>
        <n v="1684"/>
        <n v="1685"/>
        <n v="1688"/>
        <n v="1690"/>
        <n v="1692"/>
        <n v="1693"/>
        <n v="1696"/>
        <n v="1697"/>
        <n v="1698"/>
        <n v="1702"/>
        <n v="1710"/>
        <n v="1711"/>
        <n v="1712"/>
        <n v="1511"/>
        <n v="1420"/>
        <n v="1430"/>
        <n v="1798"/>
        <n v="1783"/>
        <n v="1784"/>
        <n v="1785"/>
        <n v="1786"/>
        <n v="1787"/>
        <n v="1788"/>
        <n v="880"/>
        <n v="1789"/>
        <n v="1792"/>
        <n v="1790"/>
        <n v="1791"/>
        <n v="1793"/>
        <n v="1794"/>
        <n v="1795"/>
        <n v="1796"/>
        <n v="1797"/>
        <n v="1417"/>
        <n v="1800"/>
        <n v="1260"/>
        <n v="1462"/>
        <n v="1801"/>
        <n v="1802"/>
        <n v="1803"/>
        <n v="1016"/>
        <n v="1804"/>
        <n v="1176"/>
        <n v="1035"/>
        <n v="1773"/>
        <n v="181"/>
        <n v="1753"/>
        <n v="1754"/>
        <n v="1755"/>
        <n v="1756"/>
        <n v="1766"/>
        <n v="1549"/>
        <n v="500"/>
        <n v="759"/>
        <n v="741"/>
        <n v="732"/>
        <n v="733"/>
        <n v="751"/>
        <n v="4523"/>
        <n v="4524"/>
        <n v="611"/>
        <n v="1717"/>
        <n v="1713"/>
        <n v="1005"/>
        <n v="1691"/>
        <n v="815"/>
        <n v="793"/>
        <n v="778"/>
        <n v="2002"/>
        <n v="807"/>
        <n v="2004"/>
        <n v="799"/>
        <n v="765"/>
        <n v="2053"/>
        <n v="2054"/>
        <n v="1758"/>
        <n v="2058"/>
        <n v="1437"/>
        <n v="1436"/>
        <n v="1351"/>
        <n v="2056"/>
        <n v="1036"/>
        <n v="2060"/>
        <n v="127"/>
        <n v="2061"/>
        <n v="1799"/>
        <n v="1767"/>
        <n v="1526"/>
        <n v="1529"/>
        <n v="2518"/>
        <n v="789"/>
        <n v="766"/>
        <n v="822"/>
        <n v="768"/>
        <n v="730"/>
        <n v="599"/>
        <n v="983"/>
        <n v="1362"/>
        <n v="2103"/>
        <n v="749"/>
        <n v="1624"/>
        <n v="2105"/>
        <n v="802"/>
        <n v="742"/>
        <n v="734"/>
        <n v="1618"/>
        <n v="4566"/>
        <n v="2152"/>
        <n v="2511"/>
        <n v="911"/>
        <n v="1389"/>
        <n v="2153"/>
        <n v="2154"/>
        <n v="2155"/>
        <n v="2156"/>
        <n v="2157"/>
        <n v="2158"/>
        <n v="1776"/>
        <n v="1187"/>
        <n v="2159"/>
        <n v="1769"/>
        <n v="1768"/>
        <n v="1772"/>
        <n v="1770"/>
        <n v="1771"/>
        <n v="2160"/>
        <n v="2161"/>
        <n v="2162"/>
        <n v="1777"/>
        <n v="1763"/>
        <n v="2163"/>
        <n v="1752"/>
        <n v="2164"/>
        <n v="859"/>
        <n v="1764"/>
        <n v="2165"/>
        <n v="1765"/>
        <n v="3052"/>
        <n v="3126"/>
        <n v="1687"/>
        <n v="1042"/>
        <n v="1716"/>
        <n v="818"/>
        <n v="1148"/>
        <n v="2167"/>
        <n v="2483"/>
        <n v="2484"/>
        <n v="811"/>
        <n v="1128"/>
        <n v="797"/>
        <n v="794"/>
        <n v="2547"/>
        <n v="1012"/>
        <n v="1270"/>
        <n v="869"/>
        <n v="964"/>
        <n v="966"/>
        <n v="978"/>
        <n v="4284"/>
        <n v="1032"/>
        <n v="2055"/>
        <n v="1210"/>
        <n v="1409"/>
        <n v="1473"/>
        <n v="2202"/>
        <n v="1694"/>
        <n v="1695"/>
        <n v="4356"/>
        <n v="1150"/>
        <n v="1508"/>
        <n v="948"/>
        <n v="1235"/>
        <n v="883"/>
        <n v="1413"/>
        <n v="1414"/>
        <n v="1484"/>
        <n v="2203"/>
        <n v="2204"/>
        <n v="2205"/>
        <n v="2207"/>
        <n v="1084"/>
        <n v="4558"/>
        <n v="1760"/>
        <n v="1444"/>
        <n v="1571"/>
        <n v="166"/>
        <n v="863"/>
        <n v="2219"/>
        <n v="1445"/>
        <n v="86"/>
        <n v="2220"/>
        <n v="2222"/>
        <n v="2223"/>
        <n v="1504"/>
        <n v="2517"/>
        <n v="2166"/>
        <n v="2224"/>
        <n v="2230"/>
        <n v="2226"/>
        <n v="2251"/>
        <n v="1542"/>
        <n v="2218"/>
        <n v="2252"/>
        <n v="2254"/>
        <n v="2255"/>
        <n v="2256"/>
        <n v="2257"/>
        <n v="2258"/>
        <n v="2259"/>
        <n v="2260"/>
        <n v="2261"/>
        <n v="2229"/>
        <n v="3981"/>
        <n v="2227"/>
        <n v="2266"/>
        <n v="1027"/>
        <n v="2506"/>
        <n v="2615"/>
        <n v="1378"/>
        <n v="1514"/>
        <n v="1175"/>
        <n v="977"/>
        <n v="188"/>
        <n v="2235"/>
        <n v="827"/>
        <n v="1781"/>
        <n v="1778"/>
        <n v="2215"/>
        <n v="2214"/>
        <n v="816"/>
        <n v="1211"/>
        <n v="735"/>
        <n v="1463"/>
        <n v="866"/>
        <n v="197"/>
        <n v="2307"/>
        <n v="2309"/>
        <n v="1686"/>
        <n v="1589"/>
        <n v="752"/>
        <n v="345"/>
        <n v="1338"/>
        <n v="2311"/>
        <n v="2312"/>
        <n v="2313"/>
        <n v="2315"/>
        <n v="2316"/>
        <n v="1134"/>
        <n v="2216"/>
        <n v="2209"/>
        <n v="2305"/>
        <n v="4302"/>
        <n v="2304"/>
        <n v="2303"/>
        <n v="2302"/>
        <n v="1782"/>
        <n v="758"/>
        <n v="4352"/>
        <n v="4353"/>
        <n v="4354"/>
        <n v="142"/>
        <n v="2234"/>
        <n v="2241"/>
        <n v="801"/>
        <n v="800"/>
        <n v="1757"/>
        <n v="2701"/>
        <n v="861"/>
        <n v="2878"/>
        <n v="2872"/>
        <n v="2870"/>
        <n v="2867"/>
        <n v="2857"/>
        <n v="2835"/>
        <n v="3827"/>
        <n v="4359"/>
        <n v="2849"/>
        <n v="2845"/>
        <n v="2842"/>
        <n v="2841"/>
        <n v="578"/>
        <n v="798"/>
        <n v="2846"/>
        <n v="1705"/>
        <n v="1668"/>
        <n v="1664"/>
        <n v="1659"/>
        <n v="1658"/>
        <n v="1656"/>
        <n v="1655"/>
        <n v="1642"/>
        <n v="1640"/>
        <n v="1639"/>
        <n v="1634"/>
        <n v="1631"/>
        <n v="1630"/>
        <n v="1629"/>
        <n v="1611"/>
        <n v="1582"/>
        <n v="1487"/>
        <n v="855"/>
        <n v="1397"/>
        <n v="1377"/>
        <n v="1355"/>
        <n v="1302"/>
        <n v="1299"/>
        <n v="1251"/>
        <n v="1247"/>
        <n v="1232"/>
        <n v="1214"/>
        <n v="1205"/>
        <n v="1204"/>
        <n v="1159"/>
        <n v="1140"/>
        <n v="1078"/>
        <n v="1076"/>
        <n v="1001"/>
        <n v="993"/>
        <n v="931"/>
        <n v="895"/>
        <n v="922"/>
        <n v="748"/>
        <n v="814"/>
        <n v="747"/>
        <n v="720"/>
        <n v="718"/>
        <n v="700"/>
        <n v="669"/>
        <n v="638"/>
        <n v="627"/>
        <n v="582"/>
        <n v="571"/>
        <n v="514"/>
        <n v="427"/>
        <n v="413"/>
        <n v="398"/>
        <n v="389"/>
        <n v="341"/>
        <n v="333"/>
        <n v="294"/>
        <n v="254"/>
        <n v="2106"/>
        <n v="915"/>
        <n v="2901"/>
        <n v="2897"/>
        <n v="2893"/>
        <n v="2889"/>
        <n v="2869"/>
        <n v="2863"/>
        <n v="3106"/>
        <n v="791"/>
        <n v="4534"/>
        <n v="1953"/>
        <n v="4272"/>
        <n v="4569"/>
        <n v="2382"/>
        <n v="2383"/>
        <n v="2389"/>
        <n v="2422"/>
        <n v="3192"/>
        <n v="4232"/>
        <n v="4278"/>
        <n v="2616"/>
        <n v="213"/>
        <n v="4402"/>
        <n v="3136"/>
        <n v="3137"/>
        <n v="1025"/>
        <n v="4007"/>
        <n v="4404"/>
        <n v="762"/>
        <n v="2497"/>
        <n v="1435"/>
        <n v="1200"/>
        <n v="1533"/>
        <n v="825"/>
        <n v="770"/>
        <n v="4455"/>
        <n v="4456"/>
        <n v="4457"/>
        <n v="4458"/>
        <n v="4459"/>
        <n v="4460"/>
        <n v="4461"/>
        <n v="4462"/>
        <n v="4463"/>
        <n v="4464"/>
        <n v="4465"/>
        <n v="4466"/>
        <n v="4467"/>
        <n v="4468"/>
        <n v="4469"/>
        <n v="4470"/>
        <n v="4471"/>
        <n v="4472"/>
        <n v="4473"/>
        <n v="4474"/>
        <n v="4475"/>
        <n v="4476"/>
        <n v="4477"/>
        <n v="4478"/>
        <n v="4479"/>
        <n v="4480"/>
        <n v="4481"/>
        <n v="4482"/>
        <n v="4483"/>
        <n v="4484"/>
        <n v="4485"/>
        <n v="4486"/>
        <n v="4487"/>
        <n v="4488"/>
        <n v="1460"/>
        <n v="929"/>
        <n v="4584"/>
        <n v="1759"/>
        <n v="1761"/>
        <n v="1762"/>
        <n v="2213"/>
        <n v="2212"/>
        <n v="2208"/>
        <n v="1775"/>
        <n v="2211"/>
        <n v="2210"/>
        <n v="1780"/>
        <n v="1779"/>
        <n v="2269"/>
        <n v="3868"/>
        <n v="1699"/>
        <n v="4602"/>
        <n v="574"/>
        <n v="1472"/>
        <n v="1471"/>
        <n v="1470"/>
        <n v="864"/>
        <n v="4554"/>
        <n v="810"/>
        <n v="4529"/>
        <n v="2503"/>
        <n v="4273"/>
        <n v="792"/>
        <n v="1007"/>
        <n v="1009"/>
        <n v="1135"/>
        <n v="1591"/>
        <n v="4652"/>
        <n v="3540"/>
        <n v="4653"/>
        <n v="1111"/>
        <n v="1137"/>
        <n v="1376"/>
        <n v="1110"/>
        <n v="1340"/>
        <n v="1166"/>
        <n v="1049"/>
        <n v="886"/>
        <n v="2921"/>
        <n v="4573"/>
        <n v="4654"/>
        <n v="4655"/>
        <n v="4656"/>
        <n v="2249"/>
        <n v="4658"/>
        <n v="4577"/>
        <n v="4659"/>
        <n v="4660"/>
        <n v="4661"/>
        <n v="4663"/>
        <n v="3907"/>
        <n v="4664"/>
        <n v="4403"/>
        <n v="4575"/>
        <n v="4505"/>
        <n v="2005"/>
        <n v="3017"/>
        <n v="3018"/>
        <n v="2947"/>
        <n v="2970"/>
        <n v="3020"/>
        <n v="3051"/>
        <n v="2542"/>
        <n v="4702"/>
        <n v="4703"/>
        <n v="4704"/>
        <n v="4705"/>
        <n v="2966"/>
        <n v="3107"/>
        <n v="4552"/>
        <n v="3029"/>
        <n v="3562"/>
        <n v="2239"/>
        <n v="4503"/>
        <n v="2880"/>
        <n v="4706"/>
        <n v="172"/>
        <n v="331"/>
        <n v="744"/>
        <n v="4576"/>
        <n v="4542"/>
        <n v="777"/>
        <n v="4249"/>
        <n v="4218"/>
        <n v="750"/>
        <n v="2684"/>
        <n v="4152"/>
        <n v="3635"/>
        <n v="3664"/>
        <n v="2528"/>
        <n v="2500"/>
        <n v="4555"/>
        <n v="4570"/>
        <n v="4574"/>
        <n v="982"/>
        <n v="1632"/>
      </sharedItems>
    </cacheField>
    <cacheField name="knelpuntnummer" numFmtId="0">
      <sharedItems count="1653">
        <s v="KP/000001"/>
        <s v="KP/000002"/>
        <s v="KP/000500"/>
        <s v="KP/003717"/>
        <s v="KP/000003"/>
        <s v="KP/000004"/>
        <s v="KP/000005"/>
        <s v="KP/000006"/>
        <s v="KP/000007"/>
        <s v="KP/000008"/>
        <s v="KP/000009"/>
        <s v="KP/000010"/>
        <s v="KP/000011"/>
        <s v="KP/000012"/>
        <s v="KP/000013"/>
        <s v="KP/000014"/>
        <s v="KP/000015"/>
        <s v="KP/000016"/>
        <s v="&lt;null&gt;"/>
        <s v="KP/000018"/>
        <s v="KP/000019"/>
        <s v="KP/000020"/>
        <s v="KP/000021"/>
        <s v="KP/000023"/>
        <s v="KP/000024"/>
        <s v="KP/000025"/>
        <s v="KP/001174"/>
        <s v="KP/000026"/>
        <s v="KP/000030"/>
        <s v="KP/000027"/>
        <s v="KP/000028"/>
        <s v="KP/000029"/>
        <s v="KP/000031"/>
        <s v="KP/000032"/>
        <s v="KP/000033"/>
        <s v="KP/000034"/>
        <s v="KP/000035"/>
        <s v="KP/000036"/>
        <s v="KP/000037"/>
        <s v="KP/000038"/>
        <s v="KP/000039"/>
        <s v="KP/000040"/>
        <s v="KP/000041"/>
        <s v="KP/000042"/>
        <s v="KP/000043"/>
        <s v="KP/000044"/>
        <s v="KP/000045"/>
        <s v="KP/001050"/>
        <s v="KP/001051"/>
        <s v="KP/001127"/>
        <s v="KP/001325"/>
        <s v="KP/000046"/>
        <s v="KP/000047"/>
        <s v="KP/000048"/>
        <s v="KP/000049"/>
        <s v="KP/000050"/>
        <s v="KP/000051"/>
        <s v="KP/000052"/>
        <s v="KP/000053"/>
        <s v="KP/000054"/>
        <s v="KP/000055"/>
        <s v="KP/000056"/>
        <s v="KP/000057"/>
        <s v="KP/000058"/>
        <s v="KP/000059"/>
        <s v="KP/000060"/>
        <s v="KP/000061"/>
        <s v="KP/000062"/>
        <s v="KP/000063"/>
        <s v="KP/000064"/>
        <s v="KP/000065"/>
        <s v="KP/000066"/>
        <s v="KP/000067"/>
        <s v="KP/000068"/>
        <s v="KP/000069"/>
        <s v="KP/000070"/>
        <s v="KP/000071"/>
        <s v="KP/000072"/>
        <s v="KP/000073"/>
        <s v="KP/000074"/>
        <s v="KP/000075"/>
        <s v="KP/000076"/>
        <s v="KP/000077"/>
        <s v="KP/000078"/>
        <s v="KP/000079"/>
        <s v="KP/000080"/>
        <s v="KP/000081"/>
        <s v="KP/000082"/>
        <s v="KP/000083"/>
        <s v="KP/000084"/>
        <s v="KP/000085"/>
        <s v="KP/000087"/>
        <s v="KP/000088"/>
        <s v="KP/000089"/>
        <s v="KP/000090"/>
        <s v="KP/000091"/>
        <s v="KP/000092"/>
        <s v="KP/000093"/>
        <s v="KP/000094"/>
        <s v="KP/000095"/>
        <s v="KP/000096"/>
        <s v="KP/000097"/>
        <s v="KP/000098"/>
        <s v="KP/000099"/>
        <s v="KP/000100"/>
        <s v="KP/000101"/>
        <s v="KP/000102"/>
        <s v="KP/000103"/>
        <s v="KP/000104"/>
        <s v="KP/000105"/>
        <s v="KP/000106"/>
        <s v="KP/000107"/>
        <s v="KP/000108"/>
        <s v="KP/000109"/>
        <s v="KP/000110"/>
        <s v="KP/000111"/>
        <s v="KP/000112"/>
        <s v="KP/000113"/>
        <s v="KP/000114"/>
        <s v="KP/000115"/>
        <s v="KP/000116"/>
        <s v="KP/000117"/>
        <s v="KP/000118"/>
        <s v="KP/000119"/>
        <s v="KP/000120"/>
        <s v="KP/000121"/>
        <s v="KP/000122"/>
        <s v="KP/000123"/>
        <s v="KP/000124"/>
        <s v="KP/000125"/>
        <s v="KP/000126"/>
        <s v="KP/000128"/>
        <s v="KP/000129"/>
        <s v="KP/000130"/>
        <s v="KP/000131"/>
        <s v="KP/000132"/>
        <s v="KP/000133"/>
        <s v="KP/000134"/>
        <s v="KP/001568"/>
        <s v="KP/000135"/>
        <s v="KP/000136"/>
        <s v="KP/000137"/>
        <s v="KP/000138"/>
        <s v="KP/000139"/>
        <s v="KP/000140"/>
        <s v="KP/000141"/>
        <s v="KP/000143"/>
        <s v="KP/000144"/>
        <s v="KP/001100"/>
        <s v="KP/001105"/>
        <s v="KP/001324"/>
        <s v="KP/000145"/>
        <s v="KP/000342"/>
        <s v="KP/000146"/>
        <s v="KP/000147"/>
        <s v="KP/000148"/>
        <s v="KP/000149"/>
        <s v="KP/000150"/>
        <s v="KP/000151"/>
        <s v="KP/000859"/>
        <s v="KP/000152"/>
        <s v="KP/000154"/>
        <s v="KP/000155"/>
        <s v="KP/000156"/>
        <s v="KP/000157"/>
        <s v="KP/000158"/>
        <s v="KP/001258"/>
        <s v="KP/001259"/>
        <s v="KP/000159"/>
        <s v="KP/001333"/>
        <s v="KP/000160"/>
        <s v="KP/000161"/>
        <s v="KP/000162"/>
        <s v="KP/000163"/>
        <s v="KP/000164"/>
        <s v="KP/001044"/>
        <s v="KP/000165"/>
        <s v="KP/000812"/>
        <s v="KP/000167"/>
        <s v="KP/000168"/>
        <s v="KP/000169"/>
        <s v="KP/000170"/>
        <s v="KP/000171"/>
        <s v="KP/000173"/>
        <s v="KP/000174"/>
        <s v="KP/000175"/>
        <s v="KP/000176"/>
        <s v="KP/000177"/>
        <s v="KP/000178"/>
        <s v="KP/000179"/>
        <s v="KP/000180"/>
        <s v="KP/000182"/>
        <s v="KP/000183"/>
        <s v="KP/000184"/>
        <s v="KP/000185"/>
        <s v="KP/000186"/>
        <s v="KP/000187"/>
        <s v="KP/000189"/>
        <s v="KP/000190"/>
        <s v="KP/000191"/>
        <s v="KP/000192"/>
        <s v="KP/000193"/>
        <s v="KP/000194"/>
        <s v="KP/000195"/>
        <s v="KP/000196"/>
        <s v="KP/000198"/>
        <s v="KP/000199"/>
        <s v="KP/000200"/>
        <s v="KP/000201"/>
        <s v="KP/000202"/>
        <s v="KP/000203"/>
        <s v="KP/000205"/>
        <s v="KP/000206"/>
        <s v="KP/000207"/>
        <s v="KP/000208"/>
        <s v="KP/000209"/>
        <s v="KP/000210"/>
        <s v="KP/000211"/>
        <s v="KP/000212"/>
        <s v="KP/000214"/>
        <s v="KP/000022"/>
        <s v="KP/000215"/>
        <s v="KP/000218"/>
        <s v="KP/000219"/>
        <s v="KP/000694"/>
        <s v="KP/000216"/>
        <s v="KP/000222"/>
        <s v="KP/000223"/>
        <s v="KP/000225"/>
        <s v="KP/000226"/>
        <s v="KP/000227"/>
        <s v="KP/000228"/>
        <s v="KP/000229"/>
        <s v="KP/000230"/>
        <s v="KP/000231"/>
        <s v="KP/000232"/>
        <s v="KP/000233"/>
        <s v="KP/000234"/>
        <s v="KP/000235"/>
        <s v="KP/000236"/>
        <s v="KP/000237"/>
        <s v="KP/000238"/>
        <s v="KP/000239"/>
        <s v="KP/000240"/>
        <s v="KP/000277"/>
        <s v="KP/000241"/>
        <s v="KP/000243"/>
        <s v="KP/000244"/>
        <s v="KP/000245"/>
        <s v="KP/000247"/>
        <s v="KP/000248"/>
        <s v="KP/000249"/>
        <s v="KP/000250"/>
        <s v="KP/000251"/>
        <s v="KP/000252"/>
        <s v="KP/000255"/>
        <s v="KP/000256"/>
        <s v="KP/000258"/>
        <s v="KP/001410"/>
        <s v="KP/000259"/>
        <s v="KP/000260"/>
        <s v="KP/000262"/>
        <s v="KP/000263"/>
        <s v="KP/000264"/>
        <s v="KP/000265"/>
        <s v="KP/000266"/>
        <s v="KP/000267"/>
        <s v="KP/000268"/>
        <s v="KP/000269"/>
        <s v="KP/001822"/>
        <s v="KP/000271"/>
        <s v="KP/000253"/>
        <s v="KP/000272"/>
        <s v="KP/000322"/>
        <s v="KP/000703"/>
        <s v="KP/000273"/>
        <s v="KP/001208"/>
        <s v="KP/000274"/>
        <s v="KP/000275"/>
        <s v="KP/000276"/>
        <s v="KP/000278"/>
        <s v="KP/000321"/>
        <s v="KP/001209"/>
        <s v="KP/000279"/>
        <s v="KP/000280"/>
        <s v="KP/000281"/>
        <s v="KP/000282"/>
        <s v="KP/000283"/>
        <s v="KP/001207"/>
        <s v="KP/000284"/>
        <s v="KP/000286"/>
        <s v="KP/000287"/>
        <s v="KP/000288"/>
        <s v="KP/000289"/>
        <s v="KP/000290"/>
        <s v="KP/000291"/>
        <s v="KP/000292"/>
        <s v="KP/000293"/>
        <s v="KP/000295"/>
        <s v="KP/000297"/>
        <s v="KP/000298"/>
        <s v="KP/000299"/>
        <s v="KP/000300"/>
        <s v="KP/000301"/>
        <s v="KP/000302"/>
        <s v="KP/000303"/>
        <s v="KP/000307"/>
        <s v="KP/000702"/>
        <s v="KP/000309"/>
        <s v="KP/000310"/>
        <s v="KP/000311"/>
        <s v="KP/000312"/>
        <s v="KP/000313"/>
        <s v="KP/000315"/>
        <s v="KP/000317"/>
        <s v="KP/000318"/>
        <s v="KP/000319"/>
        <s v="KP/000320"/>
        <s v="KP/000323"/>
        <s v="KP/000324"/>
        <s v="KP/000325"/>
        <s v="KP/000326"/>
        <s v="KP/000327"/>
        <s v="KP/000328"/>
        <s v="KP/000329"/>
        <s v="KP/000330"/>
        <s v="KP/000331"/>
        <s v="KP/000332"/>
        <s v="KP/000333"/>
        <s v="KP/000334"/>
        <s v="KP/000335"/>
        <s v="KP/000336"/>
        <s v="KP/000337"/>
        <s v="KP/000338"/>
        <s v="KP/000339"/>
        <s v="KP/000340"/>
        <s v="KP/000341"/>
        <s v="KP/000343"/>
        <s v="KP/000344"/>
        <s v="KP/000345"/>
        <s v="KP/001281"/>
        <s v="KP/000346"/>
        <s v="KP/000347"/>
        <s v="KP/000348"/>
        <s v="KP/000349"/>
        <s v="KP/000350"/>
        <s v="KP/000353"/>
        <s v="KP/000354"/>
        <s v="KP/000355"/>
        <s v="KP/000356"/>
        <s v="KP/000357"/>
        <s v="KP/000358"/>
        <s v="KP/000372"/>
        <s v="KP/000359"/>
        <s v="KP/000360"/>
        <s v="KP/000362"/>
        <s v="KP/000363"/>
        <s v="KP/000364"/>
        <s v="KP/000365"/>
        <s v="KP/000366"/>
        <s v="KP/000367"/>
        <s v="KP/000368"/>
        <s v="KP/000369"/>
        <s v="KP/000370"/>
        <s v="KP/000371"/>
        <s v="KP/000373"/>
        <s v="KP/000374"/>
        <s v="KP/000375"/>
        <s v="KP/000377"/>
        <s v="KP/000378"/>
        <s v="KP/000379"/>
        <s v="KP/000380"/>
        <s v="KP/000381"/>
        <s v="KP/000382"/>
        <s v="KP/000384"/>
        <s v="KP/000383"/>
        <s v="KP/000385"/>
        <s v="KP/003897"/>
        <s v="KP/000386"/>
        <s v="KP/000387"/>
        <s v="KP/000388"/>
        <s v="KP/000389"/>
        <s v="KP/000391"/>
        <s v="KP/000392"/>
        <s v="KP/000393"/>
        <s v="KP/000394"/>
        <s v="KP/000396"/>
        <s v="KP/000397"/>
        <s v="KP/000398"/>
        <s v="KP/000400"/>
        <s v="KP/000401"/>
        <s v="KP/000402"/>
        <s v="KP/000403"/>
        <s v="KP/000404"/>
        <s v="KP/000405"/>
        <s v="KP/000406"/>
        <s v="KP/000407"/>
        <s v="KP/000408"/>
        <s v="KP/000409"/>
        <s v="KP/000410"/>
        <s v="KP/000411"/>
        <s v="KP/000412"/>
        <s v="KP/000413"/>
        <s v="KP/000414"/>
        <s v="KP/000415"/>
        <s v="KP/000416"/>
        <s v="KP/000417"/>
        <s v="KP/000418"/>
        <s v="KP/000419"/>
        <s v="KP/000420"/>
        <s v="KP/000421"/>
        <s v="KP/000423"/>
        <s v="KP/000424"/>
        <s v="KP/000425"/>
        <s v="KP/000426"/>
        <s v="KP/000427"/>
        <s v="KP/000434"/>
        <s v="KP/000428"/>
        <s v="KP/000429"/>
        <s v="KP/000430"/>
        <s v="KP/000431"/>
        <s v="KP/000433"/>
        <s v="KP/000435"/>
        <s v="KP/000437"/>
        <s v="KP/000438"/>
        <s v="KP/000439"/>
        <s v="KP/000441"/>
        <s v="KP/000442"/>
        <s v="KP/000443"/>
        <s v="KP/000444"/>
        <s v="KP/000445"/>
        <s v="KP/000446"/>
        <s v="KP/000447"/>
        <s v="KP/000448"/>
        <s v="KP/000449"/>
        <s v="KP/000450"/>
        <s v="KP/000451"/>
        <s v="KP/000452"/>
        <s v="KP/000453"/>
        <s v="KP/000454"/>
        <s v="KP/000455"/>
        <s v="KP/000456"/>
        <s v="KP/000457"/>
        <s v="KP/000458"/>
        <s v="KP/000459"/>
        <s v="KP/000460"/>
        <s v="KP/000461"/>
        <s v="KP/000464"/>
        <s v="KP/000465"/>
        <s v="KP/000466"/>
        <s v="KP/000467"/>
        <s v="KP/000469"/>
        <s v="KP/000470"/>
        <s v="KP/000471"/>
        <s v="KP/000473"/>
        <s v="KP/000474"/>
        <s v="KP/000475"/>
        <s v="KP/000476"/>
        <s v="KP/000478"/>
        <s v="KP/000479"/>
        <s v="KP/000480"/>
        <s v="KP/000481"/>
        <s v="KP/000482"/>
        <s v="KP/000483"/>
        <s v="KP/000484"/>
        <s v="KP/000485"/>
        <s v="KP/000486"/>
        <s v="KP/000488"/>
        <s v="KP/000489"/>
        <s v="KP/000490"/>
        <s v="KP/000491"/>
        <s v="KP/000492"/>
        <s v="KP/000493"/>
        <s v="KP/000494"/>
        <s v="KP/000495"/>
        <s v="KP/000496"/>
        <s v="KP/000497"/>
        <s v="KP/000498"/>
        <s v="KP/000499"/>
        <s v="KP/000501"/>
        <s v="KP/000502"/>
        <s v="KP/000503"/>
        <s v="KP/000504"/>
        <s v="KP/000505"/>
        <s v="KP/000506"/>
        <s v="KP/000507"/>
        <s v="KP/000508"/>
        <s v="KP/000509"/>
        <s v="KP/000510"/>
        <s v="KP/000511"/>
        <s v="KP/000512"/>
        <s v="KP/000513"/>
        <s v="KP/000468"/>
        <s v="KP/000514"/>
        <s v="KP/001013"/>
        <s v="KP/000515"/>
        <s v="KP/000516"/>
        <s v="KP/000517"/>
        <s v="KP/000518"/>
        <s v="KP/000520"/>
        <s v="KP/000521"/>
        <s v="KP/000522"/>
        <s v="KP/000524"/>
        <s v="KP/000525"/>
        <s v="KP/000527"/>
        <s v="KP/000528"/>
        <s v="KP/000529"/>
        <s v="KP/000530"/>
        <s v="KP/000531"/>
        <s v="KP/000532"/>
        <s v="KP/000533"/>
        <s v="KP/000535"/>
        <s v="KP/000538"/>
        <s v="KP/000539"/>
        <s v="KP/000540"/>
        <s v="KP/000542"/>
        <s v="KP/000543"/>
        <s v="KP/000544"/>
        <s v="KP/000546"/>
        <s v="KP/000547"/>
        <s v="KP/000548"/>
        <s v="KP/000549"/>
        <s v="KP/000550"/>
        <s v="KP/000551"/>
        <s v="KP/000553"/>
        <s v="KP/000554"/>
        <s v="KP/000555"/>
        <s v="KP/000556"/>
        <s v="KP/000557"/>
        <s v="KP/000558"/>
        <s v="KP/000559"/>
        <s v="KP/000560"/>
        <s v="KP/000563"/>
        <s v="KP/000564"/>
        <s v="KP/000565"/>
        <s v="KP/000566"/>
        <s v="KP/000568"/>
        <s v="KP/000570"/>
        <s v="KP/000571"/>
        <s v="KP/000572"/>
        <s v="KP/000573"/>
        <s v="KP/000575"/>
        <s v="KP/000576"/>
        <s v="KP/000578"/>
        <s v="KP/000581"/>
        <s v="KP/000582"/>
        <s v="KP/000583"/>
        <s v="KP/000585"/>
        <s v="KP/000586"/>
        <s v="KP/000587"/>
        <s v="KP/000588"/>
        <s v="KP/000589"/>
        <s v="KP/000591"/>
        <s v="KP/000592"/>
        <s v="KP/000593"/>
        <s v="KP/000594"/>
        <s v="KP/000595"/>
        <s v="KP/000596"/>
        <s v="KP/000597"/>
        <s v="KP/000598"/>
        <s v="KP/000599"/>
        <s v="KP/000600"/>
        <s v="KP/000602"/>
        <s v="KP/000603"/>
        <s v="KP/000604"/>
        <s v="KP/000605"/>
        <s v="KP/000606"/>
        <s v="KP/000607"/>
        <s v="KP/000608"/>
        <s v="KP/000611"/>
        <s v="KP/000614"/>
        <s v="KP/000616"/>
        <s v="KP/000618"/>
        <s v="KP/000619"/>
        <s v="KP/000620"/>
        <s v="KP/000621"/>
        <s v="KP/000622"/>
        <s v="KP/000623"/>
        <s v="KP/000624"/>
        <s v="KP/000625"/>
        <s v="KP/000626"/>
        <s v="KP/000627"/>
        <s v="KP/000628"/>
        <s v="KP/000629"/>
        <s v="KP/000630"/>
        <s v="KP/000631"/>
        <s v="KP/000633"/>
        <s v="KP/000634"/>
        <s v="KP/000635"/>
        <s v="KP/000636"/>
        <s v="KP/000889"/>
        <s v="KP/000637"/>
        <s v="KP/000638"/>
        <s v="KP/000639"/>
        <s v="KP/000640"/>
        <s v="KP/000643"/>
        <s v="KP/000641"/>
        <s v="KP/000642"/>
        <s v="KP/001077"/>
        <s v="KP/000644"/>
        <s v="KP/000645"/>
        <s v="KP/000646"/>
        <s v="KP/000647"/>
        <s v="KP/000648"/>
        <s v="KP/000649"/>
        <s v="KP/000650"/>
        <s v="KP/000651"/>
        <s v="KP/000652"/>
        <s v="KP/000653"/>
        <s v="KP/000654"/>
        <s v="KP/000655"/>
        <s v="KP/000657"/>
        <s v="KP/000658"/>
        <s v="KP/000659"/>
        <s v="KP/000660"/>
        <s v="KP/000017"/>
        <s v="KP/000661"/>
        <s v="KP/000662"/>
        <s v="KP/000664"/>
        <s v="KP/000665"/>
        <s v="KP/000666"/>
        <s v="KP/000667"/>
        <s v="KP/000668"/>
        <s v="KP/000670"/>
        <s v="KP/000671"/>
        <s v="KP/000672"/>
        <s v="KP/000673"/>
        <s v="KP/000674"/>
        <s v="KP/000675"/>
        <s v="KP/000677"/>
        <s v="KP/000678"/>
        <s v="KP/000679"/>
        <s v="KP/000680"/>
        <s v="KP/000682"/>
        <s v="KP/000685"/>
        <s v="KP/000686"/>
        <s v="KP/000687"/>
        <s v="KP/000688"/>
        <s v="KP/000689"/>
        <s v="KP/000690"/>
        <s v="KP/003945"/>
        <s v="KP/000691"/>
        <s v="KP/000692"/>
        <s v="KP/000734"/>
        <s v="KP/000753"/>
        <s v="KP/001139"/>
        <s v="KP/000786"/>
        <s v="KP/000723"/>
        <s v="KP/000759"/>
        <s v="KP/000769"/>
        <s v="KP/001036"/>
        <s v="KP/001037"/>
        <s v="KP/001038"/>
        <s v="KP/001368"/>
        <s v="KP/001369"/>
        <s v="KP/000739"/>
        <s v="KP/000716"/>
        <s v="KP/000789"/>
        <s v="KP/000775"/>
        <s v="KP/000720"/>
        <s v="KP/000745"/>
        <s v="KP/000750"/>
        <s v="KP/000751"/>
        <s v="KP/000727"/>
        <s v="KP/000797"/>
        <s v="KP/000798"/>
        <s v="KP/000799"/>
        <s v="KP/000801"/>
        <s v="KP/000802"/>
        <s v="KP/000803"/>
        <s v="KP/000813"/>
        <s v="KP/000816"/>
        <s v="KP/000817"/>
        <s v="KP/000820"/>
        <s v="KP/000822"/>
        <s v="KP/000824"/>
        <s v="KP/000826"/>
        <s v="KP/000827"/>
        <s v="KP/000829"/>
        <s v="KP/000830"/>
        <s v="KP/000833"/>
        <s v="KP/000834"/>
        <s v="KP/000836"/>
        <s v="KP/000837"/>
        <s v="KP/000838"/>
        <s v="KP/000839"/>
        <s v="KP/000841"/>
        <s v="KP/000842"/>
        <s v="KP/000843"/>
        <s v="KP/000844"/>
        <s v="KP/000846"/>
        <s v="KP/000849"/>
        <s v="KP/000850"/>
        <s v="KP/000851"/>
        <s v="KP/000852"/>
        <s v="KP/000853"/>
        <s v="KP/000854"/>
        <s v="KP/000861"/>
        <s v="KP/000862"/>
        <s v="KP/000863"/>
        <s v="KP/000864"/>
        <s v="KP/000865"/>
        <s v="KP/000866"/>
        <s v="KP/000869"/>
        <s v="KP/000870"/>
        <s v="KP/000872"/>
        <s v="KP/000873"/>
        <s v="KP/000875"/>
        <s v="KP/000878"/>
        <s v="KP/000879"/>
        <s v="KP/000880"/>
        <s v="KP/000881"/>
        <s v="KP/000882"/>
        <s v="KP/000885"/>
        <s v="KP/000886"/>
        <s v="KP/000887"/>
        <s v="KP/000888"/>
        <s v="KP/000891"/>
        <s v="KP/000892"/>
        <s v="KP/000894"/>
        <s v="KP/000895"/>
        <s v="KP/000896"/>
        <s v="KP/000897"/>
        <s v="KP/000899"/>
        <s v="KP/000900"/>
        <s v="KP/000901"/>
        <s v="KP/000902"/>
        <s v="KP/000903"/>
        <s v="KP/000905"/>
        <s v="KP/000906"/>
        <s v="KP/000908"/>
        <s v="KP/000913"/>
        <s v="KP/000914"/>
        <s v="KP/000915"/>
        <s v="KP/000916"/>
        <s v="KP/000918"/>
        <s v="KP/000919"/>
        <s v="KP/000921"/>
        <s v="KP/000924"/>
        <s v="KP/000925"/>
        <s v="KP/000929"/>
        <s v="KP/000932"/>
        <s v="KP/000931"/>
        <s v="KP/000933"/>
        <s v="KP/000936"/>
        <s v="KP/000937"/>
        <s v="KP/000939"/>
        <s v="KP/000940"/>
        <s v="KP/000941"/>
        <s v="KP/000942"/>
        <s v="KP/000943"/>
        <s v="KP/000944"/>
        <s v="KP/000945"/>
        <s v="KP/000947"/>
        <s v="KP/000948"/>
        <s v="KP/000949"/>
        <s v="KP/000951"/>
        <s v="KP/000953"/>
        <s v="KP/000955"/>
        <s v="KP/001366"/>
        <s v="KP/000956"/>
        <s v="KP/000958"/>
        <s v="KP/000959"/>
        <s v="KP/000960"/>
        <s v="KP/000962"/>
        <s v="KP/000963"/>
        <s v="KP/000964"/>
        <s v="KP/000965"/>
        <s v="KP/000966"/>
        <s v="KP/000967"/>
        <s v="KP/000968"/>
        <s v="KP/000969"/>
        <s v="KP/000971"/>
        <s v="KP/000973"/>
        <s v="KP/000974"/>
        <s v="KP/000975"/>
        <s v="KP/000976"/>
        <s v="KP/000979"/>
        <s v="KP/000982"/>
        <s v="KP/000983"/>
        <s v="KP/000984"/>
        <s v="KP/000985"/>
        <s v="KP/000986"/>
        <s v="KP/000988"/>
        <s v="KP/000989"/>
        <s v="KP/000995"/>
        <s v="KP/000996"/>
        <s v="KP/000997"/>
        <s v="KP/000998"/>
        <s v="KP/000999"/>
        <s v="KP/001000"/>
        <s v="KP/001001"/>
        <s v="KP/001002"/>
        <s v="KP/001005"/>
        <s v="KP/001008"/>
        <s v="KP/003401"/>
        <s v="KP/001009"/>
        <s v="KP/001011"/>
        <s v="KP/001012"/>
        <s v="KP/001016"/>
        <s v="KP/001019"/>
        <s v="KP/001020"/>
        <s v="KP/001024"/>
        <s v="KP/001025"/>
        <s v="KP/001026"/>
        <s v="KP/001027"/>
        <s v="KP/001028"/>
        <s v="KP/001030"/>
        <s v="KP/001031"/>
        <s v="KP/001033"/>
        <s v="KP/001034"/>
        <s v="KP/001035"/>
        <s v="KP/001040"/>
        <s v="KP/001041"/>
        <s v="KP/001048"/>
        <s v="KP/001049"/>
        <s v="KP/001052"/>
        <s v="KP/001058"/>
        <s v="KP/001059"/>
        <s v="KP/001060"/>
        <s v="KP/001061"/>
        <s v="KP/001063"/>
        <s v="KP/001064"/>
        <s v="KP/001065"/>
        <s v="KP/001067"/>
        <s v="KP/001068"/>
        <s v="KP/001069"/>
        <s v="KP/001070"/>
        <s v="KP/001071"/>
        <s v="KP/001074"/>
        <s v="KP/001076"/>
        <s v="KP/001078"/>
        <s v="KP/001083"/>
        <s v="KP/001087"/>
        <s v="KP/001088"/>
        <s v="KP/001089"/>
        <s v="KP/001090"/>
        <s v="KP/001091"/>
        <s v="KP/001092"/>
        <s v="KP/001094"/>
        <s v="KP/001096"/>
        <s v="KP/001097"/>
        <s v="KP/001098"/>
        <s v="KP/001099"/>
        <s v="KP/001101"/>
        <s v="KP/001108"/>
        <s v="KP/001109"/>
        <s v="KP/000787"/>
        <s v="KP/001114"/>
        <s v="KP/001116"/>
        <s v="KP/001118"/>
        <s v="KP/001119"/>
        <s v="KP/001122"/>
        <s v="KP/001124"/>
        <s v="KP/001125"/>
        <s v="KP/001128"/>
        <s v="KP/001133"/>
        <s v="KP/001134"/>
        <s v="KP/001135"/>
        <s v="KP/001136"/>
        <s v="KP/001137"/>
        <s v="KP/001138"/>
        <s v="KP/001140"/>
        <s v="KP/001141"/>
        <s v="KP/001142"/>
        <s v="KP/001147"/>
        <s v="KP/001148"/>
        <s v="KP/001153"/>
        <s v="KP/001158"/>
        <s v="KP/001161"/>
        <s v="KP/001165"/>
        <s v="KP/001166"/>
        <s v="KP/001168"/>
        <s v="KP/001169"/>
        <s v="KP/001170"/>
        <s v="KP/001171"/>
        <s v="KP/001172"/>
        <s v="KP/001173"/>
        <s v="KP/001175"/>
        <s v="KP/001176"/>
        <s v="KP/001185"/>
        <s v="KP/001188"/>
        <s v="KP/001189"/>
        <s v="KP/001190"/>
        <s v="KP/001191"/>
        <s v="KP/001193"/>
        <s v="KP/001194"/>
        <s v="KP/001195"/>
        <s v="KP/001197"/>
        <s v="KP/001199"/>
        <s v="KP/001200"/>
        <s v="KP/001201"/>
        <s v="KP/001202"/>
        <s v="KP/001203"/>
        <s v="KP/001204"/>
        <s v="KP/001206"/>
        <s v="KP/001211"/>
        <s v="KP/001212"/>
        <s v="KP/001213"/>
        <s v="KP/001216"/>
        <s v="KP/001217"/>
        <s v="KP/001218"/>
        <s v="KP/001219"/>
        <s v="KP/001220"/>
        <s v="KP/001221"/>
        <s v="KP/001222"/>
        <s v="KP/001223"/>
        <s v="KP/001226"/>
        <s v="KP/001228"/>
        <s v="KP/001229"/>
        <s v="KP/001230"/>
        <s v="KP/001231"/>
        <s v="KP/001232"/>
        <s v="KP/001236"/>
        <s v="KP/001237"/>
        <s v="KP/001238"/>
        <s v="KP/001240"/>
        <s v="KP/001241"/>
        <s v="KP/001243"/>
        <s v="KP/001246"/>
        <s v="KP/001249"/>
        <s v="KP/001250"/>
        <s v="KP/001251"/>
        <s v="KP/001253"/>
        <s v="KP/001254"/>
        <s v="KP/001255"/>
        <s v="KP/001256"/>
        <s v="KP/001260"/>
        <s v="KP/001261"/>
        <s v="KP/001264"/>
        <s v="KP/001267"/>
        <s v="KP/001268"/>
        <s v="KP/001269"/>
        <s v="KP/001270"/>
        <s v="KP/001271"/>
        <s v="KP/001272"/>
        <s v="KP/001273"/>
        <s v="KP/001276"/>
        <s v="KP/001278"/>
        <s v="KP/001280"/>
        <s v="KP/001284"/>
        <s v="KP/001286"/>
        <s v="KP/001290"/>
        <s v="KP/001291"/>
        <s v="KP/001294"/>
        <s v="KP/001295"/>
        <s v="KP/001299"/>
        <s v="KP/001301"/>
        <s v="KP/001302"/>
        <s v="KP/001304"/>
        <s v="KP/001305"/>
        <s v="KP/001308"/>
        <s v="KP/001309"/>
        <s v="KP/001310"/>
        <s v="KP/001311"/>
        <s v="KP/001312"/>
        <s v="KP/001313"/>
        <s v="KP/001314"/>
        <s v="KP/001315"/>
        <s v="KP/001316"/>
        <s v="KP/001317"/>
        <s v="KP/001318"/>
        <s v="KP/001319"/>
        <s v="KP/001320"/>
        <s v="KP/001326"/>
        <s v="KP/001327"/>
        <s v="KP/001328"/>
        <s v="KP/001329"/>
        <s v="KP/001331"/>
        <s v="KP/001332"/>
        <s v="KP/001335"/>
        <s v="KP/001336"/>
        <s v="KP/001337"/>
        <s v="KP/001338"/>
        <s v="KP/001339"/>
        <s v="KP/001340"/>
        <s v="KP/001343"/>
        <s v="KP/001344"/>
        <s v="KP/001345"/>
        <s v="KP/001348"/>
        <s v="KP/001352"/>
        <s v="KP/001353"/>
        <s v="KP/001355"/>
        <s v="KP/001356"/>
        <s v="KP/001357"/>
        <s v="KP/001360"/>
        <s v="KP/001361"/>
        <s v="KP/001363"/>
        <s v="KP/001364"/>
        <s v="KP/001370"/>
        <s v="KP/001371"/>
        <s v="KP/001372"/>
        <s v="KP/001373"/>
        <s v="KP/001374"/>
        <s v="KP/001376"/>
        <s v="KP/001377"/>
        <s v="KP/001378"/>
        <s v="KP/001383"/>
        <s v="KP/001384"/>
        <s v="KP/001385"/>
        <s v="KP/001386"/>
        <s v="KP/001387"/>
        <s v="KP/001388"/>
        <s v="KP/001391"/>
        <s v="KP/001392"/>
        <s v="KP/001393"/>
        <s v="KP/001394"/>
        <s v="KP/001395"/>
        <s v="KP/001396"/>
        <s v="KP/001398"/>
        <s v="KP/001399"/>
        <s v="KP/001400"/>
        <s v="KP/001401"/>
        <s v="KP/001402"/>
        <s v="KP/001403"/>
        <s v="KP/001404"/>
        <s v="KP/001406"/>
        <s v="KP/001409"/>
        <s v="KP/001412"/>
        <s v="KP/001413"/>
        <s v="KP/001414"/>
        <s v="KP/001419"/>
        <s v="KP/001420"/>
        <s v="KP/001421"/>
        <s v="KP/001422"/>
        <s v="KP/001423"/>
        <s v="KP/001424"/>
        <s v="KP/001425"/>
        <s v="KP/001426"/>
        <s v="KP/001427"/>
        <s v="KP/001428"/>
        <s v="KP/001430"/>
        <s v="KP/001431"/>
        <s v="KP/001435"/>
        <s v="KP/001436"/>
        <s v="KP/001437"/>
        <s v="KP/001438"/>
        <s v="KP/001439"/>
        <s v="KP/001440"/>
        <s v="KP/001441"/>
        <s v="KP/001442"/>
        <s v="KP/001443"/>
        <s v="KP/001444"/>
        <s v="KP/001445"/>
        <s v="KP/001446"/>
        <s v="KP/001447"/>
        <s v="KP/001450"/>
        <s v="KP/001451"/>
        <s v="KP/001452"/>
        <s v="KP/001454"/>
        <s v="KP/001455"/>
        <s v="KP/001457"/>
        <s v="KP/001458"/>
        <s v="KP/001460"/>
        <s v="KP/001465"/>
        <s v="KP/001466"/>
        <s v="KP/001472"/>
        <s v="KP/001473"/>
        <s v="KP/001475"/>
        <s v="KP/001477"/>
        <s v="KP/001479"/>
        <s v="KP/001481"/>
        <s v="KP/001482"/>
        <s v="KP/001483"/>
        <s v="KP/001484"/>
        <s v="KP/001485"/>
        <s v="KP/001488"/>
        <s v="KP/001489"/>
        <s v="KP/001490"/>
        <s v="KP/001491"/>
        <s v="KP/001493"/>
        <s v="KP/001496"/>
        <s v="KP/001497"/>
        <s v="KP/001498"/>
        <s v="KP/001499"/>
        <s v="KP/001500"/>
        <s v="KP/001501"/>
        <s v="KP/001502"/>
        <s v="KP/001503"/>
        <s v="KP/001504"/>
        <s v="KP/001505"/>
        <s v="KP/001506"/>
        <s v="KP/001507"/>
        <s v="KP/001509"/>
        <s v="KP/001511"/>
        <s v="KP/001512"/>
        <s v="KP/001513"/>
        <s v="KP/001514"/>
        <s v="KP/001515"/>
        <s v="KP/001518"/>
        <s v="KP/001519"/>
        <s v="KP/001520"/>
        <s v="KP/001521"/>
        <s v="KP/001522"/>
        <s v="KP/001523"/>
        <s v="KP/001528"/>
        <s v="KP/001531"/>
        <s v="KP/001533"/>
        <s v="KP/001537"/>
        <s v="KP/001538"/>
        <s v="KP/001539"/>
        <s v="KP/001541"/>
        <s v="KP/001544"/>
        <s v="KP/001545"/>
        <s v="KP/001547"/>
        <s v="KP/001549"/>
        <s v="KP/001550"/>
        <s v="KP/001551"/>
        <s v="KP/001554"/>
        <s v="KP/001560"/>
        <s v="KP/001566"/>
        <s v="KP/001571"/>
        <s v="KP/001572"/>
        <s v="KP/001573"/>
        <s v="KP/001578"/>
        <s v="KP/001580"/>
        <s v="KP/001581"/>
        <s v="KP/001646"/>
        <s v="KP/001586"/>
        <s v="KP/001588"/>
        <s v="KP/001589"/>
        <s v="KP/001591"/>
        <s v="KP/001593"/>
        <s v="KP/001594"/>
        <s v="KP/001605"/>
        <s v="KP/001606"/>
        <s v="KP/001611"/>
        <s v="KP/001612"/>
        <s v="KP/001615"/>
        <s v="KP/001616"/>
        <s v="KP/001617"/>
        <s v="KP/001619"/>
        <s v="KP/001620"/>
        <s v="KP/001621"/>
        <s v="KP/001622"/>
        <s v="KP/001623"/>
        <s v="KP/001624"/>
        <s v="KP/001625"/>
        <s v="KP/001626"/>
        <s v="KP/001628"/>
        <s v="KP/001629"/>
        <s v="KP/001630"/>
        <s v="KP/001633"/>
        <s v="KP/001635"/>
        <s v="KP/001637"/>
        <s v="KP/001638"/>
        <s v="KP/001641"/>
        <s v="KP/001642"/>
        <s v="KP/001643"/>
        <s v="KP/001647"/>
        <s v="KP/001655"/>
        <s v="KP/001656"/>
        <s v="KP/001657"/>
        <s v="KP/001456"/>
        <s v="KP/001365"/>
        <s v="KP/001375"/>
        <s v="KP/001711"/>
        <s v="KP/001696"/>
        <s v="KP/001697"/>
        <s v="KP/001698"/>
        <s v="KP/001699"/>
        <s v="KP/001700"/>
        <s v="KP/001701"/>
        <s v="KP/000825"/>
        <s v="KP/001702"/>
        <s v="KP/001705"/>
        <s v="KP/001703"/>
        <s v="KP/001704"/>
        <s v="KP/001706"/>
        <s v="KP/001707"/>
        <s v="KP/001708"/>
        <s v="KP/001709"/>
        <s v="KP/001710"/>
        <s v="KP/001362"/>
        <s v="KP/001713"/>
        <s v="KP/001205"/>
        <s v="KP/001407"/>
        <s v="KP/001714"/>
        <s v="KP/001715"/>
        <s v="KP/001716"/>
        <s v="KP/000961"/>
        <s v="KP/001717"/>
        <s v="KP/001121"/>
        <s v="KP/000980"/>
        <s v="KP/001686"/>
        <s v="KP/000181"/>
        <s v="KP/001666"/>
        <s v="KP/001667"/>
        <s v="KP/001668"/>
        <s v="KP/001669"/>
        <s v="KP/001679"/>
        <s v="KP/001494"/>
        <s v="KP/000463"/>
        <s v="KP/000722"/>
        <s v="KP/000704"/>
        <s v="KP/000695"/>
        <s v="KP/000696"/>
        <s v="KP/000714"/>
        <s v="KP/003885"/>
        <s v="KP/003886"/>
        <s v="KP/000574"/>
        <s v="KP/001662"/>
        <s v="KP/001658"/>
        <s v="KP/000950"/>
        <s v="KP/001636"/>
        <s v="KP/000778"/>
        <s v="KP/000756"/>
        <s v="KP/000741"/>
        <s v="KP/001723"/>
        <s v="KP/000770"/>
        <s v="KP/001725"/>
        <s v="KP/000762"/>
        <s v="KP/000728"/>
        <s v="KP/001729"/>
        <s v="KP/001730"/>
        <s v="KP/001671"/>
        <s v="KP/001734"/>
        <s v="KP/001382"/>
        <s v="KP/001381"/>
        <s v="KP/001296"/>
        <s v="KP/001732"/>
        <s v="KP/000981"/>
        <s v="KP/001736"/>
        <s v="KP/000127"/>
        <s v="KP/001737"/>
        <s v="KP/001712"/>
        <s v="KP/001680"/>
        <s v="KP/001471"/>
        <s v="KP/001474"/>
        <s v="KP/002044"/>
        <s v="KP/000752"/>
        <s v="KP/000729"/>
        <s v="KP/000785"/>
        <s v="KP/000731"/>
        <s v="KP/000693"/>
        <s v="KP/000562"/>
        <s v="KP/000928"/>
        <s v="KP/001307"/>
        <s v="KP/001739"/>
        <s v="KP/000712"/>
        <s v="KP/001569"/>
        <s v="KP/001741"/>
        <s v="KP/000765"/>
        <s v="KP/000705"/>
        <s v="KP/000697"/>
        <s v="KP/001563"/>
        <s v="KP/003928"/>
        <s v="KP/001743"/>
        <s v="KP/002037"/>
        <s v="KP/000856"/>
        <s v="KP/001334"/>
        <s v="KP/001744"/>
        <s v="KP/001745"/>
        <s v="KP/001746"/>
        <s v="KP/001747"/>
        <s v="KP/001748"/>
        <s v="KP/001749"/>
        <s v="KP/001689"/>
        <s v="KP/001132"/>
        <s v="KP/001750"/>
        <s v="KP/001682"/>
        <s v="KP/001681"/>
        <s v="KP/001685"/>
        <s v="KP/001683"/>
        <s v="KP/001684"/>
        <s v="KP/001751"/>
        <s v="KP/001752"/>
        <s v="KP/001753"/>
        <s v="KP/001690"/>
        <s v="KP/001676"/>
        <s v="KP/001754"/>
        <s v="KP/001665"/>
        <s v="KP/001755"/>
        <s v="KP/000804"/>
        <s v="KP/001677"/>
        <s v="KP/001756"/>
        <s v="KP/001678"/>
        <s v="KP/002578"/>
        <s v="KP/002652"/>
        <s v="KP/001632"/>
        <s v="KP/000987"/>
        <s v="KP/001661"/>
        <s v="KP/000781"/>
        <s v="KP/001093"/>
        <s v="KP/001758"/>
        <s v="KP/002009"/>
        <s v="KP/002010"/>
        <s v="KP/000774"/>
        <s v="KP/001073"/>
        <s v="KP/000760"/>
        <s v="KP/000757"/>
        <s v="KP/002073"/>
        <s v="KP/000957"/>
        <s v="KP/001215"/>
        <s v="KP/000814"/>
        <s v="KP/000909"/>
        <s v="KP/000911"/>
        <s v="KP/000923"/>
        <s v="KP/003810"/>
        <s v="KP/000977"/>
        <s v="KP/001731"/>
        <s v="KP/001155"/>
        <s v="KP/001354"/>
        <s v="KP/001418"/>
        <s v="KP/001759"/>
        <s v="KP/001639"/>
        <s v="KP/001640"/>
        <s v="KP/003820"/>
        <s v="KP/001095"/>
        <s v="KP/001453"/>
        <s v="KP/000893"/>
        <s v="KP/001180"/>
        <s v="KP/000828"/>
        <s v="KP/001358"/>
        <s v="KP/001359"/>
        <s v="KP/001429"/>
        <s v="KP/001760"/>
        <s v="KP/001761"/>
        <s v="KP/001762"/>
        <s v="KP/001764"/>
        <s v="KP/001029"/>
        <s v="KP/003920"/>
        <s v="KP/001673"/>
        <s v="KP/001389"/>
        <s v="KP/001516"/>
        <s v="KP/000166"/>
        <s v="KP/000808"/>
        <s v="KP/001776"/>
        <s v="KP/001390"/>
        <s v="KP/000086"/>
        <s v="KP/001777"/>
        <s v="KP/001779"/>
        <s v="KP/001780"/>
        <s v="KP/001449"/>
        <s v="KP/002043"/>
        <s v="KP/001757"/>
        <s v="KP/001781"/>
        <s v="KP/001787"/>
        <s v="KP/001783"/>
        <s v="KP/001808"/>
        <s v="KP/001487"/>
        <s v="KP/001775"/>
        <s v="KP/001809"/>
        <s v="KP/001811"/>
        <s v="KP/001812"/>
        <s v="KP/001813"/>
        <s v="KP/001814"/>
        <s v="KP/001815"/>
        <s v="KP/001816"/>
        <s v="KP/001817"/>
        <s v="KP/001818"/>
        <s v="KP/001786"/>
        <s v="KP/003507"/>
        <s v="KP/001784"/>
        <s v="KP/001823"/>
        <s v="KP/000972"/>
        <s v="KP/002032"/>
        <s v="KP/002141"/>
        <s v="KP/001323"/>
        <s v="KP/001459"/>
        <s v="KP/001120"/>
        <s v="KP/000922"/>
        <s v="KP/000188"/>
        <s v="KP/001792"/>
        <s v="KP/000790"/>
        <s v="KP/001694"/>
        <s v="KP/001691"/>
        <s v="KP/001772"/>
        <s v="KP/001771"/>
        <s v="KP/000779"/>
        <s v="KP/001156"/>
        <s v="KP/000698"/>
        <s v="KP/001408"/>
        <s v="KP/000811"/>
        <s v="KP/000197"/>
        <s v="KP/001833"/>
        <s v="KP/001835"/>
        <s v="KP/001631"/>
        <s v="KP/001534"/>
        <s v="KP/000715"/>
        <s v="KP/000308"/>
        <s v="KP/001283"/>
        <s v="KP/001837"/>
        <s v="KP/001838"/>
        <s v="KP/001839"/>
        <s v="KP/001841"/>
        <s v="KP/001842"/>
        <s v="KP/001079"/>
        <s v="KP/001773"/>
        <s v="KP/001766"/>
        <s v="KP/001831"/>
        <s v="KP/003814"/>
        <s v="KP/001830"/>
        <s v="KP/001829"/>
        <s v="KP/001828"/>
        <s v="KP/001695"/>
        <s v="KP/000721"/>
        <s v="KP/003816"/>
        <s v="KP/003817"/>
        <s v="KP/003818"/>
        <s v="KP/000142"/>
        <s v="KP/001791"/>
        <s v="KP/001798"/>
        <s v="KP/000764"/>
        <s v="KP/000763"/>
        <s v="KP/001670"/>
        <s v="KP/002227"/>
        <s v="KP/000806"/>
        <s v="KP/002404"/>
        <s v="KP/002398"/>
        <s v="KP/002396"/>
        <s v="KP/002393"/>
        <s v="KP/002383"/>
        <s v="KP/002361"/>
        <s v="KP/003353"/>
        <s v="KP/003823"/>
        <s v="KP/002375"/>
        <s v="KP/002371"/>
        <s v="KP/002368"/>
        <s v="KP/002367"/>
        <s v="KP/000541"/>
        <s v="KP/000761"/>
        <s v="KP/002372"/>
        <s v="KP/001650"/>
        <s v="KP/001613"/>
        <s v="KP/001609"/>
        <s v="KP/001604"/>
        <s v="KP/001603"/>
        <s v="KP/001601"/>
        <s v="KP/001600"/>
        <s v="KP/001587"/>
        <s v="KP/001585"/>
        <s v="KP/001584"/>
        <s v="KP/001579"/>
        <s v="KP/001576"/>
        <s v="KP/001575"/>
        <s v="KP/001574"/>
        <s v="KP/001556"/>
        <s v="KP/001527"/>
        <s v="KP/001432"/>
        <s v="KP/000800"/>
        <s v="KP/001342"/>
        <s v="KP/001322"/>
        <s v="KP/001300"/>
        <s v="KP/001247"/>
        <s v="KP/001244"/>
        <s v="KP/001196"/>
        <s v="KP/001192"/>
        <s v="KP/001177"/>
        <s v="KP/001159"/>
        <s v="KP/001150"/>
        <s v="KP/001149"/>
        <s v="KP/001104"/>
        <s v="KP/001085"/>
        <s v="KP/001023"/>
        <s v="KP/001021"/>
        <s v="KP/000946"/>
        <s v="KP/000938"/>
        <s v="KP/000876"/>
        <s v="KP/000840"/>
        <s v="KP/000867"/>
        <s v="KP/000711"/>
        <s v="KP/000777"/>
        <s v="KP/000710"/>
        <s v="KP/000683"/>
        <s v="KP/000681"/>
        <s v="KP/000663"/>
        <s v="KP/000632"/>
        <s v="KP/000601"/>
        <s v="KP/000590"/>
        <s v="KP/000545"/>
        <s v="KP/000534"/>
        <s v="KP/000477"/>
        <s v="KP/000390"/>
        <s v="KP/000376"/>
        <s v="KP/000361"/>
        <s v="KP/000352"/>
        <s v="KP/000304"/>
        <s v="KP/000296"/>
        <s v="KP/000257"/>
        <s v="KP/000217"/>
        <s v="KP/001742"/>
        <s v="KP/000860"/>
        <s v="KP/002427"/>
        <s v="KP/002423"/>
        <s v="KP/002419"/>
        <s v="KP/002415"/>
        <s v="KP/002395"/>
        <s v="KP/002389"/>
        <s v="KP/002632"/>
        <s v="KP/000754"/>
        <s v="KP/003896"/>
        <s v="KP/001721"/>
        <s v="KP/003798"/>
        <s v="KP/003931"/>
        <s v="KP/001908"/>
        <s v="KP/001909"/>
        <s v="KP/001915"/>
        <s v="KP/001948"/>
        <s v="KP/002718"/>
        <s v="KP/003758"/>
        <s v="KP/003804"/>
        <s v="KP/002142"/>
        <s v="KP/000213"/>
        <s v="KP/003824"/>
        <s v="KP/002662"/>
        <s v="KP/002663"/>
        <s v="KP/000970"/>
        <s v="KP/003533"/>
        <s v="KP/003826"/>
        <s v="KP/000725"/>
        <s v="KP/002023"/>
        <s v="KP/001380"/>
        <s v="KP/001145"/>
        <s v="KP/001478"/>
        <s v="KP/000788"/>
        <s v="KP/000733"/>
        <s v="KP/003830"/>
        <s v="KP/003831"/>
        <s v="KP/003832"/>
        <s v="KP/003833"/>
        <s v="KP/003834"/>
        <s v="KP/003835"/>
        <s v="KP/003836"/>
        <s v="KP/003837"/>
        <s v="KP/003838"/>
        <s v="KP/003839"/>
        <s v="KP/003840"/>
        <s v="KP/003841"/>
        <s v="KP/003842"/>
        <s v="KP/003843"/>
        <s v="KP/003844"/>
        <s v="KP/003845"/>
        <s v="KP/003846"/>
        <s v="KP/003847"/>
        <s v="KP/003848"/>
        <s v="KP/003849"/>
        <s v="KP/003850"/>
        <s v="KP/003851"/>
        <s v="KP/003852"/>
        <s v="KP/003853"/>
        <s v="KP/003854"/>
        <s v="KP/003855"/>
        <s v="KP/003856"/>
        <s v="KP/003857"/>
        <s v="KP/003858"/>
        <s v="KP/003859"/>
        <s v="KP/003860"/>
        <s v="KP/003861"/>
        <s v="KP/003862"/>
        <s v="KP/003863"/>
        <s v="KP/001405"/>
        <s v="KP/000874"/>
        <s v="KP/003946"/>
        <s v="KP/001672"/>
        <s v="KP/001674"/>
        <s v="KP/001675"/>
        <s v="KP/001770"/>
        <s v="KP/001769"/>
        <s v="KP/001765"/>
        <s v="KP/001688"/>
        <s v="KP/001768"/>
        <s v="KP/001767"/>
        <s v="KP/001693"/>
        <s v="KP/001692"/>
        <s v="KP/001826"/>
        <s v="KP/003394"/>
        <s v="KP/001644"/>
        <s v="KP/003947"/>
        <s v="KP/000537"/>
        <s v="KP/001417"/>
        <s v="KP/001416"/>
        <s v="KP/001415"/>
        <s v="KP/000809"/>
        <s v="KP/003916"/>
        <s v="KP/000773"/>
        <s v="KP/003891"/>
        <s v="KP/002029"/>
        <s v="KP/003799"/>
        <s v="KP/000755"/>
        <s v="KP/000952"/>
        <s v="KP/000954"/>
        <s v="KP/001080"/>
        <s v="KP/001536"/>
        <s v="KP/003948"/>
        <s v="KP/003066"/>
        <s v="KP/003949"/>
        <s v="KP/001056"/>
        <s v="KP/001082"/>
        <s v="KP/001321"/>
        <s v="KP/001055"/>
        <s v="KP/001285"/>
        <s v="KP/001111"/>
        <s v="KP/000994"/>
        <s v="KP/000831"/>
        <s v="KP/002447"/>
        <s v="KP/003935"/>
        <s v="KP/003950"/>
        <s v="KP/003951"/>
        <s v="KP/003952"/>
        <s v="KP/001806"/>
        <s v="KP/003954"/>
        <s v="KP/003939"/>
        <s v="KP/003955"/>
        <s v="KP/003956"/>
        <s v="KP/003957"/>
        <s v="KP/003959"/>
        <s v="KP/003433"/>
        <s v="KP/003960"/>
        <s v="KP/003825"/>
        <s v="KP/003937"/>
        <s v="KP/003867"/>
        <s v="KP/001726"/>
        <s v="KP/002543"/>
        <s v="KP/002544"/>
        <s v="KP/002473"/>
        <s v="KP/002496"/>
        <s v="KP/002546"/>
        <s v="KP/002577"/>
        <s v="KP/002068"/>
        <s v="KP/003961"/>
        <s v="KP/003962"/>
        <s v="KP/003963"/>
        <s v="KP/003964"/>
        <s v="KP/002492"/>
        <s v="KP/002633"/>
        <s v="KP/003914"/>
        <s v="KP/002555"/>
        <s v="KP/003088"/>
        <s v="KP/001796"/>
        <s v="KP/003865"/>
        <s v="KP/002406"/>
        <s v="KP/003965"/>
        <s v="KP/000172"/>
        <s v="KP/000294"/>
        <s v="KP/000707"/>
        <s v="KP/003938"/>
        <s v="KP/003904"/>
        <s v="KP/000740"/>
        <s v="KP/003775"/>
        <s v="KP/003744"/>
        <s v="KP/000713"/>
        <s v="KP/002210"/>
        <s v="KP/003678"/>
        <s v="KP/003161"/>
        <s v="KP/003190"/>
        <s v="KP/002054"/>
        <s v="KP/002026"/>
        <s v="KP/003917"/>
        <s v="KP/003932"/>
        <s v="KP/003936"/>
        <s v="KP/000927"/>
        <s v="KP/001577"/>
      </sharedItems>
    </cacheField>
    <cacheField name="hoofdthema" numFmtId="0">
      <sharedItems/>
    </cacheField>
    <cacheField name="subthema" numFmtId="0">
      <sharedItems count="9">
        <s v="Fiets"/>
        <s v="Gevaarlijke Punt"/>
        <s v="Hoppinpunt"/>
        <s v="&lt;null&gt;"/>
        <s v="Schoolroute"/>
        <s v="Mia Proeftuin"/>
        <s v="Verkeersonveilige Situatie"/>
        <s v="Onaangepaste Halte Ov"/>
        <s v="Slechte Staat Bruggen"/>
      </sharedItems>
    </cacheField>
    <cacheField name="ingreep_id" numFmtId="0">
      <sharedItems containsSemiMixedTypes="0" containsString="0" containsNumber="1" containsInteger="1" minValue="1" maxValue="3503"/>
    </cacheField>
    <cacheField name="ingreepnummer" numFmtId="0">
      <sharedItems/>
    </cacheField>
    <cacheField name="ingreep_titel" numFmtId="0">
      <sharedItems/>
    </cacheField>
    <cacheField name="ingreep_omschrijving" numFmtId="0">
      <sharedItems containsBlank="1"/>
    </cacheField>
    <cacheField name="ingreep_type" numFmtId="0">
      <sharedItems/>
    </cacheField>
    <cacheField name="ingreep_aidnummer" numFmtId="0">
      <sharedItems/>
    </cacheField>
    <cacheField name="opgevolgd_in_bod" numFmtId="0">
      <sharedItems/>
    </cacheField>
    <cacheField name="opgevolgd_in_bod_omschrijving" numFmtId="0">
      <sharedItems/>
    </cacheField>
    <cacheField name="financiele_planning_jaar" numFmtId="0">
      <sharedItems containsMixedTypes="1" containsNumber="1" containsInteger="1" minValue="2018" maxValue="2026"/>
    </cacheField>
    <cacheField name="financiele_planning_kwartaal" numFmtId="0">
      <sharedItems containsMixedTypes="1" containsNumber="1" containsInteger="1" minValue="2022" maxValue="2022"/>
    </cacheField>
    <cacheField name="rubriek_raming" numFmtId="0">
      <sharedItems/>
    </cacheField>
    <cacheField name="toelichting_raming" numFmtId="0">
      <sharedItems containsBlank="1" containsMixedTypes="1" containsNumber="1" containsInteger="1" minValue="41641" maxValue="41759"/>
    </cacheField>
    <cacheField name="knelpunt_percentage_raming" numFmtId="0">
      <sharedItems containsBlank="1" containsMixedTypes="1" containsNumber="1" minValue="0" maxValue="100"/>
    </cacheField>
    <cacheField name="ordegrootte_bedrag" numFmtId="0">
      <sharedItems containsString="0" containsBlank="1" containsNumber="1" minValue="0" maxValue="35000000"/>
    </cacheField>
    <cacheField name="geraamde_bedrag_kim" numFmtId="0">
      <sharedItems containsString="0" containsBlank="1" containsNumber="1" minValue="0" maxValue="35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47">
  <r>
    <x v="0"/>
    <x v="0"/>
    <s v="Fiets"/>
    <x v="0"/>
    <n v="1"/>
    <s v="IN/000001"/>
    <s v="Structureel Onderhoud - conforme fietspaden in Geel, Dessel, Retie opN118  1.2 - 12.5"/>
    <s v="beton vervangen door asfalt en iets breder aanleggen (tot 1.75 m) - zeer eenvoudig uit te breiden, maar wel een lang tracé"/>
    <s v="Structurele Ingreep"/>
    <s v="WA/INV/N118/6"/>
    <b v="0"/>
    <s v="Ingreep wordt niet opgevolgd in BOD"/>
    <s v="&lt;null&gt;"/>
    <s v="&lt;null&gt;"/>
    <s v="&lt;null&gt;"/>
    <s v="&lt;null&gt;"/>
    <s v="&lt;null&gt;"/>
    <x v="0"/>
    <s v="&lt;null&gt;"/>
    <s v="&lt;null&gt;"/>
    <s v="&lt;null&gt;"/>
    <s v="&lt;null&gt;"/>
    <n v="100"/>
    <s v="&lt;null&gt;"/>
    <s v="&lt;null&gt;"/>
    <s v="&lt;null&gt;"/>
    <s v="&lt;null&gt;"/>
    <m/>
    <m/>
    <m/>
    <m/>
  </r>
  <r>
    <x v="1"/>
    <x v="1"/>
    <s v="Fiets"/>
    <x v="0"/>
    <n v="2"/>
    <s v="IN/000002"/>
    <s v="Structureel Onderhoud - conforme fietspaden in Kapellen opN11  3.7 - 5.4"/>
    <s v="beton naar asfalt"/>
    <s v="Kleine Ingreep"/>
    <s v="WA/INV/N11/2"/>
    <b v="1"/>
    <s v="Ingreep wordt opgevolgd in BOD"/>
    <n v="11021"/>
    <s v="AWV/INV/2021/1_P1"/>
    <n v="84101"/>
    <n v="21022702"/>
    <s v="&lt;p&gt;Relance fiets Antwerpen&lt;/p&gt;"/>
    <x v="1"/>
    <n v="5770"/>
    <s v="Structureel Onderhoud - conforme fietspaden in Kapellen opN11 3.7 - 5.4"/>
    <s v="&lt;null&gt;"/>
    <s v="WA/INV/N11/2"/>
    <n v="100"/>
    <n v="342157.38"/>
    <n v="295735.07081"/>
    <n v="0.03"/>
    <n v="0"/>
    <n v="342157.38"/>
    <n v="295735.07081"/>
    <n v="0.03"/>
    <n v="0"/>
  </r>
  <r>
    <x v="2"/>
    <x v="2"/>
    <s v="Verkeersveiligheid"/>
    <x v="1"/>
    <n v="2"/>
    <s v="IN/000002"/>
    <s v="Structureel Onderhoud - conforme fietspaden in Kapellen opN11  3.7 - 5.4"/>
    <s v="beton naar asfalt"/>
    <s v="Kleine Ingreep"/>
    <s v="WA/INV/N11/2"/>
    <b v="1"/>
    <s v="Ingreep wordt opgevolgd in BOD"/>
    <n v="11021"/>
    <s v="AWV/INV/2021/1_P1"/>
    <n v="84101"/>
    <n v="21022702"/>
    <s v="&lt;p&gt;Relance fiets Antwerpen&lt;/p&gt;"/>
    <x v="1"/>
    <n v="5770"/>
    <s v="Structureel Onderhoud - conforme fietspaden in Kapellen opN11 3.7 - 5.4"/>
    <s v="&lt;null&gt;"/>
    <s v="WA/INV/N11/2"/>
    <n v="0"/>
    <n v="342157.38"/>
    <n v="295735.07081"/>
    <n v="0.03"/>
    <n v="0"/>
    <n v="0"/>
    <n v="0"/>
    <n v="0"/>
    <n v="0"/>
  </r>
  <r>
    <x v="3"/>
    <x v="3"/>
    <s v="Stimuleren Combimobiliteit"/>
    <x v="2"/>
    <n v="2"/>
    <s v="IN/000002"/>
    <s v="Structureel Onderhoud - conforme fietspaden in Kapellen opN11  3.7 - 5.4"/>
    <s v="beton naar asfalt"/>
    <s v="Kleine Ingreep"/>
    <s v="WA/INV/N11/2"/>
    <b v="1"/>
    <s v="Ingreep wordt opgevolgd in BOD"/>
    <n v="11021"/>
    <s v="AWV/INV/2021/1_P1"/>
    <n v="84101"/>
    <n v="21022702"/>
    <s v="&lt;p&gt;Relance fiets Antwerpen&lt;/p&gt;"/>
    <x v="1"/>
    <n v="5770"/>
    <s v="Structureel Onderhoud - conforme fietspaden in Kapellen opN11 3.7 - 5.4"/>
    <s v="&lt;null&gt;"/>
    <s v="WA/INV/N11/2"/>
    <n v="0"/>
    <n v="342157.38"/>
    <n v="295735.07081"/>
    <n v="0.03"/>
    <n v="0"/>
    <n v="0"/>
    <n v="0"/>
    <n v="0"/>
    <n v="0"/>
  </r>
  <r>
    <x v="4"/>
    <x v="4"/>
    <s v="Fiets"/>
    <x v="0"/>
    <n v="3"/>
    <s v="IN/000003"/>
    <s v="Structureel Onderhoud - conforme fietspaden in Lille opN140  7.0 - 11.0"/>
    <s v="verzakte betonplaten vervangen door beton (cfr rest Lille), eventueel verbreden naar 1.75 m"/>
    <s v="Structurele Ingreep"/>
    <s v="WA/INV/N140/4"/>
    <b v="0"/>
    <s v="Ingreep wordt niet opgevolgd in BOD"/>
    <s v="&lt;null&gt;"/>
    <s v="&lt;null&gt;"/>
    <s v="&lt;null&gt;"/>
    <s v="&lt;null&gt;"/>
    <s v="&lt;null&gt;"/>
    <x v="0"/>
    <s v="&lt;null&gt;"/>
    <s v="&lt;null&gt;"/>
    <s v="&lt;null&gt;"/>
    <s v="&lt;null&gt;"/>
    <n v="100"/>
    <s v="&lt;null&gt;"/>
    <s v="&lt;null&gt;"/>
    <s v="&lt;null&gt;"/>
    <s v="&lt;null&gt;"/>
    <m/>
    <m/>
    <m/>
    <m/>
  </r>
  <r>
    <x v="5"/>
    <x v="5"/>
    <s v="Fiets"/>
    <x v="0"/>
    <n v="4"/>
    <s v="IN/000004"/>
    <s v="Structureel Onderhoud - conforme fietspaden in Wijnegem opN112  3.9 - 3.5"/>
    <s v="Vernieuwen fietspad"/>
    <s v="Kleine Ingreep"/>
    <s v="WA/INV/N112/1"/>
    <b v="1"/>
    <s v="Ingreep wordt opgevolgd in BOD"/>
    <n v="11021"/>
    <s v="AWV/INV/2021/1_P1"/>
    <n v="84101"/>
    <n v="21022702"/>
    <s v="&lt;p&gt;Relance fiets Antwerpen&lt;/p&gt;"/>
    <x v="1"/>
    <n v="5775"/>
    <s v="Structureel Onderhoud - conforme fietspaden in Wijnegem opN112 3.9 - 3.5"/>
    <s v="&lt;null&gt;"/>
    <s v="WA/INV/N112/1"/>
    <n v="100"/>
    <n v="67909.55"/>
    <n v="42108.650999999998"/>
    <n v="0"/>
    <n v="0"/>
    <n v="67909.55"/>
    <n v="42108.650999999998"/>
    <n v="0"/>
    <n v="0"/>
  </r>
  <r>
    <x v="6"/>
    <x v="6"/>
    <s v="Fiets"/>
    <x v="0"/>
    <n v="5"/>
    <s v="IN/000005"/>
    <s v="Structureel Onderhoud - conforme fietspaden in Sint-Truiden opN3  62.5 - 63.3"/>
    <s v="km 62,5-63,3: beton opbreken en vervangen door KWS, mogelijk nog iets verbreden"/>
    <s v="Kleine Ingreep"/>
    <s v="WL/INV/N3/6"/>
    <b v="1"/>
    <s v="Ingreep wordt opgevolgd in BOD"/>
    <n v="10814"/>
    <s v="AWV/INV/2021/1_P5"/>
    <n v="79551"/>
    <n v="21022941"/>
    <s v="&lt;p&gt;Relance plan fiets.&lt;/p&gt;"/>
    <x v="2"/>
    <n v="5405"/>
    <s v="Sint-Truiden - N3 kmpt 62.500 - 63.300"/>
    <s v="&lt;null&gt;"/>
    <s v="WL/INV/N3/6"/>
    <n v="100"/>
    <n v="126435.84"/>
    <n v="0"/>
    <n v="0"/>
    <n v="6566.07"/>
    <n v="126435.84"/>
    <n v="0"/>
    <n v="0"/>
    <n v="6566.07"/>
  </r>
  <r>
    <x v="7"/>
    <x v="7"/>
    <s v="Fiets"/>
    <x v="0"/>
    <n v="6"/>
    <s v="IN/000006"/>
    <s v="Structureel Onderhoud - conforme fietspaden in Diepenbeek opN702  3.7 - 4.4"/>
    <s v="beton opbreken en vervangen door KWS, mogelijk nog iets verbreden"/>
    <s v="Kleine Ingreep"/>
    <s v="WL/INV/N702/3"/>
    <b v="1"/>
    <s v="Ingreep wordt opgevolgd in BOD"/>
    <n v="10814"/>
    <s v="AWV/INV/2021/1_P5"/>
    <n v="79551"/>
    <n v="21022941"/>
    <s v="&lt;p&gt;Relance plan fiets.&lt;/p&gt;"/>
    <x v="2"/>
    <n v="5407"/>
    <s v="Diepenbeek - N702 kmpt 4.000 - 4.400"/>
    <s v="&lt;null&gt;"/>
    <s v="WL/INV/N702/3"/>
    <n v="100"/>
    <n v="49599.94"/>
    <n v="8286.16"/>
    <n v="0"/>
    <n v="41313.78"/>
    <n v="49599.94"/>
    <n v="8286.16"/>
    <n v="0"/>
    <n v="41313.78"/>
  </r>
  <r>
    <x v="8"/>
    <x v="8"/>
    <s v="Fiets"/>
    <x v="0"/>
    <n v="7"/>
    <s v="IN/000007"/>
    <s v="Structureel Onderhoud - conforme fietspaden in Genk opN726  0.0 - 0.8"/>
    <s v="km 0-0,8 : asfalt affrezen, verbreden en nieuwe toplaag"/>
    <s v="Kleine Ingreep"/>
    <s v="WL/INV/N726/2"/>
    <b v="1"/>
    <s v="Ingreep wordt opgevolgd in BOD"/>
    <n v="10814"/>
    <s v="AWV/INV/2021/1_P5"/>
    <n v="79551"/>
    <n v="21022941"/>
    <s v="&lt;p&gt;Relance plan fiets.&lt;/p&gt;"/>
    <x v="2"/>
    <n v="5410"/>
    <s v="Genk - N726 kmpt 0.000 - 0.800"/>
    <s v="&lt;null&gt;"/>
    <s v="WL/INV/N726/2"/>
    <n v="100"/>
    <n v="110675.59"/>
    <n v="110675.59"/>
    <n v="0"/>
    <n v="0"/>
    <n v="110675.59"/>
    <n v="110675.59"/>
    <n v="0"/>
    <n v="0"/>
  </r>
  <r>
    <x v="9"/>
    <x v="9"/>
    <s v="Fiets"/>
    <x v="0"/>
    <n v="8"/>
    <s v="IN/000008"/>
    <s v="Structureel Onderhoud - conforme fietspaden in As opN730  27.4 - 28.3"/>
    <s v="Vervangen klinkers door asfalt, plaatselijk greppel en boordsteen vervangen"/>
    <s v="Kleine Ingreep"/>
    <s v="WL/INV/N730/8"/>
    <b v="1"/>
    <s v="Ingreep wordt opgevolgd in BOD"/>
    <n v="10814"/>
    <s v="AWV/INV/2021/1_P5"/>
    <n v="79551"/>
    <n v="21022941"/>
    <s v="&lt;p&gt;Relance plan fiets.&lt;/p&gt;"/>
    <x v="2"/>
    <n v="5394"/>
    <s v="As - N730 kmpt 27.300 - 28.260"/>
    <s v="&lt;null&gt;"/>
    <s v="WL/INV/N730/8"/>
    <n v="100"/>
    <n v="291374.59999999998"/>
    <n v="259896.97519999999"/>
    <n v="0"/>
    <n v="31477.624800000001"/>
    <n v="291374.59999999998"/>
    <n v="259896.97519999999"/>
    <n v="0"/>
    <n v="31477.624800000001"/>
  </r>
  <r>
    <x v="10"/>
    <x v="10"/>
    <s v="Fiets"/>
    <x v="0"/>
    <n v="9"/>
    <s v="IN/000009"/>
    <s v="Structureel Onderhoud - conforme fietspaden in Oudsbergen opN730  30.8 - 35.6"/>
    <s v="km 33,3-33,9 nieuwe toplaag"/>
    <s v="Kleine Ingreep"/>
    <s v="WL/INV/N730/9"/>
    <b v="1"/>
    <s v="Ingreep wordt opgevolgd in BOD"/>
    <n v="10814"/>
    <s v="AWV/INV/2021/1_P5"/>
    <n v="79551"/>
    <n v="21022941"/>
    <s v="&lt;p&gt;Relance plan fiets.&lt;/p&gt;"/>
    <x v="2"/>
    <n v="5399"/>
    <s v="Oudsbergen - N730 kmpt 33.328 - 33.878"/>
    <s v="&lt;null&gt;"/>
    <s v="WL/INV/N730/9"/>
    <n v="100"/>
    <n v="33573.440000000002"/>
    <n v="22410.2762"/>
    <n v="0"/>
    <n v="11163.1638"/>
    <n v="33573.440000000002"/>
    <n v="22410.2762"/>
    <n v="0"/>
    <n v="11163.1638"/>
  </r>
  <r>
    <x v="11"/>
    <x v="11"/>
    <s v="Fiets"/>
    <x v="0"/>
    <n v="10"/>
    <s v="IN/000010"/>
    <s v="Structureel Onderhoud - conforme fietspaden in As, Dilsen opN75  20.7 - 26.3"/>
    <s v="Verbreden &amp; vernieuwen fietspad; op parkeerstrook"/>
    <s v="Kleine Ingreep"/>
    <s v="WL/INV/N75/6"/>
    <b v="1"/>
    <s v="Ingreep wordt opgevolgd in BOD"/>
    <n v="10814"/>
    <s v="AWV/INV/2021/1_P5"/>
    <n v="79551"/>
    <n v="21022941"/>
    <s v="&lt;p&gt;Relance plan fiets.&lt;/p&gt;"/>
    <x v="2"/>
    <n v="5420"/>
    <s v="Dilsen - N75 - 21.500 - 26.300"/>
    <s v="&lt;null&gt;"/>
    <s v="WL/INV/N75/6"/>
    <n v="100"/>
    <n v="1467784.56"/>
    <n v="612609.27399999998"/>
    <n v="0"/>
    <n v="779470.12"/>
    <n v="1467784.56"/>
    <n v="612609.27399999998"/>
    <n v="0"/>
    <n v="779470.12"/>
  </r>
  <r>
    <x v="12"/>
    <x v="12"/>
    <s v="Fiets"/>
    <x v="0"/>
    <n v="11"/>
    <s v="IN/000011"/>
    <s v="Structureel Onderhoud - conforme fietspaden in Genk opN750  4.5 - 5.55"/>
    <s v="Vernieuwen fietspad"/>
    <s v="Kleine Ingreep"/>
    <s v="WL/INV/N750/4"/>
    <b v="1"/>
    <s v="Ingreep wordt opgevolgd in BOD"/>
    <n v="10814"/>
    <s v="AWV/INV/2021/1_P5"/>
    <n v="79551"/>
    <n v="21022941"/>
    <s v="&lt;p&gt;Relance plan fiets.&lt;/p&gt;"/>
    <x v="2"/>
    <n v="5421"/>
    <s v="Genk-Zutendaal - N750 kmpt 4.500 - 6.250"/>
    <s v="&lt;null&gt;"/>
    <s v="WL/INV/N750/4"/>
    <n v="100"/>
    <n v="146695.57999999999"/>
    <n v="93487.5573"/>
    <n v="0"/>
    <n v="53208.022700000001"/>
    <n v="146695.57999999999"/>
    <n v="93487.5573"/>
    <n v="0"/>
    <n v="53208.022700000001"/>
  </r>
  <r>
    <x v="13"/>
    <x v="13"/>
    <s v="Fiets"/>
    <x v="0"/>
    <n v="12"/>
    <s v="IN/000012"/>
    <s v="Structureel Onderhoud - conforme fietspaden in Borgloon opN754  21.4 - 22.6"/>
    <s v="beton opbreken en vervangen door KWS, mogelijk nog iets verbreden"/>
    <s v="Kleine Ingreep"/>
    <s v="WL/INV/N754/3"/>
    <b v="1"/>
    <s v="Ingreep wordt opgevolgd in BOD"/>
    <n v="10814"/>
    <s v="AWV/INV/2021/1_P5"/>
    <n v="79551"/>
    <n v="21022941"/>
    <s v="&lt;p&gt;Relance plan fiets.&lt;/p&gt;"/>
    <x v="2"/>
    <n v="5404"/>
    <s v="Borgloon - N754 kmpt 21.330 - 22.174"/>
    <s v="&lt;null&gt;"/>
    <s v="WL/INV/N754/3"/>
    <n v="100"/>
    <n v="137379.59"/>
    <n v="137317.2978"/>
    <n v="0"/>
    <n v="62.292200000000001"/>
    <n v="137379.59"/>
    <n v="137317.2978"/>
    <n v="0"/>
    <n v="62.292200000000001"/>
  </r>
  <r>
    <x v="14"/>
    <x v="14"/>
    <s v="Fiets"/>
    <x v="0"/>
    <n v="13"/>
    <s v="IN/000013"/>
    <s v="Structureel Onderhoud - conforme fietspaden in Borgloon opN76  1.5 - 5.5"/>
    <s v="beton vervangen door KWS"/>
    <s v="Kleine Ingreep"/>
    <s v="WL/INV/N76/10"/>
    <b v="1"/>
    <s v="Ingreep wordt opgevolgd in BOD"/>
    <n v="10814"/>
    <s v="AWV/INV/2021/1_P5"/>
    <n v="79551"/>
    <n v="21022941"/>
    <s v="&lt;p&gt;Relance plan fiets.&lt;/p&gt;"/>
    <x v="2"/>
    <n v="5406"/>
    <s v="Borgloon - N76 kmpt 1.883 - 5.830"/>
    <s v="&lt;null&gt;"/>
    <s v="WL/INV/N76/10"/>
    <n v="100"/>
    <n v="809659.78"/>
    <n v="0"/>
    <n v="0"/>
    <n v="7132.17"/>
    <n v="809659.78"/>
    <n v="0"/>
    <n v="0"/>
    <n v="7132.17"/>
  </r>
  <r>
    <x v="15"/>
    <x v="15"/>
    <s v="Fiets"/>
    <x v="0"/>
    <n v="14"/>
    <s v="IN/000014"/>
    <s v="Structureel Onderhoud - conforme fietspaden in Oudsbergen opN76  33.3 - 33.9"/>
    <s v="30,8-35,6 : nieuwe toplaag en scheurremmer"/>
    <s v="Kleine Ingreep"/>
    <s v="WL/INV/N76/11"/>
    <b v="1"/>
    <s v="Ingreep wordt opgevolgd in BOD"/>
    <n v="10814"/>
    <s v="AWV/INV/2021/1_P5"/>
    <n v="79551"/>
    <n v="21022941"/>
    <s v="&lt;p&gt;Relance plan fiets.&lt;/p&gt;"/>
    <x v="2"/>
    <n v="5398"/>
    <s v="Oudsbergen - N76 kmpt 30.800 - 35.600"/>
    <s v="&lt;null&gt;"/>
    <s v="WL/INV/N76/11"/>
    <n v="100"/>
    <n v="178241.49"/>
    <n v="148118.1709"/>
    <n v="0"/>
    <n v="30123.319100000001"/>
    <n v="178241.49"/>
    <n v="148118.1709"/>
    <n v="0"/>
    <n v="30123.319100000001"/>
  </r>
  <r>
    <x v="16"/>
    <x v="16"/>
    <s v="Fiets"/>
    <x v="0"/>
    <n v="15"/>
    <s v="IN/000015"/>
    <s v="Structureel Onderhoud - conforme fietspaden in Diepenbeek opN774  0.0 - 0.1"/>
    <s v="Verbreden &amp; vernieuwen fietspad"/>
    <s v="Kleine Ingreep"/>
    <s v="WL/INV/N774/1"/>
    <b v="1"/>
    <s v="Ingreep wordt opgevolgd in BOD"/>
    <n v="10814"/>
    <s v="AWV/INV/2021/1_P5"/>
    <n v="79551"/>
    <n v="21022941"/>
    <s v="&lt;p&gt;Relance plan fiets.&lt;/p&gt;"/>
    <x v="2"/>
    <n v="5422"/>
    <s v="Diepenbeek - N774 kmpt 0.00 - 4.000"/>
    <s v="&lt;null&gt;"/>
    <s v="WL/INV/N774/1"/>
    <n v="100"/>
    <n v="114344.09"/>
    <n v="93261.213199999998"/>
    <n v="-2501.9520000000002"/>
    <n v="17763.150000000001"/>
    <n v="114344.09"/>
    <n v="93261.213199999998"/>
    <n v="-2501.9520000000002"/>
    <n v="17763.150000000001"/>
  </r>
  <r>
    <x v="17"/>
    <x v="17"/>
    <s v="Fiets"/>
    <x v="0"/>
    <n v="16"/>
    <s v="IN/000016"/>
    <s v="Structureel Onderhoud - conforme fietspaden in Aalter opN409  4.84 - 6.5"/>
    <s v="&lt;null&gt;"/>
    <s v="Kleine Ingreep"/>
    <s v="WOV/INV/N409/2"/>
    <b v="1"/>
    <s v="Ingreep wordt opgevolgd in BOD"/>
    <s v="&lt;null&gt;"/>
    <s v="&lt;null&gt;"/>
    <n v="87651"/>
    <n v="21022940"/>
    <s v="&lt;p&gt;structureel onderhoud fietspaden ihkv relancemaatregelen&lt;/p&gt;"/>
    <x v="2"/>
    <n v="6423"/>
    <s v="N409 tussen 4,84 en 6,5 afl"/>
    <s v="&lt;null&gt;"/>
    <s v="WOV/INV/N409/2"/>
    <n v="100"/>
    <n v="253956.2"/>
    <n v="0"/>
    <n v="0"/>
    <n v="253956.2"/>
    <n v="253956.2"/>
    <n v="0"/>
    <n v="0"/>
    <n v="253956.2"/>
  </r>
  <r>
    <x v="18"/>
    <x v="18"/>
    <s v="&lt;null&gt;"/>
    <x v="3"/>
    <n v="17"/>
    <s v="IN/000017"/>
    <s v="Structureel Onderhoud - conforme fietspaden in Wetteren opN417  0.0 - 3.1"/>
    <s v="&lt;null&gt;"/>
    <s v="Structurele Ingreep"/>
    <s v="WOV/INV/N417/1"/>
    <b v="0"/>
    <s v="Ingreep wordt niet opgevolgd in BOD"/>
    <s v="&lt;null&gt;"/>
    <s v="&lt;null&gt;"/>
    <s v="&lt;null&gt;"/>
    <s v="&lt;null&gt;"/>
    <s v="&lt;null&gt;"/>
    <x v="0"/>
    <s v="&lt;null&gt;"/>
    <s v="&lt;null&gt;"/>
    <s v="&lt;null&gt;"/>
    <s v="&lt;null&gt;"/>
    <s v="&lt;null&gt;"/>
    <s v="&lt;null&gt;"/>
    <s v="&lt;null&gt;"/>
    <s v="&lt;null&gt;"/>
    <s v="&lt;null&gt;"/>
    <m/>
    <m/>
    <m/>
    <m/>
  </r>
  <r>
    <x v="19"/>
    <x v="19"/>
    <s v="Fiets"/>
    <x v="0"/>
    <n v="18"/>
    <s v="IN/000018"/>
    <s v="Structureel Onderhoud - conforme fietspaden in Gent opN424  9.0 - 3.2"/>
    <s v="&lt;null&gt;"/>
    <s v="Kleine Ingreep"/>
    <s v="WOV/INV/N424/4"/>
    <b v="1"/>
    <s v="Ingreep wordt opgevolgd in BOD"/>
    <s v="&lt;null&gt;"/>
    <s v="&lt;null&gt;"/>
    <n v="87651"/>
    <n v="21022940"/>
    <s v="&lt;p&gt;structureel onderhoud fietspaden ihkv relancemaatregelen&lt;/p&gt;"/>
    <x v="2"/>
    <n v="6421"/>
    <s v="N424 tussen 2,98 en 3,21 afl"/>
    <s v="&lt;null&gt;"/>
    <s v="WOV/INV/N424/4"/>
    <n v="100"/>
    <n v="40260.85"/>
    <n v="0"/>
    <n v="0"/>
    <n v="40260.85"/>
    <n v="40260.85"/>
    <n v="0"/>
    <n v="0"/>
    <n v="40260.85"/>
  </r>
  <r>
    <x v="20"/>
    <x v="20"/>
    <s v="Fiets"/>
    <x v="0"/>
    <n v="19"/>
    <s v="IN/000019"/>
    <s v="Structureel Onderhoud - conforme fietspaden in Lokeren opN70  19.2 - 20.1"/>
    <s v="&lt;null&gt;"/>
    <s v="Kleine Ingreep"/>
    <s v="WOV/INV/N70/7"/>
    <b v="1"/>
    <s v="Ingreep wordt opgevolgd in BOD"/>
    <n v="11115"/>
    <s v="AWV/INV/2021/1_P4"/>
    <n v="87651"/>
    <n v="21022940"/>
    <s v="&lt;p&gt;structureel onderhoud fietspaden ihkv relancemaatregelen&lt;/p&gt;"/>
    <x v="2"/>
    <n v="6412"/>
    <s v="N 70 tussen 19,18 en 20,07"/>
    <s v="&lt;null&gt;"/>
    <s v="WOV/INV/N70/7"/>
    <n v="100"/>
    <n v="145721"/>
    <n v="0"/>
    <n v="0"/>
    <n v="145721"/>
    <n v="145721"/>
    <n v="0"/>
    <n v="0"/>
    <n v="145721"/>
  </r>
  <r>
    <x v="21"/>
    <x v="21"/>
    <s v="Fiets"/>
    <x v="0"/>
    <n v="20"/>
    <s v="IN/000020"/>
    <s v="Structureel Onderhoud - conforme fietspaden in Melle opN9  47.9 - 49.0"/>
    <s v="&lt;null&gt;"/>
    <s v="Kleine Ingreep"/>
    <s v="WOV/INV/N9/14"/>
    <b v="1"/>
    <s v="Ingreep wordt opgevolgd in BOD"/>
    <s v="&lt;null&gt;"/>
    <s v="&lt;null&gt;"/>
    <n v="87651"/>
    <n v="21022940"/>
    <s v="&lt;p&gt;structureel onderhoud fietspaden ihkv relancemaatregelen&lt;/p&gt;"/>
    <x v="2"/>
    <n v="6424"/>
    <s v="N9 tussen 47.9 en 49 opl. melle"/>
    <s v="&lt;null&gt;"/>
    <s v="WOV/INV/N9/14"/>
    <n v="100"/>
    <n v="117090.64"/>
    <n v="0"/>
    <n v="0"/>
    <n v="117090.64"/>
    <n v="117090.64"/>
    <n v="0"/>
    <n v="0"/>
    <n v="117090.64"/>
  </r>
  <r>
    <x v="22"/>
    <x v="22"/>
    <s v="Fiets"/>
    <x v="0"/>
    <n v="21"/>
    <s v="IN/000021"/>
    <s v="Structureel Onderhoud - conforme fietspaden in Tienen opN223  19.1 - 20.5"/>
    <s v="Klinkers vervangen door KWS (nieuwe boordsteen achter fietspad nodig) &amp;  overgangen met zijstraten vloeiend maken"/>
    <s v="Kleine Ingreep"/>
    <s v="WVB/INV/N223/3"/>
    <b v="1"/>
    <s v="Ingreep wordt opgevolgd in BOD"/>
    <n v="10964"/>
    <s v="AWV/INV/2021/1_P2"/>
    <n v="82601"/>
    <n v="21022713"/>
    <s v="&lt;p&gt;Relance fiets&lt;/p&gt;"/>
    <x v="0"/>
    <n v="5627"/>
    <s v="N223 Tienen - Kevin Marvin"/>
    <s v="&lt;null&gt;"/>
    <s v="WVB/INV/N223/3"/>
    <n v="100"/>
    <n v="255721.56"/>
    <n v="0"/>
    <n v="0"/>
    <n v="0"/>
    <n v="255721.56"/>
    <n v="0"/>
    <n v="0"/>
    <n v="0"/>
  </r>
  <r>
    <x v="18"/>
    <x v="18"/>
    <s v="&lt;null&gt;"/>
    <x v="3"/>
    <n v="22"/>
    <s v="IN/000022"/>
    <s v="MAG GEWIST WORDEN"/>
    <s v="Dubbelrichting asfaltfietspad op belangrijke schoolroute."/>
    <s v="Structurele Ingreep"/>
    <s v="&lt;null&gt;"/>
    <b v="0"/>
    <s v="Ingreep wordt niet opgevolgd in BOD"/>
    <s v="&lt;null&gt;"/>
    <s v="&lt;null&gt;"/>
    <s v="&lt;null&gt;"/>
    <s v="&lt;null&gt;"/>
    <s v="&lt;null&gt;"/>
    <x v="0"/>
    <s v="&lt;null&gt;"/>
    <s v="&lt;null&gt;"/>
    <s v="&lt;null&gt;"/>
    <s v="&lt;null&gt;"/>
    <s v="&lt;null&gt;"/>
    <s v="&lt;null&gt;"/>
    <s v="&lt;null&gt;"/>
    <s v="&lt;null&gt;"/>
    <s v="&lt;null&gt;"/>
    <m/>
    <m/>
    <m/>
    <m/>
  </r>
  <r>
    <x v="23"/>
    <x v="23"/>
    <s v="Fiets"/>
    <x v="0"/>
    <n v="23"/>
    <s v="IN/000023"/>
    <s v="Structureel Onderhoud - conforme fietspaden in Boutersem opN234  1.9 - 2.2"/>
    <s v="Aanleg nieuw fietspad in beide richtingen/ ombouw parkeerstrook naar fietspad. Beveiligen fietspad thv oversteken op en afritten."/>
    <s v="Kleine Ingreep"/>
    <s v="WVB/INV/N234/2"/>
    <b v="1"/>
    <s v="Ingreep wordt opgevolgd in BOD"/>
    <n v="10964"/>
    <s v="AWV/INV/2021/1_P2"/>
    <n v="82601"/>
    <n v="21022713"/>
    <s v="&lt;p&gt;Relance fiets&lt;/p&gt;"/>
    <x v="0"/>
    <n v="5630"/>
    <s v="N234 Boutersem - Pieter-Jan Trappeniers"/>
    <s v="&lt;null&gt;"/>
    <s v="WVB/INV/N234/2"/>
    <n v="100"/>
    <n v="80922.740000000005"/>
    <n v="0"/>
    <n v="80922.740000000005"/>
    <n v="0"/>
    <n v="80922.740000000005"/>
    <n v="0"/>
    <n v="80922.740000000005"/>
    <n v="0"/>
  </r>
  <r>
    <x v="24"/>
    <x v="24"/>
    <s v="Fiets"/>
    <x v="0"/>
    <n v="24"/>
    <s v="IN/000024"/>
    <s v="Structureel Onderhoud - conforme fietspaden in Rotselaar opN229  2.18 - 2.3"/>
    <s v="Klinkers vervangen door asfalt"/>
    <s v="Kleine Ingreep"/>
    <s v="WVB/INV/N229/3"/>
    <b v="1"/>
    <s v="Ingreep wordt opgevolgd in BOD"/>
    <n v="7364"/>
    <s v="X21/0/465"/>
    <n v="76251"/>
    <n v="21021122"/>
    <s v="&lt;p&gt;relance fiets N229&lt;/p&gt;"/>
    <x v="2"/>
    <n v="5071"/>
    <s v="&lt;null&gt;"/>
    <s v="&lt;p&gt;relance fiets N229&lt;/p&gt;"/>
    <s v="WVB/INV/N229/3"/>
    <n v="100"/>
    <n v="14924.84"/>
    <n v="14826.3714"/>
    <n v="0"/>
    <n v="98.468599999999995"/>
    <n v="14924.84"/>
    <n v="14826.3714"/>
    <n v="0"/>
    <n v="98.468599999999995"/>
  </r>
  <r>
    <x v="25"/>
    <x v="25"/>
    <s v="Fiets"/>
    <x v="0"/>
    <n v="25"/>
    <s v="IN/000025"/>
    <s v="Structureel Onderhoud - conforme fietspaden in Ieper opN331  0.0 - 7.4"/>
    <s v="&lt;null&gt;"/>
    <s v="Kleine Ingreep"/>
    <s v="WWV/INV/N331/3"/>
    <b v="0"/>
    <s v="Ingreep wordt niet opgevolgd in BOD"/>
    <s v="&lt;null&gt;"/>
    <s v="&lt;null&gt;"/>
    <s v="&lt;null&gt;"/>
    <s v="&lt;null&gt;"/>
    <s v="&lt;null&gt;"/>
    <x v="0"/>
    <s v="&lt;null&gt;"/>
    <s v="&lt;null&gt;"/>
    <s v="&lt;null&gt;"/>
    <s v="&lt;null&gt;"/>
    <n v="99"/>
    <s v="&lt;null&gt;"/>
    <s v="&lt;null&gt;"/>
    <s v="&lt;null&gt;"/>
    <s v="&lt;null&gt;"/>
    <m/>
    <m/>
    <m/>
    <m/>
  </r>
  <r>
    <x v="26"/>
    <x v="26"/>
    <s v="Verkeersveiligheid"/>
    <x v="4"/>
    <n v="25"/>
    <s v="IN/000025"/>
    <s v="Structureel Onderhoud - conforme fietspaden in Ieper opN331  0.0 - 7.4"/>
    <s v="&lt;null&gt;"/>
    <s v="Kleine Ingreep"/>
    <s v="WWV/INV/N331/3"/>
    <b v="0"/>
    <s v="Ingreep wordt niet opgevolgd in BOD"/>
    <s v="&lt;null&gt;"/>
    <s v="&lt;null&gt;"/>
    <s v="&lt;null&gt;"/>
    <s v="&lt;null&gt;"/>
    <s v="&lt;null&gt;"/>
    <x v="0"/>
    <s v="&lt;null&gt;"/>
    <s v="&lt;null&gt;"/>
    <s v="&lt;null&gt;"/>
    <s v="&lt;null&gt;"/>
    <n v="1"/>
    <s v="&lt;null&gt;"/>
    <s v="&lt;null&gt;"/>
    <s v="&lt;null&gt;"/>
    <s v="&lt;null&gt;"/>
    <m/>
    <m/>
    <m/>
    <m/>
  </r>
  <r>
    <x v="27"/>
    <x v="27"/>
    <s v="Fiets"/>
    <x v="0"/>
    <n v="26"/>
    <s v="IN/000026"/>
    <s v="Structureel Onderhoud - conforme fietspaden in Ieper opN8  102.1 - 113.5"/>
    <s v="&lt;null&gt;"/>
    <s v="Kleine Ingreep"/>
    <s v="WWV/INV/N8/34"/>
    <b v="0"/>
    <s v="Ingreep wordt niet opgevolgd in BOD"/>
    <s v="&lt;null&gt;"/>
    <s v="&lt;null&gt;"/>
    <s v="&lt;null&gt;"/>
    <s v="&lt;null&gt;"/>
    <s v="&lt;null&gt;"/>
    <x v="0"/>
    <s v="&lt;null&gt;"/>
    <s v="&lt;null&gt;"/>
    <s v="&lt;null&gt;"/>
    <s v="&lt;null&gt;"/>
    <n v="50"/>
    <s v="&lt;null&gt;"/>
    <s v="&lt;null&gt;"/>
    <s v="&lt;null&gt;"/>
    <s v="&lt;null&gt;"/>
    <m/>
    <m/>
    <m/>
    <m/>
  </r>
  <r>
    <x v="28"/>
    <x v="28"/>
    <s v="Fiets"/>
    <x v="0"/>
    <n v="26"/>
    <s v="IN/000026"/>
    <s v="Structureel Onderhoud - conforme fietspaden in Ieper opN8  102.1 - 113.5"/>
    <s v="&lt;null&gt;"/>
    <s v="Kleine Ingreep"/>
    <s v="WWV/INV/N8/34"/>
    <b v="0"/>
    <s v="Ingreep wordt niet opgevolgd in BOD"/>
    <s v="&lt;null&gt;"/>
    <s v="&lt;null&gt;"/>
    <s v="&lt;null&gt;"/>
    <s v="&lt;null&gt;"/>
    <s v="&lt;null&gt;"/>
    <x v="0"/>
    <s v="&lt;null&gt;"/>
    <s v="&lt;null&gt;"/>
    <s v="&lt;null&gt;"/>
    <s v="&lt;null&gt;"/>
    <n v="50"/>
    <s v="&lt;null&gt;"/>
    <s v="&lt;null&gt;"/>
    <s v="&lt;null&gt;"/>
    <s v="&lt;null&gt;"/>
    <m/>
    <m/>
    <m/>
    <m/>
  </r>
  <r>
    <x v="29"/>
    <x v="29"/>
    <s v="Fiets"/>
    <x v="0"/>
    <n v="27"/>
    <s v="IN/000027"/>
    <s v="Structureel Onderhoud - conforme fietspaden in Koksijde opN355  6.9 - 8.6"/>
    <s v="&lt;null&gt;"/>
    <s v="Kleine Ingreep"/>
    <s v="&lt;null&gt;"/>
    <b v="0"/>
    <s v="Ingreep wordt niet opgevolgd in BOD"/>
    <s v="&lt;null&gt;"/>
    <s v="&lt;null&gt;"/>
    <s v="&lt;null&gt;"/>
    <s v="&lt;null&gt;"/>
    <s v="&lt;null&gt;"/>
    <x v="0"/>
    <s v="&lt;null&gt;"/>
    <s v="&lt;null&gt;"/>
    <s v="&lt;null&gt;"/>
    <s v="&lt;null&gt;"/>
    <n v="100"/>
    <s v="&lt;null&gt;"/>
    <s v="&lt;null&gt;"/>
    <s v="&lt;null&gt;"/>
    <s v="&lt;null&gt;"/>
    <m/>
    <m/>
    <m/>
    <m/>
  </r>
  <r>
    <x v="30"/>
    <x v="30"/>
    <s v="Fiets"/>
    <x v="0"/>
    <n v="28"/>
    <s v="IN/000028"/>
    <s v="Structureel Onderhoud - conforme fietspaden in Langemark opN313  3.8 - 8.3"/>
    <s v="&lt;null&gt;"/>
    <s v="Structurele Ingreep"/>
    <s v="WWV/INV/N313/1"/>
    <b v="0"/>
    <s v="Ingreep wordt niet opgevolgd in BOD"/>
    <s v="&lt;null&gt;"/>
    <s v="&lt;null&gt;"/>
    <s v="&lt;null&gt;"/>
    <s v="&lt;null&gt;"/>
    <s v="&lt;null&gt;"/>
    <x v="0"/>
    <s v="&lt;null&gt;"/>
    <s v="&lt;null&gt;"/>
    <s v="&lt;null&gt;"/>
    <s v="&lt;null&gt;"/>
    <n v="100"/>
    <s v="&lt;null&gt;"/>
    <s v="&lt;null&gt;"/>
    <s v="&lt;null&gt;"/>
    <s v="&lt;null&gt;"/>
    <m/>
    <m/>
    <m/>
    <m/>
  </r>
  <r>
    <x v="31"/>
    <x v="31"/>
    <s v="Fiets"/>
    <x v="0"/>
    <n v="29"/>
    <s v="IN/000029"/>
    <s v="Structureel Onderhoud - conforme fietspaden in Waregem opN357  23.3 - 24.7"/>
    <s v="&lt;null&gt;"/>
    <s v="Kleine Ingreep"/>
    <s v="&lt;null&gt;"/>
    <b v="0"/>
    <s v="Ingreep wordt niet opgevolgd in BOD"/>
    <s v="&lt;null&gt;"/>
    <s v="&lt;null&gt;"/>
    <s v="&lt;null&gt;"/>
    <s v="&lt;null&gt;"/>
    <s v="&lt;null&gt;"/>
    <x v="0"/>
    <s v="&lt;null&gt;"/>
    <s v="&lt;null&gt;"/>
    <s v="&lt;null&gt;"/>
    <s v="&lt;null&gt;"/>
    <n v="100"/>
    <s v="&lt;null&gt;"/>
    <s v="&lt;null&gt;"/>
    <s v="&lt;null&gt;"/>
    <s v="&lt;null&gt;"/>
    <m/>
    <m/>
    <m/>
    <m/>
  </r>
  <r>
    <x v="28"/>
    <x v="28"/>
    <s v="Fiets"/>
    <x v="0"/>
    <n v="30"/>
    <s v="IN/000030"/>
    <s v="Structureel Onderhoud - conforme fietspaden in Wervik opN8  102.7 - 103.9"/>
    <s v="&lt;null&gt;"/>
    <s v="Kleine Ingreep"/>
    <s v="&lt;null&gt;"/>
    <b v="0"/>
    <s v="Ingreep wordt niet opgevolgd in BOD"/>
    <s v="&lt;null&gt;"/>
    <s v="&lt;null&gt;"/>
    <s v="&lt;null&gt;"/>
    <s v="&lt;null&gt;"/>
    <s v="&lt;null&gt;"/>
    <x v="0"/>
    <s v="&lt;null&gt;"/>
    <s v="&lt;null&gt;"/>
    <s v="&lt;null&gt;"/>
    <s v="&lt;null&gt;"/>
    <n v="100"/>
    <s v="&lt;null&gt;"/>
    <s v="&lt;null&gt;"/>
    <s v="&lt;null&gt;"/>
    <s v="&lt;null&gt;"/>
    <m/>
    <m/>
    <m/>
    <m/>
  </r>
  <r>
    <x v="32"/>
    <x v="32"/>
    <s v="Fiets"/>
    <x v="0"/>
    <n v="31"/>
    <s v="IN/000031"/>
    <s v="Structureel Onderhoud - conforme fietspaden in Eernegem op N368  33.3 - 34.7"/>
    <s v="&lt;null&gt;"/>
    <s v="Kleine Ingreep"/>
    <s v="WWV/INV/N368/6"/>
    <b v="1"/>
    <s v="Ingreep wordt opgevolgd in BOD"/>
    <n v="11516"/>
    <s v="AWV/INV/2021/1_P3"/>
    <n v="94301"/>
    <n v="21022935"/>
    <s v="&lt;p&gt;Structureel onderhoud fietspaden ikv relancemaatregelen - Perceel 3: vervoerregio's Westhoek, Oostende, Brugge, Roeselare en Kortrijk&lt;/p&gt;"/>
    <x v="3"/>
    <n v="6840"/>
    <s v="Project 3 N368 Eernegem"/>
    <s v="&lt;null&gt;"/>
    <s v="WWV/INV/N368/6"/>
    <n v="100"/>
    <n v="255000"/>
    <n v="141300.99789999999"/>
    <n v="0"/>
    <n v="9014.35"/>
    <n v="255000"/>
    <n v="141300.99789999999"/>
    <n v="0"/>
    <n v="9014.35"/>
  </r>
  <r>
    <x v="32"/>
    <x v="32"/>
    <s v="Fiets"/>
    <x v="0"/>
    <n v="31"/>
    <s v="IN/000031"/>
    <s v="Structureel Onderhoud - conforme fietspaden in Eernegem op N368  33.3 - 34.7"/>
    <s v="&lt;null&gt;"/>
    <s v="Kleine Ingreep"/>
    <s v="WWV/INV/N368/6"/>
    <b v="1"/>
    <s v="Ingreep wordt opgevolgd in BOD"/>
    <n v="11516"/>
    <s v="AWV/INV/2021/1_P3"/>
    <n v="120451"/>
    <n v="22010956"/>
    <s v="&lt;p&gt;bijkomende vastlegging verrekening werken N368&lt;/p&gt;"/>
    <x v="2"/>
    <n v="8211"/>
    <s v="&lt;null&gt;"/>
    <s v="&lt;p&gt;bijkomende vastlegging verrekening werken N368&lt;/p&gt;"/>
    <s v="WWV/INV/N368/6"/>
    <n v="100"/>
    <n v="68604.490000000005"/>
    <n v="68604.490000000005"/>
    <n v="0"/>
    <n v="0"/>
    <n v="68604.490000000005"/>
    <n v="68604.490000000005"/>
    <n v="0"/>
    <n v="0"/>
  </r>
  <r>
    <x v="33"/>
    <x v="33"/>
    <s v="Fiets"/>
    <x v="0"/>
    <n v="32"/>
    <s v="IN/000032"/>
    <s v="Structureel Onderhoud - conforme fietspaden in Gistel op N367  23.5 - 26.0"/>
    <s v="&lt;null&gt;"/>
    <s v="Kleine Ingreep"/>
    <s v="WWV/INV/N367/8"/>
    <b v="0"/>
    <s v="Ingreep wordt niet opgevolgd in BOD"/>
    <s v="&lt;null&gt;"/>
    <s v="&lt;null&gt;"/>
    <s v="&lt;null&gt;"/>
    <s v="&lt;null&gt;"/>
    <s v="&lt;null&gt;"/>
    <x v="0"/>
    <s v="&lt;null&gt;"/>
    <s v="&lt;null&gt;"/>
    <s v="&lt;null&gt;"/>
    <s v="&lt;null&gt;"/>
    <n v="100"/>
    <s v="&lt;null&gt;"/>
    <s v="&lt;null&gt;"/>
    <s v="&lt;null&gt;"/>
    <s v="&lt;null&gt;"/>
    <m/>
    <m/>
    <m/>
    <m/>
  </r>
  <r>
    <x v="34"/>
    <x v="34"/>
    <s v="Fiets"/>
    <x v="0"/>
    <n v="33"/>
    <s v="IN/000033"/>
    <s v="Structureel Onderhoud - conforme fietspaden in Koksijde op N8  150.4 - 150.8"/>
    <s v="&lt;null&gt;"/>
    <s v="Kleine Ingreep"/>
    <s v="WWV/INV/N8/12"/>
    <b v="1"/>
    <s v="Ingreep wordt opgevolgd in BOD"/>
    <n v="11516"/>
    <s v="AWV/INV/2021/1_P3"/>
    <n v="94301"/>
    <n v="21022935"/>
    <s v="&lt;p&gt;Structureel onderhoud fietspaden ikv relancemaatregelen - Perceel 3: vervoerregio's Westhoek, Oostende, Brugge, Roeselare en Kortrijk&lt;/p&gt;"/>
    <x v="2"/>
    <n v="6716"/>
    <s v="Project 1 - N8 Veurne"/>
    <s v="&lt;null&gt;"/>
    <s v="WWV/INV/N8/12"/>
    <n v="100"/>
    <n v="45294.97"/>
    <n v="40986.707199999997"/>
    <n v="0"/>
    <n v="0"/>
    <n v="45294.97"/>
    <n v="40986.707199999997"/>
    <n v="0"/>
    <n v="0"/>
  </r>
  <r>
    <x v="35"/>
    <x v="35"/>
    <s v="Fiets"/>
    <x v="0"/>
    <n v="34"/>
    <s v="IN/000034"/>
    <s v="Structureel Onderhoud - conforme fietspaden in Oostende op N341  0.0 - 2.4"/>
    <s v="&lt;null&gt;"/>
    <s v="Kleine Ingreep"/>
    <s v="WWV/INV/N341/1"/>
    <b v="1"/>
    <s v="Ingreep wordt opgevolgd in BOD"/>
    <n v="11516"/>
    <s v="AWV/INV/2021/1_P3"/>
    <n v="94301"/>
    <n v="21022935"/>
    <s v="&lt;p&gt;Structureel onderhoud fietspaden ikv relancemaatregelen - Perceel 3: vervoerregio's Westhoek, Oostende, Brugge, Roeselare en Kortrijk&lt;/p&gt;"/>
    <x v="2"/>
    <n v="8560"/>
    <s v="Project 6 N341 Oostende"/>
    <s v="&lt;null&gt;"/>
    <s v="WWV/INV/N341/1"/>
    <n v="100"/>
    <n v="326221.14"/>
    <n v="201737.64300000001"/>
    <n v="0"/>
    <n v="1579.8"/>
    <n v="326221.14"/>
    <n v="201737.64300000001"/>
    <n v="0"/>
    <n v="1579.8"/>
  </r>
  <r>
    <x v="36"/>
    <x v="36"/>
    <s v="Fiets"/>
    <x v="0"/>
    <n v="35"/>
    <s v="IN/000035"/>
    <s v="Structureel Onderhoud - conforme fietspaden in Oostende opR31  1.0 - 2.0"/>
    <s v="&lt;null&gt;"/>
    <s v="Kleine Ingreep"/>
    <s v="WWV/INV/R31/2"/>
    <b v="1"/>
    <s v="Ingreep wordt opgevolgd in BOD"/>
    <n v="11516"/>
    <s v="AWV/INV/2021/1_P3"/>
    <n v="94301"/>
    <n v="21022935"/>
    <s v="&lt;p&gt;Structureel onderhoud fietspaden ikv relancemaatregelen - Perceel 3: vervoerregio's Westhoek, Oostende, Brugge, Roeselare en Kortrijk&lt;/p&gt;"/>
    <x v="2"/>
    <n v="6719"/>
    <s v="Project 2 - R31 Oostende"/>
    <s v="&lt;null&gt;"/>
    <s v="WWV/INV/R31/2"/>
    <n v="100"/>
    <n v="190000"/>
    <n v="190000"/>
    <n v="0"/>
    <n v="0"/>
    <n v="190000"/>
    <n v="190000"/>
    <n v="0"/>
    <n v="0"/>
  </r>
  <r>
    <x v="37"/>
    <x v="37"/>
    <s v="Fiets"/>
    <x v="0"/>
    <n v="36"/>
    <s v="IN/000036"/>
    <s v="Structureel Onderhoud - conforme fietspaden in Hasselt opR71  7.9 - 7.9"/>
    <s v="3 deelprojecten: 1,3-3,8: breden FP markeren &amp; toplaag ; 11,9-12,3: toplaag fietspad vernieuwen &amp; 13,8-14,7: parkeerstrook omvormen tot fietspad"/>
    <s v="Kleine Ingreep"/>
    <s v="WL/INV/R71/9"/>
    <b v="1"/>
    <s v="Ingreep wordt opgevolgd in BOD"/>
    <n v="10814"/>
    <s v="AWV/INV/2021/1_P5"/>
    <n v="79551"/>
    <n v="21022941"/>
    <s v="&lt;p&gt;Relance plan fiets.&lt;/p&gt;"/>
    <x v="2"/>
    <n v="5412"/>
    <s v="Hasselt - R71 kmpt 7.9 - 7.9"/>
    <s v="&lt;null&gt;"/>
    <s v="WL/INV/R71/9"/>
    <n v="100"/>
    <n v="81540.399999999994"/>
    <n v="80762.571400000001"/>
    <n v="0"/>
    <n v="777.82860000000005"/>
    <n v="81540.399999999994"/>
    <n v="80762.571400000001"/>
    <n v="0"/>
    <n v="777.82860000000005"/>
  </r>
  <r>
    <x v="38"/>
    <x v="38"/>
    <s v="Fiets"/>
    <x v="0"/>
    <n v="37"/>
    <s v="IN/000037"/>
    <s v="Structureel Onderhoud - conforme fietspaden in Hasselt opR71  6.9 - 6.9"/>
    <s v="3 deelprojecten: 1,3-3,8: breden FP markeren &amp; toplaag ; 11,9-12,3: toplaag fietspad vernieuwen &amp; 13,8-14,7: parkeerstrook omvormen tot fietspad"/>
    <s v="Kleine Ingreep"/>
    <s v="WL/INV/R71/10"/>
    <b v="1"/>
    <s v="Ingreep wordt opgevolgd in BOD"/>
    <n v="10814"/>
    <s v="AWV/INV/2021/1_P5"/>
    <n v="79551"/>
    <n v="21022941"/>
    <s v="&lt;p&gt;Relance plan fiets.&lt;/p&gt;"/>
    <x v="2"/>
    <n v="5680"/>
    <s v="Hasselt - R71 kmpt 6.9 - 6.9"/>
    <s v="&lt;null&gt;"/>
    <s v="WL/INV/R71/10"/>
    <n v="100"/>
    <n v="13590.07"/>
    <n v="13590.07"/>
    <n v="0"/>
    <n v="0"/>
    <n v="13590.07"/>
    <n v="13590.07"/>
    <n v="0"/>
    <n v="0"/>
  </r>
  <r>
    <x v="39"/>
    <x v="39"/>
    <s v="Fiets"/>
    <x v="0"/>
    <n v="38"/>
    <s v="IN/000038"/>
    <s v="Structureel Onderhoud - conforme fietspaden in Hasselt opR71  5.8 - 5.8"/>
    <s v="3 deelprojecten: 1,3-3,8: breden FP markeren &amp; toplaag ; 11,9-12,3: toplaag fietspad vernieuwen &amp; 13,8-14,7: parkeerstrook omvormen tot fietspad"/>
    <s v="Kleine Ingreep"/>
    <s v="WL/INV/R71/11"/>
    <b v="1"/>
    <s v="Ingreep wordt opgevolgd in BOD"/>
    <n v="10814"/>
    <s v="AWV/INV/2021/1_P5"/>
    <n v="79551"/>
    <n v="21022941"/>
    <s v="&lt;p&gt;Relance plan fiets.&lt;/p&gt;"/>
    <x v="2"/>
    <n v="5679"/>
    <s v="Hasselt - R71 kmpt 5.8 - 5.8"/>
    <s v="&lt;null&gt;"/>
    <s v="WL/INV/R71/11"/>
    <n v="100"/>
    <n v="92659.54"/>
    <n v="66157.299719999995"/>
    <n v="0"/>
    <n v="26502.240280000002"/>
    <n v="92659.54"/>
    <n v="66157.299719999995"/>
    <n v="0"/>
    <n v="26502.240280000002"/>
  </r>
  <r>
    <x v="40"/>
    <x v="40"/>
    <s v="Fiets"/>
    <x v="0"/>
    <n v="39"/>
    <s v="IN/000039"/>
    <s v="Structureel Onderhoud - conforme fietspaden in Hasselt opR71  5.5 - 5.5"/>
    <s v="3 deelprojecten: 1,3-3,8: breden FP markeren &amp; toplaag ; 11,9-12,3: toplaag fietspad vernieuwen &amp; 13,8-14,7: parkeerstrook omvormen tot fietspad"/>
    <s v="Kleine Ingreep"/>
    <s v="WL/INV/R71/12"/>
    <b v="1"/>
    <s v="Ingreep wordt opgevolgd in BOD"/>
    <n v="10814"/>
    <s v="AWV/INV/2021/1_P5"/>
    <n v="79551"/>
    <n v="21022941"/>
    <s v="&lt;p&gt;Relance plan fiets.&lt;/p&gt;"/>
    <x v="2"/>
    <n v="5678"/>
    <s v="Hasselt - R71 kmpt 5.5 - 5.5"/>
    <s v="&lt;null&gt;"/>
    <s v="WL/INV/R71/12"/>
    <n v="100"/>
    <n v="70421.25"/>
    <n v="10658.0275"/>
    <n v="0"/>
    <n v="59763.222500000003"/>
    <n v="70421.25"/>
    <n v="10658.0275"/>
    <n v="0"/>
    <n v="59763.222500000003"/>
  </r>
  <r>
    <x v="41"/>
    <x v="41"/>
    <s v="Fiets"/>
    <x v="0"/>
    <n v="40"/>
    <s v="IN/000040"/>
    <s v="Structureel Onderhoud - conforme fietspaden in Hasselt opR71  4.9 - 4.9"/>
    <s v="3 deelprojecten: 1,3-3,8: breden FP markeren &amp; toplaag ; 11,9-12,3: toplaag fietspad vernieuwen &amp; 13,8-14,7: parkeerstrook omvormen tot fietspad"/>
    <s v="Kleine Ingreep"/>
    <s v="WL/INV/R71/13"/>
    <b v="1"/>
    <s v="Ingreep wordt opgevolgd in BOD"/>
    <n v="10814"/>
    <s v="AWV/INV/2021/1_P5"/>
    <n v="79551"/>
    <n v="21022941"/>
    <s v="&lt;p&gt;Relance plan fiets.&lt;/p&gt;"/>
    <x v="2"/>
    <n v="5677"/>
    <s v="Hasselt - R71 kmpt 4.9 - 4.9"/>
    <s v="&lt;null&gt;"/>
    <s v="WL/INV/R71/13"/>
    <n v="100"/>
    <n v="49418.42"/>
    <n v="19100.6662"/>
    <n v="0"/>
    <n v="30317.753799999999"/>
    <n v="49418.42"/>
    <n v="19100.6662"/>
    <n v="0"/>
    <n v="30317.753799999999"/>
  </r>
  <r>
    <x v="42"/>
    <x v="42"/>
    <s v="Fiets"/>
    <x v="0"/>
    <n v="41"/>
    <s v="IN/000041"/>
    <s v="Structureel Onderhoud - conforme fietspaden in Hasselt opR71  4.5 - 5.3"/>
    <s v="3 deelprojecten: 1,3-3,8: breden FP markeren &amp; toplaag ; 11,9-12,3: toplaag fietspad vernieuwen &amp; 13,8-14,7: parkeerstrook omvormen tot fietspad"/>
    <s v="Kleine Ingreep"/>
    <s v="WL/INV/R71/14"/>
    <b v="1"/>
    <s v="Ingreep wordt opgevolgd in BOD"/>
    <n v="10814"/>
    <s v="AWV/INV/2021/1_P5"/>
    <n v="79551"/>
    <n v="21022941"/>
    <s v="&lt;p&gt;Relance plan fiets.&lt;/p&gt;"/>
    <x v="2"/>
    <n v="5676"/>
    <s v="Hasselt - R71 kmpt 4.5 - 5.3"/>
    <s v="&lt;null&gt;"/>
    <s v="WL/INV/R71/14"/>
    <n v="100"/>
    <n v="93277.27"/>
    <n v="93277.27"/>
    <n v="0"/>
    <n v="0"/>
    <n v="93277.27"/>
    <n v="93277.27"/>
    <n v="0"/>
    <n v="0"/>
  </r>
  <r>
    <x v="43"/>
    <x v="43"/>
    <s v="Fiets"/>
    <x v="0"/>
    <n v="42"/>
    <s v="IN/000042"/>
    <s v="Structureel Onderhoud - conforme fietspaden in Hasselt opR71  2.8 - 2.9"/>
    <s v="3 deelprojecten: 1,3-3,8: breden FP markeren &amp; toplaag ; 11,9-12,3: toplaag fietspad vernieuwen &amp; 13,8-14,7: parkeerstrook omvormen tot fietspad"/>
    <s v="Kleine Ingreep"/>
    <s v="WL/INV/R71/15"/>
    <b v="1"/>
    <s v="Ingreep wordt opgevolgd in BOD"/>
    <s v="&lt;null&gt;"/>
    <s v="&lt;null&gt;"/>
    <n v="79551"/>
    <n v="21022941"/>
    <s v="&lt;p&gt;Relance plan fiets.&lt;/p&gt;"/>
    <x v="2"/>
    <n v="5675"/>
    <s v="Hasselt - R71 kmpt 2.8 - 2.9"/>
    <s v="&lt;null&gt;"/>
    <s v="WL/INV/R71/15"/>
    <n v="100"/>
    <n v="107732.16"/>
    <n v="0"/>
    <n v="0"/>
    <n v="107732.16"/>
    <n v="107732.16"/>
    <n v="0"/>
    <n v="0"/>
    <n v="107732.16"/>
  </r>
  <r>
    <x v="44"/>
    <x v="44"/>
    <s v="Fiets"/>
    <x v="0"/>
    <n v="43"/>
    <s v="IN/000043"/>
    <s v="Structureel Onderhoud - conforme fietspaden in Hasselt opR71  1.3 - 1.3"/>
    <s v="3 deelprojecten: 1,3-3,8: breden FP markeren &amp; toplaag ; 11,9-12,3: toplaag fietspad vernieuwen &amp; 13,8-14,7: parkeerstrook omvormen tot fietspad"/>
    <s v="Kleine Ingreep"/>
    <s v="WL/INV/R71/16"/>
    <b v="1"/>
    <s v="Ingreep wordt opgevolgd in BOD"/>
    <n v="10814"/>
    <s v="AWV/INV/2021/1_P5"/>
    <n v="79551"/>
    <n v="21022941"/>
    <s v="&lt;p&gt;Relance plan fiets.&lt;/p&gt;"/>
    <x v="2"/>
    <n v="5674"/>
    <s v="Hasselt - R71 kmpt 1.3 - 1.3"/>
    <s v="&lt;null&gt;"/>
    <s v="WL/INV/R71/16"/>
    <n v="100"/>
    <n v="42005.66"/>
    <n v="42005.66"/>
    <n v="0"/>
    <n v="0"/>
    <n v="42005.66"/>
    <n v="42005.66"/>
    <n v="0"/>
    <n v="0"/>
  </r>
  <r>
    <x v="45"/>
    <x v="45"/>
    <s v="Fiets"/>
    <x v="0"/>
    <n v="44"/>
    <s v="IN/000044"/>
    <s v="Structureel Onderhoud - conforme fietspaden in Hasselt opR71  0.6 - 0.6"/>
    <s v="3 deelprojecten: 1,3-3,8: breden FP markeren &amp; toplaag ; 11,9-12,3: toplaag fietspad vernieuwen &amp; 13,8-14,7: parkeerstrook omvormen tot fietspad"/>
    <s v="Kleine Ingreep"/>
    <s v="WL/INV/R71/17"/>
    <b v="1"/>
    <s v="Ingreep wordt opgevolgd in BOD"/>
    <n v="10814"/>
    <s v="AWV/INV/2021/1_P5"/>
    <n v="79551"/>
    <n v="21022941"/>
    <s v="&lt;p&gt;Relance plan fiets.&lt;/p&gt;"/>
    <x v="2"/>
    <n v="5673"/>
    <s v="Hasselt - R71 kmpt 0.6 - 0.6"/>
    <s v="&lt;null&gt;"/>
    <s v="WL/INV/R71/17"/>
    <n v="100"/>
    <n v="16678.72"/>
    <n v="16678.72"/>
    <n v="0"/>
    <n v="0"/>
    <n v="16678.72"/>
    <n v="16678.72"/>
    <n v="0"/>
    <n v="0"/>
  </r>
  <r>
    <x v="46"/>
    <x v="46"/>
    <s v="Fiets"/>
    <x v="0"/>
    <n v="45"/>
    <s v="IN/000045"/>
    <s v="Structureel Onderhoud - conforme fietspaden in Grobbendonk opN13  11.0 - 15.0"/>
    <s v="Verhoging module 13 en structureel onderhoud"/>
    <s v="Kleine Ingreep"/>
    <s v="WA/INV/N13/7"/>
    <b v="0"/>
    <s v="Ingreep wordt niet opgevolgd in BOD"/>
    <s v="&lt;null&gt;"/>
    <s v="&lt;null&gt;"/>
    <s v="&lt;null&gt;"/>
    <s v="&lt;null&gt;"/>
    <s v="&lt;null&gt;"/>
    <x v="0"/>
    <s v="&lt;null&gt;"/>
    <s v="&lt;null&gt;"/>
    <s v="&lt;null&gt;"/>
    <s v="&lt;null&gt;"/>
    <n v="100"/>
    <s v="&lt;null&gt;"/>
    <s v="&lt;null&gt;"/>
    <s v="&lt;null&gt;"/>
    <s v="&lt;null&gt;"/>
    <m/>
    <m/>
    <m/>
    <m/>
  </r>
  <r>
    <x v="47"/>
    <x v="47"/>
    <s v="Verkeersveiligheid"/>
    <x v="4"/>
    <n v="45"/>
    <s v="IN/000045"/>
    <s v="Structureel Onderhoud - conforme fietspaden in Grobbendonk opN13  11.0 - 15.0"/>
    <s v="Verhoging module 13 en structureel onderhoud"/>
    <s v="Kleine Ingreep"/>
    <s v="WA/INV/N13/7"/>
    <b v="0"/>
    <s v="Ingreep wordt niet opgevolgd in BOD"/>
    <s v="&lt;null&gt;"/>
    <s v="&lt;null&gt;"/>
    <s v="&lt;null&gt;"/>
    <s v="&lt;null&gt;"/>
    <s v="&lt;null&gt;"/>
    <x v="0"/>
    <s v="&lt;null&gt;"/>
    <s v="&lt;null&gt;"/>
    <s v="&lt;null&gt;"/>
    <s v="&lt;null&gt;"/>
    <n v="0"/>
    <s v="&lt;null&gt;"/>
    <s v="&lt;null&gt;"/>
    <s v="&lt;null&gt;"/>
    <s v="&lt;null&gt;"/>
    <m/>
    <m/>
    <m/>
    <m/>
  </r>
  <r>
    <x v="48"/>
    <x v="48"/>
    <s v="Verkeersveiligheid"/>
    <x v="4"/>
    <n v="45"/>
    <s v="IN/000045"/>
    <s v="Structureel Onderhoud - conforme fietspaden in Grobbendonk opN13  11.0 - 15.0"/>
    <s v="Verhoging module 13 en structureel onderhoud"/>
    <s v="Kleine Ingreep"/>
    <s v="WA/INV/N13/7"/>
    <b v="0"/>
    <s v="Ingreep wordt niet opgevolgd in BOD"/>
    <s v="&lt;null&gt;"/>
    <s v="&lt;null&gt;"/>
    <s v="&lt;null&gt;"/>
    <s v="&lt;null&gt;"/>
    <s v="&lt;null&gt;"/>
    <x v="0"/>
    <s v="&lt;null&gt;"/>
    <s v="&lt;null&gt;"/>
    <s v="&lt;null&gt;"/>
    <s v="&lt;null&gt;"/>
    <n v="0"/>
    <s v="&lt;null&gt;"/>
    <s v="&lt;null&gt;"/>
    <s v="&lt;null&gt;"/>
    <s v="&lt;null&gt;"/>
    <m/>
    <m/>
    <m/>
    <m/>
  </r>
  <r>
    <x v="49"/>
    <x v="49"/>
    <s v="Verkeersveiligheid"/>
    <x v="4"/>
    <n v="45"/>
    <s v="IN/000045"/>
    <s v="Structureel Onderhoud - conforme fietspaden in Grobbendonk opN13  11.0 - 15.0"/>
    <s v="Verhoging module 13 en structureel onderhoud"/>
    <s v="Kleine Ingreep"/>
    <s v="WA/INV/N13/7"/>
    <b v="0"/>
    <s v="Ingreep wordt niet opgevolgd in BOD"/>
    <s v="&lt;null&gt;"/>
    <s v="&lt;null&gt;"/>
    <s v="&lt;null&gt;"/>
    <s v="&lt;null&gt;"/>
    <s v="&lt;null&gt;"/>
    <x v="0"/>
    <s v="&lt;null&gt;"/>
    <s v="&lt;null&gt;"/>
    <s v="&lt;null&gt;"/>
    <s v="&lt;null&gt;"/>
    <n v="0"/>
    <s v="&lt;null&gt;"/>
    <s v="&lt;null&gt;"/>
    <s v="&lt;null&gt;"/>
    <s v="&lt;null&gt;"/>
    <m/>
    <m/>
    <m/>
    <m/>
  </r>
  <r>
    <x v="50"/>
    <x v="50"/>
    <s v="Verkeersveiligheid"/>
    <x v="4"/>
    <n v="45"/>
    <s v="IN/000045"/>
    <s v="Structureel Onderhoud - conforme fietspaden in Grobbendonk opN13  11.0 - 15.0"/>
    <s v="Verhoging module 13 en structureel onderhoud"/>
    <s v="Kleine Ingreep"/>
    <s v="WA/INV/N13/7"/>
    <b v="0"/>
    <s v="Ingreep wordt niet opgevolgd in BOD"/>
    <s v="&lt;null&gt;"/>
    <s v="&lt;null&gt;"/>
    <s v="&lt;null&gt;"/>
    <s v="&lt;null&gt;"/>
    <s v="&lt;null&gt;"/>
    <x v="0"/>
    <s v="&lt;null&gt;"/>
    <s v="&lt;null&gt;"/>
    <s v="&lt;null&gt;"/>
    <s v="&lt;null&gt;"/>
    <n v="0"/>
    <s v="&lt;null&gt;"/>
    <s v="&lt;null&gt;"/>
    <s v="&lt;null&gt;"/>
    <s v="&lt;null&gt;"/>
    <m/>
    <m/>
    <m/>
    <m/>
  </r>
  <r>
    <x v="51"/>
    <x v="51"/>
    <s v="Fiets"/>
    <x v="0"/>
    <n v="46"/>
    <s v="IN/000046"/>
    <s v="Structureel Onderhoud - conforme fietspaden in Boom opN177  12.9 - 13.5"/>
    <s v="Structureel Onderhoud - conforme fietspaden N177"/>
    <s v="Kleine Ingreep"/>
    <s v="WA/INV/N177/7"/>
    <b v="0"/>
    <s v="Ingreep wordt niet opgevolgd in BOD"/>
    <s v="&lt;null&gt;"/>
    <s v="&lt;null&gt;"/>
    <s v="&lt;null&gt;"/>
    <s v="&lt;null&gt;"/>
    <s v="&lt;null&gt;"/>
    <x v="0"/>
    <s v="&lt;null&gt;"/>
    <s v="&lt;null&gt;"/>
    <s v="&lt;null&gt;"/>
    <s v="&lt;null&gt;"/>
    <n v="100"/>
    <s v="&lt;null&gt;"/>
    <s v="&lt;null&gt;"/>
    <s v="&lt;null&gt;"/>
    <s v="&lt;null&gt;"/>
    <m/>
    <m/>
    <m/>
    <m/>
  </r>
  <r>
    <x v="52"/>
    <x v="52"/>
    <s v="Fiets"/>
    <x v="0"/>
    <n v="47"/>
    <s v="IN/000047"/>
    <s v="Structureel Onderhoud - conforme fietspaden in Boom opN177  13.1 - 13.4"/>
    <s v="Structureel Onderhoud - conforme fietspaden N177"/>
    <s v="Kleine Ingreep"/>
    <s v="WA/INV/N177/8"/>
    <b v="0"/>
    <s v="Ingreep wordt niet opgevolgd in BOD"/>
    <s v="&lt;null&gt;"/>
    <s v="&lt;null&gt;"/>
    <s v="&lt;null&gt;"/>
    <s v="&lt;null&gt;"/>
    <s v="&lt;null&gt;"/>
    <x v="0"/>
    <s v="&lt;null&gt;"/>
    <s v="&lt;null&gt;"/>
    <s v="&lt;null&gt;"/>
    <s v="&lt;null&gt;"/>
    <n v="100"/>
    <s v="&lt;null&gt;"/>
    <s v="&lt;null&gt;"/>
    <s v="&lt;null&gt;"/>
    <s v="&lt;null&gt;"/>
    <m/>
    <m/>
    <m/>
    <m/>
  </r>
  <r>
    <x v="53"/>
    <x v="53"/>
    <s v="Fiets"/>
    <x v="0"/>
    <n v="48"/>
    <s v="IN/000048"/>
    <s v="Structureel Onderhoud - conforme fietspaden in Sint-Truiden opN722  2.2 - 13.0"/>
    <s v="Structureel onderhoud en fietsvoorzieningen N722"/>
    <s v="Kleine Ingreep"/>
    <s v="WL/INV/N722/3"/>
    <b v="0"/>
    <s v="Ingreep wordt niet opgevolgd in BOD"/>
    <s v="&lt;null&gt;"/>
    <s v="&lt;null&gt;"/>
    <s v="&lt;null&gt;"/>
    <s v="&lt;null&gt;"/>
    <s v="&lt;null&gt;"/>
    <x v="0"/>
    <s v="&lt;null&gt;"/>
    <s v="&lt;null&gt;"/>
    <s v="&lt;null&gt;"/>
    <s v="&lt;null&gt;"/>
    <n v="100"/>
    <s v="&lt;null&gt;"/>
    <s v="&lt;null&gt;"/>
    <s v="&lt;null&gt;"/>
    <s v="&lt;null&gt;"/>
    <m/>
    <m/>
    <m/>
    <m/>
  </r>
  <r>
    <x v="54"/>
    <x v="54"/>
    <s v="Fiets"/>
    <x v="0"/>
    <n v="49"/>
    <s v="IN/000049"/>
    <s v="Structureel Onderhoud - conforme fietspaden in Hechtel-Eksel opN73  32.6 - 33.6"/>
    <s v="Structureel Onderhoud - conforme fietspaden N73"/>
    <s v="Kleine Ingreep"/>
    <s v="WL/INV/N73/15"/>
    <b v="0"/>
    <s v="Ingreep wordt niet opgevolgd in BOD"/>
    <s v="&lt;null&gt;"/>
    <s v="&lt;null&gt;"/>
    <s v="&lt;null&gt;"/>
    <s v="&lt;null&gt;"/>
    <s v="&lt;null&gt;"/>
    <x v="0"/>
    <s v="&lt;null&gt;"/>
    <s v="&lt;null&gt;"/>
    <s v="&lt;null&gt;"/>
    <s v="&lt;null&gt;"/>
    <n v="100"/>
    <s v="&lt;null&gt;"/>
    <s v="&lt;null&gt;"/>
    <s v="&lt;null&gt;"/>
    <s v="&lt;null&gt;"/>
    <m/>
    <m/>
    <m/>
    <m/>
  </r>
  <r>
    <x v="55"/>
    <x v="55"/>
    <s v="Fiets"/>
    <x v="0"/>
    <n v="50"/>
    <s v="IN/000050"/>
    <s v="Structureel Onderhoud - conforme fietspaden in Geraardsbergen opN42  19.6 - 22.7"/>
    <s v="Structureel Onderhoud - conforme fietspaden N42"/>
    <s v="Kleine Ingreep"/>
    <s v="WOV/INV/N42/7"/>
    <b v="0"/>
    <s v="Ingreep wordt niet opgevolgd in BOD"/>
    <s v="&lt;null&gt;"/>
    <s v="&lt;null&gt;"/>
    <s v="&lt;null&gt;"/>
    <s v="&lt;null&gt;"/>
    <s v="&lt;null&gt;"/>
    <x v="0"/>
    <s v="&lt;null&gt;"/>
    <s v="&lt;null&gt;"/>
    <s v="&lt;null&gt;"/>
    <s v="&lt;null&gt;"/>
    <n v="100"/>
    <s v="&lt;null&gt;"/>
    <s v="&lt;null&gt;"/>
    <s v="&lt;null&gt;"/>
    <s v="&lt;null&gt;"/>
    <m/>
    <m/>
    <m/>
    <m/>
  </r>
  <r>
    <x v="56"/>
    <x v="56"/>
    <s v="Fiets"/>
    <x v="0"/>
    <n v="51"/>
    <s v="IN/000051"/>
    <s v="Fietsrelance N405 Aalst + R41 Albrechtlaan"/>
    <s v="Structureel Onderhoud:\n- fietspaden N405, vervangen bestrating door asfalt\n- fietspaden R41 tussen N9 en N411, vervangen bestrating door asfalt\n"/>
    <s v="Kleine Ingreep"/>
    <s v="WOV/INV/N405/2"/>
    <b v="0"/>
    <s v="Ingreep wordt niet opgevolgd in BOD"/>
    <s v="&lt;null&gt;"/>
    <s v="&lt;null&gt;"/>
    <s v="&lt;null&gt;"/>
    <s v="&lt;null&gt;"/>
    <s v="&lt;null&gt;"/>
    <x v="0"/>
    <s v="&lt;null&gt;"/>
    <s v="&lt;null&gt;"/>
    <s v="&lt;null&gt;"/>
    <s v="&lt;null&gt;"/>
    <n v="100"/>
    <s v="&lt;null&gt;"/>
    <s v="&lt;null&gt;"/>
    <s v="&lt;null&gt;"/>
    <s v="&lt;null&gt;"/>
    <m/>
    <m/>
    <m/>
    <m/>
  </r>
  <r>
    <x v="57"/>
    <x v="57"/>
    <s v="Fiets"/>
    <x v="0"/>
    <n v="52"/>
    <s v="IN/000052"/>
    <s v="Structureel Onderhoud - conforme fietspaden in Ninove opN255  10.0 - 11.4"/>
    <s v="Structureel Onderhoud - conforme fietspaden N255"/>
    <s v="Kleine Ingreep"/>
    <s v="WOV/INV/N255/2"/>
    <b v="0"/>
    <s v="Ingreep wordt niet opgevolgd in BOD"/>
    <s v="&lt;null&gt;"/>
    <s v="&lt;null&gt;"/>
    <s v="&lt;null&gt;"/>
    <s v="&lt;null&gt;"/>
    <s v="&lt;null&gt;"/>
    <x v="0"/>
    <s v="&lt;null&gt;"/>
    <s v="&lt;null&gt;"/>
    <s v="&lt;null&gt;"/>
    <s v="&lt;null&gt;"/>
    <n v="100"/>
    <s v="&lt;null&gt;"/>
    <s v="&lt;null&gt;"/>
    <s v="&lt;null&gt;"/>
    <s v="&lt;null&gt;"/>
    <m/>
    <m/>
    <m/>
    <m/>
  </r>
  <r>
    <x v="58"/>
    <x v="58"/>
    <s v="Fiets"/>
    <x v="0"/>
    <n v="53"/>
    <s v="IN/000053"/>
    <s v="Fietsrelance N467 Berlare 2.76 - 5.97"/>
    <s v="Structureel Onderhoud - conforme fietspaden in Berlare op N467  2.76 -  5.97"/>
    <s v="Kleine Ingreep"/>
    <s v="WOV/INV/N467/2"/>
    <b v="0"/>
    <s v="Ingreep wordt niet opgevolgd in BOD"/>
    <s v="&lt;null&gt;"/>
    <s v="&lt;null&gt;"/>
    <s v="&lt;null&gt;"/>
    <s v="&lt;null&gt;"/>
    <s v="&lt;null&gt;"/>
    <x v="0"/>
    <s v="&lt;null&gt;"/>
    <s v="&lt;null&gt;"/>
    <s v="&lt;null&gt;"/>
    <s v="&lt;null&gt;"/>
    <n v="100"/>
    <s v="&lt;null&gt;"/>
    <s v="&lt;null&gt;"/>
    <s v="&lt;null&gt;"/>
    <s v="&lt;null&gt;"/>
    <m/>
    <m/>
    <m/>
    <m/>
  </r>
  <r>
    <x v="59"/>
    <x v="59"/>
    <s v="Fiets"/>
    <x v="0"/>
    <n v="54"/>
    <s v="IN/000054"/>
    <s v="Fietsrelance Denderleeuw N405 kmpt 3.1 - 4.5"/>
    <s v="Structureel Onderhoud - conforme fietspaden in Denderleeuw op N405 kmpt 3.1 - 4.5"/>
    <s v="Kleine Ingreep"/>
    <s v="WOV/INV/N405/3"/>
    <b v="0"/>
    <s v="Ingreep wordt niet opgevolgd in BOD"/>
    <s v="&lt;null&gt;"/>
    <s v="&lt;null&gt;"/>
    <s v="&lt;null&gt;"/>
    <s v="&lt;null&gt;"/>
    <s v="&lt;null&gt;"/>
    <x v="0"/>
    <s v="&lt;null&gt;"/>
    <s v="&lt;null&gt;"/>
    <s v="&lt;null&gt;"/>
    <s v="&lt;null&gt;"/>
    <n v="100"/>
    <s v="&lt;null&gt;"/>
    <s v="&lt;null&gt;"/>
    <s v="&lt;null&gt;"/>
    <s v="&lt;null&gt;"/>
    <m/>
    <m/>
    <m/>
    <m/>
  </r>
  <r>
    <x v="60"/>
    <x v="60"/>
    <s v="Fiets"/>
    <x v="0"/>
    <n v="55"/>
    <s v="IN/000055"/>
    <s v="Structureel Onderhoud - rijweg en fietspaden in Oudenaarde op N459  0.9 - 3.93"/>
    <s v="Structureel Onderhoud - conforme fietspaden N459"/>
    <s v="Kleine Ingreep"/>
    <s v="WOV/INV/N459/3"/>
    <b v="0"/>
    <s v="Ingreep wordt niet opgevolgd in BOD"/>
    <s v="&lt;null&gt;"/>
    <s v="&lt;null&gt;"/>
    <s v="&lt;null&gt;"/>
    <s v="&lt;null&gt;"/>
    <s v="&lt;null&gt;"/>
    <x v="0"/>
    <s v="&lt;null&gt;"/>
    <s v="&lt;null&gt;"/>
    <s v="&lt;null&gt;"/>
    <s v="&lt;null&gt;"/>
    <n v="100"/>
    <s v="&lt;null&gt;"/>
    <s v="&lt;null&gt;"/>
    <s v="&lt;null&gt;"/>
    <s v="&lt;null&gt;"/>
    <m/>
    <m/>
    <m/>
    <m/>
  </r>
  <r>
    <x v="61"/>
    <x v="61"/>
    <s v="Fiets"/>
    <x v="0"/>
    <n v="56"/>
    <s v="IN/000056"/>
    <s v="Structureel Onderhoud - conforme fietspaden in Ninove opN255  14.7 - 15.2"/>
    <s v="Structureel Onderhoud - conforme fietspaden N255"/>
    <s v="Kleine Ingreep"/>
    <s v="WOV/INV/N255/3"/>
    <b v="0"/>
    <s v="Ingreep wordt niet opgevolgd in BOD"/>
    <s v="&lt;null&gt;"/>
    <s v="&lt;null&gt;"/>
    <s v="&lt;null&gt;"/>
    <s v="&lt;null&gt;"/>
    <s v="&lt;null&gt;"/>
    <x v="0"/>
    <s v="&lt;null&gt;"/>
    <s v="&lt;null&gt;"/>
    <s v="&lt;null&gt;"/>
    <s v="&lt;null&gt;"/>
    <n v="100"/>
    <s v="&lt;null&gt;"/>
    <s v="&lt;null&gt;"/>
    <s v="&lt;null&gt;"/>
    <s v="&lt;null&gt;"/>
    <m/>
    <m/>
    <m/>
    <m/>
  </r>
  <r>
    <x v="62"/>
    <x v="62"/>
    <s v="Fiets"/>
    <x v="0"/>
    <n v="57"/>
    <s v="IN/000057"/>
    <s v="Structureel Onderhoud - conforme fietspaden in Horebeke opN454  14.56 - 15.2"/>
    <s v="Structureel Onderhoud - conforme fietspaden N454"/>
    <s v="Kleine Ingreep"/>
    <s v="WOV/INV/N454/7"/>
    <b v="0"/>
    <s v="Ingreep wordt niet opgevolgd in BOD"/>
    <s v="&lt;null&gt;"/>
    <s v="&lt;null&gt;"/>
    <s v="&lt;null&gt;"/>
    <s v="&lt;null&gt;"/>
    <s v="&lt;null&gt;"/>
    <x v="0"/>
    <s v="&lt;null&gt;"/>
    <s v="&lt;null&gt;"/>
    <s v="&lt;null&gt;"/>
    <s v="&lt;null&gt;"/>
    <n v="100"/>
    <s v="&lt;null&gt;"/>
    <s v="&lt;null&gt;"/>
    <s v="&lt;null&gt;"/>
    <s v="&lt;null&gt;"/>
    <m/>
    <m/>
    <m/>
    <m/>
  </r>
  <r>
    <x v="63"/>
    <x v="63"/>
    <s v="Fiets"/>
    <x v="0"/>
    <n v="58"/>
    <s v="IN/000058"/>
    <s v="Structureel Onderhoud - conforme fietspaden in Leuven opN25  0.0 - 2.2"/>
    <s v="Structureel Onderhoud - conforme fietspaden N25"/>
    <s v="Kleine Ingreep"/>
    <s v="WVB/INV/N25/4"/>
    <b v="0"/>
    <s v="Ingreep wordt niet opgevolgd in BOD"/>
    <s v="&lt;null&gt;"/>
    <s v="&lt;null&gt;"/>
    <s v="&lt;null&gt;"/>
    <s v="&lt;null&gt;"/>
    <s v="&lt;null&gt;"/>
    <x v="0"/>
    <s v="&lt;null&gt;"/>
    <s v="&lt;null&gt;"/>
    <s v="&lt;null&gt;"/>
    <s v="&lt;null&gt;"/>
    <n v="100"/>
    <s v="&lt;null&gt;"/>
    <s v="&lt;null&gt;"/>
    <s v="&lt;null&gt;"/>
    <s v="&lt;null&gt;"/>
    <m/>
    <m/>
    <m/>
    <m/>
  </r>
  <r>
    <x v="64"/>
    <x v="64"/>
    <s v="Fiets"/>
    <x v="0"/>
    <n v="59"/>
    <s v="IN/000059"/>
    <s v="Structureel Onderhoud - conforme fietspaden in Blankenberge opN371  8.4 - 10.5"/>
    <s v="Structureel Onderhoud - conforme fietspaden N371"/>
    <s v="Kleine Ingreep"/>
    <s v="WWV/INV/N371/2"/>
    <b v="0"/>
    <s v="Ingreep wordt niet opgevolgd in BOD"/>
    <s v="&lt;null&gt;"/>
    <s v="&lt;null&gt;"/>
    <s v="&lt;null&gt;"/>
    <s v="&lt;null&gt;"/>
    <s v="&lt;null&gt;"/>
    <x v="0"/>
    <s v="&lt;null&gt;"/>
    <s v="&lt;null&gt;"/>
    <s v="&lt;null&gt;"/>
    <s v="&lt;null&gt;"/>
    <n v="100"/>
    <s v="&lt;null&gt;"/>
    <s v="&lt;null&gt;"/>
    <s v="&lt;null&gt;"/>
    <s v="&lt;null&gt;"/>
    <m/>
    <m/>
    <m/>
    <m/>
  </r>
  <r>
    <x v="65"/>
    <x v="65"/>
    <s v="Fiets"/>
    <x v="0"/>
    <n v="60"/>
    <s v="IN/000060"/>
    <s v="Optimalisatie kruispunten, oversteken in Aarschot opR25  0.0 - 2.5"/>
    <s v="herinrichting naar vrijliggende fietspaden: Voorzien nieuwe LED verlichting.  en aanpassen bestaande verlichting"/>
    <s v="Kleine Ingreep"/>
    <s v="WVB/INV/R25/2"/>
    <b v="0"/>
    <s v="Ingreep wordt niet opgevolgd in BOD"/>
    <s v="&lt;null&gt;"/>
    <s v="&lt;null&gt;"/>
    <s v="&lt;null&gt;"/>
    <s v="&lt;null&gt;"/>
    <s v="&lt;null&gt;"/>
    <x v="0"/>
    <s v="&lt;null&gt;"/>
    <s v="&lt;null&gt;"/>
    <s v="&lt;null&gt;"/>
    <s v="&lt;null&gt;"/>
    <n v="100"/>
    <s v="&lt;null&gt;"/>
    <s v="&lt;null&gt;"/>
    <s v="&lt;null&gt;"/>
    <s v="&lt;null&gt;"/>
    <m/>
    <m/>
    <m/>
    <m/>
  </r>
  <r>
    <x v="66"/>
    <x v="66"/>
    <s v="Fiets"/>
    <x v="0"/>
    <n v="61"/>
    <s v="IN/000061"/>
    <s v="Optimalisatie kruispunten, oversteken in Grimbergen opN277  6.2 - 6.4"/>
    <s v="N277 Temselaan &gt; VRI: 2 fietsoversteken voorzien om de N277 over te steken"/>
    <s v="Kleine Ingreep"/>
    <s v="WVB/INV/N277/2"/>
    <b v="0"/>
    <s v="Ingreep wordt niet opgevolgd in BOD"/>
    <s v="&lt;null&gt;"/>
    <s v="&lt;null&gt;"/>
    <s v="&lt;null&gt;"/>
    <s v="&lt;null&gt;"/>
    <s v="&lt;null&gt;"/>
    <x v="0"/>
    <s v="&lt;null&gt;"/>
    <s v="&lt;null&gt;"/>
    <s v="&lt;null&gt;"/>
    <s v="&lt;null&gt;"/>
    <n v="100"/>
    <s v="&lt;null&gt;"/>
    <s v="&lt;null&gt;"/>
    <s v="&lt;null&gt;"/>
    <s v="&lt;null&gt;"/>
    <m/>
    <m/>
    <m/>
    <m/>
  </r>
  <r>
    <x v="67"/>
    <x v="67"/>
    <s v="Fiets"/>
    <x v="0"/>
    <n v="62"/>
    <s v="IN/000062"/>
    <s v="Optimalisatie kruispunten, oversteken in Tienen opN29  57.8 - 57.8"/>
    <s v="kruispunt N29 - Aandorenstraat: herinrichting kruispunt"/>
    <s v="Kleine Ingreep"/>
    <s v="WVB/INV/N29/6"/>
    <b v="0"/>
    <s v="Ingreep wordt niet opgevolgd in BOD"/>
    <s v="&lt;null&gt;"/>
    <s v="&lt;null&gt;"/>
    <s v="&lt;null&gt;"/>
    <s v="&lt;null&gt;"/>
    <s v="&lt;null&gt;"/>
    <x v="0"/>
    <s v="&lt;null&gt;"/>
    <s v="&lt;null&gt;"/>
    <s v="&lt;null&gt;"/>
    <s v="&lt;null&gt;"/>
    <n v="100"/>
    <s v="&lt;null&gt;"/>
    <s v="&lt;null&gt;"/>
    <s v="&lt;null&gt;"/>
    <s v="&lt;null&gt;"/>
    <m/>
    <m/>
    <m/>
    <m/>
  </r>
  <r>
    <x v="68"/>
    <x v="68"/>
    <s v="Fiets"/>
    <x v="0"/>
    <n v="63"/>
    <s v="IN/000063"/>
    <s v="Optimalisatie kruispunten, oversteken in Zaventem opN227  15.7 - 15.8"/>
    <s v="N227 Erpsestraat: VRI voor beveiligen oversteek (fietsers) kruispunt:"/>
    <s v="Kleine Ingreep"/>
    <s v="WVB/INV/N227/1"/>
    <b v="1"/>
    <s v="Ingreep wordt opgevolgd in BOD"/>
    <n v="9663"/>
    <s v="MDN/1504"/>
    <n v="79501"/>
    <n v="21042826"/>
    <s v="&lt;p&gt;Relance fiets Vlaams-Brabant: installaties N231xLotsesteenweg 176C7, N231xBrouwerijstraat 179C4, &amp;nbsp;N29 Windberg x Rassel 194C5, N285x Kerkstraat 196C9&lt;/p&gt;"/>
    <x v="1"/>
    <n v="5684"/>
    <s v="Zaventem kruispunt N227 met Erpsestraat - installatie 165C4"/>
    <s v="&lt;null&gt;"/>
    <s v="WVB/INV/N227/1"/>
    <n v="100"/>
    <n v="14087.85"/>
    <n v="14087.85"/>
    <n v="0"/>
    <n v="0"/>
    <n v="14087.85"/>
    <n v="14087.85"/>
    <n v="0"/>
    <n v="0"/>
  </r>
  <r>
    <x v="68"/>
    <x v="68"/>
    <s v="Fiets"/>
    <x v="0"/>
    <n v="63"/>
    <s v="IN/000063"/>
    <s v="Optimalisatie kruispunten, oversteken in Zaventem opN227  15.7 - 15.8"/>
    <s v="N227 Erpsestraat: VRI voor beveiligen oversteek (fietsers) kruispunt:"/>
    <s v="Kleine Ingreep"/>
    <s v="WVB/INV/N227/1"/>
    <b v="1"/>
    <s v="Ingreep wordt opgevolgd in BOD"/>
    <n v="10166"/>
    <s v="MDN/59-4"/>
    <n v="80551"/>
    <n v="21033437"/>
    <s v="&lt;p&gt;Aanvraag voor vastlegging van ombouw van 3 verkeerslichteninstallaties op N207 (Liedekerke) en N231 (Beersel) die goedgekeurd zijn op het &amp;nbsp;fietsrelanceplan 1+2.&amp;nbsp;&lt;/p&gt;"/>
    <x v="2"/>
    <n v="5933"/>
    <s v="Zaventem kruispunt N227 met Erpsestraat - installatie 165C4"/>
    <s v="&lt;null&gt;"/>
    <s v="WVB/INV/N227/1"/>
    <n v="100"/>
    <n v="60163.37"/>
    <n v="60163.365599999997"/>
    <n v="0"/>
    <n v="4.4000000000000003E-3"/>
    <n v="60163.37"/>
    <n v="60163.365599999997"/>
    <n v="0"/>
    <n v="4.4000000000000003E-3"/>
  </r>
  <r>
    <x v="69"/>
    <x v="69"/>
    <s v="Fiets"/>
    <x v="0"/>
    <n v="64"/>
    <s v="IN/000064"/>
    <s v="Optimalisatie kruispunten, oversteken in Heist-op-den-Berg opN10  22.0 - 22.3"/>
    <s v="N10 x N15 werken"/>
    <s v="Kleine Ingreep"/>
    <s v="WA/INV/N10/7"/>
    <b v="0"/>
    <s v="Ingreep wordt niet opgevolgd in BOD"/>
    <s v="&lt;null&gt;"/>
    <s v="&lt;null&gt;"/>
    <s v="&lt;null&gt;"/>
    <s v="&lt;null&gt;"/>
    <s v="&lt;null&gt;"/>
    <x v="0"/>
    <s v="&lt;null&gt;"/>
    <s v="&lt;null&gt;"/>
    <s v="&lt;null&gt;"/>
    <s v="&lt;null&gt;"/>
    <n v="100"/>
    <s v="&lt;null&gt;"/>
    <s v="&lt;null&gt;"/>
    <s v="&lt;null&gt;"/>
    <s v="&lt;null&gt;"/>
    <m/>
    <m/>
    <m/>
    <m/>
  </r>
  <r>
    <x v="70"/>
    <x v="70"/>
    <s v="Fiets"/>
    <x v="0"/>
    <n v="65"/>
    <s v="IN/000065"/>
    <s v="Optimalisatie kruispunten, oversteken in Kontich opN171  3.4 - 3.7"/>
    <s v="Deelname in fietstunnel st.-Rita"/>
    <s v="Kleine Ingreep"/>
    <s v="WA/INV/N171/8"/>
    <b v="0"/>
    <s v="Ingreep wordt niet opgevolgd in BOD"/>
    <s v="&lt;null&gt;"/>
    <s v="&lt;null&gt;"/>
    <s v="&lt;null&gt;"/>
    <s v="&lt;null&gt;"/>
    <s v="&lt;null&gt;"/>
    <x v="0"/>
    <s v="&lt;null&gt;"/>
    <s v="&lt;null&gt;"/>
    <s v="&lt;null&gt;"/>
    <s v="&lt;null&gt;"/>
    <n v="100"/>
    <s v="&lt;null&gt;"/>
    <s v="&lt;null&gt;"/>
    <s v="&lt;null&gt;"/>
    <s v="&lt;null&gt;"/>
    <m/>
    <m/>
    <m/>
    <m/>
  </r>
  <r>
    <x v="71"/>
    <x v="71"/>
    <s v="Fiets"/>
    <x v="0"/>
    <n v="66"/>
    <s v="IN/000066"/>
    <s v="Optimalisatie kruispunten, oversteken in Dilsen-Stokkem opN75  17.0 - 29.0"/>
    <s v="Ecorecreaduct N75 - uitvoering fiets"/>
    <s v="Kleine Ingreep"/>
    <s v="WL/INV/N75/8"/>
    <b v="0"/>
    <s v="Ingreep wordt niet opgevolgd in BOD"/>
    <s v="&lt;null&gt;"/>
    <s v="&lt;null&gt;"/>
    <s v="&lt;null&gt;"/>
    <s v="&lt;null&gt;"/>
    <s v="&lt;null&gt;"/>
    <x v="0"/>
    <s v="&lt;null&gt;"/>
    <s v="&lt;null&gt;"/>
    <s v="&lt;null&gt;"/>
    <s v="&lt;null&gt;"/>
    <n v="100"/>
    <s v="&lt;null&gt;"/>
    <s v="&lt;null&gt;"/>
    <s v="&lt;null&gt;"/>
    <s v="&lt;null&gt;"/>
    <m/>
    <m/>
    <m/>
    <m/>
  </r>
  <r>
    <x v="72"/>
    <x v="72"/>
    <s v="Fiets"/>
    <x v="0"/>
    <n v="67"/>
    <s v="IN/000067"/>
    <s v="Optimalisatie kruispunten, oversteken in Peer opN73  28.2 - 28.3"/>
    <s v="St. Trudostraat (VRI + fietsoversteek)"/>
    <s v="Kleine Ingreep"/>
    <s v="WL/INV/N73/16"/>
    <b v="0"/>
    <s v="Ingreep wordt niet opgevolgd in BOD"/>
    <s v="&lt;null&gt;"/>
    <s v="&lt;null&gt;"/>
    <s v="&lt;null&gt;"/>
    <s v="&lt;null&gt;"/>
    <s v="&lt;null&gt;"/>
    <x v="0"/>
    <s v="&lt;null&gt;"/>
    <s v="&lt;null&gt;"/>
    <s v="&lt;null&gt;"/>
    <s v="&lt;null&gt;"/>
    <n v="100"/>
    <s v="&lt;null&gt;"/>
    <s v="&lt;null&gt;"/>
    <s v="&lt;null&gt;"/>
    <s v="&lt;null&gt;"/>
    <m/>
    <m/>
    <m/>
    <m/>
  </r>
  <r>
    <x v="73"/>
    <x v="73"/>
    <s v="Fiets"/>
    <x v="0"/>
    <n v="68"/>
    <s v="IN/000068"/>
    <s v="Vrijliggende fietspaden à rotondes in Zandhoven opN14  23.9 - 24.4"/>
    <s v="Herinrichting N14 te Zandhoven"/>
    <s v="Kleine Ingreep"/>
    <s v="WA/INV/N14/7"/>
    <b v="0"/>
    <s v="Ingreep wordt niet opgevolgd in BOD"/>
    <s v="&lt;null&gt;"/>
    <s v="&lt;null&gt;"/>
    <s v="&lt;null&gt;"/>
    <s v="&lt;null&gt;"/>
    <s v="&lt;null&gt;"/>
    <x v="0"/>
    <s v="&lt;null&gt;"/>
    <s v="&lt;null&gt;"/>
    <s v="&lt;null&gt;"/>
    <s v="&lt;null&gt;"/>
    <n v="100"/>
    <s v="&lt;null&gt;"/>
    <s v="&lt;null&gt;"/>
    <s v="&lt;null&gt;"/>
    <s v="&lt;null&gt;"/>
    <m/>
    <m/>
    <m/>
    <m/>
  </r>
  <r>
    <x v="74"/>
    <x v="74"/>
    <s v="Fiets"/>
    <x v="0"/>
    <n v="69"/>
    <s v="IN/000069"/>
    <s v="Nieuwe SLEM-laag in Herk-de-Stad opN717  10.9 - 11.1"/>
    <s v="km 10,9-11,1 : rode slem vernieuwen"/>
    <s v="Kleine Ingreep"/>
    <s v="WL/INV/N717/4"/>
    <b v="1"/>
    <s v="Ingreep wordt opgevolgd in BOD"/>
    <n v="10814"/>
    <s v="AWV/INV/2021/1_P5"/>
    <n v="79551"/>
    <n v="21022941"/>
    <s v="&lt;p&gt;Relance plan fiets.&lt;/p&gt;"/>
    <x v="2"/>
    <n v="5418"/>
    <s v="Herk-de-Stad - N717 kmpt 10.550 - 11.066"/>
    <s v="&lt;null&gt;"/>
    <s v="WL/INV/N717/4"/>
    <n v="100"/>
    <n v="149963.88"/>
    <n v="81317.195999999996"/>
    <n v="0"/>
    <n v="68646.683999999994"/>
    <n v="149963.88"/>
    <n v="81317.195999999996"/>
    <n v="0"/>
    <n v="68646.683999999994"/>
  </r>
  <r>
    <x v="75"/>
    <x v="75"/>
    <s v="Fiets"/>
    <x v="0"/>
    <n v="70"/>
    <s v="IN/000070"/>
    <s v="Nieuwe SLEM-laag in Peer opN73  26.1 - 26.2"/>
    <s v="km 26,1-26,2 : nieuwe anti-slip laag op fietsbrug"/>
    <s v="Kleine Ingreep"/>
    <s v="WL/INV/N73/13"/>
    <b v="1"/>
    <s v="Ingreep wordt opgevolgd in BOD"/>
    <n v="10814"/>
    <s v="AWV/INV/2021/1_P5"/>
    <n v="79551"/>
    <n v="21022941"/>
    <s v="&lt;p&gt;Relance plan fiets.&lt;/p&gt;"/>
    <x v="2"/>
    <n v="5403"/>
    <s v="Peer - N73 kmpt 26.100 - 26.200"/>
    <s v="&lt;null&gt;"/>
    <s v="WL/INV/N73/13"/>
    <n v="100"/>
    <n v="13792.89"/>
    <n v="5333.3620000000001"/>
    <n v="0"/>
    <n v="6959.32"/>
    <n v="13792.89"/>
    <n v="5333.3620000000001"/>
    <n v="0"/>
    <n v="6959.32"/>
  </r>
  <r>
    <x v="76"/>
    <x v="76"/>
    <s v="Fiets"/>
    <x v="0"/>
    <n v="71"/>
    <s v="IN/000071"/>
    <s v="Aanleg vrijliggende fietspaden in Koksijde opN34  57.7 - 58.4"/>
    <s v="&lt;null&gt;"/>
    <s v="Kleine Ingreep"/>
    <s v="WWV/INV/N34/8"/>
    <b v="1"/>
    <s v="Ingreep wordt opgevolgd in BOD"/>
    <n v="11664"/>
    <s v="WWV/INV/2021/6"/>
    <n v="100351"/>
    <n v="21054008"/>
    <s v="&lt;p&gt;Werken gedeelte AWV - Relance Fiets&lt;/p&gt;"/>
    <x v="2"/>
    <n v="6944"/>
    <s v="project 1 - N34 Oostduinkerke"/>
    <s v="&lt;null&gt;"/>
    <s v="WWV/INV/N34/8"/>
    <n v="100"/>
    <n v="174000"/>
    <n v="0"/>
    <n v="0"/>
    <n v="0"/>
    <n v="174000"/>
    <n v="0"/>
    <n v="0"/>
    <n v="0"/>
  </r>
  <r>
    <x v="77"/>
    <x v="77"/>
    <s v="Fiets"/>
    <x v="0"/>
    <n v="72"/>
    <s v="IN/000072"/>
    <s v="Aanleg vrijliggende fietspaden in Duffel opN14  5.3 - 7.86"/>
    <s v="Aanleg vrijliggende fietspaden; WERKEN DUFFEL"/>
    <s v="Kleine Ingreep"/>
    <s v="WA/INV/N14/8"/>
    <b v="0"/>
    <s v="Ingreep wordt niet opgevolgd in BOD"/>
    <s v="&lt;null&gt;"/>
    <s v="&lt;null&gt;"/>
    <s v="&lt;null&gt;"/>
    <s v="&lt;null&gt;"/>
    <s v="&lt;null&gt;"/>
    <x v="0"/>
    <s v="&lt;null&gt;"/>
    <s v="&lt;null&gt;"/>
    <s v="&lt;null&gt;"/>
    <s v="&lt;null&gt;"/>
    <n v="100"/>
    <s v="&lt;null&gt;"/>
    <s v="&lt;null&gt;"/>
    <s v="&lt;null&gt;"/>
    <s v="&lt;null&gt;"/>
    <m/>
    <m/>
    <m/>
    <m/>
  </r>
  <r>
    <x v="78"/>
    <x v="78"/>
    <s v="Fiets"/>
    <x v="0"/>
    <n v="73"/>
    <s v="IN/000073"/>
    <s v="Aanleg vrijliggende fietspaden in Antwerpen opN148  4.0 - 5.8"/>
    <s v="Sint-Bernardsesteenweg en Schoonselhof (routeplan 2030)"/>
    <s v="Kleine Ingreep"/>
    <s v="WA/INV/N148/2"/>
    <b v="0"/>
    <s v="Ingreep wordt niet opgevolgd in BOD"/>
    <s v="&lt;null&gt;"/>
    <s v="&lt;null&gt;"/>
    <s v="&lt;null&gt;"/>
    <s v="&lt;null&gt;"/>
    <s v="&lt;null&gt;"/>
    <x v="0"/>
    <s v="&lt;null&gt;"/>
    <s v="&lt;null&gt;"/>
    <s v="&lt;null&gt;"/>
    <s v="&lt;null&gt;"/>
    <n v="100"/>
    <s v="&lt;null&gt;"/>
    <s v="&lt;null&gt;"/>
    <s v="&lt;null&gt;"/>
    <s v="&lt;null&gt;"/>
    <m/>
    <m/>
    <m/>
    <m/>
  </r>
  <r>
    <x v="79"/>
    <x v="79"/>
    <s v="Fiets"/>
    <x v="0"/>
    <n v="74"/>
    <s v="IN/000074"/>
    <s v="Aanleg vrijliggende fietspaden in Puurs-Sint-Amands opN17  6.1 - 9.0"/>
    <s v="St-amands: vrijliggende fietspaden WERKEN"/>
    <s v="Kleine Ingreep"/>
    <s v="WA/INV/N17/4"/>
    <b v="0"/>
    <s v="Ingreep wordt niet opgevolgd in BOD"/>
    <s v="&lt;null&gt;"/>
    <s v="&lt;null&gt;"/>
    <s v="&lt;null&gt;"/>
    <s v="&lt;null&gt;"/>
    <s v="&lt;null&gt;"/>
    <x v="0"/>
    <s v="&lt;null&gt;"/>
    <s v="&lt;null&gt;"/>
    <s v="&lt;null&gt;"/>
    <s v="&lt;null&gt;"/>
    <n v="100"/>
    <s v="&lt;null&gt;"/>
    <s v="&lt;null&gt;"/>
    <s v="&lt;null&gt;"/>
    <s v="&lt;null&gt;"/>
    <m/>
    <m/>
    <m/>
    <m/>
  </r>
  <r>
    <x v="80"/>
    <x v="80"/>
    <s v="Fiets"/>
    <x v="0"/>
    <n v="75"/>
    <s v="IN/000075"/>
    <s v="Aanleg vrijliggende fietspaden in Antwerpen opN114  3.0 - 4.0"/>
    <s v="Aanleg vrijliggend fietspad Leugenberg"/>
    <s v="Kleine Ingreep"/>
    <s v="WA/INV/N114/4"/>
    <b v="0"/>
    <s v="Ingreep wordt niet opgevolgd in BOD"/>
    <s v="&lt;null&gt;"/>
    <s v="&lt;null&gt;"/>
    <s v="&lt;null&gt;"/>
    <s v="&lt;null&gt;"/>
    <s v="&lt;null&gt;"/>
    <x v="0"/>
    <s v="&lt;null&gt;"/>
    <s v="&lt;null&gt;"/>
    <s v="&lt;null&gt;"/>
    <s v="&lt;null&gt;"/>
    <n v="100"/>
    <s v="&lt;null&gt;"/>
    <s v="&lt;null&gt;"/>
    <s v="&lt;null&gt;"/>
    <s v="&lt;null&gt;"/>
    <m/>
    <m/>
    <m/>
    <m/>
  </r>
  <r>
    <x v="81"/>
    <x v="81"/>
    <s v="Fiets"/>
    <x v="0"/>
    <n v="76"/>
    <s v="IN/000076"/>
    <s v="Aanleg vrijliggende fietspaden in Antwerpen, Ekeren opN114  3.0 - 3.1"/>
    <s v="Aanleg vrijliggend fietspad Leugenberg : OV"/>
    <s v="Kleine Ingreep"/>
    <s v="WA/INV/N114/5"/>
    <b v="0"/>
    <s v="Ingreep wordt niet opgevolgd in BOD"/>
    <s v="&lt;null&gt;"/>
    <s v="&lt;null&gt;"/>
    <s v="&lt;null&gt;"/>
    <s v="&lt;null&gt;"/>
    <s v="&lt;null&gt;"/>
    <x v="0"/>
    <s v="&lt;null&gt;"/>
    <s v="&lt;null&gt;"/>
    <s v="&lt;null&gt;"/>
    <s v="&lt;null&gt;"/>
    <n v="100"/>
    <s v="&lt;null&gt;"/>
    <s v="&lt;null&gt;"/>
    <s v="&lt;null&gt;"/>
    <s v="&lt;null&gt;"/>
    <m/>
    <m/>
    <m/>
    <m/>
  </r>
  <r>
    <x v="82"/>
    <x v="82"/>
    <s v="Fiets"/>
    <x v="0"/>
    <n v="77"/>
    <s v="IN/000077"/>
    <s v="Aanleg vrijliggende fietspaden in Tongeren opN753  1.9 - 3.1"/>
    <s v="Noordoostelijke omleidingsweg te Tongeren N79; fietspaden Molenweg"/>
    <s v="Kleine Ingreep"/>
    <s v="WL/INV/N753/4"/>
    <b v="0"/>
    <s v="Ingreep wordt niet opgevolgd in BOD"/>
    <s v="&lt;null&gt;"/>
    <s v="&lt;null&gt;"/>
    <s v="&lt;null&gt;"/>
    <s v="&lt;null&gt;"/>
    <s v="&lt;null&gt;"/>
    <x v="0"/>
    <s v="&lt;null&gt;"/>
    <s v="&lt;null&gt;"/>
    <s v="&lt;null&gt;"/>
    <s v="&lt;null&gt;"/>
    <n v="100"/>
    <s v="&lt;null&gt;"/>
    <s v="&lt;null&gt;"/>
    <s v="&lt;null&gt;"/>
    <s v="&lt;null&gt;"/>
    <m/>
    <m/>
    <m/>
    <m/>
  </r>
  <r>
    <x v="83"/>
    <x v="83"/>
    <s v="Fiets"/>
    <x v="0"/>
    <n v="78"/>
    <s v="IN/000078"/>
    <s v="Aanleg vrijliggende fietspaden in Lummen opN725  11.9 - 12.8"/>
    <s v="Fietspaden Blanklaarstraat - ontbrekend stuk"/>
    <s v="Kleine Ingreep"/>
    <s v="WL/INV/N725/10"/>
    <b v="0"/>
    <s v="Ingreep wordt niet opgevolgd in BOD"/>
    <s v="&lt;null&gt;"/>
    <s v="&lt;null&gt;"/>
    <s v="&lt;null&gt;"/>
    <s v="&lt;null&gt;"/>
    <s v="&lt;null&gt;"/>
    <x v="0"/>
    <s v="&lt;null&gt;"/>
    <s v="&lt;null&gt;"/>
    <s v="&lt;null&gt;"/>
    <s v="&lt;null&gt;"/>
    <n v="100"/>
    <s v="&lt;null&gt;"/>
    <s v="&lt;null&gt;"/>
    <s v="&lt;null&gt;"/>
    <s v="&lt;null&gt;"/>
    <m/>
    <m/>
    <m/>
    <m/>
  </r>
  <r>
    <x v="84"/>
    <x v="84"/>
    <s v="Fiets"/>
    <x v="0"/>
    <n v="79"/>
    <s v="IN/000079"/>
    <s v="Aanleg vrijliggende fietspaden in Beringen opN72  13.0 - 14.0"/>
    <s v="Herinrichting Kasteletsingel - deel fietspaden"/>
    <s v="Kleine Ingreep"/>
    <s v="WL/INV/N72/12"/>
    <b v="0"/>
    <s v="Ingreep wordt niet opgevolgd in BOD"/>
    <s v="&lt;null&gt;"/>
    <s v="&lt;null&gt;"/>
    <s v="&lt;null&gt;"/>
    <s v="&lt;null&gt;"/>
    <s v="&lt;null&gt;"/>
    <x v="0"/>
    <s v="&lt;null&gt;"/>
    <s v="&lt;null&gt;"/>
    <s v="&lt;null&gt;"/>
    <s v="&lt;null&gt;"/>
    <n v="100"/>
    <s v="&lt;null&gt;"/>
    <s v="&lt;null&gt;"/>
    <s v="&lt;null&gt;"/>
    <s v="&lt;null&gt;"/>
    <m/>
    <m/>
    <m/>
    <m/>
  </r>
  <r>
    <x v="85"/>
    <x v="85"/>
    <s v="Fiets"/>
    <x v="0"/>
    <n v="80"/>
    <s v="IN/000080"/>
    <s v="Aanleg vrijliggende fietspaden in Sint-Truiden opN3  60.2 - 63.2"/>
    <s v="fietspaden N3"/>
    <s v="Kleine Ingreep"/>
    <s v="WL/INV/N3/7"/>
    <b v="0"/>
    <s v="Ingreep wordt niet opgevolgd in BOD"/>
    <s v="&lt;null&gt;"/>
    <s v="&lt;null&gt;"/>
    <s v="&lt;null&gt;"/>
    <s v="&lt;null&gt;"/>
    <s v="&lt;null&gt;"/>
    <x v="0"/>
    <s v="&lt;null&gt;"/>
    <s v="&lt;null&gt;"/>
    <s v="&lt;null&gt;"/>
    <s v="&lt;null&gt;"/>
    <n v="100"/>
    <s v="&lt;null&gt;"/>
    <s v="&lt;null&gt;"/>
    <s v="&lt;null&gt;"/>
    <s v="&lt;null&gt;"/>
    <m/>
    <m/>
    <m/>
    <m/>
  </r>
  <r>
    <x v="86"/>
    <x v="86"/>
    <s v="Fiets"/>
    <x v="0"/>
    <n v="81"/>
    <s v="IN/000081"/>
    <s v="Aanleg vrijliggende fietspaden in Tongeren opN20  10.0 - 11.0"/>
    <s v="fietspaden overrepen N20"/>
    <s v="Kleine Ingreep"/>
    <s v="WL/INV/N20/7"/>
    <b v="0"/>
    <s v="Ingreep wordt niet opgevolgd in BOD"/>
    <s v="&lt;null&gt;"/>
    <s v="&lt;null&gt;"/>
    <s v="&lt;null&gt;"/>
    <s v="&lt;null&gt;"/>
    <s v="&lt;null&gt;"/>
    <x v="0"/>
    <s v="&lt;null&gt;"/>
    <s v="&lt;null&gt;"/>
    <s v="&lt;null&gt;"/>
    <s v="&lt;null&gt;"/>
    <n v="100"/>
    <s v="&lt;null&gt;"/>
    <s v="&lt;null&gt;"/>
    <s v="&lt;null&gt;"/>
    <s v="&lt;null&gt;"/>
    <m/>
    <m/>
    <m/>
    <m/>
  </r>
  <r>
    <x v="87"/>
    <x v="87"/>
    <s v="Fiets"/>
    <x v="0"/>
    <n v="82"/>
    <s v="IN/000082"/>
    <s v="Aanleg vrijliggende fietspaden in Peer opN748  0.8 - 17.0"/>
    <s v="fietspaden deel Bokt N748"/>
    <s v="Kleine Ingreep"/>
    <s v="WL/INV/N748/4"/>
    <b v="0"/>
    <s v="Ingreep wordt niet opgevolgd in BOD"/>
    <s v="&lt;null&gt;"/>
    <s v="&lt;null&gt;"/>
    <s v="&lt;null&gt;"/>
    <s v="&lt;null&gt;"/>
    <s v="&lt;null&gt;"/>
    <x v="0"/>
    <s v="&lt;null&gt;"/>
    <s v="&lt;null&gt;"/>
    <s v="&lt;null&gt;"/>
    <s v="&lt;null&gt;"/>
    <n v="100"/>
    <s v="&lt;null&gt;"/>
    <s v="&lt;null&gt;"/>
    <s v="&lt;null&gt;"/>
    <s v="&lt;null&gt;"/>
    <m/>
    <m/>
    <m/>
    <m/>
  </r>
  <r>
    <x v="88"/>
    <x v="88"/>
    <s v="Fiets"/>
    <x v="0"/>
    <n v="83"/>
    <s v="IN/000083"/>
    <s v="Aanleg vrijliggende fietspaden in Tessenderlo opN174  7.4 - 15.2"/>
    <s v="fietspad N174, uitvoeringsstudie"/>
    <s v="Kleine Ingreep"/>
    <s v="WL/INV/N174/4"/>
    <b v="0"/>
    <s v="Ingreep wordt niet opgevolgd in BOD"/>
    <s v="&lt;null&gt;"/>
    <s v="&lt;null&gt;"/>
    <s v="&lt;null&gt;"/>
    <s v="&lt;null&gt;"/>
    <s v="&lt;null&gt;"/>
    <x v="0"/>
    <s v="&lt;null&gt;"/>
    <s v="&lt;null&gt;"/>
    <s v="&lt;null&gt;"/>
    <s v="&lt;null&gt;"/>
    <n v="100"/>
    <s v="&lt;null&gt;"/>
    <s v="&lt;null&gt;"/>
    <s v="&lt;null&gt;"/>
    <s v="&lt;null&gt;"/>
    <m/>
    <m/>
    <m/>
    <m/>
  </r>
  <r>
    <x v="89"/>
    <x v="89"/>
    <s v="Fiets"/>
    <x v="0"/>
    <n v="84"/>
    <s v="IN/000084"/>
    <s v="Aanleg vrijliggende fietspaden in Haacht opN21  22.0 - 23.5"/>
    <s v="Bereikbaarheid station Haacht, inbegrepen BOB vanaf rotonde Zoellaan"/>
    <s v="Kleine Ingreep"/>
    <s v="WVB/INV/N21/8"/>
    <b v="0"/>
    <s v="Ingreep wordt niet opgevolgd in BOD"/>
    <s v="&lt;null&gt;"/>
    <s v="&lt;null&gt;"/>
    <s v="&lt;null&gt;"/>
    <s v="&lt;null&gt;"/>
    <s v="&lt;null&gt;"/>
    <x v="0"/>
    <s v="&lt;null&gt;"/>
    <s v="&lt;null&gt;"/>
    <s v="&lt;null&gt;"/>
    <s v="&lt;null&gt;"/>
    <n v="100"/>
    <s v="&lt;null&gt;"/>
    <s v="&lt;null&gt;"/>
    <s v="&lt;null&gt;"/>
    <s v="&lt;null&gt;"/>
    <m/>
    <m/>
    <m/>
    <m/>
  </r>
  <r>
    <x v="90"/>
    <x v="90"/>
    <s v="Fiets"/>
    <x v="0"/>
    <n v="85"/>
    <s v="IN/000085"/>
    <s v="Aanleg vrijliggende fietspaden in Herent opN2  17.2 - 20.0"/>
    <s v="Brusselsesteenweg:aanleg fietspaden tussen van kmpt 17,2 tot 20"/>
    <s v="Kleine Ingreep"/>
    <s v="WVB/INV/N2/12"/>
    <b v="0"/>
    <s v="Ingreep wordt niet opgevolgd in BOD"/>
    <s v="&lt;null&gt;"/>
    <s v="&lt;null&gt;"/>
    <s v="&lt;null&gt;"/>
    <s v="&lt;null&gt;"/>
    <s v="&lt;null&gt;"/>
    <x v="0"/>
    <s v="&lt;null&gt;"/>
    <s v="&lt;null&gt;"/>
    <s v="&lt;null&gt;"/>
    <s v="&lt;null&gt;"/>
    <n v="100"/>
    <s v="&lt;null&gt;"/>
    <s v="&lt;null&gt;"/>
    <s v="&lt;null&gt;"/>
    <s v="&lt;null&gt;"/>
    <m/>
    <m/>
    <m/>
    <m/>
  </r>
  <r>
    <x v="18"/>
    <x v="18"/>
    <s v="&lt;null&gt;"/>
    <x v="3"/>
    <n v="86"/>
    <s v="IN/000086"/>
    <s v="Aanleg vrijliggende fietspaden in Knokke-Heist opN49  81.9 - 82.6"/>
    <s v="Knokke-Heist: N49 2de golf/kragendijk heraanleg fietspaden"/>
    <s v="Kleine Ingreep"/>
    <s v="WWV/INV/N49/10"/>
    <b v="0"/>
    <s v="Ingreep wordt niet opgevolgd in BOD"/>
    <s v="&lt;null&gt;"/>
    <s v="&lt;null&gt;"/>
    <s v="&lt;null&gt;"/>
    <s v="&lt;null&gt;"/>
    <s v="&lt;null&gt;"/>
    <x v="0"/>
    <s v="&lt;null&gt;"/>
    <s v="&lt;null&gt;"/>
    <s v="&lt;null&gt;"/>
    <s v="&lt;null&gt;"/>
    <s v="&lt;null&gt;"/>
    <s v="&lt;null&gt;"/>
    <s v="&lt;null&gt;"/>
    <s v="&lt;null&gt;"/>
    <s v="&lt;null&gt;"/>
    <m/>
    <m/>
    <m/>
    <m/>
  </r>
  <r>
    <x v="91"/>
    <x v="91"/>
    <s v="Fiets"/>
    <x v="0"/>
    <n v="87"/>
    <s v="IN/000087"/>
    <s v="Aanleg aanliggende fietspaden in Zonhoven opN72  1.0 - 4.0"/>
    <s v="Aanleg riolering en fietspaden N72"/>
    <s v="Kleine Ingreep"/>
    <s v="WL/INV/N72/13"/>
    <b v="0"/>
    <s v="Ingreep wordt niet opgevolgd in BOD"/>
    <s v="&lt;null&gt;"/>
    <s v="&lt;null&gt;"/>
    <s v="&lt;null&gt;"/>
    <s v="&lt;null&gt;"/>
    <s v="&lt;null&gt;"/>
    <x v="0"/>
    <s v="&lt;null&gt;"/>
    <s v="&lt;null&gt;"/>
    <s v="&lt;null&gt;"/>
    <s v="&lt;null&gt;"/>
    <n v="100"/>
    <s v="&lt;null&gt;"/>
    <s v="&lt;null&gt;"/>
    <s v="&lt;null&gt;"/>
    <s v="&lt;null&gt;"/>
    <m/>
    <m/>
    <m/>
    <m/>
  </r>
  <r>
    <x v="92"/>
    <x v="92"/>
    <s v="Fiets"/>
    <x v="0"/>
    <n v="88"/>
    <s v="IN/000088"/>
    <s v="Aanleg aanliggende fietspaden in Heers opN3  71.3 - 73.1"/>
    <s v="Fietspaden renovatie doortocht N3"/>
    <s v="Kleine Ingreep"/>
    <s v="WL/INV/N3/8"/>
    <b v="0"/>
    <s v="Ingreep wordt niet opgevolgd in BOD"/>
    <s v="&lt;null&gt;"/>
    <s v="&lt;null&gt;"/>
    <s v="&lt;null&gt;"/>
    <s v="&lt;null&gt;"/>
    <s v="&lt;null&gt;"/>
    <x v="0"/>
    <s v="&lt;null&gt;"/>
    <s v="&lt;null&gt;"/>
    <s v="&lt;null&gt;"/>
    <s v="&lt;null&gt;"/>
    <n v="100"/>
    <s v="&lt;null&gt;"/>
    <s v="&lt;null&gt;"/>
    <s v="&lt;null&gt;"/>
    <s v="&lt;null&gt;"/>
    <m/>
    <m/>
    <m/>
    <m/>
  </r>
  <r>
    <x v="93"/>
    <x v="93"/>
    <s v="Fiets"/>
    <x v="0"/>
    <n v="89"/>
    <s v="IN/000089"/>
    <s v="Aanleg aanliggende fietspaden in Voeren opN648  13.6 - 14.7"/>
    <s v="Fietspaden project Plackerweg"/>
    <s v="Kleine Ingreep"/>
    <s v="WL/INV/N648/4"/>
    <b v="0"/>
    <s v="Ingreep wordt niet opgevolgd in BOD"/>
    <s v="&lt;null&gt;"/>
    <s v="&lt;null&gt;"/>
    <s v="&lt;null&gt;"/>
    <s v="&lt;null&gt;"/>
    <s v="&lt;null&gt;"/>
    <x v="0"/>
    <s v="&lt;null&gt;"/>
    <s v="&lt;null&gt;"/>
    <s v="&lt;null&gt;"/>
    <s v="&lt;null&gt;"/>
    <n v="100"/>
    <s v="&lt;null&gt;"/>
    <s v="&lt;null&gt;"/>
    <s v="&lt;null&gt;"/>
    <s v="&lt;null&gt;"/>
    <m/>
    <m/>
    <m/>
    <m/>
  </r>
  <r>
    <x v="94"/>
    <x v="94"/>
    <s v="Fiets"/>
    <x v="0"/>
    <n v="90"/>
    <s v="IN/000090"/>
    <s v="Aanleg aanliggende fietspaden in Beersel opN235  9.8 - 10.1"/>
    <s v="Fietspaden en schoolomgeving Sint-Victor - uitvoering deel 1"/>
    <s v="Kleine Ingreep"/>
    <s v="WVB/INV/N235/4"/>
    <b v="0"/>
    <s v="Ingreep wordt niet opgevolgd in BOD"/>
    <s v="&lt;null&gt;"/>
    <s v="&lt;null&gt;"/>
    <s v="&lt;null&gt;"/>
    <s v="&lt;null&gt;"/>
    <s v="&lt;null&gt;"/>
    <x v="0"/>
    <s v="&lt;null&gt;"/>
    <s v="&lt;null&gt;"/>
    <s v="&lt;null&gt;"/>
    <s v="&lt;null&gt;"/>
    <n v="100"/>
    <s v="&lt;null&gt;"/>
    <s v="&lt;null&gt;"/>
    <s v="&lt;null&gt;"/>
    <s v="&lt;null&gt;"/>
    <m/>
    <m/>
    <m/>
    <m/>
  </r>
  <r>
    <x v="95"/>
    <x v="95"/>
    <s v="Fiets"/>
    <x v="0"/>
    <n v="91"/>
    <s v="IN/000091"/>
    <s v="Aanleg aanliggende fietspaden in Rotselaar opN229  2.0 - 3.2"/>
    <s v="Structureel onderhoud N229 met aanleg fietspaden (incl. Aquafincollector Wingepark)"/>
    <s v="Kleine Ingreep"/>
    <s v="WVB/INV/N229/4"/>
    <b v="0"/>
    <s v="Ingreep wordt niet opgevolgd in BOD"/>
    <s v="&lt;null&gt;"/>
    <s v="&lt;null&gt;"/>
    <s v="&lt;null&gt;"/>
    <s v="&lt;null&gt;"/>
    <s v="&lt;null&gt;"/>
    <x v="0"/>
    <s v="&lt;null&gt;"/>
    <s v="&lt;null&gt;"/>
    <s v="&lt;null&gt;"/>
    <s v="&lt;null&gt;"/>
    <n v="100"/>
    <s v="&lt;null&gt;"/>
    <s v="&lt;null&gt;"/>
    <s v="&lt;null&gt;"/>
    <s v="&lt;null&gt;"/>
    <m/>
    <m/>
    <m/>
    <m/>
  </r>
  <r>
    <x v="96"/>
    <x v="96"/>
    <s v="Fiets"/>
    <x v="0"/>
    <n v="92"/>
    <s v="IN/000092"/>
    <s v="Aanleg aanliggende fietspaden in Dilbeek opN8  8.8 - 9.2"/>
    <s v="N8 Dilbeek verbinding fietspad in Schepdaal\n41594-1"/>
    <s v="Kleine Ingreep"/>
    <s v="WVB/INV/N8/3"/>
    <b v="0"/>
    <s v="Ingreep wordt niet opgevolgd in BOD"/>
    <s v="&lt;null&gt;"/>
    <s v="&lt;null&gt;"/>
    <s v="&lt;null&gt;"/>
    <s v="&lt;null&gt;"/>
    <s v="&lt;null&gt;"/>
    <x v="0"/>
    <s v="&lt;null&gt;"/>
    <s v="&lt;null&gt;"/>
    <s v="&lt;null&gt;"/>
    <s v="&lt;null&gt;"/>
    <n v="100"/>
    <s v="&lt;null&gt;"/>
    <s v="&lt;null&gt;"/>
    <s v="&lt;null&gt;"/>
    <s v="&lt;null&gt;"/>
    <m/>
    <m/>
    <m/>
    <m/>
  </r>
  <r>
    <x v="97"/>
    <x v="97"/>
    <s v="Fiets"/>
    <x v="0"/>
    <n v="93"/>
    <s v="IN/000093"/>
    <s v="Structureel Onderhoud - bijna conforme fietspaden in Grobbendonk opN13  14.4 - 15.0"/>
    <s v="missing link tussen 2 MOD13 dossiers wegwerken, parkeervakken op brughellingen wegnemen en FP op brug in goede staat brengen"/>
    <s v="Kleine Ingreep"/>
    <s v="WA/INV/N13/5"/>
    <b v="1"/>
    <s v="Ingreep wordt opgevolgd in BOD"/>
    <n v="11021"/>
    <s v="AWV/INV/2021/1_P1"/>
    <n v="84101"/>
    <n v="21022702"/>
    <s v="&lt;p&gt;Relance fiets Antwerpen&lt;/p&gt;"/>
    <x v="1"/>
    <n v="5768"/>
    <s v="Structureel Onderhoud - bijna conforme fietspaden in Grobbendonk opN13 14.4 - 15.0"/>
    <s v="&lt;null&gt;"/>
    <s v="WA/INV/N13/5"/>
    <n v="100"/>
    <n v="181638.39999999999"/>
    <n v="181638.40100000001"/>
    <n v="-1E-3"/>
    <n v="0"/>
    <n v="181638.39999999999"/>
    <n v="181638.40100000001"/>
    <n v="-1E-3"/>
    <n v="0"/>
  </r>
  <r>
    <x v="98"/>
    <x v="98"/>
    <s v="Fiets"/>
    <x v="0"/>
    <n v="94"/>
    <s v="IN/000094"/>
    <s v="Structureel Onderhoud - bijna conforme fietspaden in Hove opN1  31.1 - 33.6"/>
    <s v="Verzakkingen volgens klacht KM-2020-12334 - klinkers vervangen door asfalt"/>
    <s v="Kleine Ingreep"/>
    <s v="WA/INV/N1/25"/>
    <b v="0"/>
    <s v="Ingreep wordt niet opgevolgd in BOD"/>
    <s v="&lt;null&gt;"/>
    <s v="&lt;null&gt;"/>
    <s v="&lt;null&gt;"/>
    <s v="&lt;null&gt;"/>
    <s v="&lt;null&gt;"/>
    <x v="0"/>
    <s v="&lt;null&gt;"/>
    <s v="&lt;null&gt;"/>
    <s v="&lt;null&gt;"/>
    <s v="&lt;null&gt;"/>
    <n v="100"/>
    <s v="&lt;null&gt;"/>
    <s v="&lt;null&gt;"/>
    <s v="&lt;null&gt;"/>
    <s v="&lt;null&gt;"/>
    <m/>
    <m/>
    <m/>
    <m/>
  </r>
  <r>
    <x v="99"/>
    <x v="99"/>
    <s v="Fiets"/>
    <x v="0"/>
    <n v="95"/>
    <s v="IN/000095"/>
    <s v="Structureel Onderhoud - bijna conforme fietspaden in Lier opN14  9.6 - 13.3"/>
    <s v="beton vervangen door asfalt en omvormen naar 2-richtingsfietspad (parking in kasseien opbreken en groenberm, fietspad verbreden?)"/>
    <s v="Kleine Ingreep"/>
    <s v="WA/INV/N14/14"/>
    <b v="0"/>
    <s v="Ingreep wordt niet opgevolgd in BOD"/>
    <s v="&lt;null&gt;"/>
    <s v="&lt;null&gt;"/>
    <s v="&lt;null&gt;"/>
    <s v="&lt;null&gt;"/>
    <s v="&lt;null&gt;"/>
    <x v="0"/>
    <s v="&lt;null&gt;"/>
    <s v="&lt;null&gt;"/>
    <s v="&lt;null&gt;"/>
    <s v="&lt;null&gt;"/>
    <n v="100"/>
    <s v="&lt;null&gt;"/>
    <s v="&lt;null&gt;"/>
    <s v="&lt;null&gt;"/>
    <s v="&lt;null&gt;"/>
    <m/>
    <m/>
    <m/>
    <m/>
  </r>
  <r>
    <x v="100"/>
    <x v="100"/>
    <s v="Fiets"/>
    <x v="0"/>
    <n v="96"/>
    <s v="IN/000096"/>
    <s v="Structureel Onderhoud - bijna conforme fietspaden in Tessenderlo opN174  13.6 - 15.1"/>
    <s v="toplaag fietspad en rijweg in slechte staat"/>
    <s v="Kleine Ingreep"/>
    <s v="WL/INV/N174/3"/>
    <b v="1"/>
    <s v="Ingreep wordt opgevolgd in BOD"/>
    <n v="10814"/>
    <s v="AWV/INV/2021/1_P5"/>
    <n v="79551"/>
    <n v="21022941"/>
    <s v="&lt;p&gt;Relance plan fiets.&lt;/p&gt;"/>
    <x v="2"/>
    <n v="5416"/>
    <s v="Tessenderlo - N174 kmpt 13.709 - 15.088"/>
    <s v="&lt;null&gt;"/>
    <s v="WL/INV/N174/3"/>
    <n v="100"/>
    <n v="273777.56"/>
    <n v="157980.77679999999"/>
    <n v="0"/>
    <n v="115796.78320000001"/>
    <n v="273777.56"/>
    <n v="157980.77679999999"/>
    <n v="0"/>
    <n v="115796.78320000001"/>
  </r>
  <r>
    <x v="101"/>
    <x v="101"/>
    <s v="Fiets"/>
    <x v="0"/>
    <n v="97"/>
    <s v="IN/000097"/>
    <s v="Structureel Onderhoud - bijna conforme fietspaden in Lommel opN715  34.7 - 35.1"/>
    <s v="km 34,7-35,1 : betonnen platen stuk"/>
    <s v="Kleine Ingreep"/>
    <s v="WL/INV/N715/1"/>
    <b v="1"/>
    <s v="Ingreep wordt opgevolgd in BOD"/>
    <n v="10814"/>
    <s v="AWV/INV/2021/1_P5"/>
    <n v="79551"/>
    <n v="21022941"/>
    <s v="&lt;p&gt;Relance plan fiets.&lt;/p&gt;"/>
    <x v="2"/>
    <n v="5414"/>
    <s v="Lommel - N715 kmpt 34.729 - 35.136"/>
    <s v="&lt;null&gt;"/>
    <s v="WL/INV/N715/1"/>
    <n v="100"/>
    <n v="61119.99"/>
    <n v="61119.99"/>
    <n v="0"/>
    <n v="0"/>
    <n v="61119.99"/>
    <n v="61119.99"/>
    <n v="0"/>
    <n v="0"/>
  </r>
  <r>
    <x v="102"/>
    <x v="102"/>
    <s v="Fiets"/>
    <x v="0"/>
    <n v="98"/>
    <s v="IN/000098"/>
    <s v="Structureel Onderhoud - bijna conforme fietspaden in Heusden-Zolder opN72  8.4 - 8.8"/>
    <s v="toplaag fietspad en greppel in slechte staat"/>
    <s v="Kleine Ingreep"/>
    <s v="WL/INV/N72/9"/>
    <b v="1"/>
    <s v="Ingreep wordt opgevolgd in BOD"/>
    <n v="10814"/>
    <s v="AWV/INV/2021/1_P5"/>
    <n v="79551"/>
    <n v="21022941"/>
    <s v="&lt;p&gt;Relance plan fiets.&lt;/p&gt;"/>
    <x v="2"/>
    <n v="5417"/>
    <s v="Heusden-Zolder - N72 kmpt 8.188 - 8.736"/>
    <s v="&lt;null&gt;"/>
    <s v="WL/INV/N72/9"/>
    <n v="100"/>
    <n v="150322.53"/>
    <n v="0"/>
    <n v="0"/>
    <n v="28124.17"/>
    <n v="150322.53"/>
    <n v="0"/>
    <n v="0"/>
    <n v="28124.17"/>
  </r>
  <r>
    <x v="103"/>
    <x v="103"/>
    <s v="Fiets"/>
    <x v="0"/>
    <n v="99"/>
    <s v="IN/000099"/>
    <s v="Structureel Onderhoud - bijna conforme fietspaden in Hasselt opN725  1.0 - 1.4"/>
    <s v="km 1-1,5 : klinkers vervangen door KWS"/>
    <s v="Kleine Ingreep"/>
    <s v="WL/INV/N725/9"/>
    <b v="1"/>
    <s v="Ingreep wordt opgevolgd in BOD"/>
    <n v="10814"/>
    <s v="AWV/INV/2021/1_P5"/>
    <n v="79551"/>
    <n v="21022941"/>
    <s v="&lt;p&gt;Relance plan fiets.&lt;/p&gt;"/>
    <x v="2"/>
    <n v="5411"/>
    <s v="Hasselt - N725 1.000 - 1.470"/>
    <s v="&lt;null&gt;"/>
    <s v="WL/INV/N725/9"/>
    <n v="100"/>
    <n v="74769.78"/>
    <n v="74466.573499999999"/>
    <n v="0"/>
    <n v="303.20650000000001"/>
    <n v="74769.78"/>
    <n v="74466.573499999999"/>
    <n v="0"/>
    <n v="303.20650000000001"/>
  </r>
  <r>
    <x v="104"/>
    <x v="104"/>
    <s v="Fiets"/>
    <x v="0"/>
    <n v="100"/>
    <s v="IN/000100"/>
    <s v="Structureel Onderhoud - bijna conforme fietspaden in Heusden-Zolder opN72  7.0 - 8.1"/>
    <s v="km 7-8 : toplaag fietspad vernieuwen"/>
    <s v="Kleine Ingreep"/>
    <s v="WL/INV/N72/11"/>
    <b v="1"/>
    <s v="Ingreep wordt opgevolgd in BOD"/>
    <n v="10814"/>
    <s v="AWV/INV/2021/1_P5"/>
    <n v="79551"/>
    <n v="21022941"/>
    <s v="&lt;p&gt;Relance plan fiets.&lt;/p&gt;"/>
    <x v="2"/>
    <n v="5413"/>
    <s v="Heusden-Zolder - N72 kmpt 7.000 - 8.100"/>
    <s v="&lt;null&gt;"/>
    <s v="WL/INV/N72/11"/>
    <n v="100"/>
    <n v="177472.52"/>
    <n v="0"/>
    <n v="0"/>
    <n v="35814.050000000003"/>
    <n v="177472.52"/>
    <n v="0"/>
    <n v="0"/>
    <n v="35814.050000000003"/>
  </r>
  <r>
    <x v="105"/>
    <x v="105"/>
    <s v="Fiets"/>
    <x v="0"/>
    <n v="101"/>
    <s v="IN/000101"/>
    <s v="Structureel Onderhoud - bijna conforme fietspaden in Leopoldsburg opN73  40.0 - 41.5"/>
    <s v="km 40-41,5 beton affrezen en KWS toplaag in de plaats"/>
    <s v="Kleine Ingreep"/>
    <s v="WL/INV/N73/14"/>
    <b v="1"/>
    <s v="Ingreep wordt opgevolgd in BOD"/>
    <n v="10814"/>
    <s v="AWV/INV/2021/1_P5"/>
    <n v="79551"/>
    <n v="21022941"/>
    <s v="&lt;p&gt;Relance plan fiets.&lt;/p&gt;"/>
    <x v="2"/>
    <n v="5415"/>
    <s v="Leopoldsburg - N73 kmpt 40.447 - 41.554"/>
    <s v="&lt;null&gt;"/>
    <s v="WL/INV/N73/14"/>
    <n v="100"/>
    <n v="283960.90999999997"/>
    <n v="234588.73569999999"/>
    <n v="0"/>
    <n v="0"/>
    <n v="283960.90999999997"/>
    <n v="234588.73569999999"/>
    <n v="0"/>
    <n v="0"/>
  </r>
  <r>
    <x v="106"/>
    <x v="106"/>
    <s v="Fiets"/>
    <x v="0"/>
    <n v="102"/>
    <s v="IN/000102"/>
    <s v="Structureel Onderhoud - bijna conforme fietspaden in Hamont-Achel opN76  58.0 - 58.4"/>
    <s v="70% F. km 58-58,5 : klinkers vervangen door KWS en toplaag rijweg"/>
    <s v="Kleine Ingreep"/>
    <s v="WL/INV/N76/12"/>
    <b v="1"/>
    <s v="Ingreep wordt opgevolgd in BOD"/>
    <n v="10814"/>
    <s v="AWV/INV/2021/1_P5"/>
    <n v="79551"/>
    <n v="21022941"/>
    <s v="&lt;p&gt;Relance plan fiets.&lt;/p&gt;"/>
    <x v="2"/>
    <n v="5419"/>
    <s v="Hamont-Achel - N76 kmpt 58.334 - 58.493"/>
    <s v="&lt;null&gt;"/>
    <s v="WL/INV/N76/12"/>
    <n v="100"/>
    <n v="72305.990000000005"/>
    <n v="67895.900099999999"/>
    <n v="0"/>
    <n v="4406.2599"/>
    <n v="72305.990000000005"/>
    <n v="67895.900099999999"/>
    <n v="0"/>
    <n v="4406.2599"/>
  </r>
  <r>
    <x v="107"/>
    <x v="107"/>
    <s v="Fiets"/>
    <x v="0"/>
    <n v="103"/>
    <s v="IN/000103"/>
    <s v="Structureel Onderhoud - bijna conforme fietspaden in Maaseik opN773  0.4 - 2.7"/>
    <s v="km 0,4-2,7 : laag beton affrezen, nieuwe KWS toplaag, fietspad breder markeren"/>
    <s v="Kleine Ingreep"/>
    <s v="WL/INV/N773/1"/>
    <b v="1"/>
    <s v="Ingreep wordt opgevolgd in BOD"/>
    <n v="10814"/>
    <s v="AWV/INV/2021/1_P5"/>
    <n v="79551"/>
    <n v="21022941"/>
    <s v="&lt;p&gt;Relance plan fiets.&lt;/p&gt;"/>
    <x v="2"/>
    <n v="5395"/>
    <s v="Maaseik - N773 kmpt 0.430 - 2.670"/>
    <s v="&lt;null&gt;"/>
    <s v="WL/INV/N773/1"/>
    <n v="100"/>
    <n v="143469.53"/>
    <n v="143469.53"/>
    <n v="0"/>
    <n v="0"/>
    <n v="143469.53"/>
    <n v="143469.53"/>
    <n v="0"/>
    <n v="0"/>
  </r>
  <r>
    <x v="108"/>
    <x v="108"/>
    <s v="Fiets"/>
    <x v="0"/>
    <n v="104"/>
    <s v="IN/000104"/>
    <s v="Structureel Onderhoud - bijna conforme fietspaden in Ninove opN255  11.5 - 12.5"/>
    <s v="fietspad in betonstraatstenen vervangen door asfalt"/>
    <s v="Kleine Ingreep"/>
    <s v="WOV/INV/N255/1"/>
    <b v="1"/>
    <s v="Ingreep wordt opgevolgd in BOD"/>
    <s v="&lt;null&gt;"/>
    <s v="&lt;null&gt;"/>
    <n v="87651"/>
    <n v="21022940"/>
    <s v="&lt;p&gt;structureel onderhoud fietspaden ihkv relancemaatregelen&lt;/p&gt;"/>
    <x v="2"/>
    <n v="6416"/>
    <s v="N 255 tussen 11.5 en 12.5"/>
    <s v="&lt;null&gt;"/>
    <s v="WOV/INV/N255/1"/>
    <n v="100"/>
    <n v="256198.34"/>
    <n v="0"/>
    <n v="0"/>
    <n v="256198.34"/>
    <n v="256198.34"/>
    <n v="0"/>
    <n v="0"/>
    <n v="256198.34"/>
  </r>
  <r>
    <x v="109"/>
    <x v="109"/>
    <s v="Fiets"/>
    <x v="0"/>
    <n v="105"/>
    <s v="IN/000105"/>
    <s v="Structureel Onderhoud - bijna conforme fietspaden in Wetteren opN400  0.44 - 1.85"/>
    <s v="&lt;null&gt;"/>
    <s v="Kleine Ingreep"/>
    <s v="WOV/INV/N400/1"/>
    <b v="1"/>
    <s v="Ingreep wordt opgevolgd in BOD"/>
    <n v="11115"/>
    <s v="AWV/INV/2021/1_P4"/>
    <n v="87651"/>
    <n v="21022940"/>
    <s v="&lt;p&gt;structureel onderhoud fietspaden ihkv relancemaatregelen&lt;/p&gt;"/>
    <x v="2"/>
    <n v="6413"/>
    <s v="N400 tussen 0,44 en 1,85"/>
    <s v="&lt;null&gt;"/>
    <s v="WOV/INV/N400/1"/>
    <n v="100"/>
    <n v="118393.45"/>
    <n v="0"/>
    <n v="0"/>
    <n v="0"/>
    <n v="118393.45"/>
    <n v="0"/>
    <n v="0"/>
    <n v="0"/>
  </r>
  <r>
    <x v="110"/>
    <x v="110"/>
    <s v="Fiets"/>
    <x v="0"/>
    <n v="106"/>
    <s v="IN/000106"/>
    <s v="Structureel Onderhoud - bijna conforme fietspaden in Brakel opN415  17.5 - 20.6"/>
    <s v="fietspad in beton vervangen door asfalt"/>
    <s v="Kleine Ingreep"/>
    <s v="WOV/INV/N415/5"/>
    <b v="1"/>
    <s v="Ingreep wordt opgevolgd in BOD"/>
    <n v="11115"/>
    <s v="AWV/INV/2021/1_P4"/>
    <n v="87651"/>
    <n v="21022940"/>
    <s v="&lt;p&gt;structureel onderhoud fietspaden ihkv relancemaatregelen&lt;/p&gt;"/>
    <x v="2"/>
    <n v="6406"/>
    <s v="N415 tussen 17,5 en 20,6"/>
    <s v="&lt;null&gt;"/>
    <s v="WOV/INV/N415/5"/>
    <n v="100"/>
    <n v="407109"/>
    <n v="0"/>
    <n v="0"/>
    <n v="247668.23"/>
    <n v="407109"/>
    <n v="0"/>
    <n v="0"/>
    <n v="247668.23"/>
  </r>
  <r>
    <x v="111"/>
    <x v="111"/>
    <s v="Fiets"/>
    <x v="0"/>
    <n v="107"/>
    <s v="IN/000107"/>
    <s v="Structureel Onderhoud - bijna conforme fietspaden in Zwalm, Gavere opN415  9.3 - 8.3"/>
    <s v="aanliggend verhoogd dubbelrichtingsfietspad met versleten slemlaag, dwarse scheuren en opstuikingen vervangen door beton."/>
    <s v="Kleine Ingreep"/>
    <s v="WOV/INV/N415/4"/>
    <b v="1"/>
    <s v="Ingreep wordt opgevolgd in BOD"/>
    <n v="11115"/>
    <s v="AWV/INV/2021/1_P4"/>
    <n v="87651"/>
    <n v="21022940"/>
    <s v="&lt;p&gt;structureel onderhoud fietspaden ihkv relancemaatregelen&lt;/p&gt;"/>
    <x v="2"/>
    <n v="6419"/>
    <s v="N415 tussen 9,30 en 8,30"/>
    <s v="&lt;null&gt;"/>
    <s v="WOV/INV/N415/4"/>
    <n v="100"/>
    <n v="207540.13"/>
    <n v="0"/>
    <n v="0"/>
    <n v="207540.13"/>
    <n v="207540.13"/>
    <n v="0"/>
    <n v="0"/>
    <n v="207540.13"/>
  </r>
  <r>
    <x v="112"/>
    <x v="112"/>
    <s v="Fiets"/>
    <x v="0"/>
    <n v="108"/>
    <s v="IN/000108"/>
    <s v="Structureel Onderhoud - bijna conforme fietspaden in Wetteren opN416  13.2 - 14.4"/>
    <s v="&lt;null&gt;"/>
    <s v="Kleine Ingreep"/>
    <s v="WOV/INV/N416/3"/>
    <b v="1"/>
    <s v="Ingreep wordt opgevolgd in BOD"/>
    <n v="11115"/>
    <s v="AWV/INV/2021/1_P4"/>
    <n v="87651"/>
    <n v="21022940"/>
    <s v="&lt;p&gt;structureel onderhoud fietspaden ihkv relancemaatregelen&lt;/p&gt;"/>
    <x v="2"/>
    <n v="6414"/>
    <s v="N416 tussen 13,2 en 14,4"/>
    <s v="&lt;null&gt;"/>
    <s v="WOV/INV/N416/3"/>
    <n v="100"/>
    <n v="125101.21"/>
    <n v="125101.21"/>
    <n v="0"/>
    <n v="0"/>
    <n v="125101.21"/>
    <n v="125101.21"/>
    <n v="0"/>
    <n v="0"/>
  </r>
  <r>
    <x v="113"/>
    <x v="113"/>
    <s v="Fiets"/>
    <x v="0"/>
    <n v="109"/>
    <s v="IN/000109"/>
    <s v="Structureel Onderhoud - bijna conforme fietspaden in Eeklo opN434  6.9 - 8.3"/>
    <s v="&lt;null&gt;"/>
    <s v="Kleine Ingreep"/>
    <s v="WOV/INV/N434/1"/>
    <b v="1"/>
    <s v="Ingreep wordt opgevolgd in BOD"/>
    <n v="11115"/>
    <s v="AWV/INV/2021/1_P4"/>
    <n v="87651"/>
    <n v="21022940"/>
    <s v="&lt;p&gt;structureel onderhoud fietspaden ihkv relancemaatregelen&lt;/p&gt;"/>
    <x v="2"/>
    <n v="6311"/>
    <s v="zone N434 Kaprijke, mpt 6.940 - 8.380"/>
    <m/>
    <m/>
    <m/>
    <m/>
    <m/>
    <m/>
    <m/>
    <m/>
    <m/>
    <m/>
    <m/>
  </r>
  <r>
    <x v="114"/>
    <x v="114"/>
    <s v="Fiets"/>
    <x v="0"/>
    <n v="110"/>
    <s v="IN/000110"/>
    <s v="Structureel Onderhoud - bijna conforme fietspaden in Nazareth opN437  17.6 - 18.9"/>
    <s v="&lt;null&gt;"/>
    <s v="Kleine Ingreep"/>
    <s v="WOV/INV/N437/8"/>
    <b v="1"/>
    <s v="Ingreep wordt opgevolgd in BOD"/>
    <n v="11115"/>
    <s v="AWV/INV/2021/1_P4"/>
    <n v="87651"/>
    <n v="21022940"/>
    <s v="&lt;p&gt;structureel onderhoud fietspaden ihkv relancemaatregelen&lt;/p&gt;"/>
    <x v="2"/>
    <n v="6410"/>
    <s v="N437 tussen 17.6 en 18.9"/>
    <s v="&lt;null&gt;"/>
    <s v="WOV/INV/N437/8"/>
    <n v="100"/>
    <n v="195791.81"/>
    <n v="101770.69"/>
    <n v="0"/>
    <n v="94021.119999999995"/>
    <n v="195791.81"/>
    <n v="101770.69"/>
    <n v="0"/>
    <n v="94021.119999999995"/>
  </r>
  <r>
    <x v="115"/>
    <x v="115"/>
    <s v="Fiets"/>
    <x v="0"/>
    <n v="111"/>
    <s v="IN/000111"/>
    <s v="Structureel Onderhoud - bijna conforme fietspaden in Berlare, Zele opN445  17.9 - 20.9"/>
    <s v="zone werd uitgebreid naar 18 - 21 (zie ook andere regel van N 445)"/>
    <s v="Kleine Ingreep"/>
    <s v="WOV/INV/N445/1"/>
    <b v="1"/>
    <s v="Ingreep wordt opgevolgd in BOD"/>
    <n v="11115"/>
    <s v="AWV/INV/2021/1_P4"/>
    <n v="87651"/>
    <n v="21022940"/>
    <s v="&lt;p&gt;structureel onderhoud fietspaden ihkv relancemaatregelen&lt;/p&gt;"/>
    <x v="2"/>
    <n v="6411"/>
    <s v="N445 tussen 17,9 en 20,9"/>
    <s v="&lt;null&gt;"/>
    <s v="WOV/INV/N445/1"/>
    <n v="100"/>
    <n v="882291"/>
    <n v="838865.40700000001"/>
    <n v="0"/>
    <n v="0"/>
    <n v="882291"/>
    <n v="838865.40700000001"/>
    <n v="0"/>
    <n v="0"/>
  </r>
  <r>
    <x v="116"/>
    <x v="116"/>
    <s v="Fiets"/>
    <x v="0"/>
    <n v="112"/>
    <s v="IN/000112"/>
    <s v="Structureel Onderhoud - bijna conforme fietspaden in Zottegem opN454  19.0 - 20.6"/>
    <s v="verhoogd aanliggend fietspad in betonstraatstenen vervangen door asfalt"/>
    <s v="Kleine Ingreep"/>
    <s v="WOV/INV/N454/6"/>
    <b v="1"/>
    <s v="Ingreep wordt opgevolgd in BOD"/>
    <n v="11115"/>
    <s v="AWV/INV/2021/1_P4"/>
    <n v="87651"/>
    <n v="21022940"/>
    <s v="&lt;p&gt;structureel onderhoud fietspaden ihkv relancemaatregelen&lt;/p&gt;"/>
    <x v="2"/>
    <n v="6418"/>
    <s v="N454 tussen 19 en 20,6"/>
    <s v="&lt;null&gt;"/>
    <s v="WOV/INV/N454/6"/>
    <n v="100"/>
    <n v="226502.98"/>
    <n v="0"/>
    <n v="0"/>
    <n v="25202.36"/>
    <n v="226502.98"/>
    <n v="0"/>
    <n v="0"/>
    <n v="25202.36"/>
  </r>
  <r>
    <x v="117"/>
    <x v="117"/>
    <s v="Fiets"/>
    <x v="0"/>
    <n v="113"/>
    <s v="IN/000113"/>
    <s v="Structureel Onderhoud - bijna conforme fietspaden in Gent opN456  16.5 - 17.0"/>
    <s v="&lt;null&gt;"/>
    <s v="Kleine Ingreep"/>
    <s v="WOV/INV/N456/7"/>
    <b v="1"/>
    <s v="Ingreep wordt opgevolgd in BOD"/>
    <n v="11115"/>
    <s v="AWV/INV/2021/1_P4"/>
    <n v="87651"/>
    <n v="21022940"/>
    <s v="&lt;p&gt;structureel onderhoud fietspaden ihkv relancemaatregelen&lt;/p&gt;"/>
    <x v="2"/>
    <n v="6062"/>
    <s v="zone N456 Lembeke"/>
    <s v="&lt;null&gt;"/>
    <s v="WOV/INV/N456/7"/>
    <n v="100"/>
    <n v="56024.46"/>
    <n v="56024.457499999997"/>
    <n v="0"/>
    <n v="0"/>
    <n v="56024.46"/>
    <n v="56024.457499999997"/>
    <n v="0"/>
    <n v="0"/>
  </r>
  <r>
    <x v="118"/>
    <x v="118"/>
    <s v="Fiets"/>
    <x v="0"/>
    <n v="114"/>
    <s v="IN/000114"/>
    <s v="Structureel Onderhoud - bijna conforme fietspaden in Gent opN456  20.0 - 20.1"/>
    <s v="&lt;null&gt;"/>
    <s v="Kleine Ingreep"/>
    <s v="WOV/INV/N456/8"/>
    <b v="1"/>
    <s v="Ingreep wordt opgevolgd in BOD"/>
    <n v="11115"/>
    <s v="AWV/INV/2021/1_P4"/>
    <n v="87651"/>
    <n v="21022940"/>
    <s v="&lt;p&gt;structureel onderhoud fietspaden ihkv relancemaatregelen&lt;/p&gt;"/>
    <x v="2"/>
    <n v="6102"/>
    <s v="zone N456 Kaprijke"/>
    <s v="&lt;null&gt;"/>
    <s v="WOV/INV/N456/8"/>
    <n v="100"/>
    <n v="178793"/>
    <n v="168020.37599999999"/>
    <n v="0"/>
    <n v="0"/>
    <n v="178793"/>
    <n v="168020.37599999999"/>
    <n v="0"/>
    <n v="0"/>
  </r>
  <r>
    <x v="119"/>
    <x v="119"/>
    <s v="Fiets"/>
    <x v="0"/>
    <n v="115"/>
    <s v="IN/000115"/>
    <s v="Structureel Onderhoud - bijna conforme fietspaden in Kaprijke opN456  5.3 - 7.5"/>
    <s v="&lt;null&gt;"/>
    <s v="Kleine Ingreep"/>
    <s v="WOV/INV/N456/9"/>
    <b v="1"/>
    <s v="Ingreep wordt opgevolgd in BOD"/>
    <n v="11115"/>
    <s v="AWV/INV/2021/1_P4"/>
    <n v="87651"/>
    <n v="21022940"/>
    <s v="&lt;p&gt;structureel onderhoud fietspaden ihkv relancemaatregelen&lt;/p&gt;"/>
    <x v="2"/>
    <n v="6310"/>
    <s v="zone N456 Evergem, kmpt 5,350 - 7,500"/>
    <m/>
    <m/>
    <m/>
    <m/>
    <m/>
    <m/>
    <m/>
    <m/>
    <m/>
    <m/>
    <m/>
  </r>
  <r>
    <x v="120"/>
    <x v="120"/>
    <s v="Fiets"/>
    <x v="0"/>
    <n v="116"/>
    <s v="IN/000116"/>
    <s v="Structureel Onderhoud - bijna conforme fietspaden in Herzele opN46  11.4 - 13.0"/>
    <s v="vrijliggend fietspad in beton (gebrokkeld) vervangen door asfalt"/>
    <s v="Kleine Ingreep"/>
    <s v="WOV/INV/N46/7"/>
    <b v="1"/>
    <s v="Ingreep wordt opgevolgd in BOD"/>
    <s v="&lt;null&gt;"/>
    <s v="&lt;null&gt;"/>
    <n v="87651"/>
    <n v="21022940"/>
    <s v="&lt;p&gt;structureel onderhoud fietspaden ihkv relancemaatregelen&lt;/p&gt;"/>
    <x v="2"/>
    <n v="6417"/>
    <s v="N46 tussen 11,35 en 13"/>
    <s v="&lt;null&gt;"/>
    <s v="WOV/INV/N46/7"/>
    <n v="100"/>
    <n v="743801.65"/>
    <n v="0"/>
    <n v="0"/>
    <n v="743801.65"/>
    <n v="743801.65"/>
    <n v="0"/>
    <n v="0"/>
    <n v="743801.65"/>
  </r>
  <r>
    <x v="121"/>
    <x v="121"/>
    <s v="Fiets"/>
    <x v="0"/>
    <n v="117"/>
    <s v="IN/000117"/>
    <s v="Structureel Onderhoud - bijna conforme fietspaden in Geraardsbergen opN460  13.8 - 14.6"/>
    <s v="aanliggend fietspad in beton vervangen door asfalt (oplopende kmp)"/>
    <s v="Kleine Ingreep"/>
    <s v="WOV/INV/N460/5"/>
    <b v="1"/>
    <s v="Ingreep wordt opgevolgd in BOD"/>
    <n v="11115"/>
    <s v="AWV/INV/2021/1_P4"/>
    <n v="87651"/>
    <n v="21022940"/>
    <s v="&lt;p&gt;structureel onderhoud fietspaden ihkv relancemaatregelen&lt;/p&gt;"/>
    <x v="2"/>
    <n v="6357"/>
    <s v="N460 tussen 13.8 en 14.6 (opl.)"/>
    <s v="&lt;null&gt;"/>
    <s v="WOV/INV/N460/5"/>
    <n v="100"/>
    <n v="140800.67000000001"/>
    <n v="140800.67000000001"/>
    <n v="0"/>
    <n v="0"/>
    <n v="140800.67000000001"/>
    <n v="140800.67000000001"/>
    <n v="0"/>
    <n v="0"/>
  </r>
  <r>
    <x v="122"/>
    <x v="122"/>
    <s v="Fiets"/>
    <x v="0"/>
    <n v="118"/>
    <s v="IN/000118"/>
    <s v="Structureel Onderhoud - bijna conforme fietspaden in Gent opN466  2.0 - 3.0"/>
    <s v="&lt;null&gt;"/>
    <s v="Kleine Ingreep"/>
    <s v="WOV/INV/N466/5"/>
    <b v="1"/>
    <s v="Ingreep wordt opgevolgd in BOD"/>
    <n v="11115"/>
    <s v="AWV/INV/2021/1_P4"/>
    <n v="87651"/>
    <n v="21022940"/>
    <s v="&lt;p&gt;structureel onderhoud fietspaden ihkv relancemaatregelen&lt;/p&gt;"/>
    <x v="2"/>
    <n v="6361"/>
    <s v="N466 tussen 2.0 en 3.0"/>
    <s v="&lt;null&gt;"/>
    <s v="WOV/INV/N466/5"/>
    <n v="100"/>
    <n v="132576.46"/>
    <n v="75971.0726"/>
    <n v="0"/>
    <n v="56605.3874"/>
    <n v="132576.46"/>
    <n v="75971.0726"/>
    <n v="0"/>
    <n v="56605.3874"/>
  </r>
  <r>
    <x v="123"/>
    <x v="123"/>
    <s v="Fiets"/>
    <x v="0"/>
    <n v="119"/>
    <s v="IN/000119"/>
    <s v="Structureel Onderhoud - bijna conforme fietspaden in Gent opN60  2.5 - 3.7"/>
    <s v="&lt;null&gt;"/>
    <s v="Kleine Ingreep"/>
    <s v="WOV/INV/N60/10"/>
    <b v="1"/>
    <s v="Ingreep wordt opgevolgd in BOD"/>
    <n v="11115"/>
    <s v="AWV/INV/2021/1_P4"/>
    <n v="87651"/>
    <n v="21022940"/>
    <s v="&lt;p&gt;structureel onderhoud fietspaden ihkv relancemaatregelen&lt;/p&gt;"/>
    <x v="2"/>
    <n v="6409"/>
    <s v="N60 tussen 2,5 en 3,7"/>
    <s v="&lt;null&gt;"/>
    <s v="WOV/INV/N60/10"/>
    <n v="100"/>
    <n v="38595.449999999997"/>
    <n v="0"/>
    <n v="31340.312900000001"/>
    <n v="7255.1370999999999"/>
    <n v="38595.449999999997"/>
    <n v="0"/>
    <n v="31340.312900000001"/>
    <n v="7255.1370999999999"/>
  </r>
  <r>
    <x v="124"/>
    <x v="124"/>
    <s v="Fiets"/>
    <x v="0"/>
    <n v="120"/>
    <s v="IN/000120"/>
    <s v="Structureel Onderhoud - bijna conforme fietspaden in Lochristi opN70  7.5 - 9.0"/>
    <s v="&lt;null&gt;"/>
    <s v="Kleine Ingreep"/>
    <s v="WOV/INV/N70/8"/>
    <b v="1"/>
    <s v="Ingreep wordt opgevolgd in BOD"/>
    <n v="11115"/>
    <s v="AWV/INV/2021/1_P4"/>
    <n v="87651"/>
    <n v="21022940"/>
    <s v="&lt;p&gt;structureel onderhoud fietspaden ihkv relancemaatregelen&lt;/p&gt;"/>
    <x v="2"/>
    <n v="6415"/>
    <s v="N70 tussen 7,5 en 9"/>
    <s v="&lt;null&gt;"/>
    <s v="WOV/INV/N70/8"/>
    <n v="100"/>
    <n v="337163.33"/>
    <n v="0"/>
    <n v="0"/>
    <n v="0"/>
    <n v="337163.33"/>
    <n v="0"/>
    <n v="0"/>
    <n v="0"/>
  </r>
  <r>
    <x v="125"/>
    <x v="125"/>
    <s v="Fiets"/>
    <x v="0"/>
    <n v="121"/>
    <s v="IN/000121"/>
    <s v="Structureel Onderhoud - bijna conforme fietspaden in Lierde opN8  36.9 - 37.8"/>
    <s v="&lt;null&gt;"/>
    <s v="Kleine Ingreep"/>
    <s v="WOV/INV/N8/9"/>
    <b v="1"/>
    <s v="Ingreep wordt opgevolgd in BOD"/>
    <n v="11115"/>
    <s v="AWV/INV/2021/1_P4"/>
    <n v="87651"/>
    <n v="21022940"/>
    <s v="&lt;p&gt;structureel onderhoud fietspaden ihkv relancemaatregelen&lt;/p&gt;"/>
    <x v="2"/>
    <n v="6360"/>
    <s v="N8 tussen 36.9 en 37.8"/>
    <s v="&lt;null&gt;"/>
    <s v="WOV/INV/N8/9"/>
    <n v="100"/>
    <n v="179086.75"/>
    <n v="0"/>
    <n v="0"/>
    <n v="0"/>
    <n v="179086.75"/>
    <n v="0"/>
    <n v="0"/>
    <n v="0"/>
  </r>
  <r>
    <x v="126"/>
    <x v="126"/>
    <s v="Fiets"/>
    <x v="0"/>
    <n v="122"/>
    <s v="IN/000122"/>
    <s v="Structureel Onderhoud - bijna conforme fietspaden in Gent opN9  55.19 - 56.1"/>
    <s v="&lt;null&gt;"/>
    <s v="Kleine Ingreep"/>
    <s v="WOV/INV/N9/13"/>
    <b v="1"/>
    <s v="Ingreep wordt opgevolgd in BOD"/>
    <n v="11115"/>
    <s v="AWV/INV/2021/1_P4"/>
    <n v="87651"/>
    <n v="21022940"/>
    <s v="&lt;p&gt;structureel onderhoud fietspaden ihkv relancemaatregelen&lt;/p&gt;"/>
    <x v="2"/>
    <n v="6408"/>
    <s v="N 9 tussen 55.19 en 56.10 (4 projectfiches)"/>
    <s v="&lt;null&gt;"/>
    <s v="WOV/INV/N9/13"/>
    <n v="100"/>
    <n v="132521.38"/>
    <n v="91158.644499999995"/>
    <n v="0"/>
    <n v="23631.16"/>
    <n v="132521.38"/>
    <n v="91158.644499999995"/>
    <n v="0"/>
    <n v="23631.16"/>
  </r>
  <r>
    <x v="127"/>
    <x v="127"/>
    <s v="Fiets"/>
    <x v="0"/>
    <n v="123"/>
    <s v="IN/000123"/>
    <s v="Structureel Onderhoud - bijna conforme fietspaden in Gent opR4  5.6 - 5.7"/>
    <s v="&lt;null&gt;"/>
    <s v="Kleine Ingreep"/>
    <s v="WOV/INV/R4/3"/>
    <b v="0"/>
    <s v="Ingreep wordt niet opgevolgd in BOD"/>
    <s v="&lt;null&gt;"/>
    <s v="&lt;null&gt;"/>
    <s v="&lt;null&gt;"/>
    <s v="&lt;null&gt;"/>
    <s v="&lt;null&gt;"/>
    <x v="0"/>
    <s v="&lt;null&gt;"/>
    <s v="&lt;null&gt;"/>
    <s v="&lt;null&gt;"/>
    <s v="&lt;null&gt;"/>
    <n v="100"/>
    <s v="&lt;null&gt;"/>
    <s v="&lt;null&gt;"/>
    <s v="&lt;null&gt;"/>
    <s v="&lt;null&gt;"/>
    <m/>
    <m/>
    <m/>
    <m/>
  </r>
  <r>
    <x v="128"/>
    <x v="128"/>
    <s v="Fiets"/>
    <x v="0"/>
    <n v="124"/>
    <s v="IN/000124"/>
    <s v="Structureel Onderhoud - bijna conforme fietspaden in Gent opR4  5.7 - 5.8"/>
    <s v="&lt;null&gt;"/>
    <s v="Kleine Ingreep"/>
    <s v="WOV/INV/R4/4"/>
    <b v="0"/>
    <s v="Ingreep wordt niet opgevolgd in BOD"/>
    <s v="&lt;null&gt;"/>
    <s v="&lt;null&gt;"/>
    <s v="&lt;null&gt;"/>
    <s v="&lt;null&gt;"/>
    <s v="&lt;null&gt;"/>
    <x v="0"/>
    <s v="&lt;null&gt;"/>
    <s v="&lt;null&gt;"/>
    <s v="&lt;null&gt;"/>
    <s v="&lt;null&gt;"/>
    <n v="100"/>
    <s v="&lt;null&gt;"/>
    <s v="&lt;null&gt;"/>
    <s v="&lt;null&gt;"/>
    <s v="&lt;null&gt;"/>
    <m/>
    <m/>
    <m/>
    <m/>
  </r>
  <r>
    <x v="129"/>
    <x v="129"/>
    <s v="Fiets"/>
    <x v="0"/>
    <n v="125"/>
    <s v="IN/000125"/>
    <s v="Structureel Onderhoud - bijna conforme fietspaden in Wemmel opN290  5.7 - 6.8"/>
    <s v="KWS bestek Vervangen volledige bestaande opbouw fietspad en aanhorigheden (weerhouden in fase1)"/>
    <s v="Kleine Ingreep"/>
    <s v="WVB/INV/N290/1"/>
    <b v="1"/>
    <s v="Ingreep wordt opgevolgd in BOD"/>
    <n v="9663"/>
    <s v="MDN/1504"/>
    <n v="79501"/>
    <n v="21042826"/>
    <s v="&lt;p&gt;Relance fiets Vlaams-Brabant: installaties N231xLotsesteenweg 176C7, N231xBrouwerijstraat 179C4, &amp;nbsp;N29 Windberg x Rassel 194C5, N285x Kerkstraat 196C9&lt;/p&gt;"/>
    <x v="2"/>
    <n v="5358"/>
    <s v="N29 Windberg x Rassel 194C5"/>
    <s v="&lt;null&gt;"/>
    <s v="WVB/INV/N290/1"/>
    <n v="100"/>
    <n v="17240.75"/>
    <n v="17240.75"/>
    <n v="0"/>
    <n v="0"/>
    <n v="17240.75"/>
    <n v="17240.75"/>
    <n v="0"/>
    <n v="0"/>
  </r>
  <r>
    <x v="130"/>
    <x v="130"/>
    <s v="Fiets"/>
    <x v="0"/>
    <n v="126"/>
    <s v="IN/000126"/>
    <s v="Structureel Onderhoud - bijna conforme fietspaden in Avelgem opN353  2.5 - 3.5"/>
    <s v="&lt;null&gt;"/>
    <s v="Structurele Ingreep"/>
    <s v="WWV/INV/N353/2"/>
    <b v="0"/>
    <s v="Ingreep wordt niet opgevolgd in BOD"/>
    <s v="&lt;null&gt;"/>
    <s v="&lt;null&gt;"/>
    <s v="&lt;null&gt;"/>
    <s v="&lt;null&gt;"/>
    <s v="&lt;null&gt;"/>
    <x v="0"/>
    <s v="&lt;null&gt;"/>
    <s v="&lt;null&gt;"/>
    <s v="&lt;null&gt;"/>
    <s v="&lt;null&gt;"/>
    <n v="100"/>
    <s v="&lt;null&gt;"/>
    <s v="&lt;null&gt;"/>
    <s v="&lt;null&gt;"/>
    <s v="&lt;null&gt;"/>
    <m/>
    <m/>
    <m/>
    <m/>
  </r>
  <r>
    <x v="18"/>
    <x v="18"/>
    <s v="&lt;null&gt;"/>
    <x v="3"/>
    <n v="127"/>
    <s v="IN/000127"/>
    <s v="Structureel Onderhoud - bijna conforme fietspaden in Wervik opN311  0.7 - 2.0"/>
    <s v="&lt;null&gt;"/>
    <s v="Kleine Ingreep"/>
    <s v="&lt;null&gt;"/>
    <b v="0"/>
    <s v="Ingreep wordt niet opgevolgd in BOD"/>
    <s v="&lt;null&gt;"/>
    <s v="&lt;null&gt;"/>
    <s v="&lt;null&gt;"/>
    <s v="&lt;null&gt;"/>
    <s v="&lt;null&gt;"/>
    <x v="0"/>
    <s v="&lt;null&gt;"/>
    <s v="&lt;null&gt;"/>
    <s v="&lt;null&gt;"/>
    <s v="&lt;null&gt;"/>
    <s v="&lt;null&gt;"/>
    <s v="&lt;null&gt;"/>
    <s v="&lt;null&gt;"/>
    <s v="&lt;null&gt;"/>
    <s v="&lt;null&gt;"/>
    <m/>
    <m/>
    <m/>
    <m/>
  </r>
  <r>
    <x v="131"/>
    <x v="131"/>
    <s v="Fiets"/>
    <x v="0"/>
    <n v="128"/>
    <s v="IN/000128"/>
    <s v="Structureel Onderhoud -  Staden N313"/>
    <s v="Plaatselijk klinkerfietspad --&gt; beton \nRotonde in klinkers --&gt; asfalt"/>
    <s v="Kleine Ingreep"/>
    <s v="WWV/INV/N313/5"/>
    <b v="0"/>
    <s v="Ingreep wordt niet opgevolgd in BOD"/>
    <s v="&lt;null&gt;"/>
    <s v="&lt;null&gt;"/>
    <s v="&lt;null&gt;"/>
    <s v="&lt;null&gt;"/>
    <s v="&lt;null&gt;"/>
    <x v="0"/>
    <s v="&lt;null&gt;"/>
    <s v="&lt;null&gt;"/>
    <s v="&lt;null&gt;"/>
    <s v="&lt;null&gt;"/>
    <n v="100"/>
    <s v="&lt;null&gt;"/>
    <s v="&lt;null&gt;"/>
    <s v="&lt;null&gt;"/>
    <s v="&lt;null&gt;"/>
    <m/>
    <m/>
    <m/>
    <m/>
  </r>
  <r>
    <x v="132"/>
    <x v="132"/>
    <s v="Fiets"/>
    <x v="0"/>
    <n v="129"/>
    <s v="IN/000129"/>
    <s v="Relance: FP in Ieper, Langemark, Wervik en Staden"/>
    <s v="vernieuwing toplaag fietspad tss kmpnt 6.9-9.9"/>
    <s v="Kleine Ingreep"/>
    <s v="WWV/INV/REL/1"/>
    <b v="0"/>
    <s v="Ingreep wordt niet opgevolgd in BOD"/>
    <s v="&lt;null&gt;"/>
    <s v="&lt;null&gt;"/>
    <s v="&lt;null&gt;"/>
    <s v="&lt;null&gt;"/>
    <s v="&lt;null&gt;"/>
    <x v="0"/>
    <s v="&lt;null&gt;"/>
    <s v="&lt;null&gt;"/>
    <s v="&lt;null&gt;"/>
    <s v="&lt;null&gt;"/>
    <n v="100"/>
    <s v="&lt;null&gt;"/>
    <s v="&lt;null&gt;"/>
    <s v="&lt;null&gt;"/>
    <s v="&lt;null&gt;"/>
    <m/>
    <m/>
    <m/>
    <m/>
  </r>
  <r>
    <x v="133"/>
    <x v="133"/>
    <s v="Fiets"/>
    <x v="0"/>
    <n v="130"/>
    <s v="IN/000130"/>
    <s v="Structureel Onderhoud - bijna conforme fietspaden in Gistel opN367  19.8 - 20.9"/>
    <s v="&lt;null&gt;"/>
    <s v="Kleine Ingreep"/>
    <s v="WWV/INV/N367/9"/>
    <b v="1"/>
    <s v="Ingreep wordt opgevolgd in BOD"/>
    <n v="11516"/>
    <s v="AWV/INV/2021/1_P3"/>
    <n v="94301"/>
    <n v="21022935"/>
    <s v="&lt;p&gt;Structureel onderhoud fietspaden ikv relancemaatregelen - Perceel 3: vervoerregio's Westhoek, Oostende, Brugge, Roeselare en Kortrijk&lt;/p&gt;"/>
    <x v="2"/>
    <n v="8557"/>
    <s v="Project 5 Gistel (deel 1)"/>
    <s v="&lt;p&gt;vervangen klinkers door asfalt&lt;/p&gt;"/>
    <s v="WWV/INV/N367/9"/>
    <n v="100"/>
    <n v="56955.98"/>
    <n v="56955.98"/>
    <n v="0"/>
    <n v="0"/>
    <n v="56955.98"/>
    <n v="56955.98"/>
    <n v="0"/>
    <n v="0"/>
  </r>
  <r>
    <x v="134"/>
    <x v="134"/>
    <s v="Fiets"/>
    <x v="0"/>
    <n v="131"/>
    <s v="IN/000131"/>
    <s v="Structureel Onderhoud - bijna conforme fietspaden in Koksijde op N396  5.5 - 7.5"/>
    <s v="&lt;null&gt;"/>
    <s v="Kleine Ingreep"/>
    <s v="WWV/INV/N396/2"/>
    <b v="0"/>
    <s v="Ingreep wordt niet opgevolgd in BOD"/>
    <s v="&lt;null&gt;"/>
    <s v="&lt;null&gt;"/>
    <s v="&lt;null&gt;"/>
    <s v="&lt;null&gt;"/>
    <s v="&lt;null&gt;"/>
    <x v="0"/>
    <s v="&lt;null&gt;"/>
    <s v="&lt;null&gt;"/>
    <s v="&lt;null&gt;"/>
    <s v="&lt;null&gt;"/>
    <n v="100"/>
    <s v="&lt;null&gt;"/>
    <s v="&lt;null&gt;"/>
    <s v="&lt;null&gt;"/>
    <s v="&lt;null&gt;"/>
    <m/>
    <m/>
    <m/>
    <m/>
  </r>
  <r>
    <x v="135"/>
    <x v="135"/>
    <s v="Fiets"/>
    <x v="0"/>
    <n v="132"/>
    <s v="IN/000132"/>
    <s v="Structureel Onderhoud - bijna conforme fietspaden in Lanaken opN78  1.3 - 3.9"/>
    <s v="3 deelprojecten: 1,3-3,8: breden FP markeren &amp; toplaag ; 11,9-12,3: toplaag fietspad vernieuwen &amp; 13,8-14,7: parkeerstrook omvormen tot fietspad"/>
    <s v="Kleine Ingreep"/>
    <s v="WL/INV/N78/14"/>
    <b v="1"/>
    <s v="Ingreep wordt opgevolgd in BOD"/>
    <n v="10814"/>
    <s v="AWV/INV/2021/1_P5"/>
    <n v="79551"/>
    <n v="21022941"/>
    <s v="&lt;p&gt;Relance plan fiets.&lt;/p&gt;"/>
    <x v="2"/>
    <n v="5396"/>
    <s v="Lanaken - N78 kmpt 1.300 - 3.900"/>
    <s v="&lt;null&gt;"/>
    <s v="WL/INV/N78/14"/>
    <n v="100"/>
    <n v="265509.48"/>
    <n v="0"/>
    <n v="0"/>
    <n v="43733.47"/>
    <n v="265509.48"/>
    <n v="0"/>
    <n v="0"/>
    <n v="43733.47"/>
  </r>
  <r>
    <x v="136"/>
    <x v="136"/>
    <s v="Fiets"/>
    <x v="0"/>
    <n v="133"/>
    <s v="IN/000133"/>
    <s v="Structureel Onderhoud - bijna conforme fietspaden in Hechtel-Eksel opN715  22.8 - 23.2"/>
    <s v="Structureel Onderhoud - bijna conforme fietspaden N715"/>
    <s v="Kleine Ingreep"/>
    <s v="WL/INV/N715/5"/>
    <b v="0"/>
    <s v="Ingreep wordt niet opgevolgd in BOD"/>
    <s v="&lt;null&gt;"/>
    <s v="&lt;null&gt;"/>
    <s v="&lt;null&gt;"/>
    <s v="&lt;null&gt;"/>
    <s v="&lt;null&gt;"/>
    <x v="0"/>
    <s v="&lt;null&gt;"/>
    <s v="&lt;null&gt;"/>
    <s v="&lt;null&gt;"/>
    <s v="&lt;null&gt;"/>
    <n v="100"/>
    <s v="&lt;null&gt;"/>
    <s v="&lt;null&gt;"/>
    <s v="&lt;null&gt;"/>
    <s v="&lt;null&gt;"/>
    <m/>
    <m/>
    <m/>
    <m/>
  </r>
  <r>
    <x v="137"/>
    <x v="137"/>
    <s v="Fiets"/>
    <x v="0"/>
    <n v="134"/>
    <s v="IN/000134"/>
    <s v="Fietsrelance N9 Aalst  27.1 - 28.5"/>
    <s v="Structureel Onderhoud - bijna conforme fietspaden in Aalst langs N9"/>
    <s v="Kleine Ingreep"/>
    <s v="WOV/INV/N9/15"/>
    <b v="0"/>
    <s v="Ingreep wordt niet opgevolgd in BOD"/>
    <s v="&lt;null&gt;"/>
    <s v="&lt;null&gt;"/>
    <s v="&lt;null&gt;"/>
    <s v="&lt;null&gt;"/>
    <s v="&lt;null&gt;"/>
    <x v="0"/>
    <s v="&lt;null&gt;"/>
    <s v="&lt;null&gt;"/>
    <s v="&lt;null&gt;"/>
    <s v="&lt;null&gt;"/>
    <n v="95"/>
    <s v="&lt;null&gt;"/>
    <s v="&lt;null&gt;"/>
    <s v="&lt;null&gt;"/>
    <s v="&lt;null&gt;"/>
    <m/>
    <m/>
    <m/>
    <m/>
  </r>
  <r>
    <x v="138"/>
    <x v="138"/>
    <s v="Verkeersveiligheid"/>
    <x v="4"/>
    <n v="134"/>
    <s v="IN/000134"/>
    <s v="Fietsrelance N9 Aalst  27.1 - 28.5"/>
    <s v="Structureel Onderhoud - bijna conforme fietspaden in Aalst langs N9"/>
    <s v="Kleine Ingreep"/>
    <s v="WOV/INV/N9/15"/>
    <b v="0"/>
    <s v="Ingreep wordt niet opgevolgd in BOD"/>
    <s v="&lt;null&gt;"/>
    <s v="&lt;null&gt;"/>
    <s v="&lt;null&gt;"/>
    <s v="&lt;null&gt;"/>
    <s v="&lt;null&gt;"/>
    <x v="0"/>
    <s v="&lt;null&gt;"/>
    <s v="&lt;null&gt;"/>
    <s v="&lt;null&gt;"/>
    <s v="&lt;null&gt;"/>
    <n v="5"/>
    <s v="&lt;null&gt;"/>
    <s v="&lt;null&gt;"/>
    <s v="&lt;null&gt;"/>
    <s v="&lt;null&gt;"/>
    <m/>
    <m/>
    <m/>
    <m/>
  </r>
  <r>
    <x v="139"/>
    <x v="139"/>
    <s v="Fiets"/>
    <x v="0"/>
    <n v="135"/>
    <s v="IN/000135"/>
    <s v="Structureel Onderhoud - bijna conforme fietspaden in Middelkerke opN325  3.1 - 4.3"/>
    <s v="Structureel onderhoud Middelkerke-Driewege, samen met fietspadenproject en riolering N325"/>
    <s v="Kleine Ingreep"/>
    <s v="WWV/INV/N325/2"/>
    <b v="0"/>
    <s v="Ingreep wordt niet opgevolgd in BOD"/>
    <s v="&lt;null&gt;"/>
    <s v="&lt;null&gt;"/>
    <s v="&lt;null&gt;"/>
    <s v="&lt;null&gt;"/>
    <s v="&lt;null&gt;"/>
    <x v="0"/>
    <s v="&lt;null&gt;"/>
    <s v="&lt;null&gt;"/>
    <s v="&lt;null&gt;"/>
    <s v="&lt;null&gt;"/>
    <n v="100"/>
    <s v="&lt;null&gt;"/>
    <s v="&lt;null&gt;"/>
    <s v="&lt;null&gt;"/>
    <s v="&lt;null&gt;"/>
    <m/>
    <m/>
    <m/>
    <m/>
  </r>
  <r>
    <x v="140"/>
    <x v="140"/>
    <s v="Fiets"/>
    <x v="0"/>
    <n v="136"/>
    <s v="IN/000136"/>
    <s v="Structureel Onderhoud - bijna conforme fietspaden in Veurne opN39  8.9 - 9.6"/>
    <s v="Nieuwpoortkeiweg N39 - verbeteren afwatering"/>
    <s v="Kleine Ingreep"/>
    <s v="WWV/INV/N39/2"/>
    <b v="0"/>
    <s v="Ingreep wordt niet opgevolgd in BOD"/>
    <s v="&lt;null&gt;"/>
    <s v="&lt;null&gt;"/>
    <s v="&lt;null&gt;"/>
    <s v="&lt;null&gt;"/>
    <s v="&lt;null&gt;"/>
    <x v="0"/>
    <s v="&lt;null&gt;"/>
    <s v="&lt;null&gt;"/>
    <s v="&lt;null&gt;"/>
    <s v="&lt;null&gt;"/>
    <n v="100"/>
    <s v="&lt;null&gt;"/>
    <s v="&lt;null&gt;"/>
    <s v="&lt;null&gt;"/>
    <s v="&lt;null&gt;"/>
    <m/>
    <m/>
    <m/>
    <m/>
  </r>
  <r>
    <x v="141"/>
    <x v="141"/>
    <s v="Fiets"/>
    <x v="0"/>
    <n v="137"/>
    <s v="IN/000137"/>
    <s v="Studie i.f.v. projectvoortgang in Wuustwezel opN1  60.6 - 67.7"/>
    <s v="aanleg vrijliggende fietspaden : STUDIE"/>
    <s v="Kleine Ingreep"/>
    <s v="WA/INV/N1/8"/>
    <b v="0"/>
    <s v="Ingreep wordt niet opgevolgd in BOD"/>
    <s v="&lt;null&gt;"/>
    <s v="&lt;null&gt;"/>
    <s v="&lt;null&gt;"/>
    <s v="&lt;null&gt;"/>
    <s v="&lt;null&gt;"/>
    <x v="0"/>
    <s v="&lt;null&gt;"/>
    <s v="&lt;null&gt;"/>
    <s v="&lt;null&gt;"/>
    <s v="&lt;null&gt;"/>
    <n v="100"/>
    <s v="&lt;null&gt;"/>
    <s v="&lt;null&gt;"/>
    <s v="&lt;null&gt;"/>
    <s v="&lt;null&gt;"/>
    <m/>
    <m/>
    <m/>
    <m/>
  </r>
  <r>
    <x v="142"/>
    <x v="142"/>
    <s v="Fiets"/>
    <x v="0"/>
    <n v="138"/>
    <s v="IN/000138"/>
    <s v="Studie i.f.v. projectvoortgang in Ham opN141  11.0 - 11.1"/>
    <s v="fietstunnel in FSW N141 - studie"/>
    <s v="Kleine Ingreep"/>
    <s v="WL/INV/N141/7"/>
    <b v="0"/>
    <s v="Ingreep wordt niet opgevolgd in BOD"/>
    <s v="&lt;null&gt;"/>
    <s v="&lt;null&gt;"/>
    <s v="&lt;null&gt;"/>
    <s v="&lt;null&gt;"/>
    <s v="&lt;null&gt;"/>
    <x v="0"/>
    <s v="&lt;null&gt;"/>
    <s v="&lt;null&gt;"/>
    <s v="&lt;null&gt;"/>
    <s v="&lt;null&gt;"/>
    <n v="100"/>
    <s v="&lt;null&gt;"/>
    <s v="&lt;null&gt;"/>
    <s v="&lt;null&gt;"/>
    <s v="&lt;null&gt;"/>
    <m/>
    <m/>
    <m/>
    <m/>
  </r>
  <r>
    <x v="143"/>
    <x v="143"/>
    <s v="Fiets"/>
    <x v="0"/>
    <n v="139"/>
    <s v="IN/000139"/>
    <s v="Studie i.f.v. projectvoortgang in Hasselt opN729  4.0 - 5.0"/>
    <s v="aanleg fietspaden tussen kanaal en bolderberg - studie"/>
    <s v="Kleine Ingreep"/>
    <s v="WL/INV/N729/8"/>
    <b v="0"/>
    <s v="Ingreep wordt niet opgevolgd in BOD"/>
    <s v="&lt;null&gt;"/>
    <s v="&lt;null&gt;"/>
    <s v="&lt;null&gt;"/>
    <s v="&lt;null&gt;"/>
    <s v="&lt;null&gt;"/>
    <x v="0"/>
    <s v="&lt;null&gt;"/>
    <s v="&lt;null&gt;"/>
    <s v="&lt;null&gt;"/>
    <s v="&lt;null&gt;"/>
    <n v="100"/>
    <s v="&lt;null&gt;"/>
    <s v="&lt;null&gt;"/>
    <s v="&lt;null&gt;"/>
    <s v="&lt;null&gt;"/>
    <m/>
    <m/>
    <m/>
    <m/>
  </r>
  <r>
    <x v="144"/>
    <x v="144"/>
    <s v="Fiets"/>
    <x v="0"/>
    <n v="140"/>
    <s v="IN/000140"/>
    <s v="Studie i.f.v. projectvoortgang in Hasselt opN203  3.0 - 4.0"/>
    <s v="kruispunt N20 met E313 incl fiets - studie"/>
    <s v="Kleine Ingreep"/>
    <s v="WL/INV/N203/1"/>
    <b v="0"/>
    <s v="Ingreep wordt niet opgevolgd in BOD"/>
    <s v="&lt;null&gt;"/>
    <s v="&lt;null&gt;"/>
    <s v="&lt;null&gt;"/>
    <s v="&lt;null&gt;"/>
    <s v="&lt;null&gt;"/>
    <x v="0"/>
    <s v="&lt;null&gt;"/>
    <s v="&lt;null&gt;"/>
    <s v="&lt;null&gt;"/>
    <s v="&lt;null&gt;"/>
    <n v="100"/>
    <s v="&lt;null&gt;"/>
    <s v="&lt;null&gt;"/>
    <s v="&lt;null&gt;"/>
    <s v="&lt;null&gt;"/>
    <m/>
    <m/>
    <m/>
    <m/>
  </r>
  <r>
    <x v="145"/>
    <x v="145"/>
    <s v="Fiets"/>
    <x v="0"/>
    <n v="141"/>
    <s v="IN/000141"/>
    <s v="Studie i.f.v. projectvoortgang in Houthalen-Helchteren opN719  12.0 - 12.4"/>
    <s v="Studie aanleg fietspaden N719"/>
    <s v="Kleine Ingreep"/>
    <s v="WL/INV/N719/7"/>
    <b v="0"/>
    <s v="Ingreep wordt niet opgevolgd in BOD"/>
    <s v="&lt;null&gt;"/>
    <s v="&lt;null&gt;"/>
    <s v="&lt;null&gt;"/>
    <s v="&lt;null&gt;"/>
    <s v="&lt;null&gt;"/>
    <x v="0"/>
    <s v="&lt;null&gt;"/>
    <s v="&lt;null&gt;"/>
    <s v="&lt;null&gt;"/>
    <s v="&lt;null&gt;"/>
    <n v="100"/>
    <s v="&lt;null&gt;"/>
    <s v="&lt;null&gt;"/>
    <s v="&lt;null&gt;"/>
    <s v="&lt;null&gt;"/>
    <m/>
    <m/>
    <m/>
    <m/>
  </r>
  <r>
    <x v="18"/>
    <x v="18"/>
    <s v="&lt;null&gt;"/>
    <x v="3"/>
    <n v="142"/>
    <s v="IN/000142"/>
    <s v="Studie i.f.v. projectvoortgang in Kaprijke opN456  21.37 - 23.3"/>
    <s v="Aanleg vrijliggende fietspaden in de Molenstraat te Kaprijke - studie"/>
    <s v="Kleine Ingreep"/>
    <s v="WOV/INV/N456/10"/>
    <b v="0"/>
    <s v="Ingreep wordt niet opgevolgd in BOD"/>
    <s v="&lt;null&gt;"/>
    <s v="&lt;null&gt;"/>
    <s v="&lt;null&gt;"/>
    <s v="&lt;null&gt;"/>
    <s v="&lt;null&gt;"/>
    <x v="0"/>
    <s v="&lt;null&gt;"/>
    <s v="&lt;null&gt;"/>
    <s v="&lt;null&gt;"/>
    <s v="&lt;null&gt;"/>
    <s v="&lt;null&gt;"/>
    <s v="&lt;null&gt;"/>
    <s v="&lt;null&gt;"/>
    <s v="&lt;null&gt;"/>
    <s v="&lt;null&gt;"/>
    <m/>
    <m/>
    <m/>
    <m/>
  </r>
  <r>
    <x v="146"/>
    <x v="146"/>
    <s v="Fiets"/>
    <x v="0"/>
    <n v="143"/>
    <s v="IN/000143"/>
    <s v="A12.DP04 - Fietssnelweg F28 Wolvertem-Londerzeel - Studie"/>
    <s v="A12.DP04 - Fietssnelweg F28 Wolvertem-Londerzeel - Studie"/>
    <s v="Kleine Ingreep"/>
    <s v="WVB/INV/A12/6"/>
    <b v="0"/>
    <s v="Ingreep wordt niet opgevolgd in BOD"/>
    <s v="&lt;null&gt;"/>
    <s v="&lt;null&gt;"/>
    <s v="&lt;null&gt;"/>
    <s v="&lt;null&gt;"/>
    <s v="&lt;null&gt;"/>
    <x v="0"/>
    <s v="&lt;null&gt;"/>
    <s v="&lt;null&gt;"/>
    <s v="&lt;null&gt;"/>
    <s v="&lt;null&gt;"/>
    <n v="100"/>
    <s v="&lt;null&gt;"/>
    <s v="&lt;null&gt;"/>
    <s v="&lt;null&gt;"/>
    <s v="&lt;null&gt;"/>
    <m/>
    <m/>
    <m/>
    <m/>
  </r>
  <r>
    <x v="147"/>
    <x v="147"/>
    <s v="Fiets"/>
    <x v="0"/>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8972"/>
    <s v="076a2 - v014253v02 - Lierseweg ; Hemeldonk"/>
    <s v="&lt;p&gt;IN/000144&lt;/p&gt;"/>
    <s v="WA/INV/N13/6"/>
    <n v="100"/>
    <n v="176000"/>
    <n v="0"/>
    <n v="0"/>
    <n v="477.78"/>
    <n v="176000"/>
    <n v="0"/>
    <n v="0"/>
    <n v="477.78"/>
  </r>
  <r>
    <x v="147"/>
    <x v="147"/>
    <s v="Fiets"/>
    <x v="0"/>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n v="11021"/>
    <s v="AWV/INV/2021/1_P1"/>
    <n v="84101"/>
    <n v="21022702"/>
    <s v="&lt;p&gt;Relance fiets Antwerpen&lt;/p&gt;"/>
    <x v="1"/>
    <n v="5769"/>
    <s v="Herindeling van de weg (markeringen) in Herentals opN13 19.2 - 20.2"/>
    <s v="&lt;null&gt;"/>
    <s v="WA/INV/N13/6"/>
    <n v="100"/>
    <n v="525181.06000000006"/>
    <n v="517655.35359999997"/>
    <n v="0"/>
    <n v="7525.7064"/>
    <n v="525181.06000000006"/>
    <n v="517655.35359999997"/>
    <n v="0"/>
    <n v="7525.7064"/>
  </r>
  <r>
    <x v="148"/>
    <x v="148"/>
    <s v="Verkeersveiligheid"/>
    <x v="4"/>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1"/>
    <n v="8972"/>
    <s v="076a2 - v014253v02 - Lierseweg ; Hemeldonk"/>
    <s v="&lt;p&gt;IN/000144&lt;/p&gt;"/>
    <s v="WA/INV/N13/6"/>
    <n v="0"/>
    <n v="176000"/>
    <n v="0"/>
    <n v="0"/>
    <n v="477.78"/>
    <n v="0"/>
    <n v="0"/>
    <n v="0"/>
    <n v="0"/>
  </r>
  <r>
    <x v="148"/>
    <x v="148"/>
    <s v="Verkeersveiligheid"/>
    <x v="4"/>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n v="11021"/>
    <s v="AWV/INV/2021/1_P1"/>
    <n v="84101"/>
    <n v="21022702"/>
    <s v="&lt;p&gt;Relance fiets Antwerpen&lt;/p&gt;"/>
    <x v="4"/>
    <n v="5769"/>
    <s v="Herindeling van de weg (markeringen) in Herentals opN13 19.2 - 20.2"/>
    <s v="&lt;null&gt;"/>
    <s v="WA/INV/N13/6"/>
    <n v="0"/>
    <n v="525181.06000000006"/>
    <n v="517655.35359999997"/>
    <n v="0"/>
    <n v="7525.7064"/>
    <n v="0"/>
    <n v="0"/>
    <n v="0"/>
    <n v="0"/>
  </r>
  <r>
    <x v="149"/>
    <x v="149"/>
    <s v="Verkeersveiligheid"/>
    <x v="4"/>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1"/>
    <n v="8972"/>
    <s v="076a2 - v014253v02 - Lierseweg ; Hemeldonk"/>
    <s v="&lt;p&gt;IN/000144&lt;/p&gt;"/>
    <s v="WA/INV/N13/6"/>
    <n v="0"/>
    <n v="176000"/>
    <n v="0"/>
    <n v="0"/>
    <n v="477.78"/>
    <n v="0"/>
    <n v="0"/>
    <n v="0"/>
    <n v="0"/>
  </r>
  <r>
    <x v="149"/>
    <x v="149"/>
    <s v="Verkeersveiligheid"/>
    <x v="4"/>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n v="11021"/>
    <s v="AWV/INV/2021/1_P1"/>
    <n v="84101"/>
    <n v="21022702"/>
    <s v="&lt;p&gt;Relance fiets Antwerpen&lt;/p&gt;"/>
    <x v="4"/>
    <n v="5769"/>
    <s v="Herindeling van de weg (markeringen) in Herentals opN13 19.2 - 20.2"/>
    <s v="&lt;null&gt;"/>
    <s v="WA/INV/N13/6"/>
    <n v="0"/>
    <n v="525181.06000000006"/>
    <n v="517655.35359999997"/>
    <n v="0"/>
    <n v="7525.7064"/>
    <n v="0"/>
    <n v="0"/>
    <n v="0"/>
    <n v="0"/>
  </r>
  <r>
    <x v="150"/>
    <x v="150"/>
    <s v="Verkeersveiligheid"/>
    <x v="4"/>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n v="11021"/>
    <s v="AWV/INV/2021/1_P1"/>
    <n v="84101"/>
    <n v="21022702"/>
    <s v="&lt;p&gt;Relance fiets Antwerpen&lt;/p&gt;"/>
    <x v="4"/>
    <n v="5769"/>
    <s v="Herindeling van de weg (markeringen) in Herentals opN13 19.2 - 20.2"/>
    <s v="&lt;null&gt;"/>
    <s v="WA/INV/N13/6"/>
    <n v="0"/>
    <n v="525181.06000000006"/>
    <n v="517655.35359999997"/>
    <n v="0"/>
    <n v="7525.7064"/>
    <n v="0"/>
    <n v="0"/>
    <n v="0"/>
    <n v="0"/>
  </r>
  <r>
    <x v="150"/>
    <x v="150"/>
    <s v="Verkeersveiligheid"/>
    <x v="4"/>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1"/>
    <n v="8972"/>
    <s v="076a2 - v014253v02 - Lierseweg ; Hemeldonk"/>
    <s v="&lt;p&gt;IN/000144&lt;/p&gt;"/>
    <s v="WA/INV/N13/6"/>
    <n v="0"/>
    <n v="176000"/>
    <n v="0"/>
    <n v="0"/>
    <n v="477.78"/>
    <n v="0"/>
    <n v="0"/>
    <n v="0"/>
    <n v="0"/>
  </r>
  <r>
    <x v="151"/>
    <x v="151"/>
    <s v="Fiets"/>
    <x v="0"/>
    <n v="145"/>
    <s v="IN/000145"/>
    <s v="Herindeling van de weg (markeringen) in Lier, Boechout opN10  3.5 - 8.1"/>
    <s v="Vrijliggend fietspad maken d.m.v. belijning: afschaffen parkeerstrook &amp; versmalde verdrijfstrook."/>
    <s v="Kleine Ingreep"/>
    <s v="WA/INV/N10/6"/>
    <b v="1"/>
    <s v="Ingreep wordt opgevolgd in BOD"/>
    <n v="11021"/>
    <s v="AWV/INV/2021/1_P1"/>
    <n v="84101"/>
    <n v="21022702"/>
    <s v="&lt;p&gt;Relance fiets Antwerpen&lt;/p&gt;"/>
    <x v="1"/>
    <n v="5773"/>
    <s v="Herindeling van de weg (markeringen) in Lier, Boechout opN10 3.5 - 8.1"/>
    <s v="&lt;null&gt;"/>
    <s v="WA/INV/N10/6"/>
    <n v="95"/>
    <n v="400643.26"/>
    <n v="0"/>
    <n v="87817.41"/>
    <n v="0"/>
    <n v="380611.09700000001"/>
    <n v="0"/>
    <n v="83426.539499999999"/>
    <n v="0"/>
  </r>
  <r>
    <x v="152"/>
    <x v="152"/>
    <s v="Verkeersveiligheid"/>
    <x v="1"/>
    <n v="145"/>
    <s v="IN/000145"/>
    <s v="Herindeling van de weg (markeringen) in Lier, Boechout opN10  3.5 - 8.1"/>
    <s v="Vrijliggend fietspad maken d.m.v. belijning: afschaffen parkeerstrook &amp; versmalde verdrijfstrook."/>
    <s v="Kleine Ingreep"/>
    <s v="WA/INV/N10/6"/>
    <b v="1"/>
    <s v="Ingreep wordt opgevolgd in BOD"/>
    <n v="11021"/>
    <s v="AWV/INV/2021/1_P1"/>
    <n v="84101"/>
    <n v="21022702"/>
    <s v="&lt;p&gt;Relance fiets Antwerpen&lt;/p&gt;"/>
    <x v="1"/>
    <n v="5773"/>
    <s v="Herindeling van de weg (markeringen) in Lier, Boechout opN10 3.5 - 8.1"/>
    <s v="&lt;null&gt;"/>
    <s v="WA/INV/N10/6"/>
    <n v="5"/>
    <n v="400643.26"/>
    <n v="0"/>
    <n v="87817.41"/>
    <n v="0"/>
    <n v="20032.163"/>
    <n v="0"/>
    <n v="4390.8705"/>
    <n v="0"/>
  </r>
  <r>
    <x v="153"/>
    <x v="153"/>
    <s v="Fiets"/>
    <x v="0"/>
    <n v="146"/>
    <s v="IN/000146"/>
    <s v="Herindeling van de weg (markeringen) in Mechelen opN26  17.6 - 20.9"/>
    <s v="tussen 17,6-18,4 verhoogd aanliggend. Vanaf 20,9 wordt aangepakt ikv stationsomgeving. Over volledige lengte klinkers --&gt;"/>
    <s v="Kleine Ingreep"/>
    <s v="WA/INV/N26/7"/>
    <b v="0"/>
    <s v="Ingreep wordt niet opgevolgd in BOD"/>
    <s v="&lt;null&gt;"/>
    <s v="&lt;null&gt;"/>
    <s v="&lt;null&gt;"/>
    <s v="&lt;null&gt;"/>
    <s v="&lt;null&gt;"/>
    <x v="0"/>
    <s v="&lt;null&gt;"/>
    <s v="&lt;null&gt;"/>
    <s v="&lt;null&gt;"/>
    <s v="&lt;null&gt;"/>
    <n v="100"/>
    <s v="&lt;null&gt;"/>
    <s v="&lt;null&gt;"/>
    <s v="&lt;null&gt;"/>
    <s v="&lt;null&gt;"/>
    <m/>
    <m/>
    <m/>
    <m/>
  </r>
  <r>
    <x v="154"/>
    <x v="154"/>
    <s v="Fiets"/>
    <x v="0"/>
    <n v="147"/>
    <s v="IN/000147"/>
    <s v="Herindeling van de weg (markeringen) in Dilsen-Stokkem opN75  28.0 - 29.2"/>
    <s v="km 28-29,2 : toplaag fietspad vernieuwen en breder markeren"/>
    <s v="Kleine Ingreep"/>
    <s v="WL/INV/N75/7"/>
    <b v="1"/>
    <s v="Ingreep wordt opgevolgd in BOD"/>
    <n v="10814"/>
    <s v="AWV/INV/2021/1_P5"/>
    <n v="79551"/>
    <n v="21022941"/>
    <s v="&lt;p&gt;Relance plan fiets.&lt;/p&gt;"/>
    <x v="2"/>
    <n v="5402"/>
    <s v="Dilsen - N75 kmpt 28.00 - 29.200"/>
    <s v="&lt;null&gt;"/>
    <s v="WL/INV/N75/7"/>
    <n v="100"/>
    <n v="207606.54"/>
    <n v="129138.67170000001"/>
    <n v="0"/>
    <n v="78467.868300000002"/>
    <n v="207606.54"/>
    <n v="129138.67170000001"/>
    <n v="0"/>
    <n v="78467.868300000002"/>
  </r>
  <r>
    <x v="155"/>
    <x v="155"/>
    <s v="Fiets"/>
    <x v="0"/>
    <n v="148"/>
    <s v="IN/000148"/>
    <s v="Herindeling van de weg (markeringen) in Geel opN142  0.55 - 1.25"/>
    <s v="Parkeervakken omvormen tot FP"/>
    <s v="Kleine Ingreep"/>
    <s v="WA/INV/N142/3"/>
    <b v="0"/>
    <s v="Ingreep wordt niet opgevolgd in BOD"/>
    <s v="&lt;null&gt;"/>
    <s v="&lt;null&gt;"/>
    <s v="&lt;null&gt;"/>
    <s v="&lt;null&gt;"/>
    <s v="&lt;null&gt;"/>
    <x v="0"/>
    <s v="&lt;null&gt;"/>
    <s v="&lt;null&gt;"/>
    <s v="&lt;null&gt;"/>
    <s v="&lt;null&gt;"/>
    <n v="100"/>
    <s v="&lt;null&gt;"/>
    <s v="&lt;null&gt;"/>
    <s v="&lt;null&gt;"/>
    <s v="&lt;null&gt;"/>
    <m/>
    <m/>
    <m/>
    <m/>
  </r>
  <r>
    <x v="156"/>
    <x v="156"/>
    <s v="Fiets"/>
    <x v="0"/>
    <n v="149"/>
    <s v="IN/000149"/>
    <s v="Herindeling van de weg (markeringen) in Diepenbeek opN76  0.1 - 1.2"/>
    <s v="Herindeling van de weg - schilder- én infrastructuurwerken N76"/>
    <s v="Kleine Ingreep"/>
    <s v="WL/INV/N76/16"/>
    <b v="0"/>
    <s v="Ingreep wordt niet opgevolgd in BOD"/>
    <s v="&lt;null&gt;"/>
    <s v="&lt;null&gt;"/>
    <s v="&lt;null&gt;"/>
    <s v="&lt;null&gt;"/>
    <s v="&lt;null&gt;"/>
    <x v="0"/>
    <s v="&lt;null&gt;"/>
    <s v="&lt;null&gt;"/>
    <s v="&lt;null&gt;"/>
    <s v="&lt;null&gt;"/>
    <n v="100"/>
    <s v="&lt;null&gt;"/>
    <s v="&lt;null&gt;"/>
    <s v="&lt;null&gt;"/>
    <s v="&lt;null&gt;"/>
    <m/>
    <m/>
    <m/>
    <m/>
  </r>
  <r>
    <x v="157"/>
    <x v="157"/>
    <s v="Fiets"/>
    <x v="0"/>
    <n v="150"/>
    <s v="IN/000150"/>
    <s v="Herindeling van de weg (infrastructuurwerken) in Vilvoorde opN1  4.4 - 6.6"/>
    <s v="afschaffen rijstrook over bijna gehele lengte en fietspad markeren op vrijgekomen ruimte (soms voor, soms achter parkeerstrook)"/>
    <s v="Kleine Ingreep"/>
    <s v="WVB/INV/N1/2"/>
    <b v="1"/>
    <s v="Ingreep wordt opgevolgd in BOD"/>
    <n v="11817"/>
    <s v="VWT/VL/2021/3"/>
    <n v="117651"/>
    <n v="21065392"/>
    <s v="&lt;p&gt;3MH214 Kleine ingrepen voor busdoorstroming aan kruispunten&lt;/p&gt;"/>
    <x v="5"/>
    <n v="9325"/>
    <s v="Installatie 140C9 - N1 Schaarbeeklei x Parkstraat - VILVOORDE"/>
    <s v="&lt;p&gt;Levering van nieuwe eZEC. Aanpassing volgens V016683v05. Inbouwen in nieuwe Dynniq TLC.&lt;/p&gt;"/>
    <s v="WVB/INV/N1/2"/>
    <n v="100"/>
    <n v="8131.41"/>
    <n v="8131.41"/>
    <n v="0"/>
    <n v="0"/>
    <n v="8131.41"/>
    <n v="8131.41"/>
    <n v="0"/>
    <n v="0"/>
  </r>
  <r>
    <x v="157"/>
    <x v="157"/>
    <s v="Fiets"/>
    <x v="0"/>
    <n v="150"/>
    <s v="IN/000150"/>
    <s v="Herindeling van de weg (infrastructuurwerken) in Vilvoorde opN1  4.4 - 6.6"/>
    <s v="afschaffen rijstrook over bijna gehele lengte en fietspad markeren op vrijgekomen ruimte (soms voor, soms achter parkeerstrook)"/>
    <s v="Kleine Ingreep"/>
    <s v="WVB/INV/N1/2"/>
    <b v="1"/>
    <s v="Ingreep wordt opgevolgd in BOD"/>
    <n v="10166"/>
    <s v="MDN/59-4"/>
    <n v="89501"/>
    <n v="21041439"/>
    <s v="&lt;p&gt;Nieuwbouw van- en aanpassingen aan verkeerslichten in Vlaams-Brabant&lt;/p&gt;"/>
    <x v="0"/>
    <n v="6717"/>
    <s v="130C8 N1xBroekplein Vilvoorde"/>
    <s v="&lt;null&gt;"/>
    <s v="WVB/INV/N1/2"/>
    <n v="100"/>
    <n v="50000"/>
    <n v="0"/>
    <n v="0"/>
    <n v="3969.93"/>
    <n v="50000"/>
    <n v="0"/>
    <n v="0"/>
    <n v="3969.93"/>
  </r>
  <r>
    <x v="157"/>
    <x v="157"/>
    <s v="Fiets"/>
    <x v="0"/>
    <n v="150"/>
    <s v="IN/000150"/>
    <s v="Herindeling van de weg (infrastructuurwerken) in Vilvoorde opN1  4.4 - 6.6"/>
    <s v="afschaffen rijstrook over bijna gehele lengte en fietspad markeren op vrijgekomen ruimte (soms voor, soms achter parkeerstrook)"/>
    <s v="Kleine Ingreep"/>
    <s v="WVB/INV/N1/2"/>
    <b v="1"/>
    <s v="Ingreep wordt opgevolgd in BOD"/>
    <n v="10964"/>
    <s v="AWV/INV/2021/1_P2"/>
    <n v="82601"/>
    <n v="21022713"/>
    <s v="&lt;p&gt;Relance fiets&lt;/p&gt;"/>
    <x v="6"/>
    <n v="5626"/>
    <s v="N1 Vilvoorde - Fabien Stiénon"/>
    <s v="&lt;null&gt;"/>
    <s v="WVB/INV/N1/2"/>
    <n v="100"/>
    <n v="346876.63"/>
    <n v="73810.701700000005"/>
    <n v="0"/>
    <n v="32.5"/>
    <n v="346876.63"/>
    <n v="73810.701700000005"/>
    <n v="0"/>
    <n v="32.5"/>
  </r>
  <r>
    <x v="157"/>
    <x v="157"/>
    <s v="Fiets"/>
    <x v="0"/>
    <n v="150"/>
    <s v="IN/000150"/>
    <s v="Herindeling van de weg (infrastructuurwerken) in Vilvoorde opN1  4.4 - 6.6"/>
    <s v="afschaffen rijstrook over bijna gehele lengte en fietspad markeren op vrijgekomen ruimte (soms voor, soms achter parkeerstrook)"/>
    <s v="Kleine Ingreep"/>
    <s v="WVB/INV/N1/2"/>
    <b v="1"/>
    <s v="Ingreep wordt opgevolgd in BOD"/>
    <n v="10166"/>
    <s v="MDN/59-4"/>
    <n v="89501"/>
    <n v="21041439"/>
    <s v="&lt;p&gt;Nieuwbouw van- en aanpassingen aan verkeerslichten in Vlaams-Brabant&lt;/p&gt;"/>
    <x v="6"/>
    <n v="6445"/>
    <s v="Installatie 140C9 Vilvoorde N1 Parkstraat"/>
    <s v="&lt;p&gt;Vilvoorde N1xParkstraat installatie 140C9&lt;/p&gt;&lt;p&gt;&lt;br&gt;Aanpassing ikv fietsrelanceproject: nieuwbouw galgpalen, verplaatsen van de verkeersregelaar en toevoeging van pijllichten voor conflictvrije regeling.&lt;/p&gt;"/>
    <s v="WVB/INV/N1/2"/>
    <n v="100"/>
    <n v="85000"/>
    <n v="0"/>
    <n v="0"/>
    <n v="373.93"/>
    <n v="85000"/>
    <n v="0"/>
    <n v="0"/>
    <n v="373.93"/>
  </r>
  <r>
    <x v="157"/>
    <x v="157"/>
    <s v="Fiets"/>
    <x v="0"/>
    <n v="150"/>
    <s v="IN/000150"/>
    <s v="Herindeling van de weg (infrastructuurwerken) in Vilvoorde opN1  4.4 - 6.6"/>
    <s v="afschaffen rijstrook over bijna gehele lengte en fietspad markeren op vrijgekomen ruimte (soms voor, soms achter parkeerstrook)"/>
    <s v="Kleine Ingreep"/>
    <s v="WVB/INV/N1/2"/>
    <b v="1"/>
    <s v="Ingreep wordt opgevolgd in BOD"/>
    <n v="10166"/>
    <s v="MDN/59-4"/>
    <n v="89501"/>
    <n v="21041439"/>
    <s v="&lt;p&gt;Nieuwbouw van- en aanpassingen aan verkeerslichten in Vlaams-Brabant&lt;/p&gt;"/>
    <x v="6"/>
    <n v="6718"/>
    <s v="231C4 N1xGillekensstraat Vilvoorde"/>
    <s v="&lt;null&gt;"/>
    <s v="WVB/INV/N1/2"/>
    <n v="100"/>
    <n v="75000"/>
    <n v="0"/>
    <n v="0"/>
    <n v="8180.03"/>
    <n v="75000"/>
    <n v="0"/>
    <n v="0"/>
    <n v="8180.03"/>
  </r>
  <r>
    <x v="157"/>
    <x v="157"/>
    <s v="Fiets"/>
    <x v="0"/>
    <n v="150"/>
    <s v="IN/000150"/>
    <s v="Herindeling van de weg (infrastructuurwerken) in Vilvoorde opN1  4.4 - 6.6"/>
    <s v="afschaffen rijstrook over bijna gehele lengte en fietspad markeren op vrijgekomen ruimte (soms voor, soms achter parkeerstrook)"/>
    <s v="Kleine Ingreep"/>
    <s v="WVB/INV/N1/2"/>
    <b v="1"/>
    <s v="Ingreep wordt opgevolgd in BOD"/>
    <n v="10166"/>
    <s v="MDN/59-4"/>
    <n v="89501"/>
    <n v="21041439"/>
    <s v="&lt;p&gt;Nieuwbouw van- en aanpassingen aan verkeerslichten in Vlaams-Brabant&lt;/p&gt;"/>
    <x v="6"/>
    <n v="6446"/>
    <s v="Installatie 150C2 Vilvoorde N1 Machelenstraat"/>
    <s v="&lt;p&gt;Vilvoorde N1xMachelenstraat installatie 150C2&lt;/p&gt;&lt;p&gt;&amp;nbsp;&lt;/p&gt;&lt;p&gt;Aanpassing ikv fietsrelanceproject: vervanging van boogpalen in middenberm door galgpalen. Verplaatsen van boogpaal in Machelenstraat.&lt;/p&gt;"/>
    <s v="WVB/INV/N1/2"/>
    <n v="100"/>
    <n v="54000"/>
    <n v="0"/>
    <n v="0"/>
    <n v="1224.79"/>
    <n v="54000"/>
    <n v="0"/>
    <n v="0"/>
    <n v="1224.79"/>
  </r>
  <r>
    <x v="157"/>
    <x v="157"/>
    <s v="Fiets"/>
    <x v="0"/>
    <n v="150"/>
    <s v="IN/000150"/>
    <s v="Herindeling van de weg (infrastructuurwerken) in Vilvoorde opN1  4.4 - 6.6"/>
    <s v="afschaffen rijstrook over bijna gehele lengte en fietspad markeren op vrijgekomen ruimte (soms voor, soms achter parkeerstrook)"/>
    <s v="Kleine Ingreep"/>
    <s v="WVB/INV/N1/2"/>
    <b v="1"/>
    <s v="Ingreep wordt opgevolgd in BOD"/>
    <n v="11817"/>
    <s v="VWT/VL/2021/3"/>
    <n v="117651"/>
    <n v="21065392"/>
    <s v="&lt;p&gt;3MH214 Kleine ingrepen voor busdoorstroming aan kruispunten&lt;/p&gt;"/>
    <x v="5"/>
    <n v="9326"/>
    <s v="Installatie 150C2 - N1 Schaarbeeklei - Nieuwe Havenstraat - Machelenstraat - VILVOORDE"/>
    <s v="&lt;p&gt;Aanpassing van Yoctozec volgens V017531v05 : toevoeging van 2 demodulatoren + ombouw naar seriële sturing (TLC Dynniq).&lt;/p&gt;"/>
    <s v="WVB/INV/N1/2"/>
    <n v="100"/>
    <n v="2769.68"/>
    <n v="2769.68"/>
    <n v="0"/>
    <n v="0"/>
    <n v="2769.68"/>
    <n v="2769.68"/>
    <n v="0"/>
    <n v="0"/>
  </r>
  <r>
    <x v="158"/>
    <x v="158"/>
    <s v="Fiets"/>
    <x v="0"/>
    <n v="151"/>
    <s v="IN/000151"/>
    <s v="N2/78 Tielt-Winge/Bekkevoort FP &amp; StructOnderh N2"/>
    <s v="&lt;null&gt;"/>
    <s v="Structurele Ingreep"/>
    <s v="WVB/INV/N2/11"/>
    <b v="0"/>
    <s v="Ingreep wordt niet opgevolgd in BOD"/>
    <s v="&lt;null&gt;"/>
    <s v="&lt;null&gt;"/>
    <s v="&lt;null&gt;"/>
    <s v="&lt;null&gt;"/>
    <s v="&lt;null&gt;"/>
    <x v="0"/>
    <s v="&lt;null&gt;"/>
    <s v="&lt;null&gt;"/>
    <s v="&lt;null&gt;"/>
    <s v="&lt;null&gt;"/>
    <n v="100"/>
    <s v="&lt;null&gt;"/>
    <s v="&lt;null&gt;"/>
    <s v="&lt;null&gt;"/>
    <s v="&lt;null&gt;"/>
    <m/>
    <m/>
    <m/>
    <m/>
  </r>
  <r>
    <x v="159"/>
    <x v="159"/>
    <s v="Verkeersveiligheid"/>
    <x v="4"/>
    <n v="151"/>
    <s v="IN/000151"/>
    <s v="N2/78 Tielt-Winge/Bekkevoort FP &amp; StructOnderh N2"/>
    <s v="&lt;null&gt;"/>
    <s v="Structurele Ingreep"/>
    <s v="WVB/INV/N2/11"/>
    <b v="0"/>
    <s v="Ingreep wordt niet opgevolgd in BOD"/>
    <s v="&lt;null&gt;"/>
    <s v="&lt;null&gt;"/>
    <s v="&lt;null&gt;"/>
    <s v="&lt;null&gt;"/>
    <s v="&lt;null&gt;"/>
    <x v="0"/>
    <s v="&lt;null&gt;"/>
    <s v="&lt;null&gt;"/>
    <s v="&lt;null&gt;"/>
    <s v="&lt;null&gt;"/>
    <n v="0"/>
    <s v="&lt;null&gt;"/>
    <s v="&lt;null&gt;"/>
    <s v="&lt;null&gt;"/>
    <s v="&lt;null&gt;"/>
    <m/>
    <m/>
    <m/>
    <m/>
  </r>
  <r>
    <x v="160"/>
    <x v="160"/>
    <s v="Fiets"/>
    <x v="0"/>
    <n v="152"/>
    <s v="IN/000152"/>
    <s v="Herindeling van de weg (infrastructuurwerken) in Izegem opN36  18.9 - 22.2"/>
    <s v="Beton opbreken en vervangen door asfalt (incl. verbreden naar 200 cm)"/>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153"/>
    <s v="IN/000153"/>
    <s v="Herindeling van de weg (infrastructuurwerken) in Koksijde opN34  57.7 - 58.4"/>
    <s v="Realisatie fietspad + vermijden tramsporen"/>
    <s v="Kleine Ingreep"/>
    <s v="&lt;null&gt;"/>
    <b v="0"/>
    <s v="Ingreep wordt niet opgevolgd in BOD"/>
    <s v="&lt;null&gt;"/>
    <s v="&lt;null&gt;"/>
    <s v="&lt;null&gt;"/>
    <s v="&lt;null&gt;"/>
    <s v="&lt;null&gt;"/>
    <x v="0"/>
    <s v="&lt;null&gt;"/>
    <s v="&lt;null&gt;"/>
    <s v="&lt;null&gt;"/>
    <s v="&lt;null&gt;"/>
    <s v="&lt;null&gt;"/>
    <s v="&lt;null&gt;"/>
    <s v="&lt;null&gt;"/>
    <s v="&lt;null&gt;"/>
    <s v="&lt;null&gt;"/>
    <m/>
    <m/>
    <m/>
    <m/>
  </r>
  <r>
    <x v="161"/>
    <x v="161"/>
    <s v="Fiets"/>
    <x v="0"/>
    <n v="154"/>
    <s v="IN/000154"/>
    <s v="Herindeling van de weg (infrastructuurwerken) in Lanaken opN78  13.8 - 14.7"/>
    <s v="3 deelprojecten: 1,3-3,8: breden FP markeren &amp; toplaag ; 11,9-12,3: toplaag fietspad vernieuwen &amp; 13,8-14,7: parkeerstrook omvormen tot fietspad"/>
    <s v="Kleine Ingreep"/>
    <s v="WL/INV/N78/15"/>
    <b v="1"/>
    <s v="Ingreep wordt opgevolgd in BOD"/>
    <s v="&lt;null&gt;"/>
    <s v="&lt;null&gt;"/>
    <n v="79551"/>
    <n v="21022941"/>
    <s v="&lt;p&gt;Relance plan fiets.&lt;/p&gt;"/>
    <x v="2"/>
    <n v="5400"/>
    <s v="Lanaken - N78 kmpt 13.800 - 14.700"/>
    <s v="&lt;null&gt;"/>
    <s v="WL/INV/N78/15"/>
    <n v="100"/>
    <n v="126302.34"/>
    <n v="0"/>
    <n v="0"/>
    <n v="126302.34"/>
    <n v="126302.34"/>
    <n v="0"/>
    <n v="0"/>
    <n v="126302.34"/>
  </r>
  <r>
    <x v="162"/>
    <x v="162"/>
    <s v="Fiets"/>
    <x v="0"/>
    <n v="155"/>
    <s v="IN/000155"/>
    <s v="Herindeling van de weg (infrastructuurwerken) in Lanaken opN78  11.9 - 12.3"/>
    <s v="3 deelprojecten: 1,3-3,8: breden FP markeren &amp; toplaag ; 11,9-12,3: toplaag fietspad vernieuwen &amp; 13,8-14,7: parkeerstrook omvormen tot fietspad"/>
    <s v="Kleine Ingreep"/>
    <s v="WL/INV/N78/16"/>
    <b v="1"/>
    <s v="Ingreep wordt opgevolgd in BOD"/>
    <n v="10814"/>
    <s v="AWV/INV/2021/1_P5"/>
    <n v="79551"/>
    <n v="21022941"/>
    <s v="&lt;p&gt;Relance plan fiets.&lt;/p&gt;"/>
    <x v="2"/>
    <n v="5401"/>
    <s v="Lanaken - N78 kmpt 11.900 - 12.300"/>
    <s v="&lt;null&gt;"/>
    <s v="WL/INV/N78/16"/>
    <n v="100"/>
    <n v="36649.54"/>
    <n v="0"/>
    <n v="0"/>
    <n v="0"/>
    <n v="36649.54"/>
    <n v="0"/>
    <n v="0"/>
    <n v="0"/>
  </r>
  <r>
    <x v="163"/>
    <x v="163"/>
    <s v="Fiets"/>
    <x v="0"/>
    <n v="156"/>
    <s v="IN/000156"/>
    <s v="Herindeling van de weg (infrastructuurwerken) in Hasselt opR71  0.0 - 0.0"/>
    <s v="3 deelprojecten: 1,3-3,8: breden FP markeren &amp; toplaag ; 11,9-12,3: toplaag fietspad vernieuwen &amp; 13,8-14,7: parkeerstrook omvormen tot fietspad"/>
    <s v="Kleine Ingreep"/>
    <s v="WL/INV/R71/18"/>
    <b v="1"/>
    <s v="Ingreep wordt opgevolgd in BOD"/>
    <n v="10814"/>
    <s v="AWV/INV/2021/1_P5"/>
    <n v="79551"/>
    <n v="21022941"/>
    <s v="&lt;p&gt;Relance plan fiets.&lt;/p&gt;"/>
    <x v="2"/>
    <n v="5672"/>
    <s v="Hasselt - R71 kmpt 0.0 - 0.0"/>
    <s v="&lt;null&gt;"/>
    <s v="WL/INV/R71/18"/>
    <n v="100"/>
    <n v="105014.15"/>
    <n v="87001.003200000006"/>
    <n v="0"/>
    <n v="18013.146799999999"/>
    <n v="105014.15"/>
    <n v="87001.003200000006"/>
    <n v="0"/>
    <n v="18013.146799999999"/>
  </r>
  <r>
    <x v="164"/>
    <x v="164"/>
    <s v="Fiets"/>
    <x v="0"/>
    <n v="157"/>
    <s v="IN/000157"/>
    <s v="Herindeling van de weg (infrastructuurwerken) in Hasselt opR71  9.7 - 10.0"/>
    <s v="3 deelprojecten: 1,3-3,8: breden FP markeren &amp; toplaag ; 11,9-12,3: toplaag fietspad vernieuwen &amp; 13,8-14,7: parkeerstrook omvormen tot fietspad"/>
    <s v="Kleine Ingreep"/>
    <s v="WL/INV/R71/19"/>
    <b v="1"/>
    <s v="Ingreep wordt opgevolgd in BOD"/>
    <n v="10814"/>
    <s v="AWV/INV/2021/1_P5"/>
    <n v="79551"/>
    <n v="21022941"/>
    <s v="&lt;p&gt;Relance plan fiets.&lt;/p&gt;"/>
    <x v="2"/>
    <n v="5671"/>
    <s v="Hasselt - R71 kmpt 9.7 - 10.0"/>
    <s v="&lt;null&gt;"/>
    <s v="WL/INV/R71/19"/>
    <n v="100"/>
    <n v="37063.82"/>
    <n v="37063.817799999997"/>
    <n v="0"/>
    <n v="2.2000000000000001E-3"/>
    <n v="37063.82"/>
    <n v="37063.817799999997"/>
    <n v="0"/>
    <n v="2.2000000000000001E-3"/>
  </r>
  <r>
    <x v="165"/>
    <x v="165"/>
    <s v="Fiets"/>
    <x v="0"/>
    <n v="158"/>
    <s v="IN/000158"/>
    <s v="Herindeling van de weg (infrastructuurwerken) in Schoten opN115  3.3 - 4.4"/>
    <s v="Herinrichting fietspaden : UITVOERING"/>
    <s v="Kleine Ingreep"/>
    <s v="WA/INV/N115/5"/>
    <b v="0"/>
    <s v="Ingreep wordt niet opgevolgd in BOD"/>
    <s v="&lt;null&gt;"/>
    <s v="&lt;null&gt;"/>
    <s v="&lt;null&gt;"/>
    <s v="&lt;null&gt;"/>
    <s v="&lt;null&gt;"/>
    <x v="0"/>
    <s v="&lt;null&gt;"/>
    <s v="&lt;null&gt;"/>
    <s v="&lt;null&gt;"/>
    <s v="&lt;null&gt;"/>
    <n v="100"/>
    <s v="&lt;null&gt;"/>
    <s v="&lt;null&gt;"/>
    <s v="&lt;null&gt;"/>
    <s v="&lt;null&gt;"/>
    <m/>
    <m/>
    <m/>
    <m/>
  </r>
  <r>
    <x v="166"/>
    <x v="166"/>
    <s v="Verkeersveiligheid"/>
    <x v="4"/>
    <n v="158"/>
    <s v="IN/000158"/>
    <s v="Herindeling van de weg (infrastructuurwerken) in Schoten opN115  3.3 - 4.4"/>
    <s v="Herinrichting fietspaden : UITVOERING"/>
    <s v="Kleine Ingreep"/>
    <s v="WA/INV/N115/5"/>
    <b v="0"/>
    <s v="Ingreep wordt niet opgevolgd in BOD"/>
    <s v="&lt;null&gt;"/>
    <s v="&lt;null&gt;"/>
    <s v="&lt;null&gt;"/>
    <s v="&lt;null&gt;"/>
    <s v="&lt;null&gt;"/>
    <x v="0"/>
    <s v="&lt;null&gt;"/>
    <s v="&lt;null&gt;"/>
    <s v="&lt;null&gt;"/>
    <s v="&lt;null&gt;"/>
    <n v="0"/>
    <s v="&lt;null&gt;"/>
    <s v="&lt;null&gt;"/>
    <s v="&lt;null&gt;"/>
    <s v="&lt;null&gt;"/>
    <m/>
    <m/>
    <m/>
    <m/>
  </r>
  <r>
    <x v="167"/>
    <x v="167"/>
    <s v="Verkeersveiligheid"/>
    <x v="4"/>
    <n v="158"/>
    <s v="IN/000158"/>
    <s v="Herindeling van de weg (infrastructuurwerken) in Schoten opN115  3.3 - 4.4"/>
    <s v="Herinrichting fietspaden : UITVOERING"/>
    <s v="Kleine Ingreep"/>
    <s v="WA/INV/N115/5"/>
    <b v="0"/>
    <s v="Ingreep wordt niet opgevolgd in BOD"/>
    <s v="&lt;null&gt;"/>
    <s v="&lt;null&gt;"/>
    <s v="&lt;null&gt;"/>
    <s v="&lt;null&gt;"/>
    <s v="&lt;null&gt;"/>
    <x v="0"/>
    <s v="&lt;null&gt;"/>
    <s v="&lt;null&gt;"/>
    <s v="&lt;null&gt;"/>
    <s v="&lt;null&gt;"/>
    <n v="0"/>
    <s v="&lt;null&gt;"/>
    <s v="&lt;null&gt;"/>
    <s v="&lt;null&gt;"/>
    <s v="&lt;null&gt;"/>
    <m/>
    <m/>
    <m/>
    <m/>
  </r>
  <r>
    <x v="168"/>
    <x v="168"/>
    <s v="Fiets"/>
    <x v="0"/>
    <n v="159"/>
    <s v="IN/000159"/>
    <s v="Herindeling van de weg (infrastructuurwerken) in Wuustwezel opN133  13.7 - 15.1"/>
    <s v="Structureel onderhoud fietspad (of heraanleg incL parkeerstrookjes) :WERKEN"/>
    <s v="Kleine Ingreep"/>
    <s v="WA/INV/N133/6"/>
    <b v="0"/>
    <s v="Ingreep wordt niet opgevolgd in BOD"/>
    <s v="&lt;null&gt;"/>
    <s v="&lt;null&gt;"/>
    <s v="&lt;null&gt;"/>
    <s v="&lt;null&gt;"/>
    <s v="&lt;null&gt;"/>
    <x v="0"/>
    <s v="&lt;null&gt;"/>
    <s v="&lt;null&gt;"/>
    <s v="&lt;null&gt;"/>
    <s v="&lt;null&gt;"/>
    <n v="100"/>
    <s v="&lt;null&gt;"/>
    <s v="&lt;null&gt;"/>
    <s v="&lt;null&gt;"/>
    <s v="&lt;null&gt;"/>
    <m/>
    <m/>
    <m/>
    <m/>
  </r>
  <r>
    <x v="169"/>
    <x v="169"/>
    <s v="Verkeersveiligheid"/>
    <x v="4"/>
    <n v="159"/>
    <s v="IN/000159"/>
    <s v="Herindeling van de weg (infrastructuurwerken) in Wuustwezel opN133  13.7 - 15.1"/>
    <s v="Structureel onderhoud fietspad (of heraanleg incL parkeerstrookjes) :WERKEN"/>
    <s v="Kleine Ingreep"/>
    <s v="WA/INV/N133/6"/>
    <b v="0"/>
    <s v="Ingreep wordt niet opgevolgd in BOD"/>
    <s v="&lt;null&gt;"/>
    <s v="&lt;null&gt;"/>
    <s v="&lt;null&gt;"/>
    <s v="&lt;null&gt;"/>
    <s v="&lt;null&gt;"/>
    <x v="0"/>
    <s v="&lt;null&gt;"/>
    <s v="&lt;null&gt;"/>
    <s v="&lt;null&gt;"/>
    <s v="&lt;null&gt;"/>
    <n v="0"/>
    <s v="&lt;null&gt;"/>
    <s v="&lt;null&gt;"/>
    <s v="&lt;null&gt;"/>
    <s v="&lt;null&gt;"/>
    <m/>
    <m/>
    <m/>
    <m/>
  </r>
  <r>
    <x v="170"/>
    <x v="170"/>
    <s v="Fiets"/>
    <x v="0"/>
    <n v="160"/>
    <s v="IN/000160"/>
    <s v="Herindeling van de weg (infrastructuurwerken) in Bree, Bocholt opN76  47.6 - 50.8"/>
    <s v="Herindeling van de weg - infrastructuurwerken N76"/>
    <s v="Kleine Ingreep"/>
    <s v="WL/INV/N76/17"/>
    <b v="0"/>
    <s v="Ingreep wordt niet opgevolgd in BOD"/>
    <s v="&lt;null&gt;"/>
    <s v="&lt;null&gt;"/>
    <s v="&lt;null&gt;"/>
    <s v="&lt;null&gt;"/>
    <s v="&lt;null&gt;"/>
    <x v="0"/>
    <s v="&lt;null&gt;"/>
    <s v="&lt;null&gt;"/>
    <s v="&lt;null&gt;"/>
    <s v="&lt;null&gt;"/>
    <n v="100"/>
    <s v="&lt;null&gt;"/>
    <s v="&lt;null&gt;"/>
    <s v="&lt;null&gt;"/>
    <s v="&lt;null&gt;"/>
    <m/>
    <m/>
    <m/>
    <m/>
  </r>
  <r>
    <x v="171"/>
    <x v="171"/>
    <s v="Fiets"/>
    <x v="0"/>
    <n v="161"/>
    <s v="IN/000161"/>
    <s v="Herindeling van de weg (infrastructuurwerken) in Bree opN76  45.0 - 46.0"/>
    <s v="Herindeling van de weg - infrastructuurwerken N76"/>
    <s v="Kleine Ingreep"/>
    <s v="WL/INV/N76/18"/>
    <b v="0"/>
    <s v="Ingreep wordt niet opgevolgd in BOD"/>
    <s v="&lt;null&gt;"/>
    <s v="&lt;null&gt;"/>
    <s v="&lt;null&gt;"/>
    <s v="&lt;null&gt;"/>
    <s v="&lt;null&gt;"/>
    <x v="0"/>
    <s v="&lt;null&gt;"/>
    <s v="&lt;null&gt;"/>
    <s v="&lt;null&gt;"/>
    <s v="&lt;null&gt;"/>
    <n v="100"/>
    <s v="&lt;null&gt;"/>
    <s v="&lt;null&gt;"/>
    <s v="&lt;null&gt;"/>
    <s v="&lt;null&gt;"/>
    <m/>
    <m/>
    <m/>
    <m/>
  </r>
  <r>
    <x v="172"/>
    <x v="172"/>
    <s v="Fiets"/>
    <x v="0"/>
    <n v="162"/>
    <s v="IN/000162"/>
    <s v="Aanpak aanliggende fietspaden in Lier opN108  1.0 - 1.8"/>
    <s v="N108 Lier tussen 1k0 en 1k8 beide kanten aanliggend fietspad in slechte beton opbreken en verhoogd aanbrengen in asfalt"/>
    <s v="Kleine Ingreep"/>
    <s v="WA/INV/N108/3"/>
    <b v="1"/>
    <s v="Ingreep wordt opgevolgd in BOD"/>
    <n v="11021"/>
    <s v="AWV/INV/2021/1_P1"/>
    <n v="84101"/>
    <n v="21022702"/>
    <s v="&lt;p&gt;Relance fiets Antwerpen&lt;/p&gt;"/>
    <x v="1"/>
    <n v="5771"/>
    <s v="Aanpak aanliggende fietspaden in Lier opN108 1.0 - 2.2"/>
    <s v="&lt;null&gt;"/>
    <s v="WA/INV/N108/3"/>
    <n v="100"/>
    <n v="498508.75"/>
    <n v="497450.75"/>
    <n v="0"/>
    <n v="1058"/>
    <n v="498508.75"/>
    <n v="497450.75"/>
    <n v="0"/>
    <n v="1058"/>
  </r>
  <r>
    <x v="173"/>
    <x v="173"/>
    <s v="Fiets"/>
    <x v="0"/>
    <n v="163"/>
    <s v="IN/000163"/>
    <s v="Aanpak aanliggende fietspaden in Lier opN108  1.8 - 2.2"/>
    <s v="N108 1k8 tot 2k2 enkel oplopende kant: aanliggend fietspad in slechte beton opbreken en verhoogd aanbrengen in asfalt en aan 2k2 oversteek voorzien naar bestaand dubbelrichtingsfietspad"/>
    <s v="Kleine Ingreep"/>
    <s v="WA/INV/N108/4"/>
    <b v="0"/>
    <s v="Ingreep wordt niet opgevolgd in BOD"/>
    <s v="&lt;null&gt;"/>
    <s v="&lt;null&gt;"/>
    <s v="&lt;null&gt;"/>
    <s v="&lt;null&gt;"/>
    <s v="&lt;null&gt;"/>
    <x v="0"/>
    <s v="&lt;null&gt;"/>
    <s v="&lt;null&gt;"/>
    <s v="&lt;null&gt;"/>
    <s v="&lt;null&gt;"/>
    <n v="100"/>
    <s v="&lt;null&gt;"/>
    <s v="&lt;null&gt;"/>
    <s v="&lt;null&gt;"/>
    <s v="&lt;null&gt;"/>
    <m/>
    <m/>
    <m/>
    <m/>
  </r>
  <r>
    <x v="174"/>
    <x v="174"/>
    <s v="Fiets"/>
    <x v="0"/>
    <n v="164"/>
    <s v="IN/000164"/>
    <s v="Aanpak aanliggende fietspaden in Malle opN12  25.5 - 25.8"/>
    <s v="Aanliggend verhoogd fietspad in asfalt realiseren ter vervanging van de betonstroken."/>
    <s v="Kleine Ingreep"/>
    <s v="WA/INV/N12/8"/>
    <b v="1"/>
    <s v="Ingreep wordt opgevolgd in BOD"/>
    <n v="11021"/>
    <s v="AWV/INV/2021/1_P1"/>
    <n v="84101"/>
    <n v="21022702"/>
    <s v="&lt;p&gt;Relance fiets Antwerpen&lt;/p&gt;"/>
    <x v="1"/>
    <n v="5774"/>
    <s v="Aanpak aanliggende fietspaden in Malle opN12 25.5 - 25.8"/>
    <s v="&lt;null&gt;"/>
    <s v="WA/INV/N12/8"/>
    <n v="90"/>
    <n v="109002.66"/>
    <n v="109002.66"/>
    <n v="0"/>
    <n v="0"/>
    <n v="98102.394"/>
    <n v="98102.394"/>
    <n v="0"/>
    <n v="0"/>
  </r>
  <r>
    <x v="175"/>
    <x v="175"/>
    <s v="Verkeersveiligheid"/>
    <x v="4"/>
    <n v="164"/>
    <s v="IN/000164"/>
    <s v="Aanpak aanliggende fietspaden in Malle opN12  25.5 - 25.8"/>
    <s v="Aanliggend verhoogd fietspad in asfalt realiseren ter vervanging van de betonstroken."/>
    <s v="Kleine Ingreep"/>
    <s v="WA/INV/N12/8"/>
    <b v="1"/>
    <s v="Ingreep wordt opgevolgd in BOD"/>
    <n v="11021"/>
    <s v="AWV/INV/2021/1_P1"/>
    <n v="84101"/>
    <n v="21022702"/>
    <s v="&lt;p&gt;Relance fiets Antwerpen&lt;/p&gt;"/>
    <x v="1"/>
    <n v="5774"/>
    <s v="Aanpak aanliggende fietspaden in Malle opN12 25.5 - 25.8"/>
    <s v="&lt;null&gt;"/>
    <s v="WA/INV/N12/8"/>
    <n v="10"/>
    <n v="109002.66"/>
    <n v="109002.66"/>
    <n v="0"/>
    <n v="0"/>
    <n v="10900.266"/>
    <n v="10900.266"/>
    <n v="0"/>
    <n v="0"/>
  </r>
  <r>
    <x v="176"/>
    <x v="176"/>
    <s v="Fiets"/>
    <x v="0"/>
    <n v="165"/>
    <s v="IN/000165"/>
    <s v="Aanpak aanliggende fietspaden in Dilsen-Stokkem opN742  1.0 - 2.7"/>
    <s v="50% F. km 1-2,7 : nieuwe toplaag volledige weg en fietspaden breder markeren"/>
    <s v="Kleine Ingreep"/>
    <s v="WL/INV/N742/1"/>
    <b v="1"/>
    <s v="Ingreep wordt opgevolgd in BOD"/>
    <n v="10814"/>
    <s v="AWV/INV/2021/1_P5"/>
    <n v="79551"/>
    <n v="21022941"/>
    <s v="&lt;p&gt;Relance plan fiets.&lt;/p&gt;"/>
    <x v="2"/>
    <n v="5397"/>
    <s v="Dilsen - N742 kmpt 0.900 - 2.700"/>
    <s v="&lt;null&gt;"/>
    <s v="WL/INV/N742/1"/>
    <n v="100"/>
    <n v="1325011.8799999999"/>
    <n v="693213.12320000003"/>
    <n v="0"/>
    <n v="0"/>
    <n v="1325011.8799999999"/>
    <n v="693213.12320000003"/>
    <n v="0"/>
    <n v="0"/>
  </r>
  <r>
    <x v="177"/>
    <x v="177"/>
    <s v="Verkeersveiligheid"/>
    <x v="4"/>
    <n v="165"/>
    <s v="IN/000165"/>
    <s v="Aanpak aanliggende fietspaden in Dilsen-Stokkem opN742  1.0 - 2.7"/>
    <s v="50% F. km 1-2,7 : nieuwe toplaag volledige weg en fietspaden breder markeren"/>
    <s v="Kleine Ingreep"/>
    <s v="WL/INV/N742/1"/>
    <b v="1"/>
    <s v="Ingreep wordt opgevolgd in BOD"/>
    <n v="10814"/>
    <s v="AWV/INV/2021/1_P5"/>
    <n v="79551"/>
    <n v="21022941"/>
    <s v="&lt;p&gt;Relance plan fiets.&lt;/p&gt;"/>
    <x v="2"/>
    <n v="5397"/>
    <s v="Dilsen - N742 kmpt 0.900 - 2.700"/>
    <s v="&lt;null&gt;"/>
    <s v="WL/INV/N742/1"/>
    <n v="0"/>
    <n v="1325011.8799999999"/>
    <n v="693213.12320000003"/>
    <n v="0"/>
    <n v="0"/>
    <n v="0"/>
    <n v="0"/>
    <n v="0"/>
    <n v="0"/>
  </r>
  <r>
    <x v="18"/>
    <x v="18"/>
    <s v="&lt;null&gt;"/>
    <x v="3"/>
    <n v="166"/>
    <s v="IN/000166"/>
    <s v="Aanpak aanliggende fietspaden in Kinrooi, Lanaken opN78  0.0 - 43.0"/>
    <s v="20% F - toplaag hele rijweg vernieuwen in slechtste zones, fietspad breder markeren"/>
    <s v="Structurele Ingreep"/>
    <s v="&lt;null&gt;"/>
    <b v="0"/>
    <s v="Ingreep wordt niet opgevolgd in BOD"/>
    <s v="&lt;null&gt;"/>
    <s v="&lt;null&gt;"/>
    <s v="&lt;null&gt;"/>
    <s v="&lt;null&gt;"/>
    <s v="&lt;null&gt;"/>
    <x v="0"/>
    <s v="&lt;null&gt;"/>
    <s v="&lt;null&gt;"/>
    <s v="&lt;null&gt;"/>
    <s v="&lt;null&gt;"/>
    <s v="&lt;null&gt;"/>
    <s v="&lt;null&gt;"/>
    <s v="&lt;null&gt;"/>
    <s v="&lt;null&gt;"/>
    <s v="&lt;null&gt;"/>
    <m/>
    <m/>
    <m/>
    <m/>
  </r>
  <r>
    <x v="178"/>
    <x v="178"/>
    <s v="Fiets"/>
    <x v="0"/>
    <n v="167"/>
    <s v="IN/000167"/>
    <s v="Aanpak aanliggende fietspaden in Dendermonde opN017  11.6 - 12.7"/>
    <s v="De  stad  Dendermonde  gaat  niet  akkoord  met  de  vooropgestelde  zone  van  de  N17  (tussen  kmpt. 13,470  en  kmpt.  14,850).  Deze  zone  betreft  een  fietspad  in  kleinschalige  elementen  maar  dewelke nog  in  goede  staat  zijn  volgens  de  "/>
    <s v="Kleine Ingreep"/>
    <s v="WOV/INV/N17/3"/>
    <b v="1"/>
    <s v="Ingreep wordt opgevolgd in BOD"/>
    <n v="11115"/>
    <s v="AWV/INV/2021/1_P4"/>
    <n v="87651"/>
    <n v="21022940"/>
    <s v="&lt;p&gt;structureel onderhoud fietspaden ihkv relancemaatregelen&lt;/p&gt;"/>
    <x v="2"/>
    <n v="6356"/>
    <s v="zone N17 tussen 11.6 en 12.7"/>
    <s v="&lt;null&gt;"/>
    <s v="WOV/INV/N17/3"/>
    <n v="100"/>
    <n v="111959.67999999999"/>
    <n v="99258.746599999999"/>
    <n v="0"/>
    <n v="0"/>
    <n v="111959.67999999999"/>
    <n v="99258.746599999999"/>
    <n v="0"/>
    <n v="0"/>
  </r>
  <r>
    <x v="179"/>
    <x v="179"/>
    <s v="Fiets"/>
    <x v="0"/>
    <n v="168"/>
    <s v="IN/000168"/>
    <s v="Aanpak aanliggende fietspaden in Wetteren opN416  12.8 - 13.2"/>
    <s v="geschrapt"/>
    <s v="Kleine Ingreep"/>
    <s v="WOV/INV/N416/4"/>
    <b v="0"/>
    <s v="Ingreep wordt niet opgevolgd in BOD"/>
    <s v="&lt;null&gt;"/>
    <s v="&lt;null&gt;"/>
    <s v="&lt;null&gt;"/>
    <s v="&lt;null&gt;"/>
    <s v="&lt;null&gt;"/>
    <x v="0"/>
    <s v="&lt;null&gt;"/>
    <s v="&lt;null&gt;"/>
    <s v="&lt;null&gt;"/>
    <s v="&lt;null&gt;"/>
    <n v="100"/>
    <s v="&lt;null&gt;"/>
    <s v="&lt;null&gt;"/>
    <s v="&lt;null&gt;"/>
    <s v="&lt;null&gt;"/>
    <m/>
    <m/>
    <m/>
    <m/>
  </r>
  <r>
    <x v="180"/>
    <x v="180"/>
    <s v="Fiets"/>
    <x v="0"/>
    <n v="169"/>
    <s v="IN/000169"/>
    <s v="NIET IN E1 Aanpak enkelrichtingsfietspaden in Dendermonde op N416 kmpt. 0.825-4.600"/>
    <s v="Vrijliggende enkelrichtingsfietspaden in beton vervangen door asfalt"/>
    <s v="Structurele Ingreep"/>
    <s v="&lt;null&gt;"/>
    <b v="0"/>
    <s v="Ingreep wordt niet opgevolgd in BOD"/>
    <s v="&lt;null&gt;"/>
    <s v="&lt;null&gt;"/>
    <s v="&lt;null&gt;"/>
    <s v="&lt;null&gt;"/>
    <s v="&lt;null&gt;"/>
    <x v="0"/>
    <s v="&lt;null&gt;"/>
    <s v="&lt;null&gt;"/>
    <s v="&lt;null&gt;"/>
    <s v="&lt;null&gt;"/>
    <n v="100"/>
    <s v="&lt;null&gt;"/>
    <s v="&lt;null&gt;"/>
    <s v="&lt;null&gt;"/>
    <s v="&lt;null&gt;"/>
    <m/>
    <m/>
    <m/>
    <m/>
  </r>
  <r>
    <x v="181"/>
    <x v="181"/>
    <s v="Fiets"/>
    <x v="0"/>
    <n v="170"/>
    <s v="IN/000170"/>
    <s v="Aanpak aanliggende fietspaden in Gent opN424  0.0 - 0.16"/>
    <s v="&lt;null&gt;"/>
    <s v="Kleine Ingreep"/>
    <s v="WOV/INV/N424/5"/>
    <b v="1"/>
    <s v="Ingreep wordt opgevolgd in BOD"/>
    <s v="&lt;null&gt;"/>
    <s v="&lt;null&gt;"/>
    <n v="87651"/>
    <n v="21022940"/>
    <s v="&lt;p&gt;structureel onderhoud fietspaden ihkv relancemaatregelen&lt;/p&gt;"/>
    <x v="2"/>
    <n v="6422"/>
    <s v="N 4240121 tussen 0 en 0,16 opl"/>
    <s v="&lt;null&gt;"/>
    <s v="WOV/INV/N424/5"/>
    <n v="100"/>
    <n v="59162.66"/>
    <n v="0"/>
    <n v="0"/>
    <n v="59162.66"/>
    <n v="59162.66"/>
    <n v="0"/>
    <n v="0"/>
    <n v="59162.66"/>
  </r>
  <r>
    <x v="182"/>
    <x v="182"/>
    <s v="Fiets"/>
    <x v="0"/>
    <n v="171"/>
    <s v="IN/000171"/>
    <s v="Aanpak aanliggende fietspaden in Gent opN424  0.0 - 2.2"/>
    <s v="&lt;null&gt;"/>
    <s v="Kleine Ingreep"/>
    <s v="WOV/INV/N424/6"/>
    <b v="1"/>
    <s v="Ingreep wordt opgevolgd in BOD"/>
    <n v="11115"/>
    <s v="AWV/INV/2021/1_P4"/>
    <n v="87651"/>
    <n v="21022940"/>
    <s v="&lt;p&gt;structureel onderhoud fietspaden ihkv relancemaatregelen&lt;/p&gt;"/>
    <x v="2"/>
    <n v="6407"/>
    <s v="N424 tussen 0.25 en 2.4"/>
    <s v="&lt;null&gt;"/>
    <s v="WOV/INV/N424/6"/>
    <n v="100"/>
    <n v="278165.2"/>
    <n v="0"/>
    <n v="0"/>
    <n v="0"/>
    <n v="278165.2"/>
    <n v="0"/>
    <n v="0"/>
    <n v="0"/>
  </r>
  <r>
    <x v="18"/>
    <x v="18"/>
    <s v="&lt;null&gt;"/>
    <x v="3"/>
    <n v="172"/>
    <s v="IN/000172"/>
    <s v="N442 herinrichting kruispunt met de Ommeganglaan"/>
    <s v="fietspad in betonstraatstenen vervangen door asfalt"/>
    <s v="Kleine Ingreep"/>
    <s v="WOV/INV/N442/2"/>
    <b v="0"/>
    <s v="Ingreep wordt niet opgevolgd in BOD"/>
    <s v="&lt;null&gt;"/>
    <s v="&lt;null&gt;"/>
    <s v="&lt;null&gt;"/>
    <s v="&lt;null&gt;"/>
    <s v="&lt;null&gt;"/>
    <x v="0"/>
    <s v="&lt;null&gt;"/>
    <s v="&lt;null&gt;"/>
    <s v="&lt;null&gt;"/>
    <s v="&lt;null&gt;"/>
    <s v="&lt;null&gt;"/>
    <s v="&lt;null&gt;"/>
    <s v="&lt;null&gt;"/>
    <s v="&lt;null&gt;"/>
    <s v="&lt;null&gt;"/>
    <m/>
    <m/>
    <m/>
    <m/>
  </r>
  <r>
    <x v="183"/>
    <x v="183"/>
    <s v="Fiets"/>
    <x v="0"/>
    <n v="173"/>
    <s v="IN/000173"/>
    <s v="Aanpak aanliggende fietspaden in Zwalm opN46  20.3 - 22.1"/>
    <s v="vrijliggend fietspad in beton vervangen door asfalt"/>
    <s v="Kleine Ingreep"/>
    <s v="WOV/INV/N46/8"/>
    <b v="1"/>
    <s v="Ingreep wordt opgevolgd in BOD"/>
    <n v="11115"/>
    <s v="AWV/INV/2021/1_P4"/>
    <n v="87651"/>
    <n v="21022940"/>
    <s v="&lt;p&gt;structureel onderhoud fietspaden ihkv relancemaatregelen&lt;/p&gt;"/>
    <x v="2"/>
    <n v="6420"/>
    <s v="N46 tussen 20,3 en 22,1 zwalm"/>
    <s v="&lt;null&gt;"/>
    <s v="WOV/INV/N46/8"/>
    <n v="100"/>
    <n v="30869.39"/>
    <n v="0"/>
    <n v="0"/>
    <n v="0"/>
    <n v="30869.39"/>
    <n v="0"/>
    <n v="0"/>
    <n v="0"/>
  </r>
  <r>
    <x v="184"/>
    <x v="184"/>
    <s v="Fiets"/>
    <x v="0"/>
    <n v="174"/>
    <s v="IN/000174"/>
    <s v="Aanpak aanliggende fietspaden in Dendermonde opN470  0.1 - 1.5"/>
    <s v="&lt;null&gt;"/>
    <s v="Kleine Ingreep"/>
    <s v="WOV/INV/N470/5"/>
    <b v="0"/>
    <s v="Ingreep wordt niet opgevolgd in BOD"/>
    <s v="&lt;null&gt;"/>
    <s v="&lt;null&gt;"/>
    <s v="&lt;null&gt;"/>
    <s v="&lt;null&gt;"/>
    <s v="&lt;null&gt;"/>
    <x v="0"/>
    <s v="&lt;null&gt;"/>
    <s v="&lt;null&gt;"/>
    <s v="&lt;null&gt;"/>
    <s v="&lt;null&gt;"/>
    <n v="100"/>
    <s v="&lt;null&gt;"/>
    <s v="&lt;null&gt;"/>
    <s v="&lt;null&gt;"/>
    <s v="&lt;null&gt;"/>
    <m/>
    <m/>
    <m/>
    <m/>
  </r>
  <r>
    <x v="185"/>
    <x v="185"/>
    <s v="Fiets"/>
    <x v="0"/>
    <n v="175"/>
    <s v="IN/000175"/>
    <s v="Aanpak aanliggende fietspaden in Dendermonde opN470  2.6 - 4.15"/>
    <s v="&lt;null&gt;"/>
    <s v="Kleine Ingreep"/>
    <s v="WOV/INV/N470/4"/>
    <b v="1"/>
    <s v="Ingreep wordt opgevolgd in BOD"/>
    <n v="11115"/>
    <s v="AWV/INV/2021/1_P4"/>
    <n v="87651"/>
    <n v="21022940"/>
    <s v="&lt;p&gt;structureel onderhoud fietspaden ihkv relancemaatregelen&lt;/p&gt;"/>
    <x v="2"/>
    <n v="6358"/>
    <s v="N470 tussen 2.65 en 4.15"/>
    <s v="&lt;null&gt;"/>
    <s v="WOV/INV/N470/4"/>
    <n v="100"/>
    <n v="71224.72"/>
    <n v="70649.070000000007"/>
    <n v="0"/>
    <n v="575.65"/>
    <n v="71224.72"/>
    <n v="70649.070000000007"/>
    <n v="0"/>
    <n v="575.65"/>
  </r>
  <r>
    <x v="186"/>
    <x v="186"/>
    <s v="Fiets"/>
    <x v="0"/>
    <n v="176"/>
    <s v="IN/000176"/>
    <s v="Aanpak aanliggende fietspaden in Geraardsbergen opN495  1.9 - 2.2"/>
    <s v="aanliggend fietspad in beton vervangen door asfalt (oplopende kmp)"/>
    <s v="Kleine Ingreep"/>
    <s v="WOV/INV/N495/1"/>
    <b v="1"/>
    <s v="Ingreep wordt opgevolgd in BOD"/>
    <n v="11115"/>
    <s v="AWV/INV/2021/1_P4"/>
    <n v="87651"/>
    <n v="21022940"/>
    <s v="&lt;p&gt;structureel onderhoud fietspaden ihkv relancemaatregelen&lt;/p&gt;"/>
    <x v="2"/>
    <n v="6359"/>
    <s v="N495 tussen 1.95 en 2.15 (opl.)"/>
    <s v="&lt;null&gt;"/>
    <s v="WOV/INV/N495/1"/>
    <n v="100"/>
    <n v="33070.58"/>
    <n v="19024.370999999999"/>
    <n v="0"/>
    <n v="14046.209000000001"/>
    <n v="33070.58"/>
    <n v="19024.370999999999"/>
    <n v="0"/>
    <n v="14046.209000000001"/>
  </r>
  <r>
    <x v="187"/>
    <x v="187"/>
    <s v="Fiets"/>
    <x v="0"/>
    <n v="177"/>
    <s v="IN/000177"/>
    <s v="Aanpak aanliggende fietspaden in Bertem, Huldenberg opN253  3.5 - 10.5"/>
    <s v="Qwins Deel 2 - verbeteren verkeersveiligheid zwakke wegbruikers"/>
    <s v="Kleine Ingreep"/>
    <s v="WVB/INV/N253/4"/>
    <b v="0"/>
    <s v="Ingreep wordt niet opgevolgd in BOD"/>
    <s v="&lt;null&gt;"/>
    <s v="&lt;null&gt;"/>
    <s v="&lt;null&gt;"/>
    <s v="&lt;null&gt;"/>
    <s v="&lt;null&gt;"/>
    <x v="0"/>
    <s v="&lt;null&gt;"/>
    <s v="&lt;null&gt;"/>
    <s v="&lt;null&gt;"/>
    <s v="&lt;null&gt;"/>
    <n v="100"/>
    <s v="&lt;null&gt;"/>
    <s v="&lt;null&gt;"/>
    <s v="&lt;null&gt;"/>
    <s v="&lt;null&gt;"/>
    <m/>
    <m/>
    <m/>
    <m/>
  </r>
  <r>
    <x v="188"/>
    <x v="188"/>
    <s v="Fiets"/>
    <x v="0"/>
    <n v="178"/>
    <s v="IN/000178"/>
    <s v="Aanpak aanliggende fietspaden in Huldenberg opN253  12.2 - 12.8"/>
    <s v="ingrepen 2 pcv-dossiers, doortrekken fietspad van dreefweg tot ingang kasteelpark + aanleg fietspad (missing link) vanaf A. Goossensstraat tot kmp 12.4, werken uitgevoerd door gemeente, nog niet terugbetaald door AWV"/>
    <s v="Kleine Ingreep"/>
    <s v="WVB/INV/N253/5"/>
    <b v="1"/>
    <s v="Ingreep wordt opgevolgd in BOD"/>
    <n v="10964"/>
    <s v="AWV/INV/2021/1_P2"/>
    <n v="82601"/>
    <n v="21022713"/>
    <s v="&lt;p&gt;Relance fiets&lt;/p&gt;"/>
    <x v="0"/>
    <n v="5628"/>
    <s v="N253 Huldenberg - Mieke Pappaert"/>
    <s v="&lt;null&gt;"/>
    <s v="WVB/INV/N253/5"/>
    <n v="100"/>
    <n v="47988.03"/>
    <n v="47061.13"/>
    <n v="0"/>
    <n v="926.9"/>
    <n v="47988.03"/>
    <n v="47061.13"/>
    <n v="0"/>
    <n v="926.9"/>
  </r>
  <r>
    <x v="189"/>
    <x v="189"/>
    <s v="Fiets"/>
    <x v="0"/>
    <n v="179"/>
    <s v="IN/000179"/>
    <s v="Aanpak aanliggende fietspaden in Sint-Genesius-Rode opN5  10.2 - 10.8"/>
    <s v="omgeving Brassinelaan wegwerken levensgevaarlijke dubbele fietsoversteek, verbreden fietspad van 30cm tot 250, is doortrekken 2-richtingsfietspad kant bos tussen 2 delen van bestaand 2-richtingsfietspad"/>
    <s v="Kleine Ingreep"/>
    <s v="WVB/INV/N5/2"/>
    <b v="0"/>
    <s v="Ingreep wordt niet opgevolgd in BOD"/>
    <s v="&lt;null&gt;"/>
    <s v="&lt;null&gt;"/>
    <s v="&lt;null&gt;"/>
    <s v="&lt;null&gt;"/>
    <s v="&lt;null&gt;"/>
    <x v="0"/>
    <s v="&lt;null&gt;"/>
    <s v="&lt;null&gt;"/>
    <s v="&lt;null&gt;"/>
    <s v="&lt;null&gt;"/>
    <n v="100"/>
    <s v="&lt;null&gt;"/>
    <s v="&lt;null&gt;"/>
    <s v="&lt;null&gt;"/>
    <s v="&lt;null&gt;"/>
    <m/>
    <m/>
    <m/>
    <m/>
  </r>
  <r>
    <x v="190"/>
    <x v="190"/>
    <s v="Fiets"/>
    <x v="0"/>
    <n v="180"/>
    <s v="IN/000180"/>
    <s v="Aanpak aanliggende fietspaden in Halle opN6-N28  14.6 - 15.6"/>
    <s v="aanleg gescheiden fietspaden waar nu aanliggend gemarkeerde  fietspaden liggen (kan nog doorgetrokken worden tot rotonde begin N7, bushaltes"/>
    <s v="Kleine Ingreep"/>
    <s v="WVB/INV/N28/2"/>
    <b v="0"/>
    <s v="Ingreep wordt niet opgevolgd in BOD"/>
    <s v="&lt;null&gt;"/>
    <s v="&lt;null&gt;"/>
    <s v="&lt;null&gt;"/>
    <s v="&lt;null&gt;"/>
    <s v="&lt;null&gt;"/>
    <x v="0"/>
    <s v="&lt;null&gt;"/>
    <s v="&lt;null&gt;"/>
    <s v="&lt;null&gt;"/>
    <s v="&lt;null&gt;"/>
    <n v="100"/>
    <s v="&lt;null&gt;"/>
    <s v="&lt;null&gt;"/>
    <s v="&lt;null&gt;"/>
    <s v="&lt;null&gt;"/>
    <m/>
    <m/>
    <m/>
    <m/>
  </r>
  <r>
    <x v="18"/>
    <x v="18"/>
    <s v="&lt;null&gt;"/>
    <x v="3"/>
    <n v="181"/>
    <s v="IN/000181"/>
    <s v="Aanpak aanliggende fietspaden in Ternat opN285  5.3 - 9.4"/>
    <s v="verhoogd fietspad maken en lijnvormig element tussen rijbaan en fietspad (excl. stukken die reeds vernieuwd werden) + aanpassen kruispunt Kraanstraat, aanleg beveiligde fietsoversteek"/>
    <s v="Kleine Ingreep"/>
    <s v="WVB/INV/N285/9"/>
    <b v="0"/>
    <s v="Ingreep wordt niet opgevolgd in BOD"/>
    <s v="&lt;null&gt;"/>
    <s v="&lt;null&gt;"/>
    <s v="&lt;null&gt;"/>
    <s v="&lt;null&gt;"/>
    <s v="&lt;null&gt;"/>
    <x v="0"/>
    <s v="&lt;null&gt;"/>
    <s v="&lt;null&gt;"/>
    <s v="&lt;null&gt;"/>
    <s v="&lt;null&gt;"/>
    <s v="&lt;null&gt;"/>
    <s v="&lt;null&gt;"/>
    <s v="&lt;null&gt;"/>
    <s v="&lt;null&gt;"/>
    <s v="&lt;null&gt;"/>
    <m/>
    <m/>
    <m/>
    <m/>
  </r>
  <r>
    <x v="191"/>
    <x v="191"/>
    <s v="Fiets"/>
    <x v="0"/>
    <n v="182"/>
    <s v="IN/000182"/>
    <s v="Aanpak aanliggende fietspaden in Brugge N376 - B6 - 9.051 - 9.560 - Zeekanaalweg - Zelzatebrug"/>
    <s v="&lt;null&gt;"/>
    <s v="Kleine Ingreep"/>
    <s v="WWV/INV/N376/3"/>
    <b v="1"/>
    <s v="Ingreep wordt opgevolgd in BOD"/>
    <n v="11516"/>
    <s v="AWV/INV/2021/1_P3"/>
    <n v="94301"/>
    <n v="21022935"/>
    <s v="&lt;p&gt;Structureel onderhoud fietspaden ikv relancemaatregelen - Perceel 3: vervoerregio's Westhoek, Oostende, Brugge, Roeselare en Kortrijk&lt;/p&gt;"/>
    <x v="2"/>
    <n v="10683"/>
    <s v="Project 7 - B6 - N376 - 9.051 tot 9.550 - Zeekanaalweg en Zelzatebrug"/>
    <s v="&lt;null&gt;"/>
    <s v="WWV/INV/N376/3"/>
    <n v="100"/>
    <n v="362199.74"/>
    <n v="0"/>
    <n v="0"/>
    <n v="0"/>
    <n v="362199.74"/>
    <n v="0"/>
    <n v="0"/>
    <n v="0"/>
  </r>
  <r>
    <x v="192"/>
    <x v="192"/>
    <s v="Fiets"/>
    <x v="0"/>
    <n v="183"/>
    <s v="IN/000183"/>
    <s v="Aanpak aanliggende fietspaden in Brugge opR30  0.0 - 0.2"/>
    <s v="&lt;null&gt;"/>
    <s v="Kleine Ingreep"/>
    <s v="WWV/INV/R30/6"/>
    <b v="0"/>
    <s v="Ingreep wordt niet opgevolgd in BOD"/>
    <s v="&lt;null&gt;"/>
    <s v="&lt;null&gt;"/>
    <s v="&lt;null&gt;"/>
    <s v="&lt;null&gt;"/>
    <s v="&lt;null&gt;"/>
    <x v="0"/>
    <s v="&lt;null&gt;"/>
    <s v="&lt;null&gt;"/>
    <s v="&lt;null&gt;"/>
    <s v="&lt;null&gt;"/>
    <n v="100"/>
    <s v="&lt;null&gt;"/>
    <s v="&lt;null&gt;"/>
    <s v="&lt;null&gt;"/>
    <s v="&lt;null&gt;"/>
    <m/>
    <m/>
    <m/>
    <m/>
  </r>
  <r>
    <x v="193"/>
    <x v="193"/>
    <s v="Fiets"/>
    <x v="0"/>
    <n v="184"/>
    <s v="IN/000184"/>
    <s v="Aanpak aanliggende fietspaden in Brugge R30 - B1 - 0.900 - 1.761 - Warandebrug - Fort Lapin"/>
    <s v="&lt;null&gt;"/>
    <s v="Kleine Ingreep"/>
    <s v="WWV/INV/R30/7"/>
    <b v="1"/>
    <s v="Ingreep wordt opgevolgd in BOD"/>
    <n v="11516"/>
    <s v="AWV/INV/2021/1_P3"/>
    <n v="94301"/>
    <n v="21022935"/>
    <s v="&lt;p&gt;Structureel onderhoud fietspaden ikv relancemaatregelen - Perceel 3: vervoerregio's Westhoek, Oostende, Brugge, Roeselare en Kortrijk&lt;/p&gt;"/>
    <x v="2"/>
    <n v="10771"/>
    <s v="Project 9 - B1 - R30 - 0.900 tot 1.761 - Warandebrug en Fort Lapin"/>
    <s v="&lt;p&gt;B1 - R30 - 0.900 tot 1.761 - Warandebrug en Fort Lapin&lt;/p&gt;"/>
    <s v="WWV/INV/R30/7"/>
    <n v="100"/>
    <n v="232384.76"/>
    <n v="0"/>
    <n v="0"/>
    <n v="0"/>
    <n v="232384.76"/>
    <n v="0"/>
    <n v="0"/>
    <n v="0"/>
  </r>
  <r>
    <x v="194"/>
    <x v="194"/>
    <s v="Fiets"/>
    <x v="0"/>
    <n v="185"/>
    <s v="IN/000185"/>
    <s v="Aanpak aanliggende fietspaden in Brugge R30 - B2 -  2.010 - 2.843 - Kruispoort - Dampoort"/>
    <s v="&lt;null&gt;"/>
    <s v="Kleine Ingreep"/>
    <s v="WWV/INV/R30/8"/>
    <b v="0"/>
    <s v="Ingreep wordt niet opgevolgd in BOD"/>
    <s v="&lt;null&gt;"/>
    <s v="&lt;null&gt;"/>
    <s v="&lt;null&gt;"/>
    <s v="&lt;null&gt;"/>
    <s v="&lt;null&gt;"/>
    <x v="0"/>
    <s v="&lt;null&gt;"/>
    <s v="&lt;null&gt;"/>
    <s v="&lt;null&gt;"/>
    <s v="&lt;null&gt;"/>
    <n v="100"/>
    <s v="&lt;null&gt;"/>
    <s v="&lt;null&gt;"/>
    <s v="&lt;null&gt;"/>
    <s v="&lt;null&gt;"/>
    <m/>
    <m/>
    <m/>
    <m/>
  </r>
  <r>
    <x v="195"/>
    <x v="195"/>
    <s v="Fiets"/>
    <x v="0"/>
    <n v="186"/>
    <s v="IN/000186"/>
    <s v="Aanpak aanliggende fietspaden in Brugge R30 - B3 - 6.664 tot 6.892 - Hoefijzerlaan"/>
    <s v="&lt;null&gt;"/>
    <s v="Kleine Ingreep"/>
    <s v="WWV/INV/R30/9"/>
    <b v="1"/>
    <s v="Ingreep wordt opgevolgd in BOD"/>
    <n v="11516"/>
    <s v="AWV/INV/2021/1_P3"/>
    <n v="94301"/>
    <n v="21022935"/>
    <s v="&lt;p&gt;Structureel onderhoud fietspaden ikv relancemaatregelen - Perceel 3: vervoerregio's Westhoek, Oostende, Brugge, Roeselare en Kortrijk&lt;/p&gt;"/>
    <x v="3"/>
    <n v="10684"/>
    <s v="Project 8 - B3 - R30 - 6.664 tot 6.900 - Hoefijzerlaan"/>
    <s v="&lt;null&gt;"/>
    <s v="WWV/INV/R30/9"/>
    <n v="100"/>
    <n v="229223.17"/>
    <n v="0"/>
    <n v="0"/>
    <n v="0"/>
    <n v="229223.17"/>
    <n v="0"/>
    <n v="0"/>
    <n v="0"/>
  </r>
  <r>
    <x v="195"/>
    <x v="195"/>
    <s v="Fiets"/>
    <x v="0"/>
    <n v="186"/>
    <s v="IN/000186"/>
    <s v="Aanpak aanliggende fietspaden in Brugge R30 - B3 - 6.664 tot 6.892 - Hoefijzerlaan"/>
    <s v="&lt;null&gt;"/>
    <s v="Kleine Ingreep"/>
    <s v="WWV/INV/R30/9"/>
    <b v="1"/>
    <s v="Ingreep wordt opgevolgd in BOD"/>
    <s v="&lt;null&gt;"/>
    <s v="&lt;null&gt;"/>
    <n v="141351"/>
    <n v="22033406"/>
    <s v="&lt;p&gt;Brugge - Installatie WW0030 - R30 - Hoefijzerlaan - Vernieuwen verlichting.&lt;/p&gt;&lt;p&gt;B-nummer AWV/INV/BDG/29/B005: Openbare verlichting - Uitvoering - West-Vlaanderen.&lt;/p&gt;"/>
    <x v="2"/>
    <n v="9821"/>
    <s v="&lt;null&gt;"/>
    <s v="&lt;p&gt;Brugge - Installatie WW0030 - R30 - Hoefijzerlaan - Vernieuwen verlichting.&lt;/p&gt;&lt;p&gt;B-nummer AWV/INV/BDG/29/B005: Openbare verlichting - Uitvoering - West-Vlaanderen.&lt;/p&gt;"/>
    <s v="WWV/INV/R30/9"/>
    <n v="100"/>
    <n v="65926.52"/>
    <n v="0"/>
    <n v="0"/>
    <n v="65926.52"/>
    <n v="65926.52"/>
    <n v="0"/>
    <n v="0"/>
    <n v="65926.52"/>
  </r>
  <r>
    <x v="196"/>
    <x v="196"/>
    <s v="Fiets"/>
    <x v="0"/>
    <n v="187"/>
    <s v="IN/000187"/>
    <s v="Aanpak aanliggende fietspaden in Brugge opR30  7.6 - 8.2"/>
    <s v="&lt;null&gt;"/>
    <s v="Kleine Ingreep"/>
    <s v="WWV/INV/R30/10"/>
    <b v="0"/>
    <s v="Ingreep wordt niet opgevolgd in BOD"/>
    <s v="&lt;null&gt;"/>
    <s v="&lt;null&gt;"/>
    <s v="&lt;null&gt;"/>
    <s v="&lt;null&gt;"/>
    <s v="&lt;null&gt;"/>
    <x v="0"/>
    <s v="&lt;null&gt;"/>
    <s v="&lt;null&gt;"/>
    <s v="&lt;null&gt;"/>
    <s v="&lt;null&gt;"/>
    <n v="100"/>
    <s v="&lt;null&gt;"/>
    <s v="&lt;null&gt;"/>
    <s v="&lt;null&gt;"/>
    <s v="&lt;null&gt;"/>
    <m/>
    <m/>
    <m/>
    <m/>
  </r>
  <r>
    <x v="18"/>
    <x v="18"/>
    <s v="&lt;null&gt;"/>
    <x v="3"/>
    <n v="188"/>
    <s v="IN/000188"/>
    <s v="Aanpak aanliggende fietspaden in Knokke-Heist opN376  14.5 - 17.33"/>
    <s v="&lt;null&gt;"/>
    <s v="Kleine Ingreep"/>
    <s v="WWV/INV/N376/4"/>
    <b v="0"/>
    <s v="Ingreep wordt niet opgevolgd in BOD"/>
    <s v="&lt;null&gt;"/>
    <s v="&lt;null&gt;"/>
    <s v="&lt;null&gt;"/>
    <s v="&lt;null&gt;"/>
    <s v="&lt;null&gt;"/>
    <x v="0"/>
    <s v="&lt;null&gt;"/>
    <s v="&lt;null&gt;"/>
    <s v="&lt;null&gt;"/>
    <s v="&lt;null&gt;"/>
    <s v="&lt;null&gt;"/>
    <s v="&lt;null&gt;"/>
    <s v="&lt;null&gt;"/>
    <s v="&lt;null&gt;"/>
    <s v="&lt;null&gt;"/>
    <m/>
    <m/>
    <m/>
    <m/>
  </r>
  <r>
    <x v="197"/>
    <x v="197"/>
    <s v="Fiets"/>
    <x v="0"/>
    <n v="189"/>
    <s v="IN/000189"/>
    <s v="Aanpak aanliggende fietspaden in Zonhoven opN715  0.1 - 1.4"/>
    <s v="2 deelprojecten: 01,-1,3: SO aanliggend fietspad &amp; 3-3,8: SO aanliggend fietspad"/>
    <s v="Kleine Ingreep"/>
    <s v="WL/INV/N715/3"/>
    <b v="1"/>
    <s v="Ingreep wordt opgevolgd in BOD"/>
    <n v="10814"/>
    <s v="AWV/INV/2021/1_P5"/>
    <n v="79551"/>
    <n v="21022941"/>
    <s v="&lt;p&gt;Relance plan fiets.&lt;/p&gt;"/>
    <x v="2"/>
    <n v="5409"/>
    <s v="Zonhoven - N715 kmpt 0.100 - 1.280"/>
    <s v="&lt;null&gt;"/>
    <s v="WL/INV/N715/3"/>
    <n v="100"/>
    <n v="101803.54"/>
    <n v="87812.995899999994"/>
    <n v="0"/>
    <n v="13990.544099999999"/>
    <n v="101803.54"/>
    <n v="87812.995899999994"/>
    <n v="0"/>
    <n v="13990.544099999999"/>
  </r>
  <r>
    <x v="198"/>
    <x v="198"/>
    <s v="Fiets"/>
    <x v="0"/>
    <n v="190"/>
    <s v="IN/000190"/>
    <s v="Aanpak aanliggende fietspaden in Zonhoven opN715  3.0 - 3.7"/>
    <s v="2 deelprojecten: 01,-1,3: SO aanliggend fietspad &amp; 3-3,8: SO aanliggend fietspad"/>
    <s v="Kleine Ingreep"/>
    <s v="WL/INV/N715/4"/>
    <b v="1"/>
    <s v="Ingreep wordt opgevolgd in BOD"/>
    <n v="10814"/>
    <s v="AWV/INV/2021/1_P5"/>
    <n v="79551"/>
    <n v="21022941"/>
    <s v="&lt;p&gt;Relance plan fiets.&lt;/p&gt;"/>
    <x v="2"/>
    <n v="5408"/>
    <s v="Zonhoven - N715 kmpt 3.050 - 3.740"/>
    <s v="&lt;null&gt;"/>
    <s v="WL/INV/N715/4"/>
    <n v="100"/>
    <n v="104199.14"/>
    <n v="60381.965300000003"/>
    <n v="0"/>
    <n v="43817.174700000003"/>
    <n v="104199.14"/>
    <n v="60381.965300000003"/>
    <n v="0"/>
    <n v="43817.174700000003"/>
  </r>
  <r>
    <x v="199"/>
    <x v="199"/>
    <s v="Fiets"/>
    <x v="0"/>
    <n v="191"/>
    <s v="IN/000191"/>
    <s v="Fietsverbindingen/-kruisingen realiseren in Diest opR26  4.55 - 4.65"/>
    <s v="Beveiligde fietsoversteek t.h.v. Steineweg, PCV-dossiers"/>
    <s v="Kleine Ingreep"/>
    <s v="WVB/INV/R26/2"/>
    <b v="1"/>
    <s v="Ingreep wordt opgevolgd in BOD"/>
    <n v="7664"/>
    <s v="X21/0/461-perceel 1"/>
    <n v="75901"/>
    <n v="21028727"/>
    <s v="&lt;p&gt;relancefiets&lt;/p&gt;"/>
    <x v="2"/>
    <n v="5055"/>
    <s v="&lt;null&gt;"/>
    <s v="&lt;p&gt;relancefiets&lt;/p&gt;"/>
    <s v="WVB/INV/R26/2"/>
    <n v="100"/>
    <n v="101373.11"/>
    <n v="101373.10505"/>
    <n v="0"/>
    <n v="4.9500000000000004E-3"/>
    <n v="101373.11"/>
    <n v="101373.10505"/>
    <n v="0"/>
    <n v="4.9500000000000004E-3"/>
  </r>
  <r>
    <x v="200"/>
    <x v="200"/>
    <s v="Fiets"/>
    <x v="0"/>
    <n v="192"/>
    <s v="IN/000192"/>
    <s v="Fietsverbindingen/-kruisingen realiseren in Opwijk opN47  6.0 - 6.2"/>
    <s v="beveiligen fietsoversteek Leirekensroute, aanleg middengeleider thv fietsoversteek .  en aandachtsverhogende aanpassingen nav dodelijk ongeval"/>
    <s v="Kleine Ingreep"/>
    <s v="WVB/INV/N47/3"/>
    <b v="1"/>
    <s v="Ingreep wordt opgevolgd in BOD"/>
    <n v="7663"/>
    <s v="X21/0/461-perceel 2"/>
    <n v="76101"/>
    <n v="21028342"/>
    <s v="&lt;p&gt;Relance fiets&lt;/p&gt;"/>
    <x v="2"/>
    <n v="5067"/>
    <s v="N47 Opwijk"/>
    <s v="&lt;p&gt;relance fiets&lt;/p&gt;"/>
    <s v="WVB/INV/N47/3"/>
    <n v="100"/>
    <n v="47933.89"/>
    <n v="54833.42497"/>
    <n v="-6899.5349699999997"/>
    <n v="0"/>
    <n v="47933.89"/>
    <n v="54833.42497"/>
    <n v="-6899.5349699999997"/>
    <n v="0"/>
  </r>
  <r>
    <x v="201"/>
    <x v="201"/>
    <s v="Fiets"/>
    <x v="0"/>
    <n v="193"/>
    <s v="IN/000193"/>
    <s v="Fietsverbindingen/-kruisingen realiseren in Beersel opN231  4.3 - 4.4"/>
    <s v="Verbeteren fietsoversteken, schoolomgeving"/>
    <s v="Kleine Ingreep"/>
    <s v="WVB/INV/N231/3"/>
    <b v="1"/>
    <s v="Ingreep wordt opgevolgd in BOD"/>
    <n v="9663"/>
    <s v="MDN/1504"/>
    <n v="79501"/>
    <n v="21042826"/>
    <s v="&lt;p&gt;Relance fiets Vlaams-Brabant: installaties N231xLotsesteenweg 176C7, N231xBrouwerijstraat 179C4, &amp;nbsp;N29 Windberg x Rassel 194C5, N285x Kerkstraat 196C9&lt;/p&gt;"/>
    <x v="2"/>
    <n v="5347"/>
    <s v="N231xLotsesteenweg 176C7"/>
    <s v="&lt;null&gt;"/>
    <s v="WVB/INV/N231/3"/>
    <n v="100"/>
    <n v="15916.03"/>
    <n v="15916.03"/>
    <n v="0"/>
    <n v="0"/>
    <n v="15916.03"/>
    <n v="15916.03"/>
    <n v="0"/>
    <n v="0"/>
  </r>
  <r>
    <x v="201"/>
    <x v="201"/>
    <s v="Fiets"/>
    <x v="0"/>
    <n v="193"/>
    <s v="IN/000193"/>
    <s v="Fietsverbindingen/-kruisingen realiseren in Beersel opN231  4.3 - 4.4"/>
    <s v="Verbeteren fietsoversteken, schoolomgeving"/>
    <s v="Kleine Ingreep"/>
    <s v="WVB/INV/N231/3"/>
    <b v="1"/>
    <s v="Ingreep wordt opgevolgd in BOD"/>
    <n v="10166"/>
    <s v="MDN/59-4"/>
    <n v="80551"/>
    <n v="21033437"/>
    <s v="&lt;p&gt;Aanvraag voor vastlegging van ombouw van 3 verkeerslichteninstallaties op N207 (Liedekerke) en N231 (Beersel) die goedgekeurd zijn op het &amp;nbsp;fietsrelanceplan 1+2.&amp;nbsp;&lt;/p&gt;"/>
    <x v="2"/>
    <n v="5483"/>
    <s v="Installatie 176C7 (Beersel):  N231 x Lotsesteenweg"/>
    <s v="&lt;null&gt;"/>
    <s v="WVB/INV/N231/3"/>
    <n v="100"/>
    <n v="95130.33"/>
    <n v="95130.327499999999"/>
    <n v="0"/>
    <n v="2.5000000000000001E-3"/>
    <n v="95130.33"/>
    <n v="95130.327499999999"/>
    <n v="0"/>
    <n v="2.5000000000000001E-3"/>
  </r>
  <r>
    <x v="201"/>
    <x v="201"/>
    <s v="Fiets"/>
    <x v="0"/>
    <n v="193"/>
    <s v="IN/000193"/>
    <s v="Fietsverbindingen/-kruisingen realiseren in Beersel opN231  4.3 - 4.4"/>
    <s v="Verbeteren fietsoversteken, schoolomgeving"/>
    <s v="Kleine Ingreep"/>
    <s v="WVB/INV/N231/3"/>
    <b v="1"/>
    <s v="Ingreep wordt opgevolgd in BOD"/>
    <n v="10963"/>
    <s v="MDN/1710"/>
    <n v="85651"/>
    <n v="21037431"/>
    <s v="&lt;p&gt;Beersel kruispunt N231 met Lotsesteenweg (176C7)&lt;/p&gt;&lt;p&gt;Liedekerke kruispunt N207 met Muilenstraat (848C3)&lt;br&gt;&lt;br&gt;Vastlegging voor fietsrelanceprojecten&lt;/p&gt;"/>
    <x v="2"/>
    <n v="5932"/>
    <s v="Installatie 176C7 (Beersel):  N231 x Lotsesteenweg"/>
    <s v="&lt;null&gt;"/>
    <s v="WVB/INV/N231/3"/>
    <n v="100"/>
    <n v="9979.6200000000008"/>
    <n v="8012.43"/>
    <n v="0"/>
    <n v="1967.19"/>
    <n v="9979.6200000000008"/>
    <n v="8012.43"/>
    <n v="0"/>
    <n v="1967.19"/>
  </r>
  <r>
    <x v="201"/>
    <x v="201"/>
    <s v="Fiets"/>
    <x v="0"/>
    <n v="193"/>
    <s v="IN/000193"/>
    <s v="Fietsverbindingen/-kruisingen realiseren in Beersel opN231  4.3 - 4.4"/>
    <s v="Verbeteren fietsoversteken, schoolomgeving"/>
    <s v="Kleine Ingreep"/>
    <s v="WVB/INV/N231/3"/>
    <b v="1"/>
    <s v="Ingreep wordt opgevolgd in BOD"/>
    <n v="11113"/>
    <s v="X21/A8/10"/>
    <n v="85751"/>
    <n v="21037408"/>
    <s v="&lt;p&gt;Relance fiets&lt;/p&gt;"/>
    <x v="1"/>
    <n v="5937"/>
    <s v="&lt;null&gt;"/>
    <s v="&lt;p&gt;relance fiets&lt;/p&gt;"/>
    <s v="WVB/INV/N231/3"/>
    <n v="100"/>
    <n v="192955.64"/>
    <n v="188789.78719999999"/>
    <n v="0"/>
    <n v="0"/>
    <n v="192955.64"/>
    <n v="188789.78719999999"/>
    <n v="0"/>
    <n v="0"/>
  </r>
  <r>
    <x v="202"/>
    <x v="202"/>
    <s v="Fiets"/>
    <x v="0"/>
    <n v="194"/>
    <s v="IN/000194"/>
    <s v="Fietsverbindingen/-kruisingen realiseren in Beersel opN231  4.75 - 4.85"/>
    <s v="Verbeteren fietsoversteken, schoolomgeving"/>
    <s v="Kleine Ingreep"/>
    <s v="WVB/INV/N231/4"/>
    <b v="1"/>
    <s v="Ingreep wordt opgevolgd in BOD"/>
    <n v="9663"/>
    <s v="MDN/1504"/>
    <n v="79501"/>
    <n v="21042826"/>
    <s v="&lt;p&gt;Relance fiets Vlaams-Brabant: installaties N231xLotsesteenweg 176C7, N231xBrouwerijstraat 179C4, &amp;nbsp;N29 Windberg x Rassel 194C5, N285x Kerkstraat 196C9&lt;/p&gt;"/>
    <x v="2"/>
    <n v="5357"/>
    <s v="N231xBrouwerijstraat 179C4"/>
    <s v="&lt;null&gt;"/>
    <s v="WVB/INV/N231/4"/>
    <n v="100"/>
    <n v="11216.15"/>
    <n v="11216.15"/>
    <n v="0"/>
    <n v="0"/>
    <n v="11216.15"/>
    <n v="11216.15"/>
    <n v="0"/>
    <n v="0"/>
  </r>
  <r>
    <x v="202"/>
    <x v="202"/>
    <s v="Fiets"/>
    <x v="0"/>
    <n v="194"/>
    <s v="IN/000194"/>
    <s v="Fietsverbindingen/-kruisingen realiseren in Beersel opN231  4.75 - 4.85"/>
    <s v="Verbeteren fietsoversteken, schoolomgeving"/>
    <s v="Kleine Ingreep"/>
    <s v="WVB/INV/N231/4"/>
    <b v="1"/>
    <s v="Ingreep wordt opgevolgd in BOD"/>
    <n v="10166"/>
    <s v="MDN/59-4"/>
    <n v="77401"/>
    <n v="21025049"/>
    <s v="&lt;p&gt;Aanvraag voor vastlegging van ombouw van verkeerslichteninstallaties 179C4 op de N231 - Alsembergsesteenweg x Brouwerijstraat te Beersel dat goedgekeurd is op het &amp;nbsp;fietsrelanceplan 1+2.&amp;nbsp;&lt;/p&gt;"/>
    <x v="2"/>
    <n v="5127"/>
    <s v="&lt;null&gt;"/>
    <s v="&lt;p&gt;Aanvraag voor vastlegging van ombouw van verkeerslichteninstallaties 179C4 op de N231 - Alsembergsesteenweg x Brouwerijstraat te Beersel dat goedgekeurd is op het &amp;nbsp;fietsrelanceplan 1+2.&amp;nbsp;&lt;/p&gt;"/>
    <s v="WVB/INV/N231/4"/>
    <n v="100"/>
    <n v="27229.21"/>
    <n v="16717.77"/>
    <n v="0"/>
    <n v="10511.44"/>
    <n v="27229.21"/>
    <n v="16717.77"/>
    <n v="0"/>
    <n v="10511.44"/>
  </r>
  <r>
    <x v="203"/>
    <x v="203"/>
    <s v="Fiets"/>
    <x v="0"/>
    <n v="195"/>
    <s v="IN/000195"/>
    <s v="Fietsverbindingen/-kruisingen realiseren in Zwevegem op N391  5.3 - 5.4"/>
    <s v="Fietsverbinding herstellen door aanleg fietshelling op de talud van de Kanaalweg N39 tussen Oude Lettenhofstraat en het dubbelrichitngsfietspad langs de N391."/>
    <s v="Structurele Ingreep"/>
    <s v="WWV/INV/N391/1"/>
    <b v="0"/>
    <s v="Ingreep wordt niet opgevolgd in BOD"/>
    <s v="&lt;null&gt;"/>
    <s v="&lt;null&gt;"/>
    <s v="&lt;null&gt;"/>
    <s v="&lt;null&gt;"/>
    <s v="&lt;null&gt;"/>
    <x v="0"/>
    <s v="&lt;null&gt;"/>
    <s v="&lt;null&gt;"/>
    <s v="&lt;null&gt;"/>
    <s v="&lt;null&gt;"/>
    <n v="100"/>
    <s v="&lt;null&gt;"/>
    <s v="&lt;null&gt;"/>
    <s v="&lt;null&gt;"/>
    <s v="&lt;null&gt;"/>
    <m/>
    <m/>
    <m/>
    <m/>
  </r>
  <r>
    <x v="204"/>
    <x v="204"/>
    <s v="Fiets"/>
    <x v="0"/>
    <n v="196"/>
    <s v="IN/000196"/>
    <s v="Fietsverbindingen/-kruisingen realiseren in Halle opN203  0.1 - 0.3"/>
    <s v="Omvorming van de N203a tot autosnelweg (A8) - studie en uitvoering tijdelijke bruggen"/>
    <s v="Kleine Ingreep"/>
    <s v="WVB/INV/N203/1"/>
    <b v="0"/>
    <s v="Ingreep wordt niet opgevolgd in BOD"/>
    <s v="&lt;null&gt;"/>
    <s v="&lt;null&gt;"/>
    <s v="&lt;null&gt;"/>
    <s v="&lt;null&gt;"/>
    <s v="&lt;null&gt;"/>
    <x v="0"/>
    <s v="&lt;null&gt;"/>
    <s v="&lt;null&gt;"/>
    <s v="&lt;null&gt;"/>
    <s v="&lt;null&gt;"/>
    <n v="100"/>
    <s v="&lt;null&gt;"/>
    <s v="&lt;null&gt;"/>
    <s v="&lt;null&gt;"/>
    <s v="&lt;null&gt;"/>
    <m/>
    <m/>
    <m/>
    <m/>
  </r>
  <r>
    <x v="18"/>
    <x v="18"/>
    <s v="&lt;null&gt;"/>
    <x v="3"/>
    <n v="197"/>
    <s v="IN/000197"/>
    <s v="Fietsverbindingen/-kruisingen realiseren in Hooglede opR32  6.2 - 6.3"/>
    <s v="R32 aanpassingen kruispunt met Honzebrouck + fietstunnel"/>
    <s v="Kleine Ingreep"/>
    <s v="WWV/INV/R32/2"/>
    <b v="0"/>
    <s v="Ingreep wordt niet opgevolgd in BOD"/>
    <s v="&lt;null&gt;"/>
    <s v="&lt;null&gt;"/>
    <s v="&lt;null&gt;"/>
    <s v="&lt;null&gt;"/>
    <s v="&lt;null&gt;"/>
    <x v="0"/>
    <s v="&lt;null&gt;"/>
    <s v="&lt;null&gt;"/>
    <s v="&lt;null&gt;"/>
    <s v="&lt;null&gt;"/>
    <s v="&lt;null&gt;"/>
    <s v="&lt;null&gt;"/>
    <s v="&lt;null&gt;"/>
    <s v="&lt;null&gt;"/>
    <s v="&lt;null&gt;"/>
    <m/>
    <m/>
    <m/>
    <m/>
  </r>
  <r>
    <x v="205"/>
    <x v="205"/>
    <s v="Fiets"/>
    <x v="0"/>
    <n v="198"/>
    <s v="IN/000198"/>
    <s v="Fietsverbindingen/-kruisingen realiseren in Wielsbeke opN382  15.7 - 15.8"/>
    <s v="Fietsverbindingen/-kruisingen realiseren N382 Wielsbeke"/>
    <s v="Kleine Ingreep"/>
    <s v="WWV/INV/N382/6"/>
    <b v="0"/>
    <s v="Ingreep wordt niet opgevolgd in BOD"/>
    <s v="&lt;null&gt;"/>
    <s v="&lt;null&gt;"/>
    <s v="&lt;null&gt;"/>
    <s v="&lt;null&gt;"/>
    <s v="&lt;null&gt;"/>
    <x v="0"/>
    <s v="&lt;null&gt;"/>
    <s v="&lt;null&gt;"/>
    <s v="&lt;null&gt;"/>
    <s v="&lt;null&gt;"/>
    <n v="100"/>
    <s v="&lt;null&gt;"/>
    <s v="&lt;null&gt;"/>
    <s v="&lt;null&gt;"/>
    <s v="&lt;null&gt;"/>
    <m/>
    <m/>
    <m/>
    <m/>
  </r>
  <r>
    <x v="206"/>
    <x v="206"/>
    <s v="Fiets"/>
    <x v="0"/>
    <n v="199"/>
    <s v="IN/000199"/>
    <s v="Fietsverbindingen/-kruisingen realiseren in Koksijde opN39  1.5 - 1.6"/>
    <s v="N39 Koksijde: aandeel in werken Veurne Vaartstraat in combinatie met werken van de Vlaamse Waterweg (landhoofden Pelikaanbrug)"/>
    <s v="Kleine Ingreep"/>
    <s v="WWV/INV/N39/3"/>
    <b v="0"/>
    <s v="Ingreep wordt niet opgevolgd in BOD"/>
    <s v="&lt;null&gt;"/>
    <s v="&lt;null&gt;"/>
    <s v="&lt;null&gt;"/>
    <s v="&lt;null&gt;"/>
    <s v="&lt;null&gt;"/>
    <x v="0"/>
    <s v="&lt;null&gt;"/>
    <s v="&lt;null&gt;"/>
    <s v="&lt;null&gt;"/>
    <s v="&lt;null&gt;"/>
    <n v="100"/>
    <s v="&lt;null&gt;"/>
    <s v="&lt;null&gt;"/>
    <s v="&lt;null&gt;"/>
    <s v="&lt;null&gt;"/>
    <m/>
    <m/>
    <m/>
    <m/>
  </r>
  <r>
    <x v="207"/>
    <x v="207"/>
    <s v="Fiets"/>
    <x v="0"/>
    <n v="200"/>
    <s v="IN/000200"/>
    <s v="Realisatie fietsprojecten uit het GIP in Antwerpen opN114  3.0 - 4.0"/>
    <s v="3MH227 - Aanleg vrijliggend fietspad Leugenberg"/>
    <s v="Structurele Ingreep"/>
    <s v="&lt;null&gt;"/>
    <b v="0"/>
    <s v="Ingreep wordt niet opgevolgd in BOD"/>
    <s v="&lt;null&gt;"/>
    <s v="&lt;null&gt;"/>
    <s v="&lt;null&gt;"/>
    <s v="&lt;null&gt;"/>
    <s v="&lt;null&gt;"/>
    <x v="0"/>
    <s v="&lt;null&gt;"/>
    <s v="&lt;null&gt;"/>
    <s v="&lt;null&gt;"/>
    <s v="&lt;null&gt;"/>
    <n v="100"/>
    <s v="&lt;null&gt;"/>
    <s v="&lt;null&gt;"/>
    <s v="&lt;null&gt;"/>
    <s v="&lt;null&gt;"/>
    <m/>
    <m/>
    <m/>
    <m/>
  </r>
  <r>
    <x v="208"/>
    <x v="208"/>
    <s v="Fiets"/>
    <x v="0"/>
    <n v="201"/>
    <s v="IN/000201"/>
    <s v="Realisatie fietsprojecten uit het GIP in Zwijndrecht opN419  12.1 - 12.2"/>
    <s v="Herinrichting kruispunt Kruibeeksesteenweg"/>
    <s v="Structurele Ingreep"/>
    <s v="WA/INV/N419/2"/>
    <b v="0"/>
    <s v="Ingreep wordt niet opgevolgd in BOD"/>
    <s v="&lt;null&gt;"/>
    <s v="&lt;null&gt;"/>
    <s v="&lt;null&gt;"/>
    <s v="&lt;null&gt;"/>
    <s v="&lt;null&gt;"/>
    <x v="0"/>
    <s v="&lt;null&gt;"/>
    <s v="&lt;null&gt;"/>
    <s v="&lt;null&gt;"/>
    <s v="&lt;null&gt;"/>
    <n v="100"/>
    <s v="&lt;null&gt;"/>
    <s v="&lt;null&gt;"/>
    <s v="&lt;null&gt;"/>
    <s v="&lt;null&gt;"/>
    <m/>
    <m/>
    <m/>
    <m/>
  </r>
  <r>
    <x v="209"/>
    <x v="209"/>
    <s v="Fiets"/>
    <x v="0"/>
    <n v="202"/>
    <s v="IN/000202"/>
    <s v="N723 Fietspaden As"/>
    <s v="3MH227 - Aanleg fietspaden N723 As"/>
    <s v="Structurele Ingreep"/>
    <s v="WL/INV/N723/2"/>
    <b v="0"/>
    <s v="Ingreep wordt niet opgevolgd in BOD"/>
    <s v="&lt;null&gt;"/>
    <s v="&lt;null&gt;"/>
    <s v="&lt;null&gt;"/>
    <s v="&lt;null&gt;"/>
    <s v="&lt;null&gt;"/>
    <x v="0"/>
    <s v="&lt;null&gt;"/>
    <s v="&lt;null&gt;"/>
    <s v="&lt;null&gt;"/>
    <s v="&lt;null&gt;"/>
    <n v="100"/>
    <s v="&lt;null&gt;"/>
    <s v="&lt;null&gt;"/>
    <s v="&lt;null&gt;"/>
    <s v="&lt;null&gt;"/>
    <m/>
    <m/>
    <m/>
    <m/>
  </r>
  <r>
    <x v="210"/>
    <x v="210"/>
    <s v="Fiets"/>
    <x v="0"/>
    <n v="203"/>
    <s v="IN/000203"/>
    <s v="Realisatie fietsprojecten uit het GIP in Gent opN60  2.0 - 4.0"/>
    <s v="3MH227 - Fietsverbinding tussen Campus De Sterre en Campus Ardoyen en heraanleg N60 Zwijnaarde"/>
    <s v="Structurele Ingreep"/>
    <s v="WOV/INV/N60/9"/>
    <b v="0"/>
    <s v="Ingreep wordt niet opgevolgd in BOD"/>
    <s v="&lt;null&gt;"/>
    <s v="&lt;null&gt;"/>
    <s v="&lt;null&gt;"/>
    <s v="&lt;null&gt;"/>
    <s v="&lt;null&gt;"/>
    <x v="0"/>
    <s v="&lt;null&gt;"/>
    <s v="&lt;null&gt;"/>
    <s v="&lt;null&gt;"/>
    <s v="&lt;null&gt;"/>
    <n v="100"/>
    <s v="&lt;null&gt;"/>
    <s v="&lt;null&gt;"/>
    <s v="&lt;null&gt;"/>
    <s v="&lt;null&gt;"/>
    <m/>
    <m/>
    <m/>
    <m/>
  </r>
  <r>
    <x v="18"/>
    <x v="18"/>
    <s v="&lt;null&gt;"/>
    <x v="3"/>
    <n v="204"/>
    <s v="IN/000204"/>
    <s v="KOMT OVEREEN MET WVB/INV/N2/11 - KIM MELDT DAT DIT AL INGEGEVEN IS."/>
    <s v="Aandeel AWV riolering relance fiets / uitvoering"/>
    <s v="Structurele Ingreep"/>
    <s v="&lt;null&gt;"/>
    <b v="0"/>
    <s v="Ingreep wordt niet opgevolgd in BOD"/>
    <s v="&lt;null&gt;"/>
    <s v="&lt;null&gt;"/>
    <s v="&lt;null&gt;"/>
    <s v="&lt;null&gt;"/>
    <s v="&lt;null&gt;"/>
    <x v="0"/>
    <s v="&lt;null&gt;"/>
    <s v="&lt;null&gt;"/>
    <s v="&lt;null&gt;"/>
    <s v="&lt;null&gt;"/>
    <s v="&lt;null&gt;"/>
    <s v="&lt;null&gt;"/>
    <s v="&lt;null&gt;"/>
    <s v="&lt;null&gt;"/>
    <s v="&lt;null&gt;"/>
    <m/>
    <m/>
    <m/>
    <m/>
  </r>
  <r>
    <x v="211"/>
    <x v="211"/>
    <s v="Fiets"/>
    <x v="0"/>
    <n v="205"/>
    <s v="IN/000205"/>
    <s v="N283/1 Landen herinr kruispt N283-Karolingerslaan"/>
    <s v="3MH227 - N283 Landen: aansluiting fietspaden Karolingerslaan op kruispunt met N283"/>
    <s v="Structurele Ingreep"/>
    <s v="WVB/INV/N283/1"/>
    <b v="0"/>
    <s v="Ingreep wordt niet opgevolgd in BOD"/>
    <s v="&lt;null&gt;"/>
    <s v="&lt;null&gt;"/>
    <s v="&lt;null&gt;"/>
    <s v="&lt;null&gt;"/>
    <s v="&lt;null&gt;"/>
    <x v="0"/>
    <s v="&lt;null&gt;"/>
    <s v="&lt;null&gt;"/>
    <s v="&lt;null&gt;"/>
    <s v="&lt;null&gt;"/>
    <n v="100"/>
    <s v="&lt;null&gt;"/>
    <s v="&lt;null&gt;"/>
    <s v="&lt;null&gt;"/>
    <s v="&lt;null&gt;"/>
    <m/>
    <m/>
    <m/>
    <m/>
  </r>
  <r>
    <x v="212"/>
    <x v="212"/>
    <s v="Fiets"/>
    <x v="0"/>
    <n v="206"/>
    <s v="IN/000206"/>
    <s v="Realisatie fietsprojecten uit het GIP in Waregem opA14  23.0 - 23.0"/>
    <s v="3MH227 - Herinrichting complex 5 met N382"/>
    <s v="Structurele Ingreep"/>
    <s v="WWV/INV/E17/10"/>
    <b v="0"/>
    <s v="Ingreep wordt niet opgevolgd in BOD"/>
    <s v="&lt;null&gt;"/>
    <s v="&lt;null&gt;"/>
    <s v="&lt;null&gt;"/>
    <s v="&lt;null&gt;"/>
    <s v="&lt;null&gt;"/>
    <x v="0"/>
    <s v="&lt;null&gt;"/>
    <s v="&lt;null&gt;"/>
    <s v="&lt;null&gt;"/>
    <s v="&lt;null&gt;"/>
    <n v="100"/>
    <s v="&lt;null&gt;"/>
    <s v="&lt;null&gt;"/>
    <s v="&lt;null&gt;"/>
    <s v="&lt;null&gt;"/>
    <m/>
    <m/>
    <m/>
    <m/>
  </r>
  <r>
    <x v="213"/>
    <x v="213"/>
    <s v="Fiets"/>
    <x v="0"/>
    <n v="207"/>
    <s v="IN/000207"/>
    <s v="Oude modules (of samenwerkingsovereenkomsten) versneld uitvoeren in Brakel opN48  0.0 - 4.3"/>
    <s v="Structureel onderhoud bij module 13 project"/>
    <s v="Structurele Ingreep"/>
    <s v="WOV/INV/N48/1"/>
    <b v="0"/>
    <s v="Ingreep wordt niet opgevolgd in BOD"/>
    <s v="&lt;null&gt;"/>
    <s v="&lt;null&gt;"/>
    <s v="&lt;null&gt;"/>
    <s v="&lt;null&gt;"/>
    <s v="&lt;null&gt;"/>
    <x v="0"/>
    <s v="&lt;null&gt;"/>
    <s v="&lt;null&gt;"/>
    <s v="&lt;null&gt;"/>
    <s v="&lt;null&gt;"/>
    <n v="100"/>
    <s v="&lt;null&gt;"/>
    <s v="&lt;null&gt;"/>
    <s v="&lt;null&gt;"/>
    <s v="&lt;null&gt;"/>
    <m/>
    <m/>
    <m/>
    <m/>
  </r>
  <r>
    <x v="214"/>
    <x v="214"/>
    <s v="Fiets"/>
    <x v="0"/>
    <n v="208"/>
    <s v="IN/000208"/>
    <s v="EM-werken in Leuven opN2  22.3 - 22.7"/>
    <s v="N2-E314 complex Winksele &gt; kruispunt ombouwen van gloei naar LED &gt;   aanpassen volgens actieplan en maximaal conflictvrij"/>
    <s v="Kleine Ingreep"/>
    <s v="WVB/INV/N2/13"/>
    <b v="0"/>
    <s v="Ingreep wordt niet opgevolgd in BOD"/>
    <s v="&lt;null&gt;"/>
    <s v="&lt;null&gt;"/>
    <s v="&lt;null&gt;"/>
    <s v="&lt;null&gt;"/>
    <s v="&lt;null&gt;"/>
    <x v="0"/>
    <s v="&lt;null&gt;"/>
    <s v="&lt;null&gt;"/>
    <s v="&lt;null&gt;"/>
    <s v="&lt;null&gt;"/>
    <n v="100"/>
    <s v="&lt;null&gt;"/>
    <s v="&lt;null&gt;"/>
    <s v="&lt;null&gt;"/>
    <s v="&lt;null&gt;"/>
    <m/>
    <m/>
    <m/>
    <m/>
  </r>
  <r>
    <x v="215"/>
    <x v="215"/>
    <s v="Fiets"/>
    <x v="0"/>
    <n v="209"/>
    <s v="IN/000209"/>
    <s v="EM-werken in Boortmeerbeek opN267  0.3 - 0.4"/>
    <s v="N267-Jaagpad &gt; Nieuwe VRI"/>
    <s v="Kleine Ingreep"/>
    <s v="WVB/INV/N267/2"/>
    <b v="0"/>
    <s v="Ingreep wordt niet opgevolgd in BOD"/>
    <s v="&lt;null&gt;"/>
    <s v="&lt;null&gt;"/>
    <s v="&lt;null&gt;"/>
    <s v="&lt;null&gt;"/>
    <s v="&lt;null&gt;"/>
    <x v="0"/>
    <s v="&lt;null&gt;"/>
    <s v="&lt;null&gt;"/>
    <s v="&lt;null&gt;"/>
    <s v="&lt;null&gt;"/>
    <n v="100"/>
    <s v="&lt;null&gt;"/>
    <s v="&lt;null&gt;"/>
    <s v="&lt;null&gt;"/>
    <s v="&lt;null&gt;"/>
    <m/>
    <m/>
    <m/>
    <m/>
  </r>
  <r>
    <x v="216"/>
    <x v="216"/>
    <s v="Fiets"/>
    <x v="0"/>
    <n v="210"/>
    <s v="IN/000210"/>
    <s v="EM-werken in Leuven op R23  1.0 - 1.1"/>
    <s v="R23-N19-Artoisplein &gt; vernieuwen van die zwarte palen naar  nieuwe palen met LED &gt; veel klachten van fietsers over de verlichting hier, dus zeker een must!"/>
    <s v="Kleine Ingreep"/>
    <s v="WVB/INV/R23/11"/>
    <b v="1"/>
    <s v="Ingreep wordt opgevolgd in BOD"/>
    <n v="10528"/>
    <s v="VWT/CEW/2020/008-4"/>
    <n v="123451"/>
    <n v="22024345"/>
    <s v="&lt;p&gt;C1053:&amp;nbsp;Aanvraag budget fietsrelance 1 - project Artoisplein Leuven&lt;/p&gt;&lt;p&gt;Aanvraag op Basisallocatie 3MH227 - historia: 41789-1/12&lt;/p&gt;"/>
    <x v="7"/>
    <n v="8436"/>
    <s v="&lt;null&gt;"/>
    <s v="&lt;p&gt;C1053:&amp;nbsp;Aanvraag budget fietsrelance 1 - project Artoisplein Leuven&lt;/p&gt;&lt;p&gt;Aanvraag op Basisallocatie 3MH227 - historia: 41789-1/12&lt;/p&gt;"/>
    <s v="WVB/INV/R23/11"/>
    <n v="100"/>
    <n v="227272.66"/>
    <n v="0"/>
    <n v="0"/>
    <n v="0"/>
    <n v="227272.66"/>
    <n v="0"/>
    <n v="0"/>
    <n v="0"/>
  </r>
  <r>
    <x v="217"/>
    <x v="217"/>
    <s v="Fiets"/>
    <x v="0"/>
    <n v="211"/>
    <s v="IN/000211"/>
    <s v="EM-werken in Liedekerke opN207  2.7 - 2.8"/>
    <s v="N207- Kleemputtenstraat &gt; Aanpassen VRI: Conflictvrije regeling  voor de fiets- en voetgangersoversteken"/>
    <s v="Kleine Ingreep"/>
    <s v="WVB/INV/N207/2"/>
    <b v="0"/>
    <s v="Ingreep wordt niet opgevolgd in BOD"/>
    <n v="12915"/>
    <s v="VWT/EW/2021/2_P4"/>
    <n v="143901"/>
    <n v="22031494"/>
    <s v="&lt;p&gt;Investeringen VWT/EW/2021/2 Perceel 4 WVB 1ste jaar (3MH210)&lt;/p&gt;"/>
    <x v="3"/>
    <n v="10849"/>
    <s v="Installatie 978C8 - N207 Affligemsestraat x Kleemputtenstraat - LIEDEKERKE"/>
    <s v="&lt;p&gt;Aanpassing verkeerslichtengeregeld kruispunt volgens V016653v05.&lt;/p&gt;"/>
    <s v="WVB/INV/N207/2"/>
    <n v="100"/>
    <n v="135000"/>
    <n v="0"/>
    <n v="0"/>
    <n v="1568.5"/>
    <n v="135000"/>
    <n v="0"/>
    <n v="0"/>
    <n v="1568.5"/>
  </r>
  <r>
    <x v="217"/>
    <x v="217"/>
    <s v="Fiets"/>
    <x v="0"/>
    <n v="211"/>
    <s v="IN/000211"/>
    <s v="EM-werken in Liedekerke opN207  2.7 - 2.8"/>
    <s v="N207- Kleemputtenstraat &gt; Aanpassen VRI: Conflictvrije regeling  voor de fiets- en voetgangersoversteken"/>
    <s v="Kleine Ingreep"/>
    <s v="WVB/INV/N207/2"/>
    <b v="0"/>
    <s v="Ingreep wordt niet opgevolgd in BOD"/>
    <n v="10166"/>
    <s v="MDN/59-4"/>
    <n v="80551"/>
    <n v="21033437"/>
    <s v="&lt;p&gt;Aanvraag voor vastlegging van ombouw van 3 verkeerslichteninstallaties op N207 (Liedekerke) en N231 (Beersel) die goedgekeurd zijn op het &amp;nbsp;fietsrelanceplan 1+2.&amp;nbsp;&lt;/p&gt;"/>
    <x v="1"/>
    <n v="5479"/>
    <s v="installatie 978C8: N207 x Kleemputtenstraat te Liedekerke"/>
    <s v="&lt;null&gt;"/>
    <s v="WVB/INV/N207/2"/>
    <n v="100"/>
    <n v="31015.72"/>
    <n v="6087.7957999999999"/>
    <n v="0"/>
    <n v="20263.52"/>
    <n v="31015.72"/>
    <n v="6087.7957999999999"/>
    <n v="0"/>
    <n v="20263.52"/>
  </r>
  <r>
    <x v="218"/>
    <x v="218"/>
    <s v="Fiets"/>
    <x v="0"/>
    <n v="212"/>
    <s v="IN/000212"/>
    <s v="EM-werken in Liedekerke opN207  3.5 - 3.6"/>
    <s v="N207- Muilemstraat &gt; Aanpassen VRI: Conflictvrije regeling  voor de fiets- en voetgangersoversteken"/>
    <s v="Kleine Ingreep"/>
    <s v="WVB/INV/N207/3"/>
    <b v="1"/>
    <s v="Ingreep wordt opgevolgd in BOD"/>
    <n v="10166"/>
    <s v="MDN/59-4"/>
    <n v="80551"/>
    <n v="21033437"/>
    <s v="&lt;p&gt;Aanvraag voor vastlegging van ombouw van 3 verkeerslichteninstallaties op N207 (Liedekerke) en N231 (Beersel) die goedgekeurd zijn op het &amp;nbsp;fietsrelanceplan 1+2.&amp;nbsp;&lt;/p&gt;"/>
    <x v="2"/>
    <n v="5482"/>
    <s v="Installatie 848C3: N207 x Muilenstraat te Liedekerke"/>
    <s v="&lt;null&gt;"/>
    <s v="WVB/INV/N207/3"/>
    <n v="100"/>
    <n v="92568.39"/>
    <n v="92568.389599999995"/>
    <n v="0"/>
    <n v="4.0000000000000002E-4"/>
    <n v="92568.39"/>
    <n v="92568.389599999995"/>
    <n v="0"/>
    <n v="4.0000000000000002E-4"/>
  </r>
  <r>
    <x v="218"/>
    <x v="218"/>
    <s v="Fiets"/>
    <x v="0"/>
    <n v="212"/>
    <s v="IN/000212"/>
    <s v="EM-werken in Liedekerke opN207  3.5 - 3.6"/>
    <s v="N207- Muilemstraat &gt; Aanpassen VRI: Conflictvrije regeling  voor de fiets- en voetgangersoversteken"/>
    <s v="Kleine Ingreep"/>
    <s v="WVB/INV/N207/3"/>
    <b v="1"/>
    <s v="Ingreep wordt opgevolgd in BOD"/>
    <n v="9663"/>
    <s v="MDN/1504"/>
    <n v="79501"/>
    <n v="21042826"/>
    <s v="&lt;p&gt;Relance fiets Vlaams-Brabant: installaties N231xLotsesteenweg 176C7, N231xBrouwerijstraat 179C4, &amp;nbsp;N29 Windberg x Rassel 194C5, N285x Kerkstraat 196C9&lt;/p&gt;"/>
    <x v="1"/>
    <n v="5683"/>
    <s v="Liedekerke kruispunt N207 - Muilenstraat - installatie 848C3"/>
    <s v="&lt;null&gt;"/>
    <s v="WVB/INV/N207/3"/>
    <n v="100"/>
    <n v="11401.08"/>
    <n v="11401.083000000001"/>
    <n v="-3.0000000000000001E-3"/>
    <n v="0"/>
    <n v="11401.08"/>
    <n v="11401.083000000001"/>
    <n v="-3.0000000000000001E-3"/>
    <n v="0"/>
  </r>
  <r>
    <x v="81"/>
    <x v="81"/>
    <s v="Fiets"/>
    <x v="0"/>
    <n v="213"/>
    <s v="IN/000213"/>
    <s v="EM-werken in Antwerpen opN114  3.0 - 3.1"/>
    <s v="Aanleg vrijliggend fietspad Leugenberg : VRI"/>
    <s v="Kleine Ingreep"/>
    <s v="WA/INV/N114/6"/>
    <b v="0"/>
    <s v="Ingreep wordt niet opgevolgd in BOD"/>
    <s v="&lt;null&gt;"/>
    <s v="&lt;null&gt;"/>
    <s v="&lt;null&gt;"/>
    <s v="&lt;null&gt;"/>
    <s v="&lt;null&gt;"/>
    <x v="0"/>
    <s v="&lt;null&gt;"/>
    <s v="&lt;null&gt;"/>
    <s v="&lt;null&gt;"/>
    <s v="&lt;null&gt;"/>
    <n v="100"/>
    <s v="&lt;null&gt;"/>
    <s v="&lt;null&gt;"/>
    <s v="&lt;null&gt;"/>
    <s v="&lt;null&gt;"/>
    <m/>
    <m/>
    <m/>
    <m/>
  </r>
  <r>
    <x v="219"/>
    <x v="219"/>
    <s v="Fiets"/>
    <x v="0"/>
    <n v="214"/>
    <s v="IN/000214"/>
    <s v="Structureel Onderhoud - conforme fietspaden in Antwerpen opA12  0.0 - 0.8"/>
    <s v="vervangen van oude klinkers, zit opgesloten tussen 2 jersey's, ook druk bereden fietspad in haven"/>
    <s v="Kleine Ingreep"/>
    <s v="WA/INV/A12/10"/>
    <b v="0"/>
    <s v="Ingreep wordt niet opgevolgd in BOD"/>
    <s v="&lt;null&gt;"/>
    <s v="&lt;null&gt;"/>
    <s v="&lt;null&gt;"/>
    <s v="&lt;null&gt;"/>
    <s v="&lt;null&gt;"/>
    <x v="0"/>
    <s v="&lt;null&gt;"/>
    <s v="&lt;null&gt;"/>
    <s v="&lt;null&gt;"/>
    <s v="&lt;null&gt;"/>
    <n v="100"/>
    <s v="&lt;null&gt;"/>
    <s v="&lt;null&gt;"/>
    <s v="&lt;null&gt;"/>
    <s v="&lt;null&gt;"/>
    <m/>
    <m/>
    <m/>
    <m/>
  </r>
  <r>
    <x v="220"/>
    <x v="220"/>
    <s v="Fiets"/>
    <x v="0"/>
    <n v="215"/>
    <s v="IN/000215"/>
    <s v="Structureel Onderhoud - conforme fietspaden in Aarschot opN19"/>
    <s v="Structureel Onderhoud - conforme fietspaden in Aarschot opN19 47.05 - 49.4\nDubbelrichting asfaltfietspad op belangrijke schoolroute."/>
    <s v="Kleine Ingreep"/>
    <s v="WVB/INV/N19/5"/>
    <b v="1"/>
    <s v="Ingreep wordt opgevolgd in BOD"/>
    <n v="10964"/>
    <s v="AWV/INV/2021/1_P2"/>
    <n v="82601"/>
    <n v="21022713"/>
    <s v="&lt;p&gt;Relance fiets&lt;/p&gt;"/>
    <x v="0"/>
    <n v="5629"/>
    <s v="N19 Rotselaar / Aarschot - Pieter-Jan Trappeniers"/>
    <s v="&lt;null&gt;"/>
    <s v="WVB/INV/N19/5"/>
    <n v="100"/>
    <n v="133182.85999999999"/>
    <n v="0"/>
    <n v="0"/>
    <n v="0"/>
    <n v="133182.85999999999"/>
    <n v="0"/>
    <n v="0"/>
    <n v="0"/>
  </r>
  <r>
    <x v="221"/>
    <x v="221"/>
    <s v="Verkeersveiligheid"/>
    <x v="1"/>
    <n v="252"/>
    <s v="IN/000216"/>
    <s v="in Aalst : wegvak N9 Brusselse steenweg tussen kruispunt met R41 Albrechtlaan en Dender"/>
    <s v="Complete herinrichting"/>
    <s v="Structurele Ingreep"/>
    <s v="WOV/INV/N9/8"/>
    <b v="0"/>
    <s v="Ingreep wordt niet opgevolgd in BOD"/>
    <s v="&lt;null&gt;"/>
    <s v="&lt;null&gt;"/>
    <s v="&lt;null&gt;"/>
    <s v="&lt;null&gt;"/>
    <s v="&lt;null&gt;"/>
    <x v="0"/>
    <s v="&lt;null&gt;"/>
    <s v="&lt;null&gt;"/>
    <s v="&lt;null&gt;"/>
    <s v="&lt;null&gt;"/>
    <n v="10"/>
    <s v="&lt;null&gt;"/>
    <s v="&lt;null&gt;"/>
    <s v="&lt;null&gt;"/>
    <s v="&lt;null&gt;"/>
    <m/>
    <m/>
    <m/>
    <m/>
  </r>
  <r>
    <x v="222"/>
    <x v="222"/>
    <s v="Verkeersveiligheid"/>
    <x v="1"/>
    <n v="252"/>
    <s v="IN/000216"/>
    <s v="in Aalst : wegvak N9 Brusselse steenweg tussen kruispunt met R41 Albrechtlaan en Dender"/>
    <s v="Complete herinrichting"/>
    <s v="Structurele Ingreep"/>
    <s v="WOV/INV/N9/8"/>
    <b v="0"/>
    <s v="Ingreep wordt niet opgevolgd in BOD"/>
    <s v="&lt;null&gt;"/>
    <s v="&lt;null&gt;"/>
    <s v="&lt;null&gt;"/>
    <s v="&lt;null&gt;"/>
    <s v="&lt;null&gt;"/>
    <x v="0"/>
    <s v="&lt;null&gt;"/>
    <s v="&lt;null&gt;"/>
    <s v="&lt;null&gt;"/>
    <s v="&lt;null&gt;"/>
    <n v="10"/>
    <s v="&lt;null&gt;"/>
    <s v="&lt;null&gt;"/>
    <s v="&lt;null&gt;"/>
    <s v="&lt;null&gt;"/>
    <m/>
    <m/>
    <m/>
    <m/>
  </r>
  <r>
    <x v="223"/>
    <x v="223"/>
    <s v="Verkeersveiligheid"/>
    <x v="1"/>
    <n v="252"/>
    <s v="IN/000216"/>
    <s v="in Aalst : wegvak N9 Brusselse steenweg tussen kruispunt met R41 Albrechtlaan en Dender"/>
    <s v="Complete herinrichting"/>
    <s v="Structurele Ingreep"/>
    <s v="WOV/INV/N9/8"/>
    <b v="0"/>
    <s v="Ingreep wordt niet opgevolgd in BOD"/>
    <s v="&lt;null&gt;"/>
    <s v="&lt;null&gt;"/>
    <s v="&lt;null&gt;"/>
    <s v="&lt;null&gt;"/>
    <s v="&lt;null&gt;"/>
    <x v="0"/>
    <s v="&lt;null&gt;"/>
    <s v="&lt;null&gt;"/>
    <s v="&lt;null&gt;"/>
    <s v="&lt;null&gt;"/>
    <n v="70"/>
    <s v="&lt;null&gt;"/>
    <s v="&lt;null&gt;"/>
    <s v="&lt;null&gt;"/>
    <s v="&lt;null&gt;"/>
    <m/>
    <m/>
    <m/>
    <m/>
  </r>
  <r>
    <x v="224"/>
    <x v="224"/>
    <s v="Verkeersveiligheid"/>
    <x v="1"/>
    <n v="252"/>
    <s v="IN/000216"/>
    <s v="in Aalst : wegvak N9 Brusselse steenweg tussen kruispunt met R41 Albrechtlaan en Dender"/>
    <s v="Complete herinrichting"/>
    <s v="Structurele Ingreep"/>
    <s v="WOV/INV/N9/8"/>
    <b v="0"/>
    <s v="Ingreep wordt niet opgevolgd in BOD"/>
    <s v="&lt;null&gt;"/>
    <s v="&lt;null&gt;"/>
    <s v="&lt;null&gt;"/>
    <s v="&lt;null&gt;"/>
    <s v="&lt;null&gt;"/>
    <x v="0"/>
    <s v="&lt;null&gt;"/>
    <s v="&lt;null&gt;"/>
    <s v="&lt;null&gt;"/>
    <s v="&lt;null&gt;"/>
    <n v="10"/>
    <s v="&lt;null&gt;"/>
    <s v="&lt;null&gt;"/>
    <s v="&lt;null&gt;"/>
    <s v="&lt;null&gt;"/>
    <m/>
    <m/>
    <m/>
    <m/>
  </r>
  <r>
    <x v="225"/>
    <x v="225"/>
    <s v="Verkeersveiligheid"/>
    <x v="1"/>
    <n v="253"/>
    <s v="IN/000217"/>
    <s v="Gevaarlijk Punt: R41 Aalst: aanpassen lichtenregeling"/>
    <s v="Aanpassen lichtenregeling (VRI): linksaf wordt conflictvrij (2021);\nR41 Boudewijnlaan / Heilig Hartlaan met Ledebaan"/>
    <s v="Kleine Ingreep"/>
    <s v="WOV/INV/R41/1"/>
    <b v="0"/>
    <s v="Ingreep wordt niet opgevolgd in BOD"/>
    <s v="&lt;null&gt;"/>
    <s v="&lt;null&gt;"/>
    <s v="&lt;null&gt;"/>
    <s v="&lt;null&gt;"/>
    <s v="&lt;null&gt;"/>
    <x v="0"/>
    <s v="&lt;null&gt;"/>
    <s v="&lt;null&gt;"/>
    <s v="&lt;null&gt;"/>
    <s v="&lt;null&gt;"/>
    <n v="100"/>
    <s v="&lt;null&gt;"/>
    <s v="&lt;null&gt;"/>
    <s v="&lt;null&gt;"/>
    <s v="&lt;null&gt;"/>
    <m/>
    <m/>
    <m/>
    <m/>
  </r>
  <r>
    <x v="18"/>
    <x v="18"/>
    <s v="&lt;null&gt;"/>
    <x v="3"/>
    <n v="254"/>
    <s v="IN/000218"/>
    <s v="VERWIJDEREN in Aalst : N9 Parklaan met Eikstraat en Frans Blanckaertdreef"/>
    <s v="Volledige herinrichting"/>
    <s v="Structurel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255"/>
    <s v="IN/000219"/>
    <s v="VERWIJDEREN in Aalst : N9 Parklaan met N405 Geraardsbergsestraat en N45 Geraardsbergsesteenweg"/>
    <s v="&lt;null&gt;"/>
    <s v="Structurele Ingreep"/>
    <s v="&lt;null&gt;"/>
    <b v="0"/>
    <s v="Ingreep wordt niet opgevolgd in BOD"/>
    <s v="&lt;null&gt;"/>
    <s v="&lt;null&gt;"/>
    <s v="&lt;null&gt;"/>
    <s v="&lt;null&gt;"/>
    <s v="&lt;null&gt;"/>
    <x v="0"/>
    <s v="&lt;null&gt;"/>
    <s v="&lt;null&gt;"/>
    <s v="&lt;null&gt;"/>
    <s v="&lt;null&gt;"/>
    <s v="&lt;null&gt;"/>
    <s v="&lt;null&gt;"/>
    <s v="&lt;null&gt;"/>
    <s v="&lt;null&gt;"/>
    <s v="&lt;null&gt;"/>
    <m/>
    <m/>
    <m/>
    <m/>
  </r>
  <r>
    <x v="226"/>
    <x v="226"/>
    <s v="Verkeersveiligheid"/>
    <x v="1"/>
    <n v="256"/>
    <s v="IN/000220"/>
    <s v="UITGEVOERD NIET IN E1: A10-E40 Richting Oostende"/>
    <s v="heraanleg complex"/>
    <s v="Structurele Ingreep"/>
    <s v="&lt;null&gt;"/>
    <b v="0"/>
    <s v="Ingreep wordt niet opgevolgd in BOD"/>
    <s v="&lt;null&gt;"/>
    <s v="&lt;null&gt;"/>
    <s v="&lt;null&gt;"/>
    <s v="&lt;null&gt;"/>
    <s v="&lt;null&gt;"/>
    <x v="0"/>
    <s v="&lt;null&gt;"/>
    <s v="&lt;null&gt;"/>
    <s v="&lt;null&gt;"/>
    <s v="&lt;null&gt;"/>
    <n v="100"/>
    <s v="&lt;null&gt;"/>
    <s v="&lt;null&gt;"/>
    <s v="&lt;null&gt;"/>
    <s v="&lt;null&gt;"/>
    <m/>
    <m/>
    <m/>
    <m/>
  </r>
  <r>
    <x v="227"/>
    <x v="227"/>
    <s v="Verkeersveiligheid"/>
    <x v="1"/>
    <n v="257"/>
    <s v="IN/000221"/>
    <s v="UITGEVOERD NIET IN E1: A10-E40 Richting Brussel Uitrit 11, Knokkeweg, N44 Richting Maldegem, Rond Punt, Tieltsesteenweg"/>
    <s v="heraanleg complex"/>
    <s v="Structurele Ingreep"/>
    <s v="WOV/INV/N44/4"/>
    <b v="0"/>
    <s v="Ingreep wordt niet opgevolgd in BOD"/>
    <s v="&lt;null&gt;"/>
    <s v="&lt;null&gt;"/>
    <s v="&lt;null&gt;"/>
    <s v="&lt;null&gt;"/>
    <s v="&lt;null&gt;"/>
    <x v="0"/>
    <s v="&lt;null&gt;"/>
    <s v="&lt;null&gt;"/>
    <s v="&lt;null&gt;"/>
    <s v="&lt;null&gt;"/>
    <n v="100"/>
    <s v="&lt;null&gt;"/>
    <s v="&lt;null&gt;"/>
    <s v="&lt;null&gt;"/>
    <s v="&lt;null&gt;"/>
    <m/>
    <m/>
    <m/>
    <m/>
  </r>
  <r>
    <x v="228"/>
    <x v="228"/>
    <s v="Verkeersveiligheid"/>
    <x v="1"/>
    <n v="258"/>
    <s v="IN/000222"/>
    <s v="in Aarschot : Bloemsehoeve, Liersesteenweg, N10 Richting Mortsel, Oude Mechelsebaan"/>
    <s v="Actieplan VRI"/>
    <s v="Kleine Ingreep"/>
    <s v="WVB/INV/N10/5"/>
    <b v="1"/>
    <s v="Ingreep wordt opgevolgd in BOD"/>
    <n v="11114"/>
    <s v="MDN/41"/>
    <n v="111401"/>
    <n v="21070749"/>
    <s v="&lt;p&gt;Relance VRI - aanpak van gevaarlijke punten in de provincie Vlaams-Brabant 2022-2023.&amp;nbsp;&lt;/p&gt;&lt;p&gt;&amp;nbsp;&lt;/p&gt;&lt;p&gt;Budget voor aanpassingen aan de buiteninstallatie verkeerslichten op verkeerslichtengeregelde kruispunten die opgenomen zijn in de dynamische"/>
    <x v="8"/>
    <n v="8223"/>
    <s v="Installatie 636C3 - N10 Liersesteenweg Bloemse Hoeve Aarschot"/>
    <s v="&lt;p&gt;Dit kruispunt staat op de lijst van gevaarlijke punten en wordt daarom heringericht conform het actieplan verkeerslichtenregelingen.&lt;/p&gt;&lt;p&gt;Het Vplan is opgemaakt volgende de afspraken die gemaakt zijn op de PCV van 31 augustus 2021.&lt;/p&gt;&lt;p&gt;In eerste ins"/>
    <s v="WVB/INV/N10/5"/>
    <n v="100"/>
    <n v="5000"/>
    <n v="0"/>
    <n v="0"/>
    <n v="11.4"/>
    <n v="5000"/>
    <n v="0"/>
    <n v="0"/>
    <n v="11.4"/>
  </r>
  <r>
    <x v="228"/>
    <x v="228"/>
    <s v="Verkeersveiligheid"/>
    <x v="1"/>
    <n v="258"/>
    <s v="IN/000222"/>
    <s v="in Aarschot : Bloemsehoeve, Liersesteenweg, N10 Richting Mortsel, Oude Mechelsebaan"/>
    <s v="Actieplan VRI"/>
    <s v="Kleine Ingreep"/>
    <s v="WVB/INV/N10/5"/>
    <b v="1"/>
    <s v="Ingreep wordt opgevolgd in BOD"/>
    <n v="10166"/>
    <s v="MDN/59-4"/>
    <n v="104951"/>
    <n v="21064254"/>
    <s v="&lt;p&gt;Relance VRI - aanpak van gevaarlijke punten in de provincie Vlaams-Brabant 2022-2023.&lt;br&gt;&lt;br&gt;Budget voor aanpassingen aan de buiteninstallatie verkeerslichten op verkeerslichtengeregelde kruispunten die opgenomen zijn in de dynamische lijst gevaarlijke"/>
    <x v="4"/>
    <n v="8221"/>
    <s v="636C3 - N10 Liersesteenweg ; &quot;Oude Mechelsebaan; Bloemse Hoeve AARSCHOT"/>
    <s v="&lt;null&gt;"/>
    <s v="WVB/INV/N10/5"/>
    <n v="100"/>
    <n v="50000"/>
    <n v="0"/>
    <n v="0"/>
    <n v="164"/>
    <n v="50000"/>
    <n v="0"/>
    <n v="0"/>
    <n v="164"/>
  </r>
  <r>
    <x v="229"/>
    <x v="229"/>
    <s v="Verkeersveiligheid"/>
    <x v="1"/>
    <n v="259"/>
    <s v="IN/000223"/>
    <s v="Plaatsen van straatmeubilair (oa omegabeugels, paaltjes, new yerseys) in Aarschot : R25 Binnenring, Ter Heidelaan"/>
    <s v="Bij structureel onderhoud Raf Oosters wordt jersey voorzien\ntussen rijbaan en fietspad. Dit zal zowel vermijden dat auto's van de baan raken en tegen niet botsvriendelijke objecten langs de weg terechtkomen. zal ook ongevallen tussen fietsers en auto's h"/>
    <s v="Kleine Ingreep"/>
    <s v="&lt;null&gt;"/>
    <b v="0"/>
    <s v="Ingreep wordt niet opgevolgd in BOD"/>
    <s v="&lt;null&gt;"/>
    <s v="&lt;null&gt;"/>
    <s v="&lt;null&gt;"/>
    <s v="&lt;null&gt;"/>
    <s v="&lt;null&gt;"/>
    <x v="0"/>
    <s v="&lt;null&gt;"/>
    <s v="&lt;null&gt;"/>
    <s v="&lt;null&gt;"/>
    <s v="&lt;null&gt;"/>
    <n v="100"/>
    <s v="&lt;null&gt;"/>
    <s v="&lt;null&gt;"/>
    <s v="&lt;null&gt;"/>
    <s v="&lt;null&gt;"/>
    <m/>
    <m/>
    <m/>
    <m/>
  </r>
  <r>
    <x v="230"/>
    <x v="230"/>
    <s v="Verkeersveiligheid"/>
    <x v="1"/>
    <n v="260"/>
    <s v="IN/000224"/>
    <s v="Horizontale signalisatie aanpassen in Aarschot : Gijmelsesteenweg, Langdorpsesteenweg"/>
    <s v="wegwijzer Langdorp verplaatsen (zichtbaarheid) + oversteek vergeten zie V-plan V016402V + fietsers rechtsaf geleiden + hermarkeren. Voorlopig nog geen aanpassingen gebeurd, volgt nog . Tellingen in oktober"/>
    <s v="Kleine Ingreep"/>
    <s v="WVB/INV/R25/3"/>
    <b v="0"/>
    <s v="Ingreep wordt niet opgevolgd in BOD"/>
    <s v="&lt;null&gt;"/>
    <s v="&lt;null&gt;"/>
    <s v="&lt;null&gt;"/>
    <s v="&lt;null&gt;"/>
    <s v="&lt;null&gt;"/>
    <x v="0"/>
    <s v="&lt;null&gt;"/>
    <s v="&lt;null&gt;"/>
    <s v="&lt;null&gt;"/>
    <s v="&lt;null&gt;"/>
    <n v="100"/>
    <s v="&lt;null&gt;"/>
    <s v="&lt;null&gt;"/>
    <s v="&lt;null&gt;"/>
    <s v="&lt;null&gt;"/>
    <m/>
    <m/>
    <m/>
    <m/>
  </r>
  <r>
    <x v="231"/>
    <x v="231"/>
    <s v="Verkeersveiligheid"/>
    <x v="1"/>
    <n v="261"/>
    <s v="IN/000225"/>
    <s v="Horizontale signalisatie aanpassen in Aarschot : Hoensberg, Schoonderbeukenweg, Schransstraat"/>
    <m/>
    <s v="Kleine Ingreep"/>
    <s v="WVB/INV/N258/1"/>
    <b v="0"/>
    <s v="Ingreep wordt niet opgevolgd in BOD"/>
    <s v="&lt;null&gt;"/>
    <s v="&lt;null&gt;"/>
    <s v="&lt;null&gt;"/>
    <s v="&lt;null&gt;"/>
    <s v="&lt;null&gt;"/>
    <x v="0"/>
    <s v="&lt;null&gt;"/>
    <s v="&lt;null&gt;"/>
    <s v="&lt;null&gt;"/>
    <s v="&lt;null&gt;"/>
    <n v="100"/>
    <s v="&lt;null&gt;"/>
    <s v="&lt;null&gt;"/>
    <s v="&lt;null&gt;"/>
    <s v="&lt;null&gt;"/>
    <m/>
    <m/>
    <m/>
    <m/>
  </r>
  <r>
    <x v="232"/>
    <x v="232"/>
    <s v="Verkeersveiligheid"/>
    <x v="1"/>
    <n v="262"/>
    <s v="IN/000226"/>
    <s v="in Aartselaar : Boomsesteenweg"/>
    <s v="Aanpassing VRI-regeling, maximaal conflictvrij, uitrol VLCC"/>
    <s v="Kleine Ingreep"/>
    <s v="&lt;null&gt;"/>
    <b v="0"/>
    <s v="Ingreep wordt niet opgevolgd in BOD"/>
    <s v="&lt;null&gt;"/>
    <s v="&lt;null&gt;"/>
    <s v="&lt;null&gt;"/>
    <s v="&lt;null&gt;"/>
    <s v="&lt;null&gt;"/>
    <x v="0"/>
    <s v="&lt;null&gt;"/>
    <s v="&lt;null&gt;"/>
    <s v="&lt;null&gt;"/>
    <s v="&lt;null&gt;"/>
    <n v="100"/>
    <s v="&lt;null&gt;"/>
    <s v="&lt;null&gt;"/>
    <s v="&lt;null&gt;"/>
    <s v="&lt;null&gt;"/>
    <m/>
    <m/>
    <m/>
    <m/>
  </r>
  <r>
    <x v="232"/>
    <x v="232"/>
    <s v="Verkeersveiligheid"/>
    <x v="1"/>
    <n v="263"/>
    <s v="IN/000227"/>
    <s v="in Aartselaar : Boomsesteenweg"/>
    <s v="Tunnels"/>
    <s v="Structurele Ingreep"/>
    <s v="&lt;null&gt;"/>
    <b v="0"/>
    <s v="Ingreep wordt niet opgevolgd in BOD"/>
    <s v="&lt;null&gt;"/>
    <s v="&lt;null&gt;"/>
    <s v="&lt;null&gt;"/>
    <s v="&lt;null&gt;"/>
    <s v="&lt;null&gt;"/>
    <x v="0"/>
    <s v="&lt;null&gt;"/>
    <s v="&lt;null&gt;"/>
    <s v="&lt;null&gt;"/>
    <s v="&lt;null&gt;"/>
    <n v="100"/>
    <s v="&lt;null&gt;"/>
    <s v="&lt;null&gt;"/>
    <s v="&lt;null&gt;"/>
    <s v="&lt;null&gt;"/>
    <m/>
    <m/>
    <m/>
    <m/>
  </r>
  <r>
    <x v="233"/>
    <x v="233"/>
    <s v="Verkeersveiligheid"/>
    <x v="1"/>
    <n v="264"/>
    <s v="IN/000228"/>
    <s v="in Aartselaar : A12 Richting Antwerpen, A12 Richting Brussel, Antwerpsesteenweg, Boomsesteenweg, Guido Gezellestraat, Helststraat"/>
    <s v="Aanpassing VRI-regeling, maximaal conflictvrij, uitrol VLCC, 3e rijstrook"/>
    <s v="Kleine Ingreep"/>
    <s v="&lt;null&gt;"/>
    <b v="0"/>
    <s v="Ingreep wordt niet opgevolgd in BOD"/>
    <s v="&lt;null&gt;"/>
    <s v="&lt;null&gt;"/>
    <s v="&lt;null&gt;"/>
    <s v="&lt;null&gt;"/>
    <s v="&lt;null&gt;"/>
    <x v="0"/>
    <s v="&lt;null&gt;"/>
    <s v="&lt;null&gt;"/>
    <s v="&lt;null&gt;"/>
    <s v="&lt;null&gt;"/>
    <n v="100"/>
    <s v="&lt;null&gt;"/>
    <s v="&lt;null&gt;"/>
    <s v="&lt;null&gt;"/>
    <s v="&lt;null&gt;"/>
    <m/>
    <m/>
    <m/>
    <m/>
  </r>
  <r>
    <x v="233"/>
    <x v="233"/>
    <s v="Verkeersveiligheid"/>
    <x v="1"/>
    <n v="265"/>
    <s v="IN/000229"/>
    <s v="in Aartselaar : A12 Richting Antwerpen, A12 Richting Brussel, Antwerpsesteenweg, Boomsesteenweg, Guido Gezellestraat, Helststraat"/>
    <s v="Tunnels"/>
    <s v="Structurele Ingreep"/>
    <s v="&lt;null&gt;"/>
    <b v="0"/>
    <s v="Ingreep wordt niet opgevolgd in BOD"/>
    <s v="&lt;null&gt;"/>
    <s v="&lt;null&gt;"/>
    <s v="&lt;null&gt;"/>
    <s v="&lt;null&gt;"/>
    <s v="&lt;null&gt;"/>
    <x v="0"/>
    <s v="&lt;null&gt;"/>
    <s v="&lt;null&gt;"/>
    <s v="&lt;null&gt;"/>
    <s v="&lt;null&gt;"/>
    <n v="100"/>
    <s v="&lt;null&gt;"/>
    <s v="&lt;null&gt;"/>
    <s v="&lt;null&gt;"/>
    <s v="&lt;null&gt;"/>
    <m/>
    <m/>
    <m/>
    <m/>
  </r>
  <r>
    <x v="234"/>
    <x v="234"/>
    <s v="Verkeersveiligheid"/>
    <x v="1"/>
    <n v="266"/>
    <s v="IN/000230"/>
    <s v="in Aartselaar : A12 Richting Antwerpen, A12 Richting Brussel, Bist, Boomsesteenweg, Langlaarsteenweg"/>
    <s v="linksaf conflictvrij, zijstraten tak voor tak, 3e rijstrook"/>
    <s v="Kleine Ingreep"/>
    <s v="&lt;null&gt;"/>
    <b v="0"/>
    <s v="Ingreep wordt niet opgevolgd in BOD"/>
    <s v="&lt;null&gt;"/>
    <s v="&lt;null&gt;"/>
    <s v="&lt;null&gt;"/>
    <s v="&lt;null&gt;"/>
    <s v="&lt;null&gt;"/>
    <x v="0"/>
    <s v="&lt;null&gt;"/>
    <s v="&lt;null&gt;"/>
    <s v="&lt;null&gt;"/>
    <s v="&lt;null&gt;"/>
    <n v="100"/>
    <s v="&lt;null&gt;"/>
    <s v="&lt;null&gt;"/>
    <s v="&lt;null&gt;"/>
    <s v="&lt;null&gt;"/>
    <m/>
    <m/>
    <m/>
    <m/>
  </r>
  <r>
    <x v="234"/>
    <x v="234"/>
    <s v="Verkeersveiligheid"/>
    <x v="1"/>
    <n v="267"/>
    <s v="IN/000231"/>
    <s v="in Aartselaar : A12 Richting Antwerpen, A12 Richting Brussel, Bist, Boomsesteenweg, Langlaarsteenweg"/>
    <s v="Tunnels"/>
    <s v="Structurele Ingreep"/>
    <s v="&lt;null&gt;"/>
    <b v="0"/>
    <s v="Ingreep wordt niet opgevolgd in BOD"/>
    <s v="&lt;null&gt;"/>
    <s v="&lt;null&gt;"/>
    <s v="&lt;null&gt;"/>
    <s v="&lt;null&gt;"/>
    <s v="&lt;null&gt;"/>
    <x v="0"/>
    <s v="&lt;null&gt;"/>
    <s v="&lt;null&gt;"/>
    <s v="&lt;null&gt;"/>
    <s v="&lt;null&gt;"/>
    <n v="100"/>
    <s v="&lt;null&gt;"/>
    <s v="&lt;null&gt;"/>
    <s v="&lt;null&gt;"/>
    <s v="&lt;null&gt;"/>
    <m/>
    <m/>
    <m/>
    <m/>
  </r>
  <r>
    <x v="235"/>
    <x v="235"/>
    <s v="Verkeersveiligheid"/>
    <x v="1"/>
    <n v="268"/>
    <s v="IN/000232"/>
    <s v="in Aartselaar : A12 Richting Antwerpen, A12 Richting Brussel, Antwerpsesteenweg, Boomsesteenweg, Leugstraat, Vluchtenburgstraat"/>
    <s v="linksaf conflictvrij, zijstraten tak voor tak, aanleg 3e rijstrook (inname middenberm)"/>
    <s v="Kleine Ingreep"/>
    <s v="&lt;null&gt;"/>
    <b v="0"/>
    <s v="Ingreep wordt niet opgevolgd in BOD"/>
    <s v="&lt;null&gt;"/>
    <s v="&lt;null&gt;"/>
    <s v="&lt;null&gt;"/>
    <s v="&lt;null&gt;"/>
    <s v="&lt;null&gt;"/>
    <x v="0"/>
    <s v="&lt;null&gt;"/>
    <s v="&lt;null&gt;"/>
    <s v="&lt;null&gt;"/>
    <s v="&lt;null&gt;"/>
    <n v="100"/>
    <s v="&lt;null&gt;"/>
    <s v="&lt;null&gt;"/>
    <s v="&lt;null&gt;"/>
    <s v="&lt;null&gt;"/>
    <m/>
    <m/>
    <m/>
    <m/>
  </r>
  <r>
    <x v="235"/>
    <x v="235"/>
    <s v="Verkeersveiligheid"/>
    <x v="1"/>
    <n v="269"/>
    <s v="IN/000233"/>
    <s v="in Aartselaar : A12 Richting Antwerpen, A12 Richting Brussel, Antwerpsesteenweg, Boomsesteenweg, Leugstraat, Vluchtenburgstraat"/>
    <s v="Tunnels"/>
    <s v="Structurele Ingreep"/>
    <s v="&lt;null&gt;"/>
    <b v="0"/>
    <s v="Ingreep wordt niet opgevolgd in BOD"/>
    <s v="&lt;null&gt;"/>
    <s v="&lt;null&gt;"/>
    <s v="&lt;null&gt;"/>
    <s v="&lt;null&gt;"/>
    <s v="&lt;null&gt;"/>
    <x v="0"/>
    <s v="&lt;null&gt;"/>
    <s v="&lt;null&gt;"/>
    <s v="&lt;null&gt;"/>
    <s v="&lt;null&gt;"/>
    <n v="100"/>
    <s v="&lt;null&gt;"/>
    <s v="&lt;null&gt;"/>
    <s v="&lt;null&gt;"/>
    <s v="&lt;null&gt;"/>
    <m/>
    <m/>
    <m/>
    <m/>
  </r>
  <r>
    <x v="236"/>
    <x v="236"/>
    <s v="Verkeersveiligheid"/>
    <x v="1"/>
    <n v="270"/>
    <s v="IN/000234"/>
    <s v="Verlichting verbeteren in Aartselaar : Antwerpsesteenweg, Oudestraat RELANCE21"/>
    <s v="Verlichting plaatsen (vooral ongevallen bij duisternis)\n"/>
    <s v="Kleine Ingreep"/>
    <s v="WA/INV/N177/10"/>
    <b v="0"/>
    <s v="Ingreep wordt niet opgevolgd in BOD"/>
    <s v="&lt;null&gt;"/>
    <s v="&lt;null&gt;"/>
    <s v="&lt;null&gt;"/>
    <s v="&lt;null&gt;"/>
    <s v="&lt;null&gt;"/>
    <x v="0"/>
    <s v="&lt;null&gt;"/>
    <s v="&lt;null&gt;"/>
    <s v="&lt;null&gt;"/>
    <s v="&lt;null&gt;"/>
    <n v="100"/>
    <s v="&lt;null&gt;"/>
    <s v="&lt;null&gt;"/>
    <s v="&lt;null&gt;"/>
    <s v="&lt;null&gt;"/>
    <m/>
    <m/>
    <m/>
    <m/>
  </r>
  <r>
    <x v="237"/>
    <x v="237"/>
    <s v="Verkeersveiligheid"/>
    <x v="1"/>
    <n v="271"/>
    <s v="IN/000235"/>
    <s v="in Aartselaar : A12 Richting Antwerpen, A12 Richting Brussel, Antwerpsesteenweg, Boomsesteenweg, Cleydaellaan, Kontichsesteenweg, N177 Antwerpen - Breendonk (Puurs)"/>
    <s v="linksaf conflictvrij, zijstraten tak voor tak + snelheidsverlag, 3e rijstrook"/>
    <s v="Kleine Ingreep"/>
    <s v="&lt;null&gt;"/>
    <b v="0"/>
    <s v="Ingreep wordt niet opgevolgd in BOD"/>
    <s v="&lt;null&gt;"/>
    <s v="&lt;null&gt;"/>
    <s v="&lt;null&gt;"/>
    <s v="&lt;null&gt;"/>
    <s v="&lt;null&gt;"/>
    <x v="0"/>
    <s v="&lt;null&gt;"/>
    <s v="&lt;null&gt;"/>
    <s v="&lt;null&gt;"/>
    <s v="&lt;null&gt;"/>
    <n v="100"/>
    <s v="&lt;null&gt;"/>
    <s v="&lt;null&gt;"/>
    <s v="&lt;null&gt;"/>
    <s v="&lt;null&gt;"/>
    <m/>
    <m/>
    <m/>
    <m/>
  </r>
  <r>
    <x v="237"/>
    <x v="237"/>
    <s v="Verkeersveiligheid"/>
    <x v="1"/>
    <n v="272"/>
    <s v="IN/000236"/>
    <s v="in Aartselaar : A12 Richting Antwerpen, A12 Richting Brussel, Antwerpsesteenweg, Boomsesteenweg, Cleydaellaan, Kontichsesteenweg, N177 Antwerpen - Breendonk (Puurs)"/>
    <s v="Tunnels"/>
    <s v="Structurele Ingreep"/>
    <s v="&lt;null&gt;"/>
    <b v="0"/>
    <s v="Ingreep wordt niet opgevolgd in BOD"/>
    <s v="&lt;null&gt;"/>
    <s v="&lt;null&gt;"/>
    <s v="&lt;null&gt;"/>
    <s v="&lt;null&gt;"/>
    <s v="&lt;null&gt;"/>
    <x v="0"/>
    <s v="&lt;null&gt;"/>
    <s v="&lt;null&gt;"/>
    <s v="&lt;null&gt;"/>
    <s v="&lt;null&gt;"/>
    <n v="100"/>
    <s v="&lt;null&gt;"/>
    <s v="&lt;null&gt;"/>
    <s v="&lt;null&gt;"/>
    <s v="&lt;null&gt;"/>
    <m/>
    <m/>
    <m/>
    <m/>
  </r>
  <r>
    <x v="238"/>
    <x v="238"/>
    <s v="Verkeersveiligheid"/>
    <x v="1"/>
    <n v="273"/>
    <s v="IN/000237"/>
    <s v="in Affligem : A10-E40 Richting Oostende"/>
    <s v="Aanpassing verkeerslichtenregeling conform actieplan"/>
    <s v="Kleine Ingreep"/>
    <s v="&lt;null&gt;"/>
    <b v="0"/>
    <s v="Ingreep wordt niet opgevolgd in BOD"/>
    <s v="&lt;null&gt;"/>
    <s v="&lt;null&gt;"/>
    <s v="&lt;null&gt;"/>
    <s v="&lt;null&gt;"/>
    <s v="&lt;null&gt;"/>
    <x v="0"/>
    <s v="&lt;null&gt;"/>
    <s v="&lt;null&gt;"/>
    <s v="&lt;null&gt;"/>
    <s v="&lt;null&gt;"/>
    <n v="100"/>
    <s v="&lt;null&gt;"/>
    <s v="&lt;null&gt;"/>
    <s v="&lt;null&gt;"/>
    <s v="&lt;null&gt;"/>
    <m/>
    <m/>
    <m/>
    <m/>
  </r>
  <r>
    <x v="239"/>
    <x v="239"/>
    <s v="Verkeersveiligheid"/>
    <x v="1"/>
    <n v="274"/>
    <s v="IN/000238"/>
    <s v="in Affligem : A10-E40 Richting Brussel, A10-E40 Richting Brussel Uitrit 19A"/>
    <s v="new yerseys zetten"/>
    <s v="Kleine Ingreep"/>
    <s v="&lt;null&gt;"/>
    <b v="0"/>
    <s v="Ingreep wordt niet opgevolgd in BOD"/>
    <s v="&lt;null&gt;"/>
    <s v="&lt;null&gt;"/>
    <s v="&lt;null&gt;"/>
    <s v="&lt;null&gt;"/>
    <s v="&lt;null&gt;"/>
    <x v="0"/>
    <s v="&lt;null&gt;"/>
    <s v="&lt;null&gt;"/>
    <s v="&lt;null&gt;"/>
    <s v="&lt;null&gt;"/>
    <n v="100"/>
    <s v="&lt;null&gt;"/>
    <s v="&lt;null&gt;"/>
    <s v="&lt;null&gt;"/>
    <s v="&lt;null&gt;"/>
    <m/>
    <m/>
    <m/>
    <m/>
  </r>
  <r>
    <x v="240"/>
    <x v="240"/>
    <s v="Verkeersveiligheid"/>
    <x v="1"/>
    <n v="275"/>
    <s v="IN/000239"/>
    <s v="in Alken : Meerdegatstraat, N80, N80 Richting Hasselt"/>
    <s v="Aanpassen lichtenregeling + hermarkering"/>
    <s v="Kleine Ingreep"/>
    <s v="&lt;null&gt;"/>
    <b v="0"/>
    <s v="Ingreep wordt niet opgevolgd in BOD"/>
    <s v="&lt;null&gt;"/>
    <s v="&lt;null&gt;"/>
    <s v="&lt;null&gt;"/>
    <s v="&lt;null&gt;"/>
    <s v="&lt;null&gt;"/>
    <x v="0"/>
    <s v="&lt;null&gt;"/>
    <s v="&lt;null&gt;"/>
    <s v="&lt;null&gt;"/>
    <s v="&lt;null&gt;"/>
    <n v="100"/>
    <s v="&lt;null&gt;"/>
    <s v="&lt;null&gt;"/>
    <s v="&lt;null&gt;"/>
    <s v="&lt;null&gt;"/>
    <m/>
    <m/>
    <m/>
    <m/>
  </r>
  <r>
    <x v="241"/>
    <x v="241"/>
    <s v="Verkeersveiligheid"/>
    <x v="1"/>
    <n v="276"/>
    <s v="IN/000240"/>
    <s v="VRI: aanpassen lichtenregeling in Antwerpen : Bredabaan, Deurnsebaan, Weggestraat RELANCE21"/>
    <s v="Verbod rechtsafslaan vrachtwagens (2020), markering oversteek, voorstart fietsers, ander type VRI (paal)"/>
    <s v="Kleine Ingreep"/>
    <s v="WA/INV/N130/1"/>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8061"/>
    <s v="895a9 K064 V015064v13"/>
    <s v="&lt;p&gt;IN/000240&lt;/p&gt;"/>
    <s v="WA/INV/N130/1"/>
    <n v="100"/>
    <n v="100000"/>
    <n v="0"/>
    <n v="0"/>
    <n v="431.71"/>
    <n v="100000"/>
    <n v="0"/>
    <n v="0"/>
    <n v="431.71"/>
  </r>
  <r>
    <x v="242"/>
    <x v="242"/>
    <s v="Verkeersveiligheid"/>
    <x v="1"/>
    <n v="277"/>
    <s v="IN/000241"/>
    <s v="in Antwerpen : Desguinlei, Jan Van Rijswijcklaan, Singel"/>
    <s v="VLCC uitgerold (7/2020) maar onvoldoende want veel ongevallen op bypasses"/>
    <s v="Kleine Ingreep"/>
    <s v="&lt;null&gt;"/>
    <b v="0"/>
    <s v="Ingreep wordt niet opgevolgd in BOD"/>
    <s v="&lt;null&gt;"/>
    <s v="&lt;null&gt;"/>
    <s v="&lt;null&gt;"/>
    <s v="&lt;null&gt;"/>
    <s v="&lt;null&gt;"/>
    <x v="0"/>
    <s v="&lt;null&gt;"/>
    <s v="&lt;null&gt;"/>
    <s v="&lt;null&gt;"/>
    <s v="&lt;null&gt;"/>
    <n v="100"/>
    <s v="&lt;null&gt;"/>
    <s v="&lt;null&gt;"/>
    <s v="&lt;null&gt;"/>
    <s v="&lt;null&gt;"/>
    <m/>
    <m/>
    <m/>
    <m/>
  </r>
  <r>
    <x v="243"/>
    <x v="243"/>
    <s v="Verkeersveiligheid"/>
    <x v="1"/>
    <n v="278"/>
    <s v="IN/000242"/>
    <s v="in Antwerpen : Bisschoppenhoflaan, Keesinglaan RELANCE21"/>
    <s v="Uitrol VLCC + afslagstrook + bypass"/>
    <s v="Kleine Ingreep"/>
    <s v="WA/INV/N120/3"/>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10033"/>
    <s v="064A6 (V015335) Keesinglaan VRI (RG26)"/>
    <s v="&lt;p&gt;IN/000242&lt;/p&gt;"/>
    <s v="WA/INV/N120/3"/>
    <n v="50"/>
    <n v="300000"/>
    <n v="0"/>
    <n v="0"/>
    <n v="200000.13"/>
    <n v="150000"/>
    <n v="0"/>
    <n v="0"/>
    <n v="100000.065"/>
  </r>
  <r>
    <x v="244"/>
    <x v="244"/>
    <s v="Verkeersveiligheid"/>
    <x v="1"/>
    <n v="278"/>
    <s v="IN/000242"/>
    <s v="in Antwerpen : Bisschoppenhoflaan, Keesinglaan RELANCE21"/>
    <s v="Uitrol VLCC + afslagstrook + bypass"/>
    <s v="Kleine Ingreep"/>
    <s v="WA/INV/N120/3"/>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10033"/>
    <s v="064A6 (V015335) Keesinglaan VRI (RG26)"/>
    <s v="&lt;p&gt;IN/000242&lt;/p&gt;"/>
    <s v="WA/INV/N120/3"/>
    <n v="50"/>
    <n v="300000"/>
    <n v="0"/>
    <n v="0"/>
    <n v="200000.13"/>
    <n v="150000"/>
    <n v="0"/>
    <n v="0"/>
    <n v="100000.065"/>
  </r>
  <r>
    <x v="245"/>
    <x v="245"/>
    <s v="Verkeersveiligheid"/>
    <x v="1"/>
    <n v="279"/>
    <s v="IN/000243"/>
    <s v="in Antwerpen : Binnensingel, Desguinlei, Kolonel Silvertopstraat, Singel"/>
    <s v="Aanpassing VRI"/>
    <s v="Kleine Ingreep"/>
    <s v="&lt;null&gt;"/>
    <b v="0"/>
    <s v="Ingreep wordt niet opgevolgd in BOD"/>
    <s v="&lt;null&gt;"/>
    <s v="&lt;null&gt;"/>
    <s v="&lt;null&gt;"/>
    <s v="&lt;null&gt;"/>
    <s v="&lt;null&gt;"/>
    <x v="0"/>
    <s v="&lt;null&gt;"/>
    <s v="&lt;null&gt;"/>
    <s v="&lt;null&gt;"/>
    <s v="&lt;null&gt;"/>
    <n v="100"/>
    <s v="&lt;null&gt;"/>
    <s v="&lt;null&gt;"/>
    <s v="&lt;null&gt;"/>
    <s v="&lt;null&gt;"/>
    <m/>
    <m/>
    <m/>
    <m/>
  </r>
  <r>
    <x v="246"/>
    <x v="246"/>
    <s v="Verkeersveiligheid"/>
    <x v="1"/>
    <n v="280"/>
    <s v="IN/000244"/>
    <s v="in Antwerpen : R1 Buitenring"/>
    <s v="aanpassing aansluiting met E34/E313"/>
    <s v="Kleine Ingreep"/>
    <s v="&lt;null&gt;"/>
    <b v="0"/>
    <s v="Ingreep wordt niet opgevolgd in BOD"/>
    <s v="&lt;null&gt;"/>
    <s v="&lt;null&gt;"/>
    <s v="&lt;null&gt;"/>
    <s v="&lt;null&gt;"/>
    <s v="&lt;null&gt;"/>
    <x v="0"/>
    <s v="&lt;null&gt;"/>
    <s v="&lt;null&gt;"/>
    <s v="&lt;null&gt;"/>
    <s v="&lt;null&gt;"/>
    <n v="100"/>
    <s v="&lt;null&gt;"/>
    <s v="&lt;null&gt;"/>
    <s v="&lt;null&gt;"/>
    <s v="&lt;null&gt;"/>
    <m/>
    <m/>
    <m/>
    <m/>
  </r>
  <r>
    <x v="247"/>
    <x v="247"/>
    <s v="Verkeersveiligheid"/>
    <x v="1"/>
    <n v="281"/>
    <s v="IN/000245"/>
    <s v="in Antwerpen : Havanastraat, Korte Wielenstraat, Noorderlaan"/>
    <s v="Brabo 2"/>
    <s v="Structurele Ingreep"/>
    <s v="&lt;null&gt;"/>
    <b v="0"/>
    <s v="Ingreep wordt niet opgevolgd in BOD"/>
    <s v="&lt;null&gt;"/>
    <s v="&lt;null&gt;"/>
    <s v="&lt;null&gt;"/>
    <s v="&lt;null&gt;"/>
    <s v="&lt;null&gt;"/>
    <x v="0"/>
    <s v="&lt;null&gt;"/>
    <s v="&lt;null&gt;"/>
    <s v="&lt;null&gt;"/>
    <s v="&lt;null&gt;"/>
    <n v="100"/>
    <s v="&lt;null&gt;"/>
    <s v="&lt;null&gt;"/>
    <s v="&lt;null&gt;"/>
    <s v="&lt;null&gt;"/>
    <m/>
    <m/>
    <m/>
    <m/>
  </r>
  <r>
    <x v="248"/>
    <x v="248"/>
    <s v="Verkeersveiligheid"/>
    <x v="1"/>
    <n v="282"/>
    <s v="IN/000246"/>
    <s v="Antwerpen : Boterlaarbaan, Dassastraat"/>
    <s v="Zichtbaarheid fietser verbeteren, afslagbewegingen duidelijker te maken"/>
    <s v="Kleine Ingreep"/>
    <s v="WA/INV/N116/8"/>
    <b v="0"/>
    <s v="Ingreep wordt niet opgevolgd in BOD"/>
    <s v="&lt;null&gt;"/>
    <s v="&lt;null&gt;"/>
    <s v="&lt;null&gt;"/>
    <s v="&lt;null&gt;"/>
    <s v="&lt;null&gt;"/>
    <x v="0"/>
    <s v="&lt;null&gt;"/>
    <s v="&lt;null&gt;"/>
    <s v="&lt;null&gt;"/>
    <s v="&lt;null&gt;"/>
    <n v="100"/>
    <s v="&lt;null&gt;"/>
    <s v="&lt;null&gt;"/>
    <s v="&lt;null&gt;"/>
    <s v="&lt;null&gt;"/>
    <m/>
    <m/>
    <m/>
    <m/>
  </r>
  <r>
    <x v="249"/>
    <x v="249"/>
    <s v="Verkeersveiligheid"/>
    <x v="1"/>
    <n v="283"/>
    <s v="IN/000247"/>
    <s v="in Antwerpen : Bredabaan, Ringlaan, Winkelstap RELANCE21"/>
    <s v="Aanpassing VRI\nQW oplossing, voor definitieve oplossing zie volgende ingreep"/>
    <s v="Kleine Ingreep"/>
    <s v="&lt;null&gt;"/>
    <b v="0"/>
    <s v="Ingreep wordt niet opgevolgd in BOD"/>
    <s v="&lt;null&gt;"/>
    <s v="&lt;null&gt;"/>
    <s v="&lt;null&gt;"/>
    <s v="&lt;null&gt;"/>
    <s v="&lt;null&gt;"/>
    <x v="0"/>
    <s v="&lt;null&gt;"/>
    <s v="&lt;null&gt;"/>
    <s v="&lt;null&gt;"/>
    <s v="&lt;null&gt;"/>
    <n v="100"/>
    <s v="&lt;null&gt;"/>
    <s v="&lt;null&gt;"/>
    <s v="&lt;null&gt;"/>
    <s v="&lt;null&gt;"/>
    <m/>
    <m/>
    <m/>
    <m/>
  </r>
  <r>
    <x v="250"/>
    <x v="250"/>
    <s v="Verkeersveiligheid"/>
    <x v="1"/>
    <n v="284"/>
    <s v="IN/000248"/>
    <s v="in Antwerpen : A12 Richting Brussel"/>
    <s v="Aanpassing VRI-regeling, maximaal conflictvrij, uitrol VLCC"/>
    <s v="Kleine Ingreep"/>
    <s v="&lt;null&gt;"/>
    <b v="0"/>
    <s v="Ingreep wordt niet opgevolgd in BOD"/>
    <s v="&lt;null&gt;"/>
    <s v="&lt;null&gt;"/>
    <s v="&lt;null&gt;"/>
    <s v="&lt;null&gt;"/>
    <s v="&lt;null&gt;"/>
    <x v="0"/>
    <s v="&lt;null&gt;"/>
    <s v="&lt;null&gt;"/>
    <s v="&lt;null&gt;"/>
    <s v="&lt;null&gt;"/>
    <n v="100"/>
    <s v="&lt;null&gt;"/>
    <s v="&lt;null&gt;"/>
    <s v="&lt;null&gt;"/>
    <s v="&lt;null&gt;"/>
    <m/>
    <m/>
    <m/>
    <m/>
  </r>
  <r>
    <x v="250"/>
    <x v="250"/>
    <s v="Verkeersveiligheid"/>
    <x v="1"/>
    <n v="285"/>
    <s v="IN/000249"/>
    <s v="in Antwerpen : A12 Richting Brussel"/>
    <s v="Tunnels"/>
    <s v="Structurele Ingreep"/>
    <s v="&lt;null&gt;"/>
    <b v="0"/>
    <s v="Ingreep wordt niet opgevolgd in BOD"/>
    <s v="&lt;null&gt;"/>
    <s v="&lt;null&gt;"/>
    <s v="&lt;null&gt;"/>
    <s v="&lt;null&gt;"/>
    <s v="&lt;null&gt;"/>
    <x v="0"/>
    <s v="&lt;null&gt;"/>
    <s v="&lt;null&gt;"/>
    <s v="&lt;null&gt;"/>
    <s v="&lt;null&gt;"/>
    <n v="100"/>
    <s v="&lt;null&gt;"/>
    <s v="&lt;null&gt;"/>
    <s v="&lt;null&gt;"/>
    <s v="&lt;null&gt;"/>
    <m/>
    <m/>
    <m/>
    <m/>
  </r>
  <r>
    <x v="251"/>
    <x v="251"/>
    <s v="Verkeersveiligheid"/>
    <x v="1"/>
    <n v="286"/>
    <s v="IN/000250"/>
    <s v="in Antwerpen : Gerard Le Grellelaan, Vogelzanglaan"/>
    <s v="Aanpassing VRI (VLCC)"/>
    <s v="Kleine Ingreep"/>
    <s v="&lt;null&gt;"/>
    <b v="0"/>
    <s v="Ingreep wordt niet opgevolgd in BOD"/>
    <s v="&lt;null&gt;"/>
    <s v="&lt;null&gt;"/>
    <s v="&lt;null&gt;"/>
    <s v="&lt;null&gt;"/>
    <s v="&lt;null&gt;"/>
    <x v="0"/>
    <s v="&lt;null&gt;"/>
    <s v="&lt;null&gt;"/>
    <s v="&lt;null&gt;"/>
    <s v="&lt;null&gt;"/>
    <n v="100"/>
    <s v="&lt;null&gt;"/>
    <s v="&lt;null&gt;"/>
    <s v="&lt;null&gt;"/>
    <s v="&lt;null&gt;"/>
    <m/>
    <m/>
    <m/>
    <m/>
  </r>
  <r>
    <x v="252"/>
    <x v="252"/>
    <s v="Verkeersveiligheid"/>
    <x v="1"/>
    <n v="287"/>
    <s v="IN/000251"/>
    <s v="in Antwerpen : R1 Buitenring"/>
    <s v="Aanpassing aansluiting&gt; tweede rijstrook werd doorgetrokken naar R1, inclusief aanpassing van verticale signalisatie (zie ook VVA-A-29)"/>
    <s v="Kleine Ingreep"/>
    <s v="&lt;null&gt;"/>
    <b v="0"/>
    <s v="Ingreep wordt niet opgevolgd in BOD"/>
    <s v="&lt;null&gt;"/>
    <s v="&lt;null&gt;"/>
    <s v="&lt;null&gt;"/>
    <s v="&lt;null&gt;"/>
    <s v="&lt;null&gt;"/>
    <x v="0"/>
    <s v="&lt;null&gt;"/>
    <s v="&lt;null&gt;"/>
    <s v="&lt;null&gt;"/>
    <s v="&lt;null&gt;"/>
    <n v="100"/>
    <s v="&lt;null&gt;"/>
    <s v="&lt;null&gt;"/>
    <s v="&lt;null&gt;"/>
    <s v="&lt;null&gt;"/>
    <m/>
    <m/>
    <m/>
    <m/>
  </r>
  <r>
    <x v="253"/>
    <x v="253"/>
    <s v="Verkeersveiligheid"/>
    <x v="1"/>
    <n v="288"/>
    <s v="IN/000252"/>
    <s v="R11 N173 Wilrijk kruispunt Frans Van Dunlaan"/>
    <s v="Heraanleg"/>
    <s v="Structurele Ingreep"/>
    <s v="WA/INV/R11/1"/>
    <b v="0"/>
    <s v="Ingreep wordt niet opgevolgd in BOD"/>
    <s v="&lt;null&gt;"/>
    <s v="&lt;null&gt;"/>
    <s v="&lt;null&gt;"/>
    <s v="&lt;null&gt;"/>
    <s v="&lt;null&gt;"/>
    <x v="0"/>
    <s v="&lt;null&gt;"/>
    <s v="&lt;null&gt;"/>
    <s v="&lt;null&gt;"/>
    <s v="&lt;null&gt;"/>
    <n v="100"/>
    <s v="&lt;null&gt;"/>
    <s v="&lt;null&gt;"/>
    <s v="&lt;null&gt;"/>
    <s v="&lt;null&gt;"/>
    <m/>
    <m/>
    <m/>
    <m/>
  </r>
  <r>
    <x v="254"/>
    <x v="254"/>
    <s v="Verkeersveiligheid"/>
    <x v="1"/>
    <n v="289"/>
    <s v="IN/000253"/>
    <s v="in Antwerpen : Burgemeester E. Waghemansbrug, Merksemsesteenweg"/>
    <s v="Nieuwe brug"/>
    <s v="Structurele Ingreep"/>
    <s v="&lt;null&gt;"/>
    <b v="0"/>
    <s v="Ingreep wordt niet opgevolgd in BOD"/>
    <s v="&lt;null&gt;"/>
    <s v="&lt;null&gt;"/>
    <s v="&lt;null&gt;"/>
    <s v="&lt;null&gt;"/>
    <s v="&lt;null&gt;"/>
    <x v="0"/>
    <s v="&lt;null&gt;"/>
    <s v="&lt;null&gt;"/>
    <s v="&lt;null&gt;"/>
    <s v="&lt;null&gt;"/>
    <n v="100"/>
    <s v="&lt;null&gt;"/>
    <s v="&lt;null&gt;"/>
    <s v="&lt;null&gt;"/>
    <s v="&lt;null&gt;"/>
    <m/>
    <m/>
    <m/>
    <m/>
  </r>
  <r>
    <x v="18"/>
    <x v="18"/>
    <s v="&lt;null&gt;"/>
    <x v="3"/>
    <n v="290"/>
    <s v="IN/000254"/>
    <s v="in Antwerpen : Grotesteenweg, Sint-Hubertusstraat"/>
    <s v="Oversteekplaats heraanleggen"/>
    <s v="Kleine Ingreep"/>
    <s v="&lt;null&gt;"/>
    <b v="0"/>
    <s v="Ingreep wordt niet opgevolgd in BOD"/>
    <s v="&lt;null&gt;"/>
    <s v="&lt;null&gt;"/>
    <s v="&lt;null&gt;"/>
    <s v="&lt;null&gt;"/>
    <s v="&lt;null&gt;"/>
    <x v="0"/>
    <s v="&lt;null&gt;"/>
    <s v="&lt;null&gt;"/>
    <s v="&lt;null&gt;"/>
    <s v="&lt;null&gt;"/>
    <s v="&lt;null&gt;"/>
    <s v="&lt;null&gt;"/>
    <s v="&lt;null&gt;"/>
    <s v="&lt;null&gt;"/>
    <s v="&lt;null&gt;"/>
    <m/>
    <m/>
    <m/>
    <m/>
  </r>
  <r>
    <x v="255"/>
    <x v="255"/>
    <s v="Verkeersveiligheid"/>
    <x v="1"/>
    <n v="291"/>
    <s v="IN/000255"/>
    <s v="in Antwerpen : Leeuwlantstraat, Turnhoutsebaan"/>
    <s v="speed pedelecs en bromfietsers op de rijbaan en oversteek dichter tegen kruispunt"/>
    <s v="Kleine Ingreep"/>
    <s v="&lt;null&gt;"/>
    <b v="0"/>
    <s v="Ingreep wordt niet opgevolgd in BOD"/>
    <s v="&lt;null&gt;"/>
    <s v="&lt;null&gt;"/>
    <s v="&lt;null&gt;"/>
    <s v="&lt;null&gt;"/>
    <s v="&lt;null&gt;"/>
    <x v="0"/>
    <s v="&lt;null&gt;"/>
    <s v="&lt;null&gt;"/>
    <s v="&lt;null&gt;"/>
    <s v="&lt;null&gt;"/>
    <n v="100"/>
    <s v="&lt;null&gt;"/>
    <s v="&lt;null&gt;"/>
    <s v="&lt;null&gt;"/>
    <s v="&lt;null&gt;"/>
    <m/>
    <m/>
    <m/>
    <m/>
  </r>
  <r>
    <x v="256"/>
    <x v="256"/>
    <s v="Verkeersveiligheid"/>
    <x v="1"/>
    <n v="292"/>
    <s v="IN/000256"/>
    <s v="in Antwerpen : Maria-Henriëttalei, Rubenslei, Van Breestraat, Van Eycklei"/>
    <s v="nog niet gedefinieerd"/>
    <s v="Kleine Ingreep"/>
    <s v="WA/INV/N184/2"/>
    <b v="0"/>
    <s v="Ingreep wordt niet opgevolgd in BOD"/>
    <s v="&lt;null&gt;"/>
    <s v="&lt;null&gt;"/>
    <s v="&lt;null&gt;"/>
    <s v="&lt;null&gt;"/>
    <s v="&lt;null&gt;"/>
    <x v="0"/>
    <s v="&lt;null&gt;"/>
    <s v="&lt;null&gt;"/>
    <s v="&lt;null&gt;"/>
    <s v="&lt;null&gt;"/>
    <n v="100"/>
    <s v="&lt;null&gt;"/>
    <s v="&lt;null&gt;"/>
    <s v="&lt;null&gt;"/>
    <s v="&lt;null&gt;"/>
    <m/>
    <m/>
    <m/>
    <m/>
  </r>
  <r>
    <x v="257"/>
    <x v="257"/>
    <s v="Verkeersveiligheid"/>
    <x v="1"/>
    <n v="293"/>
    <s v="IN/000257"/>
    <s v="in Antwerpen : August Van de Wielelei, Ivan Maquinaylei"/>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258"/>
    <x v="258"/>
    <s v="Verkeersveiligheid"/>
    <x v="4"/>
    <n v="293"/>
    <s v="IN/000257"/>
    <s v="in Antwerpen : August Van de Wielelei, Ivan Maquinaylei"/>
    <s v="nog niet gedefinieerd"/>
    <s v="Kleine Ingreep"/>
    <s v="&lt;null&gt;"/>
    <b v="0"/>
    <s v="Ingreep wordt niet opgevolgd in BOD"/>
    <s v="&lt;null&gt;"/>
    <s v="&lt;null&gt;"/>
    <s v="&lt;null&gt;"/>
    <s v="&lt;null&gt;"/>
    <s v="&lt;null&gt;"/>
    <x v="0"/>
    <s v="&lt;null&gt;"/>
    <s v="&lt;null&gt;"/>
    <s v="&lt;null&gt;"/>
    <s v="&lt;null&gt;"/>
    <n v="0"/>
    <s v="&lt;null&gt;"/>
    <s v="&lt;null&gt;"/>
    <s v="&lt;null&gt;"/>
    <s v="&lt;null&gt;"/>
    <m/>
    <m/>
    <m/>
    <m/>
  </r>
  <r>
    <x v="259"/>
    <x v="259"/>
    <s v="Verkeersveiligheid"/>
    <x v="1"/>
    <n v="294"/>
    <s v="IN/000258"/>
    <s v="in Antwerpen : Turnhoutsebaan"/>
    <s v="VOP begin dit jaar aangepast, zodat deze ook doorloopt over trambedding en gemengd gedeelte."/>
    <s v="Kleine Ingreep"/>
    <s v="&lt;null&gt;"/>
    <b v="0"/>
    <s v="Ingreep wordt niet opgevolgd in BOD"/>
    <s v="&lt;null&gt;"/>
    <s v="&lt;null&gt;"/>
    <s v="&lt;null&gt;"/>
    <s v="&lt;null&gt;"/>
    <s v="&lt;null&gt;"/>
    <x v="0"/>
    <s v="&lt;null&gt;"/>
    <s v="&lt;null&gt;"/>
    <s v="&lt;null&gt;"/>
    <s v="&lt;null&gt;"/>
    <n v="100"/>
    <s v="&lt;null&gt;"/>
    <s v="&lt;null&gt;"/>
    <s v="&lt;null&gt;"/>
    <s v="&lt;null&gt;"/>
    <m/>
    <m/>
    <m/>
    <m/>
  </r>
  <r>
    <x v="260"/>
    <x v="260"/>
    <s v="Verkeersveiligheid"/>
    <x v="1"/>
    <n v="295"/>
    <s v="IN/000259"/>
    <s v="Horizontale signalisatie aanpassen in Antwerpen : Bredabaan, Groenendaallaan, Minister Delbekelaan RELANCE21"/>
    <s v="dubbele linksaf wordt enkele linksaf + aanpassen lichtenregeling"/>
    <s v="Kleine Ingreep"/>
    <s v="WA/INV/N1/9"/>
    <b v="0"/>
    <s v="Ingreep wordt niet opgevolgd in BOD"/>
    <s v="&lt;null&gt;"/>
    <s v="&lt;null&gt;"/>
    <s v="&lt;null&gt;"/>
    <s v="&lt;null&gt;"/>
    <s v="&lt;null&gt;"/>
    <x v="0"/>
    <s v="&lt;null&gt;"/>
    <s v="&lt;null&gt;"/>
    <s v="&lt;null&gt;"/>
    <s v="&lt;null&gt;"/>
    <n v="100"/>
    <s v="&lt;null&gt;"/>
    <s v="&lt;null&gt;"/>
    <s v="&lt;null&gt;"/>
    <s v="&lt;null&gt;"/>
    <m/>
    <m/>
    <m/>
    <m/>
  </r>
  <r>
    <x v="261"/>
    <x v="261"/>
    <s v="Verkeersveiligheid"/>
    <x v="1"/>
    <n v="296"/>
    <s v="IN/000260"/>
    <s v="in Antwerpen : Plantin en Moretuslei, Quinten Matsijslei"/>
    <s v="2 bypasses worden weggewerkt + conflictvrij maken"/>
    <s v="Structurele Ingreep"/>
    <s v="&lt;null&gt;"/>
    <b v="0"/>
    <s v="Ingreep wordt niet opgevolgd in BOD"/>
    <s v="&lt;null&gt;"/>
    <s v="&lt;null&gt;"/>
    <s v="&lt;null&gt;"/>
    <s v="&lt;null&gt;"/>
    <s v="&lt;null&gt;"/>
    <x v="0"/>
    <s v="&lt;null&gt;"/>
    <s v="&lt;null&gt;"/>
    <s v="&lt;null&gt;"/>
    <s v="&lt;null&gt;"/>
    <n v="100"/>
    <s v="&lt;null&gt;"/>
    <s v="&lt;null&gt;"/>
    <s v="&lt;null&gt;"/>
    <s v="&lt;null&gt;"/>
    <m/>
    <m/>
    <m/>
    <m/>
  </r>
  <r>
    <x v="262"/>
    <x v="262"/>
    <s v="Verkeersveiligheid"/>
    <x v="1"/>
    <n v="297"/>
    <s v="IN/000261"/>
    <s v="in Antwerpen : A12 Richting Bergen Op Zoom (NL), A12 Richting Brussel, Atomiumlaan, Boomsesteenweg"/>
    <s v="aanpassingen FOP en VOP (2018), VLCC"/>
    <s v="Kleine Ingreep"/>
    <s v="&lt;null&gt;"/>
    <b v="0"/>
    <s v="Ingreep wordt niet opgevolgd in BOD"/>
    <s v="&lt;null&gt;"/>
    <s v="&lt;null&gt;"/>
    <s v="&lt;null&gt;"/>
    <s v="&lt;null&gt;"/>
    <s v="&lt;null&gt;"/>
    <x v="0"/>
    <s v="&lt;null&gt;"/>
    <s v="&lt;null&gt;"/>
    <s v="&lt;null&gt;"/>
    <s v="&lt;null&gt;"/>
    <n v="100"/>
    <s v="&lt;null&gt;"/>
    <s v="&lt;null&gt;"/>
    <s v="&lt;null&gt;"/>
    <s v="&lt;null&gt;"/>
    <m/>
    <m/>
    <m/>
    <m/>
  </r>
  <r>
    <x v="262"/>
    <x v="262"/>
    <s v="Verkeersveiligheid"/>
    <x v="1"/>
    <n v="298"/>
    <s v="IN/000262"/>
    <s v="MAG WEG in Antwerpen : A12 Richting Bergen Op Zoom (NL), A12 Richting Brussel, Atomiumlaan, Boomsesteenweg"/>
    <s v="Aanleg tunnels"/>
    <s v="Structurele Ingreep"/>
    <s v="&lt;null&gt;"/>
    <b v="0"/>
    <s v="Ingreep wordt niet opgevolgd in BOD"/>
    <s v="&lt;null&gt;"/>
    <s v="&lt;null&gt;"/>
    <s v="&lt;null&gt;"/>
    <s v="&lt;null&gt;"/>
    <s v="&lt;null&gt;"/>
    <x v="0"/>
    <s v="&lt;null&gt;"/>
    <s v="&lt;null&gt;"/>
    <s v="&lt;null&gt;"/>
    <s v="&lt;null&gt;"/>
    <n v="100"/>
    <s v="&lt;null&gt;"/>
    <s v="&lt;null&gt;"/>
    <s v="&lt;null&gt;"/>
    <s v="&lt;null&gt;"/>
    <m/>
    <m/>
    <m/>
    <m/>
  </r>
  <r>
    <x v="263"/>
    <x v="263"/>
    <s v="Verkeersveiligheid"/>
    <x v="1"/>
    <n v="299"/>
    <s v="IN/000263"/>
    <s v="in Antwerpen : Fruithoflaan, Grotesteenweg, Ringlaan"/>
    <s v="VLCC"/>
    <s v="Kleine Ingreep"/>
    <s v="&lt;null&gt;"/>
    <b v="0"/>
    <s v="Ingreep wordt niet opgevolgd in BOD"/>
    <s v="&lt;null&gt;"/>
    <s v="&lt;null&gt;"/>
    <s v="&lt;null&gt;"/>
    <s v="&lt;null&gt;"/>
    <s v="&lt;null&gt;"/>
    <x v="0"/>
    <s v="&lt;null&gt;"/>
    <s v="&lt;null&gt;"/>
    <s v="&lt;null&gt;"/>
    <s v="&lt;null&gt;"/>
    <n v="100"/>
    <s v="&lt;null&gt;"/>
    <s v="&lt;null&gt;"/>
    <s v="&lt;null&gt;"/>
    <s v="&lt;null&gt;"/>
    <m/>
    <m/>
    <m/>
    <m/>
  </r>
  <r>
    <x v="264"/>
    <x v="264"/>
    <s v="Verkeersveiligheid"/>
    <x v="1"/>
    <n v="300"/>
    <s v="IN/000264"/>
    <s v="in Antwerpen : Bisschoppenhoflaan, N120 Antwerpen (N129) - Wijnegem (N112), Raoul Grégoirplein, Schijnpoortweg, Tweemontstraa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264"/>
    <x v="264"/>
    <s v="Verkeersveiligheid"/>
    <x v="1"/>
    <n v="301"/>
    <s v="IN/000265"/>
    <s v="MAG WEG in Antwerpen : Bisschoppenhoflaan, N120 Antwerpen (N129) - Wijnegem (N112), Raoul Grégoirplein, Schijnpoortweg, Tweemontstraat"/>
    <s v="zit mee in OWV. vanaf zomer 2022 zullen werken worden uitgevoerd. Tijdelijk viaduct vanaf 2022"/>
    <s v="Structurele Ingreep"/>
    <s v="&lt;null&gt;"/>
    <b v="0"/>
    <s v="Ingreep wordt niet opgevolgd in BOD"/>
    <s v="&lt;null&gt;"/>
    <s v="&lt;null&gt;"/>
    <s v="&lt;null&gt;"/>
    <s v="&lt;null&gt;"/>
    <s v="&lt;null&gt;"/>
    <x v="0"/>
    <s v="&lt;null&gt;"/>
    <s v="&lt;null&gt;"/>
    <s v="&lt;null&gt;"/>
    <s v="&lt;null&gt;"/>
    <n v="100"/>
    <s v="&lt;null&gt;"/>
    <s v="&lt;null&gt;"/>
    <s v="&lt;null&gt;"/>
    <s v="&lt;null&gt;"/>
    <m/>
    <m/>
    <m/>
    <m/>
  </r>
  <r>
    <x v="265"/>
    <x v="265"/>
    <s v="Verkeersveiligheid"/>
    <x v="1"/>
    <n v="302"/>
    <s v="IN/000266"/>
    <s v="in Antwerpen : Boomsesteenweg, Jules Moretuslei"/>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266"/>
    <x v="266"/>
    <s v="Verkeersveiligheid"/>
    <x v="1"/>
    <n v="303"/>
    <s v="IN/000267"/>
    <s v="VRI: aanpassen lichtenregeling in Antwerpen : Grotesteenweg, Jan Moorkensstraat"/>
    <s v="Conflictvrije regeling"/>
    <s v="Kleine Ingreep"/>
    <s v="&lt;null&gt;"/>
    <b v="0"/>
    <s v="Ingreep wordt niet opgevolgd in BOD"/>
    <s v="&lt;null&gt;"/>
    <s v="&lt;null&gt;"/>
    <s v="&lt;null&gt;"/>
    <s v="&lt;null&gt;"/>
    <s v="&lt;null&gt;"/>
    <x v="0"/>
    <s v="&lt;null&gt;"/>
    <s v="&lt;null&gt;"/>
    <s v="&lt;null&gt;"/>
    <s v="&lt;null&gt;"/>
    <n v="100"/>
    <s v="&lt;null&gt;"/>
    <s v="&lt;null&gt;"/>
    <s v="&lt;null&gt;"/>
    <s v="&lt;null&gt;"/>
    <m/>
    <m/>
    <m/>
    <m/>
  </r>
  <r>
    <x v="267"/>
    <x v="267"/>
    <s v="Verkeersveiligheid"/>
    <x v="1"/>
    <n v="304"/>
    <s v="IN/000268"/>
    <s v="in Antwerpen : Lange Van Ruusbroecstraat, Montensstraat, Plantin en Moretuslei, Wolfstraat"/>
    <s v="Volledige heraanleg"/>
    <s v="Structurele Ingreep"/>
    <s v="&lt;null&gt;"/>
    <b v="0"/>
    <s v="Ingreep wordt niet opgevolgd in BOD"/>
    <s v="&lt;null&gt;"/>
    <s v="&lt;null&gt;"/>
    <s v="&lt;null&gt;"/>
    <s v="&lt;null&gt;"/>
    <s v="&lt;null&gt;"/>
    <x v="0"/>
    <s v="&lt;null&gt;"/>
    <s v="&lt;null&gt;"/>
    <s v="&lt;null&gt;"/>
    <s v="&lt;null&gt;"/>
    <n v="100"/>
    <s v="&lt;null&gt;"/>
    <s v="&lt;null&gt;"/>
    <s v="&lt;null&gt;"/>
    <s v="&lt;null&gt;"/>
    <m/>
    <m/>
    <m/>
    <m/>
  </r>
  <r>
    <x v="268"/>
    <x v="268"/>
    <s v="Verkeersveiligheid"/>
    <x v="1"/>
    <n v="305"/>
    <s v="IN/000269"/>
    <s v="in Antwerpen : Boomsesteenweg 67"/>
    <s v="Parkeerplaatsen weghalen + voetpaduitstulping (indien relance)"/>
    <s v="Kleine Ingreep"/>
    <s v="WA/INV/N177/9"/>
    <b v="1"/>
    <s v="Ingreep wordt opgevolgd in BOD"/>
    <n v="12666"/>
    <s v="AWV/INV/2021/3_P1"/>
    <n v="130251"/>
    <n v="21064977"/>
    <s v="&lt;p&gt;schoolroutes (vastlegging 2021)&lt;/p&gt;"/>
    <x v="9"/>
    <n v="10613"/>
    <s v="N177 Boomsesteenweg bushalte + uitstulping oversteek"/>
    <s v="&lt;null&gt;"/>
    <s v="WA/INV/N177/9"/>
    <n v="50"/>
    <n v="8346"/>
    <n v="0"/>
    <n v="0"/>
    <n v="0.63"/>
    <n v="4173"/>
    <n v="0"/>
    <n v="0"/>
    <n v="0.315"/>
  </r>
  <r>
    <x v="269"/>
    <x v="269"/>
    <s v="Verkeersveiligheid"/>
    <x v="4"/>
    <n v="305"/>
    <s v="IN/000269"/>
    <s v="in Antwerpen : Boomsesteenweg 67"/>
    <s v="Parkeerplaatsen weghalen + voetpaduitstulping (indien relance)"/>
    <s v="Kleine Ingreep"/>
    <s v="WA/INV/N177/9"/>
    <b v="1"/>
    <s v="Ingreep wordt opgevolgd in BOD"/>
    <n v="12666"/>
    <s v="AWV/INV/2021/3_P1"/>
    <n v="130251"/>
    <n v="21064977"/>
    <s v="&lt;p&gt;schoolroutes (vastlegging 2021)&lt;/p&gt;"/>
    <x v="9"/>
    <n v="10613"/>
    <s v="N177 Boomsesteenweg bushalte + uitstulping oversteek"/>
    <s v="&lt;null&gt;"/>
    <s v="WA/INV/N177/9"/>
    <n v="50"/>
    <n v="8346"/>
    <n v="0"/>
    <n v="0"/>
    <n v="0.63"/>
    <n v="4173"/>
    <n v="0"/>
    <n v="0"/>
    <n v="0.315"/>
  </r>
  <r>
    <x v="270"/>
    <x v="270"/>
    <s v="Verkeersveiligheid"/>
    <x v="1"/>
    <n v="306"/>
    <s v="IN/000270"/>
    <s v="in Antwerpen : Hendriklei, Julius De Geyterstraat, Sint-Bernardsesteenweg RELANCE21"/>
    <s v="Aanpassen verkeerslichtenregeling (kadert in een grotere herinrichting waar de stad de infrastructuurwerken zal uitvoeren)"/>
    <s v="Kleine Ingreep"/>
    <s v="WA/INV/N148/5"/>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5953"/>
    <s v="SVC 757A7 K107 VLCC Sint-Bernardesteenweg"/>
    <s v="&lt;p&gt;IN/000270&lt;/p&gt;"/>
    <s v="WA/INV/N148/5"/>
    <n v="100"/>
    <n v="50000"/>
    <n v="0"/>
    <n v="0"/>
    <n v="2603.7199999999998"/>
    <n v="50000"/>
    <n v="0"/>
    <n v="0"/>
    <n v="2603.7199999999998"/>
  </r>
  <r>
    <x v="18"/>
    <x v="18"/>
    <s v="&lt;null&gt;"/>
    <x v="3"/>
    <n v="307"/>
    <s v="IN/000271"/>
    <s v="in Antwerpen : Hendriklei, Julius De Geyterstraat, Sint-Bernardsesteenweg VIA PCV BESTEK"/>
    <s v="Aanpassen lichtenregeling + afslagstroken (conflict met tram wordt eruit gehaald)"/>
    <s v="Kleine Ingreep"/>
    <s v="&lt;null&gt;"/>
    <b v="0"/>
    <s v="Ingreep wordt niet opgevolgd in BOD"/>
    <s v="&lt;null&gt;"/>
    <s v="&lt;null&gt;"/>
    <s v="&lt;null&gt;"/>
    <s v="&lt;null&gt;"/>
    <s v="&lt;null&gt;"/>
    <x v="0"/>
    <s v="&lt;null&gt;"/>
    <s v="&lt;null&gt;"/>
    <s v="&lt;null&gt;"/>
    <s v="&lt;null&gt;"/>
    <s v="&lt;null&gt;"/>
    <s v="&lt;null&gt;"/>
    <s v="&lt;null&gt;"/>
    <s v="&lt;null&gt;"/>
    <s v="&lt;null&gt;"/>
    <m/>
    <m/>
    <m/>
    <m/>
  </r>
  <r>
    <x v="271"/>
    <x v="271"/>
    <s v="Verkeersveiligheid"/>
    <x v="1"/>
    <n v="308"/>
    <s v="IN/000272"/>
    <s v="in Antwerpen : Grotesteenweg, Klauwaardsstraat, Vredestraat RELANCE21"/>
    <s v="Oversteekplaats heraanleggen + VRI"/>
    <s v="Kleine Ingreep"/>
    <s v="WA/INV/N1/10"/>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7315"/>
    <s v="SVC 918A9 (V015006) Frans Van Hombeeckstraat, Grotesteenweg"/>
    <s v="&lt;p&gt;IN/000272&lt;/p&gt;"/>
    <s v="WA/INV/N1/10"/>
    <n v="25"/>
    <n v="50000"/>
    <n v="50000"/>
    <n v="0"/>
    <n v="0"/>
    <n v="12500"/>
    <n v="12500"/>
    <n v="0"/>
    <n v="0"/>
  </r>
  <r>
    <x v="272"/>
    <x v="272"/>
    <s v="Verkeersveiligheid"/>
    <x v="1"/>
    <n v="308"/>
    <s v="IN/000272"/>
    <s v="in Antwerpen : Grotesteenweg, Klauwaardsstraat, Vredestraat RELANCE21"/>
    <s v="Oversteekplaats heraanleggen + VRI"/>
    <s v="Kleine Ingreep"/>
    <s v="WA/INV/N1/10"/>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7315"/>
    <s v="SVC 918A9 (V015006) Frans Van Hombeeckstraat, Grotesteenweg"/>
    <s v="&lt;p&gt;IN/000272&lt;/p&gt;"/>
    <s v="WA/INV/N1/10"/>
    <n v="25"/>
    <n v="50000"/>
    <n v="50000"/>
    <n v="0"/>
    <n v="0"/>
    <n v="12500"/>
    <n v="12500"/>
    <n v="0"/>
    <n v="0"/>
  </r>
  <r>
    <x v="273"/>
    <x v="273"/>
    <s v="Verkeersveiligheid"/>
    <x v="1"/>
    <n v="308"/>
    <s v="IN/000272"/>
    <s v="in Antwerpen : Grotesteenweg, Klauwaardsstraat, Vredestraat RELANCE21"/>
    <s v="Oversteekplaats heraanleggen + VRI"/>
    <s v="Kleine Ingreep"/>
    <s v="WA/INV/N1/10"/>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7315"/>
    <s v="SVC 918A9 (V015006) Frans Van Hombeeckstraat, Grotesteenweg"/>
    <s v="&lt;p&gt;IN/000272&lt;/p&gt;"/>
    <s v="WA/INV/N1/10"/>
    <n v="25"/>
    <n v="50000"/>
    <n v="50000"/>
    <n v="0"/>
    <n v="0"/>
    <n v="12500"/>
    <n v="12500"/>
    <n v="0"/>
    <n v="0"/>
  </r>
  <r>
    <x v="274"/>
    <x v="274"/>
    <s v="Verkeersveiligheid"/>
    <x v="1"/>
    <n v="308"/>
    <s v="IN/000272"/>
    <s v="in Antwerpen : Grotesteenweg, Klauwaardsstraat, Vredestraat RELANCE21"/>
    <s v="Oversteekplaats heraanleggen + VRI"/>
    <s v="Kleine Ingreep"/>
    <s v="WA/INV/N1/10"/>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7315"/>
    <s v="SVC 918A9 (V015006) Frans Van Hombeeckstraat, Grotesteenweg"/>
    <s v="&lt;p&gt;IN/000272&lt;/p&gt;"/>
    <s v="WA/INV/N1/10"/>
    <n v="25"/>
    <n v="50000"/>
    <n v="50000"/>
    <n v="0"/>
    <n v="0"/>
    <n v="12500"/>
    <n v="12500"/>
    <n v="0"/>
    <n v="0"/>
  </r>
  <r>
    <x v="18"/>
    <x v="18"/>
    <s v="&lt;null&gt;"/>
    <x v="3"/>
    <n v="309"/>
    <s v="IN/000273"/>
    <s v="in Antwerpen : Boomsesteenweg, Geleegweg, Oudebaan"/>
    <s v="nog niet gedefinieerd"/>
    <s v="Kleine Ingreep"/>
    <s v="&lt;null&gt;"/>
    <b v="0"/>
    <s v="Ingreep wordt niet opgevolgd in BOD"/>
    <s v="&lt;null&gt;"/>
    <s v="&lt;null&gt;"/>
    <s v="&lt;null&gt;"/>
    <s v="&lt;null&gt;"/>
    <s v="&lt;null&gt;"/>
    <x v="0"/>
    <s v="&lt;null&gt;"/>
    <s v="&lt;null&gt;"/>
    <s v="&lt;null&gt;"/>
    <s v="&lt;null&gt;"/>
    <s v="&lt;null&gt;"/>
    <s v="&lt;null&gt;"/>
    <s v="&lt;null&gt;"/>
    <s v="&lt;null&gt;"/>
    <s v="&lt;null&gt;"/>
    <m/>
    <m/>
    <m/>
    <m/>
  </r>
  <r>
    <x v="275"/>
    <x v="275"/>
    <s v="Verkeersveiligheid"/>
    <x v="1"/>
    <n v="310"/>
    <s v="IN/000274"/>
    <s v="in Antwerpen : Boomsesteenweg, Geleegweg, Oudebaan"/>
    <s v="uitgebreide heraanleg tussen Atomiumlaan Krijgslaan (dd juni 2020: onteigeningen lopende)"/>
    <s v="Structurele Ingreep"/>
    <s v="WA/INV/N177/1"/>
    <b v="0"/>
    <s v="Ingreep wordt niet opgevolgd in BOD"/>
    <s v="&lt;null&gt;"/>
    <s v="&lt;null&gt;"/>
    <s v="&lt;null&gt;"/>
    <s v="&lt;null&gt;"/>
    <s v="&lt;null&gt;"/>
    <x v="0"/>
    <s v="&lt;null&gt;"/>
    <s v="&lt;null&gt;"/>
    <s v="&lt;null&gt;"/>
    <s v="&lt;null&gt;"/>
    <n v="100"/>
    <s v="&lt;null&gt;"/>
    <s v="&lt;null&gt;"/>
    <s v="&lt;null&gt;"/>
    <s v="&lt;null&gt;"/>
    <m/>
    <m/>
    <m/>
    <m/>
  </r>
  <r>
    <x v="276"/>
    <x v="276"/>
    <s v="Verkeersveiligheid"/>
    <x v="4"/>
    <n v="310"/>
    <s v="IN/000274"/>
    <s v="in Antwerpen : Boomsesteenweg, Geleegweg, Oudebaan"/>
    <s v="uitgebreide heraanleg tussen Atomiumlaan Krijgslaan (dd juni 2020: onteigeningen lopende)"/>
    <s v="Structurele Ingreep"/>
    <s v="WA/INV/N177/1"/>
    <b v="0"/>
    <s v="Ingreep wordt niet opgevolgd in BOD"/>
    <s v="&lt;null&gt;"/>
    <s v="&lt;null&gt;"/>
    <s v="&lt;null&gt;"/>
    <s v="&lt;null&gt;"/>
    <s v="&lt;null&gt;"/>
    <x v="0"/>
    <s v="&lt;null&gt;"/>
    <s v="&lt;null&gt;"/>
    <s v="&lt;null&gt;"/>
    <s v="&lt;null&gt;"/>
    <n v="0"/>
    <s v="&lt;null&gt;"/>
    <s v="&lt;null&gt;"/>
    <s v="&lt;null&gt;"/>
    <s v="&lt;null&gt;"/>
    <m/>
    <m/>
    <m/>
    <m/>
  </r>
  <r>
    <x v="277"/>
    <x v="277"/>
    <s v="Verkeersveiligheid"/>
    <x v="1"/>
    <n v="311"/>
    <s v="IN/000275"/>
    <s v="in Antwerpen : Groenendaallaan, R1 Binnenring, R1 Buitenring"/>
    <s v="kleine aanpassingen aan markeringen"/>
    <s v="Kleine Ingreep"/>
    <s v="&lt;null&gt;"/>
    <b v="0"/>
    <s v="Ingreep wordt niet opgevolgd in BOD"/>
    <s v="&lt;null&gt;"/>
    <s v="&lt;null&gt;"/>
    <s v="&lt;null&gt;"/>
    <s v="&lt;null&gt;"/>
    <s v="&lt;null&gt;"/>
    <x v="0"/>
    <s v="&lt;null&gt;"/>
    <s v="&lt;null&gt;"/>
    <s v="&lt;null&gt;"/>
    <s v="&lt;null&gt;"/>
    <n v="100"/>
    <s v="&lt;null&gt;"/>
    <s v="&lt;null&gt;"/>
    <s v="&lt;null&gt;"/>
    <s v="&lt;null&gt;"/>
    <m/>
    <m/>
    <m/>
    <m/>
  </r>
  <r>
    <x v="278"/>
    <x v="278"/>
    <s v="Verkeersveiligheid"/>
    <x v="1"/>
    <n v="312"/>
    <s v="IN/000276"/>
    <s v="in Antwerpen : De Bosschaertstraat, Sint-Bernardsesteenweg RELANCE21"/>
    <s v="Aanpassen verkeerslichtenregeling (kadert in een grotere herinrichting waar de stad de infrastructuurwerken zal uitvoeren)"/>
    <s v="Kleine Ingreep"/>
    <s v="WA/INV/N148/4"/>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5952"/>
    <s v="SVC 816A3 K106 VLCC sint-Bernardsesteenweg"/>
    <s v="&lt;p&gt;IN/000276&lt;/p&gt;"/>
    <s v="WA/INV/N148/4"/>
    <n v="100"/>
    <n v="50000"/>
    <n v="0"/>
    <n v="0"/>
    <n v="237.54"/>
    <n v="50000"/>
    <n v="0"/>
    <n v="0"/>
    <n v="237.54"/>
  </r>
  <r>
    <x v="278"/>
    <x v="278"/>
    <s v="Verkeersveiligheid"/>
    <x v="1"/>
    <n v="313"/>
    <s v="IN/000277"/>
    <s v="MAG WEG in Antwerpen : De Bosschaertstraat, Sint-Bernardsesteenweg"/>
    <s v="zie ook andere kruispunten sint-bernardsesteenweg"/>
    <s v="Structurele Ingreep"/>
    <s v="&lt;null&gt;"/>
    <b v="0"/>
    <s v="Ingreep wordt niet opgevolgd in BOD"/>
    <s v="&lt;null&gt;"/>
    <s v="&lt;null&gt;"/>
    <s v="&lt;null&gt;"/>
    <s v="&lt;null&gt;"/>
    <s v="&lt;null&gt;"/>
    <x v="0"/>
    <s v="&lt;null&gt;"/>
    <s v="&lt;null&gt;"/>
    <s v="&lt;null&gt;"/>
    <s v="&lt;null&gt;"/>
    <n v="100"/>
    <s v="&lt;null&gt;"/>
    <s v="&lt;null&gt;"/>
    <s v="&lt;null&gt;"/>
    <s v="&lt;null&gt;"/>
    <m/>
    <m/>
    <m/>
    <m/>
  </r>
  <r>
    <x v="279"/>
    <x v="279"/>
    <s v="Verkeersveiligheid"/>
    <x v="1"/>
    <n v="314"/>
    <s v="IN/000278"/>
    <s v="in Antwerpen : Boterlaarbaan, Florent Pauwelslei, Ruggeveldlaan"/>
    <s v="Conflictvrijere regeling VLCC: linskaf conflicten werden eruit gehaald (juli 2018)"/>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315"/>
    <s v="IN/000279"/>
    <s v="in Antwerpen : Bisschoppenhoflaan, Jan Welterslaan RELANCE21"/>
    <s v="Studie conflictvrije regeling"/>
    <s v="Kleine Ingreep"/>
    <s v="WA/INV/N120/4"/>
    <b v="0"/>
    <s v="Ingreep wordt niet opgevolgd in BOD"/>
    <s v="&lt;null&gt;"/>
    <s v="&lt;null&gt;"/>
    <s v="&lt;null&gt;"/>
    <s v="&lt;null&gt;"/>
    <s v="&lt;null&gt;"/>
    <x v="0"/>
    <s v="&lt;null&gt;"/>
    <s v="&lt;null&gt;"/>
    <s v="&lt;null&gt;"/>
    <s v="&lt;null&gt;"/>
    <s v="&lt;null&gt;"/>
    <s v="&lt;null&gt;"/>
    <s v="&lt;null&gt;"/>
    <s v="&lt;null&gt;"/>
    <s v="&lt;null&gt;"/>
    <m/>
    <m/>
    <m/>
    <m/>
  </r>
  <r>
    <x v="280"/>
    <x v="280"/>
    <s v="Verkeersveiligheid"/>
    <x v="1"/>
    <n v="316"/>
    <s v="IN/000280"/>
    <s v="N1 R10 Antwerpen Heraanleg Singel x Grotesteenweg"/>
    <s v="Heraanleg kruispunt: studie loopt, werken voorzien vastlegging 2019. Zit in 1 project samen met 8207"/>
    <s v="Structurele Ingreep"/>
    <s v="WA/INV/N1/1"/>
    <b v="0"/>
    <s v="Ingreep wordt niet opgevolgd in BOD"/>
    <s v="&lt;null&gt;"/>
    <s v="&lt;null&gt;"/>
    <s v="&lt;null&gt;"/>
    <s v="&lt;null&gt;"/>
    <s v="&lt;null&gt;"/>
    <x v="0"/>
    <s v="&lt;null&gt;"/>
    <s v="&lt;null&gt;"/>
    <s v="&lt;null&gt;"/>
    <s v="&lt;null&gt;"/>
    <n v="50"/>
    <s v="&lt;null&gt;"/>
    <s v="&lt;null&gt;"/>
    <s v="&lt;null&gt;"/>
    <s v="&lt;null&gt;"/>
    <m/>
    <m/>
    <m/>
    <m/>
  </r>
  <r>
    <x v="281"/>
    <x v="281"/>
    <s v="Verkeersveiligheid"/>
    <x v="1"/>
    <n v="316"/>
    <s v="IN/000280"/>
    <s v="N1 R10 Antwerpen Heraanleg Singel x Grotesteenweg"/>
    <s v="Heraanleg kruispunt: studie loopt, werken voorzien vastlegging 2019. Zit in 1 project samen met 8207"/>
    <s v="Structurele Ingreep"/>
    <s v="WA/INV/N1/1"/>
    <b v="0"/>
    <s v="Ingreep wordt niet opgevolgd in BOD"/>
    <s v="&lt;null&gt;"/>
    <s v="&lt;null&gt;"/>
    <s v="&lt;null&gt;"/>
    <s v="&lt;null&gt;"/>
    <s v="&lt;null&gt;"/>
    <x v="0"/>
    <s v="&lt;null&gt;"/>
    <s v="&lt;null&gt;"/>
    <s v="&lt;null&gt;"/>
    <s v="&lt;null&gt;"/>
    <n v="50"/>
    <s v="&lt;null&gt;"/>
    <s v="&lt;null&gt;"/>
    <s v="&lt;null&gt;"/>
    <s v="&lt;null&gt;"/>
    <m/>
    <m/>
    <m/>
    <m/>
  </r>
  <r>
    <x v="282"/>
    <x v="282"/>
    <s v="Verkeersveiligheid"/>
    <x v="4"/>
    <n v="316"/>
    <s v="IN/000280"/>
    <s v="N1 R10 Antwerpen Heraanleg Singel x Grotesteenweg"/>
    <s v="Heraanleg kruispunt: studie loopt, werken voorzien vastlegging 2019. Zit in 1 project samen met 8207"/>
    <s v="Structurele Ingreep"/>
    <s v="WA/INV/N1/1"/>
    <b v="0"/>
    <s v="Ingreep wordt niet opgevolgd in BOD"/>
    <s v="&lt;null&gt;"/>
    <s v="&lt;null&gt;"/>
    <s v="&lt;null&gt;"/>
    <s v="&lt;null&gt;"/>
    <s v="&lt;null&gt;"/>
    <x v="0"/>
    <s v="&lt;null&gt;"/>
    <s v="&lt;null&gt;"/>
    <s v="&lt;null&gt;"/>
    <s v="&lt;null&gt;"/>
    <n v="0"/>
    <s v="&lt;null&gt;"/>
    <s v="&lt;null&gt;"/>
    <s v="&lt;null&gt;"/>
    <s v="&lt;null&gt;"/>
    <m/>
    <m/>
    <m/>
    <m/>
  </r>
  <r>
    <x v="283"/>
    <x v="283"/>
    <s v="Verkeersveiligheid"/>
    <x v="1"/>
    <n v="317"/>
    <s v="IN/000281"/>
    <s v="Horizontale signalisatie aanpassen in Antwerpen : August Van de Wielelei, Schotensesteenweg, Turnhoutsebaan RELANCE21"/>
    <s v="Aanpassn markering (verder al zo goed mogelijk uitgevoerd)"/>
    <s v="Kleine Ingreep"/>
    <s v="WA/INV/N12/10"/>
    <b v="0"/>
    <s v="Ingreep wordt niet opgevolgd in BOD"/>
    <s v="&lt;null&gt;"/>
    <s v="&lt;null&gt;"/>
    <s v="&lt;null&gt;"/>
    <s v="&lt;null&gt;"/>
    <s v="&lt;null&gt;"/>
    <x v="0"/>
    <s v="&lt;null&gt;"/>
    <s v="&lt;null&gt;"/>
    <s v="&lt;null&gt;"/>
    <s v="&lt;null&gt;"/>
    <n v="100"/>
    <s v="&lt;null&gt;"/>
    <s v="&lt;null&gt;"/>
    <s v="&lt;null&gt;"/>
    <s v="&lt;null&gt;"/>
    <m/>
    <m/>
    <m/>
    <m/>
  </r>
  <r>
    <x v="284"/>
    <x v="284"/>
    <s v="Verkeersveiligheid"/>
    <x v="1"/>
    <n v="318"/>
    <s v="IN/000282"/>
    <s v="in Antwerpen : Columbiastraat, Groenendaallaan"/>
    <s v="heraanleg (vooral oversteek voor fietsers en voetgangers)"/>
    <s v="Structurele Ingreep"/>
    <s v="&lt;null&gt;"/>
    <b v="0"/>
    <s v="Ingreep wordt niet opgevolgd in BOD"/>
    <s v="&lt;null&gt;"/>
    <s v="&lt;null&gt;"/>
    <s v="&lt;null&gt;"/>
    <s v="&lt;null&gt;"/>
    <s v="&lt;null&gt;"/>
    <x v="0"/>
    <s v="&lt;null&gt;"/>
    <s v="&lt;null&gt;"/>
    <s v="&lt;null&gt;"/>
    <s v="&lt;null&gt;"/>
    <n v="100"/>
    <s v="&lt;null&gt;"/>
    <s v="&lt;null&gt;"/>
    <s v="&lt;null&gt;"/>
    <s v="&lt;null&gt;"/>
    <m/>
    <m/>
    <m/>
    <m/>
  </r>
  <r>
    <x v="285"/>
    <x v="285"/>
    <s v="Verkeersveiligheid"/>
    <x v="1"/>
    <n v="319"/>
    <s v="IN/000283"/>
    <s v="in Antwerpen : Justitiestraat, Mechelsesteenweg, Van Breestraat"/>
    <s v="Vierkant groen &gt; voorlopig nog niet mogelijk"/>
    <s v="Kleine Ingreep"/>
    <s v="&lt;null&gt;"/>
    <b v="0"/>
    <s v="Ingreep wordt niet opgevolgd in BOD"/>
    <s v="&lt;null&gt;"/>
    <s v="&lt;null&gt;"/>
    <s v="&lt;null&gt;"/>
    <s v="&lt;null&gt;"/>
    <s v="&lt;null&gt;"/>
    <x v="0"/>
    <s v="&lt;null&gt;"/>
    <s v="&lt;null&gt;"/>
    <s v="&lt;null&gt;"/>
    <s v="&lt;null&gt;"/>
    <n v="100"/>
    <s v="&lt;null&gt;"/>
    <s v="&lt;null&gt;"/>
    <s v="&lt;null&gt;"/>
    <s v="&lt;null&gt;"/>
    <m/>
    <m/>
    <m/>
    <m/>
  </r>
  <r>
    <x v="286"/>
    <x v="286"/>
    <s v="Verkeersveiligheid"/>
    <x v="1"/>
    <n v="320"/>
    <s v="IN/000284"/>
    <s v="in Antwerpen : Emiel Vloorsstraat, Generaal Armstrongweg, Kolonel Silvertopstraat, N148 Antwerpen (R10) - Boom, R2 richting ANTWERPEN, Sint-Bernardsesteenweg"/>
    <s v="aanpassingen VRI (VLCC)"/>
    <s v="Kleine Ingreep"/>
    <s v="&lt;null&gt;"/>
    <b v="0"/>
    <s v="Ingreep wordt niet opgevolgd in BOD"/>
    <s v="&lt;null&gt;"/>
    <s v="&lt;null&gt;"/>
    <s v="&lt;null&gt;"/>
    <s v="&lt;null&gt;"/>
    <s v="&lt;null&gt;"/>
    <x v="0"/>
    <s v="&lt;null&gt;"/>
    <s v="&lt;null&gt;"/>
    <s v="&lt;null&gt;"/>
    <s v="&lt;null&gt;"/>
    <n v="100"/>
    <s v="&lt;null&gt;"/>
    <s v="&lt;null&gt;"/>
    <s v="&lt;null&gt;"/>
    <s v="&lt;null&gt;"/>
    <m/>
    <m/>
    <m/>
    <m/>
  </r>
  <r>
    <x v="287"/>
    <x v="287"/>
    <s v="Verkeersveiligheid"/>
    <x v="1"/>
    <n v="321"/>
    <s v="IN/000285"/>
    <s v="Horizontale signalisatie aanpassen in Antwerpen : Barnkrachtstraat, Bredabaan"/>
    <s v="Haaientanden + rodeslem"/>
    <s v="Kleine Ingreep"/>
    <s v="WA/INV/N1/11"/>
    <b v="0"/>
    <s v="Ingreep wordt niet opgevolgd in BOD"/>
    <s v="&lt;null&gt;"/>
    <s v="&lt;null&gt;"/>
    <s v="&lt;null&gt;"/>
    <s v="&lt;null&gt;"/>
    <s v="&lt;null&gt;"/>
    <x v="0"/>
    <s v="&lt;null&gt;"/>
    <s v="&lt;null&gt;"/>
    <s v="&lt;null&gt;"/>
    <s v="&lt;null&gt;"/>
    <n v="100"/>
    <s v="&lt;null&gt;"/>
    <s v="&lt;null&gt;"/>
    <s v="&lt;null&gt;"/>
    <s v="&lt;null&gt;"/>
    <m/>
    <m/>
    <m/>
    <m/>
  </r>
  <r>
    <x v="288"/>
    <x v="288"/>
    <s v="Verkeersveiligheid"/>
    <x v="4"/>
    <n v="321"/>
    <s v="IN/000285"/>
    <s v="Horizontale signalisatie aanpassen in Antwerpen : Barnkrachtstraat, Bredabaan"/>
    <s v="Haaientanden + rodeslem"/>
    <s v="Kleine Ingreep"/>
    <s v="WA/INV/N1/11"/>
    <b v="0"/>
    <s v="Ingreep wordt niet opgevolgd in BOD"/>
    <s v="&lt;null&gt;"/>
    <s v="&lt;null&gt;"/>
    <s v="&lt;null&gt;"/>
    <s v="&lt;null&gt;"/>
    <s v="&lt;null&gt;"/>
    <x v="0"/>
    <s v="&lt;null&gt;"/>
    <s v="&lt;null&gt;"/>
    <s v="&lt;null&gt;"/>
    <s v="&lt;null&gt;"/>
    <n v="0"/>
    <s v="&lt;null&gt;"/>
    <s v="&lt;null&gt;"/>
    <s v="&lt;null&gt;"/>
    <s v="&lt;null&gt;"/>
    <m/>
    <m/>
    <m/>
    <m/>
  </r>
  <r>
    <x v="289"/>
    <x v="289"/>
    <s v="Verkeersveiligheid"/>
    <x v="1"/>
    <n v="322"/>
    <s v="IN/000286"/>
    <s v="in Antwerpen : Plantin en Moretuslei, Provinciestraat, Rolwagenstraat, Van den Nestlei"/>
    <s v="volledige heraanleg"/>
    <s v="Structurele Ingreep"/>
    <s v="&lt;null&gt;"/>
    <b v="0"/>
    <s v="Ingreep wordt niet opgevolgd in BOD"/>
    <s v="&lt;null&gt;"/>
    <s v="&lt;null&gt;"/>
    <s v="&lt;null&gt;"/>
    <s v="&lt;null&gt;"/>
    <s v="&lt;null&gt;"/>
    <x v="0"/>
    <s v="&lt;null&gt;"/>
    <s v="&lt;null&gt;"/>
    <s v="&lt;null&gt;"/>
    <s v="&lt;null&gt;"/>
    <n v="100"/>
    <s v="&lt;null&gt;"/>
    <s v="&lt;null&gt;"/>
    <s v="&lt;null&gt;"/>
    <s v="&lt;null&gt;"/>
    <m/>
    <m/>
    <m/>
    <m/>
  </r>
  <r>
    <x v="290"/>
    <x v="290"/>
    <s v="Verkeersveiligheid"/>
    <x v="1"/>
    <n v="323"/>
    <s v="IN/000287"/>
    <s v="in Antwerpen : Mercatorstraat, Plantin en Moretuslei, Simonsstraat"/>
    <s v="volledig heraanleg (nadeel: niet mogelijk om linksaf conflictvrij te regelen)"/>
    <s v="Structurele Ingreep"/>
    <s v="&lt;null&gt;"/>
    <b v="0"/>
    <s v="Ingreep wordt niet opgevolgd in BOD"/>
    <s v="&lt;null&gt;"/>
    <s v="&lt;null&gt;"/>
    <s v="&lt;null&gt;"/>
    <s v="&lt;null&gt;"/>
    <s v="&lt;null&gt;"/>
    <x v="0"/>
    <s v="&lt;null&gt;"/>
    <s v="&lt;null&gt;"/>
    <s v="&lt;null&gt;"/>
    <s v="&lt;null&gt;"/>
    <n v="100"/>
    <s v="&lt;null&gt;"/>
    <s v="&lt;null&gt;"/>
    <s v="&lt;null&gt;"/>
    <s v="&lt;null&gt;"/>
    <m/>
    <m/>
    <m/>
    <m/>
  </r>
  <r>
    <x v="291"/>
    <x v="291"/>
    <s v="Verkeersveiligheid"/>
    <x v="1"/>
    <n v="324"/>
    <s v="IN/000288"/>
    <s v="in Antwerpen : Groenenborgerlaan, Jules Moretuslei, R11 Richting Hoboken, R11 Richting Wijnegem, R11 - VERBINDING TUSSEN N173 EN A12 (WIL)"/>
    <s v="heraanleg gepland met conflictvrije regeling en langere aflagstroken (voor bouwverlof klaar)"/>
    <s v="Structurele Ingreep"/>
    <s v="&lt;null&gt;"/>
    <b v="0"/>
    <s v="Ingreep wordt niet opgevolgd in BOD"/>
    <s v="&lt;null&gt;"/>
    <s v="&lt;null&gt;"/>
    <s v="&lt;null&gt;"/>
    <s v="&lt;null&gt;"/>
    <s v="&lt;null&gt;"/>
    <x v="0"/>
    <s v="&lt;null&gt;"/>
    <s v="&lt;null&gt;"/>
    <s v="&lt;null&gt;"/>
    <s v="&lt;null&gt;"/>
    <n v="100"/>
    <s v="&lt;null&gt;"/>
    <s v="&lt;null&gt;"/>
    <s v="&lt;null&gt;"/>
    <s v="&lt;null&gt;"/>
    <m/>
    <m/>
    <m/>
    <m/>
  </r>
  <r>
    <x v="292"/>
    <x v="292"/>
    <s v="Verkeersveiligheid"/>
    <x v="1"/>
    <n v="325"/>
    <s v="IN/000289"/>
    <s v="in Antwerpen : Carnotstraat, Kerkstraat, Turnhoutsebaan"/>
    <s v="Kerkstraat werd heraangelegd. Conflict met de fietsers conflictvrij (vooral conflicten met fietsers zijn er uit)"/>
    <s v="Structurele Ingreep"/>
    <s v="&lt;null&gt;"/>
    <b v="0"/>
    <s v="Ingreep wordt niet opgevolgd in BOD"/>
    <s v="&lt;null&gt;"/>
    <s v="&lt;null&gt;"/>
    <s v="&lt;null&gt;"/>
    <s v="&lt;null&gt;"/>
    <s v="&lt;null&gt;"/>
    <x v="0"/>
    <s v="&lt;null&gt;"/>
    <s v="&lt;null&gt;"/>
    <s v="&lt;null&gt;"/>
    <s v="&lt;null&gt;"/>
    <n v="100"/>
    <s v="&lt;null&gt;"/>
    <s v="&lt;null&gt;"/>
    <s v="&lt;null&gt;"/>
    <s v="&lt;null&gt;"/>
    <m/>
    <m/>
    <m/>
    <m/>
  </r>
  <r>
    <x v="293"/>
    <x v="293"/>
    <s v="Verkeersveiligheid"/>
    <x v="1"/>
    <n v="326"/>
    <s v="IN/000290"/>
    <s v="in Antwerpen : Dokter Van de Perrelei, Karel De Preterlei, Luitenant Lippenslaan"/>
    <s v="Aanpassing VRI (1 linksafbeweging conflictvrij)"/>
    <s v="Kleine Ingreep"/>
    <s v="&lt;null&gt;"/>
    <b v="0"/>
    <s v="Ingreep wordt niet opgevolgd in BOD"/>
    <s v="&lt;null&gt;"/>
    <s v="&lt;null&gt;"/>
    <s v="&lt;null&gt;"/>
    <s v="&lt;null&gt;"/>
    <s v="&lt;null&gt;"/>
    <x v="0"/>
    <s v="&lt;null&gt;"/>
    <s v="&lt;null&gt;"/>
    <s v="&lt;null&gt;"/>
    <s v="&lt;null&gt;"/>
    <n v="100"/>
    <s v="&lt;null&gt;"/>
    <s v="&lt;null&gt;"/>
    <s v="&lt;null&gt;"/>
    <s v="&lt;null&gt;"/>
    <m/>
    <m/>
    <m/>
    <m/>
  </r>
  <r>
    <x v="294"/>
    <x v="294"/>
    <s v="Verkeersveiligheid"/>
    <x v="1"/>
    <n v="327"/>
    <s v="IN/000291"/>
    <s v="VRI: aanpassen lichtenregeling in Antwerpen : Luithagen-Haven, Noorderlaan RELANCE21"/>
    <s v="Aanpassing VRI gepland + betere geleiding op kruispunt"/>
    <s v="Kleine Ingreep"/>
    <s v="WA/INV/N180/5"/>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8939"/>
    <s v="v015040v04 K040 901a3 VLCC/relance"/>
    <s v="&lt;p&gt;IN/000291&lt;/p&gt;"/>
    <s v="WA/INV/N180/5"/>
    <n v="100"/>
    <n v="105000"/>
    <n v="0"/>
    <n v="0"/>
    <n v="2383.06"/>
    <n v="105000"/>
    <n v="0"/>
    <n v="0"/>
    <n v="2383.06"/>
  </r>
  <r>
    <x v="295"/>
    <x v="295"/>
    <s v="Verkeersveiligheid"/>
    <x v="1"/>
    <n v="328"/>
    <s v="IN/000292"/>
    <s v="in Antwerpen : A12 Richting Brussel, Boomsesteenweg, Terbekehofdreef"/>
    <s v="snelheidsverlaging + lichtenregeling + conflict met voetgangers en fietsers er uitgehaald"/>
    <s v="Kleine Ingreep"/>
    <s v="&lt;null&gt;"/>
    <b v="0"/>
    <s v="Ingreep wordt niet opgevolgd in BOD"/>
    <s v="&lt;null&gt;"/>
    <s v="&lt;null&gt;"/>
    <s v="&lt;null&gt;"/>
    <s v="&lt;null&gt;"/>
    <s v="&lt;null&gt;"/>
    <x v="0"/>
    <s v="&lt;null&gt;"/>
    <s v="&lt;null&gt;"/>
    <s v="&lt;null&gt;"/>
    <s v="&lt;null&gt;"/>
    <n v="100"/>
    <s v="&lt;null&gt;"/>
    <s v="&lt;null&gt;"/>
    <s v="&lt;null&gt;"/>
    <s v="&lt;null&gt;"/>
    <m/>
    <m/>
    <m/>
    <m/>
  </r>
  <r>
    <x v="296"/>
    <x v="296"/>
    <s v="Verkeersveiligheid"/>
    <x v="1"/>
    <n v="329"/>
    <s v="IN/000293"/>
    <s v="in Antwerpen : Desguinlei, Gerard Le Grellelaan, Karel Oomsstraat"/>
    <s v="Aanpassing VRI"/>
    <s v="Kleine Ingreep"/>
    <s v="&lt;null&gt;"/>
    <b v="0"/>
    <s v="Ingreep wordt niet opgevolgd in BOD"/>
    <s v="&lt;null&gt;"/>
    <s v="&lt;null&gt;"/>
    <s v="&lt;null&gt;"/>
    <s v="&lt;null&gt;"/>
    <s v="&lt;null&gt;"/>
    <x v="0"/>
    <s v="&lt;null&gt;"/>
    <s v="&lt;null&gt;"/>
    <s v="&lt;null&gt;"/>
    <s v="&lt;null&gt;"/>
    <n v="100"/>
    <s v="&lt;null&gt;"/>
    <s v="&lt;null&gt;"/>
    <s v="&lt;null&gt;"/>
    <s v="&lt;null&gt;"/>
    <m/>
    <m/>
    <m/>
    <m/>
  </r>
  <r>
    <x v="297"/>
    <x v="297"/>
    <s v="Verkeersveiligheid"/>
    <x v="1"/>
    <n v="330"/>
    <s v="IN/000294"/>
    <s v="in Antwerpen : R1 Buitenring"/>
    <s v="onderzocht maar geen quick wins gevonden op basis van huidige ongevallengegevens"/>
    <s v="Kleine Ingreep"/>
    <s v="&lt;null&gt;"/>
    <b v="0"/>
    <s v="Ingreep wordt niet opgevolgd in BOD"/>
    <s v="&lt;null&gt;"/>
    <s v="&lt;null&gt;"/>
    <s v="&lt;null&gt;"/>
    <s v="&lt;null&gt;"/>
    <s v="&lt;null&gt;"/>
    <x v="0"/>
    <s v="&lt;null&gt;"/>
    <s v="&lt;null&gt;"/>
    <s v="&lt;null&gt;"/>
    <s v="&lt;null&gt;"/>
    <n v="100"/>
    <s v="&lt;null&gt;"/>
    <s v="&lt;null&gt;"/>
    <s v="&lt;null&gt;"/>
    <s v="&lt;null&gt;"/>
    <m/>
    <m/>
    <m/>
    <m/>
  </r>
  <r>
    <x v="298"/>
    <x v="298"/>
    <s v="Verkeersveiligheid"/>
    <x v="1"/>
    <n v="331"/>
    <s v="IN/000295"/>
    <s v="VRI: aanpassen lichtenregeling + bijkomende aanpassingen infra in Antwerpen : Bisschoppenhoflaan, Ten Eekhovelei, Van der Delftstraat"/>
    <s v="In 2018 : voorstart in ruimte voor rechtsafslaande  fietsers (zuidelijk kant). Vroeger ontruimingsfase en auto's konden inrijden, terwijl fietsers nog geen groen hadden . sept 2018 .\nAanpassen markering"/>
    <s v="Kleine Ingreep"/>
    <s v="&lt;null&gt;"/>
    <b v="0"/>
    <s v="Ingreep wordt niet opgevolgd in BOD"/>
    <s v="&lt;null&gt;"/>
    <s v="&lt;null&gt;"/>
    <s v="&lt;null&gt;"/>
    <s v="&lt;null&gt;"/>
    <s v="&lt;null&gt;"/>
    <x v="0"/>
    <s v="&lt;null&gt;"/>
    <s v="&lt;null&gt;"/>
    <s v="&lt;null&gt;"/>
    <s v="&lt;null&gt;"/>
    <n v="100"/>
    <s v="&lt;null&gt;"/>
    <s v="&lt;null&gt;"/>
    <s v="&lt;null&gt;"/>
    <s v="&lt;null&gt;"/>
    <m/>
    <m/>
    <m/>
    <m/>
  </r>
  <r>
    <x v="299"/>
    <x v="299"/>
    <s v="Verkeersveiligheid"/>
    <x v="1"/>
    <n v="332"/>
    <s v="IN/000296"/>
    <s v="in Antwerpen : Binnensingel, Posthofbrug, Posthoflei"/>
    <s v="heraanleg aansluiting Posthofbrug naar kruispunt + fietsersbrug  (mei 2018)"/>
    <s v="Structurele Ingreep"/>
    <s v="&lt;null&gt;"/>
    <b v="0"/>
    <s v="Ingreep wordt niet opgevolgd in BOD"/>
    <s v="&lt;null&gt;"/>
    <s v="&lt;null&gt;"/>
    <s v="&lt;null&gt;"/>
    <s v="&lt;null&gt;"/>
    <s v="&lt;null&gt;"/>
    <x v="0"/>
    <s v="&lt;null&gt;"/>
    <s v="&lt;null&gt;"/>
    <s v="&lt;null&gt;"/>
    <s v="&lt;null&gt;"/>
    <n v="100"/>
    <s v="&lt;null&gt;"/>
    <s v="&lt;null&gt;"/>
    <s v="&lt;null&gt;"/>
    <s v="&lt;null&gt;"/>
    <m/>
    <m/>
    <m/>
    <m/>
  </r>
  <r>
    <x v="300"/>
    <x v="300"/>
    <s v="Verkeersveiligheid"/>
    <x v="1"/>
    <n v="333"/>
    <s v="IN/000297"/>
    <s v="Verlagen toegelaten snelheid in Antwerpen : A12 Richting Bergen Op Zoom (NL)  (thv Bevrijdingstunnel)"/>
    <s v="Trajectcontrole + snelheidsverlaging + markering aanpassen + RVMS?"/>
    <s v="Kleine Ingreep"/>
    <s v="WA/INV/A12/11"/>
    <b v="0"/>
    <s v="Ingreep wordt niet opgevolgd in BOD"/>
    <s v="&lt;null&gt;"/>
    <s v="&lt;null&gt;"/>
    <s v="&lt;null&gt;"/>
    <s v="&lt;null&gt;"/>
    <s v="&lt;null&gt;"/>
    <x v="0"/>
    <s v="&lt;null&gt;"/>
    <s v="&lt;null&gt;"/>
    <s v="&lt;null&gt;"/>
    <s v="&lt;null&gt;"/>
    <n v="100"/>
    <s v="&lt;null&gt;"/>
    <s v="&lt;null&gt;"/>
    <s v="&lt;null&gt;"/>
    <s v="&lt;null&gt;"/>
    <m/>
    <m/>
    <m/>
    <m/>
  </r>
  <r>
    <x v="301"/>
    <x v="301"/>
    <s v="Verkeersveiligheid"/>
    <x v="1"/>
    <n v="334"/>
    <s v="IN/000298"/>
    <s v="in Antwerpen : R1 Buitenring"/>
    <s v="Aanpassing markeringen en borden"/>
    <s v="Kleine Ingreep"/>
    <s v="&lt;null&gt;"/>
    <b v="0"/>
    <s v="Ingreep wordt niet opgevolgd in BOD"/>
    <s v="&lt;null&gt;"/>
    <s v="&lt;null&gt;"/>
    <s v="&lt;null&gt;"/>
    <s v="&lt;null&gt;"/>
    <s v="&lt;null&gt;"/>
    <x v="0"/>
    <s v="&lt;null&gt;"/>
    <s v="&lt;null&gt;"/>
    <s v="&lt;null&gt;"/>
    <s v="&lt;null&gt;"/>
    <n v="100"/>
    <s v="&lt;null&gt;"/>
    <s v="&lt;null&gt;"/>
    <s v="&lt;null&gt;"/>
    <s v="&lt;null&gt;"/>
    <m/>
    <m/>
    <m/>
    <m/>
  </r>
  <r>
    <x v="302"/>
    <x v="302"/>
    <s v="Verkeersveiligheid"/>
    <x v="1"/>
    <n v="335"/>
    <s v="IN/000299"/>
    <s v="MAG WEG in Antwerpen : Groenendaallaan, Lambrechtshoekenlaan"/>
    <s v="&lt;null&gt;"/>
    <s v="Structurele Ingreep"/>
    <s v="&lt;null&gt;"/>
    <b v="0"/>
    <s v="Ingreep wordt niet opgevolgd in BOD"/>
    <s v="&lt;null&gt;"/>
    <s v="&lt;null&gt;"/>
    <s v="&lt;null&gt;"/>
    <s v="&lt;null&gt;"/>
    <s v="&lt;null&gt;"/>
    <x v="0"/>
    <s v="&lt;null&gt;"/>
    <s v="&lt;null&gt;"/>
    <s v="&lt;null&gt;"/>
    <s v="&lt;null&gt;"/>
    <n v="100"/>
    <s v="&lt;null&gt;"/>
    <s v="&lt;null&gt;"/>
    <s v="&lt;null&gt;"/>
    <s v="&lt;null&gt;"/>
    <m/>
    <m/>
    <m/>
    <m/>
  </r>
  <r>
    <x v="303"/>
    <x v="303"/>
    <s v="Verkeersveiligheid"/>
    <x v="1"/>
    <n v="336"/>
    <s v="IN/000300"/>
    <s v="VRI: aanpassen lichtenregeling + bijkomende aanpassingen infra in Antwerpen : Jan Denucéstraat, Kolonel Silvertopstraat"/>
    <s v="plaatsing VRI+ linksaf aanpassen"/>
    <s v="Kleine Ingreep"/>
    <s v="WA/INV/N148/6"/>
    <b v="0"/>
    <s v="Ingreep wordt niet opgevolgd in BOD"/>
    <s v="&lt;null&gt;"/>
    <s v="&lt;null&gt;"/>
    <s v="&lt;null&gt;"/>
    <s v="&lt;null&gt;"/>
    <s v="&lt;null&gt;"/>
    <x v="0"/>
    <s v="&lt;null&gt;"/>
    <s v="&lt;null&gt;"/>
    <s v="&lt;null&gt;"/>
    <s v="&lt;null&gt;"/>
    <n v="100"/>
    <s v="&lt;null&gt;"/>
    <s v="&lt;null&gt;"/>
    <s v="&lt;null&gt;"/>
    <s v="&lt;null&gt;"/>
    <m/>
    <m/>
    <m/>
    <m/>
  </r>
  <r>
    <x v="304"/>
    <x v="304"/>
    <s v="Verkeersveiligheid"/>
    <x v="1"/>
    <n v="337"/>
    <s v="IN/000301"/>
    <s v="VRI: aanpassen lichtenregeling in Antwerpen : Sint-Bernardsesteenweg, De Bruynlaan"/>
    <s v="Aanpassen lichtenregeling"/>
    <s v="Kleine Ingreep"/>
    <s v="&lt;null&gt;"/>
    <b v="0"/>
    <s v="Ingreep wordt niet opgevolgd in BOD"/>
    <s v="&lt;null&gt;"/>
    <s v="&lt;null&gt;"/>
    <s v="&lt;null&gt;"/>
    <s v="&lt;null&gt;"/>
    <s v="&lt;null&gt;"/>
    <x v="0"/>
    <s v="&lt;null&gt;"/>
    <s v="&lt;null&gt;"/>
    <s v="&lt;null&gt;"/>
    <s v="&lt;null&gt;"/>
    <n v="100"/>
    <s v="&lt;null&gt;"/>
    <s v="&lt;null&gt;"/>
    <s v="&lt;null&gt;"/>
    <s v="&lt;null&gt;"/>
    <m/>
    <m/>
    <m/>
    <m/>
  </r>
  <r>
    <x v="305"/>
    <x v="305"/>
    <s v="Verkeersveiligheid"/>
    <x v="1"/>
    <n v="338"/>
    <s v="IN/000302"/>
    <s v="Horizontale signalisatie aanpassen in Antwerpen : Bredabaan, Nieuwdreef RELANCE21"/>
    <s v="Parkeerplaatsen weghalen voor zebrapad, lichten verplaatsen op boogpaal zodat ze boven rijstrook hangen. Later ook VLCC (studie 2022, uitvoering 2023)"/>
    <s v="Kleine Ingreep"/>
    <s v="WA/INV/N1/20"/>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8059"/>
    <s v="885a8 K062 V015062v06"/>
    <s v="&lt;p&gt;IN/000302&lt;/p&gt;"/>
    <s v="WA/INV/N1/20"/>
    <n v="100"/>
    <n v="100000"/>
    <n v="0"/>
    <n v="0"/>
    <n v="431.71"/>
    <n v="100000"/>
    <n v="0"/>
    <n v="0"/>
    <n v="431.71"/>
  </r>
  <r>
    <x v="18"/>
    <x v="18"/>
    <s v="&lt;null&gt;"/>
    <x v="3"/>
    <n v="339"/>
    <s v="IN/000303"/>
    <s v="in Antwerpen : Krijgsbaan, Sint-Bernardsesteenweg"/>
    <s v="nog niet gedefinieerd"/>
    <s v="Kleine Ingreep"/>
    <s v="&lt;null&gt;"/>
    <b v="0"/>
    <s v="Ingreep wordt niet opgevolgd in BOD"/>
    <s v="&lt;null&gt;"/>
    <s v="&lt;null&gt;"/>
    <s v="&lt;null&gt;"/>
    <s v="&lt;null&gt;"/>
    <s v="&lt;null&gt;"/>
    <x v="0"/>
    <s v="&lt;null&gt;"/>
    <s v="&lt;null&gt;"/>
    <s v="&lt;null&gt;"/>
    <s v="&lt;null&gt;"/>
    <s v="&lt;null&gt;"/>
    <s v="&lt;null&gt;"/>
    <s v="&lt;null&gt;"/>
    <s v="&lt;null&gt;"/>
    <s v="&lt;null&gt;"/>
    <m/>
    <m/>
    <m/>
    <m/>
  </r>
  <r>
    <x v="78"/>
    <x v="78"/>
    <s v="Fiets"/>
    <x v="0"/>
    <n v="340"/>
    <s v="IN/000304"/>
    <s v="N148 Vrijlig fietsp Schoonselhof-Hemiksem-rout2030"/>
    <s v="Heraanleg (groter project met heraanleg aansluitende wegen)"/>
    <s v="Structurele Ingreep"/>
    <s v="WA/INV/N148/1"/>
    <b v="0"/>
    <s v="Ingreep wordt niet opgevolgd in BOD"/>
    <s v="&lt;null&gt;"/>
    <s v="&lt;null&gt;"/>
    <s v="&lt;null&gt;"/>
    <s v="&lt;null&gt;"/>
    <s v="&lt;null&gt;"/>
    <x v="0"/>
    <s v="&lt;null&gt;"/>
    <s v="&lt;null&gt;"/>
    <s v="&lt;null&gt;"/>
    <s v="&lt;null&gt;"/>
    <n v="80"/>
    <s v="&lt;null&gt;"/>
    <s v="&lt;null&gt;"/>
    <s v="&lt;null&gt;"/>
    <s v="&lt;null&gt;"/>
    <m/>
    <m/>
    <m/>
    <m/>
  </r>
  <r>
    <x v="306"/>
    <x v="306"/>
    <s v="Verkeersveiligheid"/>
    <x v="1"/>
    <n v="340"/>
    <s v="IN/000304"/>
    <s v="N148 Vrijlig fietsp Schoonselhof-Hemiksem-rout2030"/>
    <s v="Heraanleg (groter project met heraanleg aansluitende wegen)"/>
    <s v="Structurele Ingreep"/>
    <s v="WA/INV/N148/1"/>
    <b v="0"/>
    <s v="Ingreep wordt niet opgevolgd in BOD"/>
    <s v="&lt;null&gt;"/>
    <s v="&lt;null&gt;"/>
    <s v="&lt;null&gt;"/>
    <s v="&lt;null&gt;"/>
    <s v="&lt;null&gt;"/>
    <x v="0"/>
    <s v="&lt;null&gt;"/>
    <s v="&lt;null&gt;"/>
    <s v="&lt;null&gt;"/>
    <s v="&lt;null&gt;"/>
    <n v="15"/>
    <s v="&lt;null&gt;"/>
    <s v="&lt;null&gt;"/>
    <s v="&lt;null&gt;"/>
    <s v="&lt;null&gt;"/>
    <m/>
    <m/>
    <m/>
    <m/>
  </r>
  <r>
    <x v="307"/>
    <x v="307"/>
    <s v="Verkeersveiligheid"/>
    <x v="1"/>
    <n v="340"/>
    <s v="IN/000304"/>
    <s v="N148 Vrijlig fietsp Schoonselhof-Hemiksem-rout2030"/>
    <s v="Heraanleg (groter project met heraanleg aansluitende wegen)"/>
    <s v="Structurele Ingreep"/>
    <s v="WA/INV/N148/1"/>
    <b v="0"/>
    <s v="Ingreep wordt niet opgevolgd in BOD"/>
    <s v="&lt;null&gt;"/>
    <s v="&lt;null&gt;"/>
    <s v="&lt;null&gt;"/>
    <s v="&lt;null&gt;"/>
    <s v="&lt;null&gt;"/>
    <x v="0"/>
    <s v="&lt;null&gt;"/>
    <s v="&lt;null&gt;"/>
    <s v="&lt;null&gt;"/>
    <s v="&lt;null&gt;"/>
    <n v="5"/>
    <s v="&lt;null&gt;"/>
    <s v="&lt;null&gt;"/>
    <s v="&lt;null&gt;"/>
    <s v="&lt;null&gt;"/>
    <m/>
    <m/>
    <m/>
    <m/>
  </r>
  <r>
    <x v="18"/>
    <x v="18"/>
    <s v="&lt;null&gt;"/>
    <x v="3"/>
    <n v="341"/>
    <s v="IN/000305"/>
    <s v="in Antwerpen : Bisschoppenhoflaan, Brug van den azijn, Burgemeester E. Waghemansbrug, Lakborslei, Merksemsesteenweg"/>
    <s v="nog niet gedefinieerd"/>
    <s v="Kleine Ingreep"/>
    <s v="&lt;null&gt;"/>
    <b v="0"/>
    <s v="Ingreep wordt niet opgevolgd in BOD"/>
    <s v="&lt;null&gt;"/>
    <s v="&lt;null&gt;"/>
    <s v="&lt;null&gt;"/>
    <s v="&lt;null&gt;"/>
    <s v="&lt;null&gt;"/>
    <x v="0"/>
    <s v="&lt;null&gt;"/>
    <s v="&lt;null&gt;"/>
    <s v="&lt;null&gt;"/>
    <s v="&lt;null&gt;"/>
    <s v="&lt;null&gt;"/>
    <s v="&lt;null&gt;"/>
    <s v="&lt;null&gt;"/>
    <s v="&lt;null&gt;"/>
    <s v="&lt;null&gt;"/>
    <m/>
    <m/>
    <m/>
    <m/>
  </r>
  <r>
    <x v="308"/>
    <x v="308"/>
    <s v="Verkeersveiligheid"/>
    <x v="1"/>
    <n v="342"/>
    <s v="IN/000306"/>
    <s v="VRI: aanpassen lichtenregeling in Antwerpen : Noordersingel, Turnhoutsebaan RELANCE21"/>
    <s v="Aanpassing lichtenregeling"/>
    <s v="Kleine Ingreep"/>
    <s v="WA/INV/R10/4"/>
    <b v="0"/>
    <s v="Ingreep wordt niet opgevolgd in BOD"/>
    <s v="&lt;null&gt;"/>
    <s v="&lt;null&gt;"/>
    <s v="&lt;null&gt;"/>
    <s v="&lt;null&gt;"/>
    <s v="&lt;null&gt;"/>
    <x v="0"/>
    <s v="&lt;null&gt;"/>
    <s v="&lt;null&gt;"/>
    <s v="&lt;null&gt;"/>
    <s v="&lt;null&gt;"/>
    <n v="100"/>
    <s v="&lt;null&gt;"/>
    <s v="&lt;null&gt;"/>
    <s v="&lt;null&gt;"/>
    <s v="&lt;null&gt;"/>
    <m/>
    <m/>
    <m/>
    <m/>
  </r>
  <r>
    <x v="309"/>
    <x v="309"/>
    <s v="Verkeersveiligheid"/>
    <x v="1"/>
    <n v="343"/>
    <s v="IN/000307"/>
    <s v="in Antwerpen : Boterlaarbaan, Sterckshoflei"/>
    <s v="Aanpassing VRI"/>
    <s v="Kleine Ingreep"/>
    <s v="&lt;null&gt;"/>
    <b v="0"/>
    <s v="Ingreep wordt niet opgevolgd in BOD"/>
    <s v="&lt;null&gt;"/>
    <s v="&lt;null&gt;"/>
    <s v="&lt;null&gt;"/>
    <s v="&lt;null&gt;"/>
    <s v="&lt;null&gt;"/>
    <x v="0"/>
    <s v="&lt;null&gt;"/>
    <s v="&lt;null&gt;"/>
    <s v="&lt;null&gt;"/>
    <s v="&lt;null&gt;"/>
    <n v="100"/>
    <s v="&lt;null&gt;"/>
    <s v="&lt;null&gt;"/>
    <s v="&lt;null&gt;"/>
    <s v="&lt;null&gt;"/>
    <m/>
    <m/>
    <m/>
    <m/>
  </r>
  <r>
    <x v="310"/>
    <x v="310"/>
    <s v="Verkeersveiligheid"/>
    <x v="1"/>
    <n v="344"/>
    <s v="IN/000308"/>
    <s v="in Antwerpen : Camille Huysmanslaan, Jan De Voslei"/>
    <s v="VLCC"/>
    <s v="Kleine Ingreep"/>
    <s v="&lt;null&gt;"/>
    <b v="0"/>
    <s v="Ingreep wordt niet opgevolgd in BOD"/>
    <s v="&lt;null&gt;"/>
    <s v="&lt;null&gt;"/>
    <s v="&lt;null&gt;"/>
    <s v="&lt;null&gt;"/>
    <s v="&lt;null&gt;"/>
    <x v="0"/>
    <s v="&lt;null&gt;"/>
    <s v="&lt;null&gt;"/>
    <s v="&lt;null&gt;"/>
    <s v="&lt;null&gt;"/>
    <n v="100"/>
    <s v="&lt;null&gt;"/>
    <s v="&lt;null&gt;"/>
    <s v="&lt;null&gt;"/>
    <s v="&lt;null&gt;"/>
    <m/>
    <m/>
    <m/>
    <m/>
  </r>
  <r>
    <x v="311"/>
    <x v="311"/>
    <s v="Verkeersveiligheid"/>
    <x v="1"/>
    <n v="345"/>
    <s v="IN/000309"/>
    <s v="VRI: andere installatie (oa boogpalen, opschuiven drukknop, lichtengeregelde oversteek) in Antwerpen : Bredabaan, Van Roiestraat, Van Stralenlei RELANCE21"/>
    <s v="Galgpaal + aanpassen lichtenregeling, aanpassen markering"/>
    <s v="Kleine Ingreep"/>
    <s v="WA/INV/N1/12"/>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8060"/>
    <s v="890a8 K063 V015063v04"/>
    <s v="&lt;p&gt;IN/000309&lt;/p&gt;"/>
    <s v="WA/INV/N1/12"/>
    <n v="100"/>
    <n v="100000"/>
    <n v="0"/>
    <n v="0"/>
    <n v="431.71"/>
    <n v="100000"/>
    <n v="0"/>
    <n v="0"/>
    <n v="431.71"/>
  </r>
  <r>
    <x v="312"/>
    <x v="312"/>
    <s v="Verkeersveiligheid"/>
    <x v="1"/>
    <n v="346"/>
    <s v="IN/000310"/>
    <s v="in Antwerpen : Binnensingel, Luitenant Lippenslaan, Noordersingel, Plantin en Moretuslei"/>
    <s v="Volledige heraanleg"/>
    <s v="Structurele Ingreep"/>
    <s v="&lt;null&gt;"/>
    <b v="0"/>
    <s v="Ingreep wordt niet opgevolgd in BOD"/>
    <s v="&lt;null&gt;"/>
    <s v="&lt;null&gt;"/>
    <s v="&lt;null&gt;"/>
    <s v="&lt;null&gt;"/>
    <s v="&lt;null&gt;"/>
    <x v="0"/>
    <s v="&lt;null&gt;"/>
    <s v="&lt;null&gt;"/>
    <s v="&lt;null&gt;"/>
    <s v="&lt;null&gt;"/>
    <n v="100"/>
    <s v="&lt;null&gt;"/>
    <s v="&lt;null&gt;"/>
    <s v="&lt;null&gt;"/>
    <s v="&lt;null&gt;"/>
    <m/>
    <m/>
    <m/>
    <m/>
  </r>
  <r>
    <x v="313"/>
    <x v="313"/>
    <s v="Verkeersveiligheid"/>
    <x v="1"/>
    <n v="347"/>
    <s v="IN/000311"/>
    <s v="in Antwerpen : R001073 verkeerswisselaar R1 richting E19 Brussel"/>
    <s v="plaatsing afschermende constructie"/>
    <s v="Kleine Ingreep"/>
    <s v="&lt;null&gt;"/>
    <b v="0"/>
    <s v="Ingreep wordt niet opgevolgd in BOD"/>
    <s v="&lt;null&gt;"/>
    <s v="&lt;null&gt;"/>
    <s v="&lt;null&gt;"/>
    <s v="&lt;null&gt;"/>
    <s v="&lt;null&gt;"/>
    <x v="0"/>
    <s v="&lt;null&gt;"/>
    <s v="&lt;null&gt;"/>
    <s v="&lt;null&gt;"/>
    <s v="&lt;null&gt;"/>
    <n v="100"/>
    <s v="&lt;null&gt;"/>
    <s v="&lt;null&gt;"/>
    <s v="&lt;null&gt;"/>
    <s v="&lt;null&gt;"/>
    <m/>
    <m/>
    <m/>
    <m/>
  </r>
  <r>
    <x v="314"/>
    <x v="314"/>
    <s v="Verkeersveiligheid"/>
    <x v="1"/>
    <n v="348"/>
    <s v="IN/000312"/>
    <s v="in Antwerpen : Eliaertsstraat, Turnhoutsebaan"/>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315"/>
    <x v="315"/>
    <s v="Verkeersveiligheid"/>
    <x v="1"/>
    <n v="349"/>
    <s v="IN/000313"/>
    <s v="in Antwerpen : Noordersingel, Schijnpoortweg, Slachthuislaan"/>
    <s v="heraanleg kruispunt (oa passarel voor voetgangers vanaf parking naar Sportpaleis)"/>
    <s v="Structurele Ingreep"/>
    <s v="&lt;null&gt;"/>
    <b v="0"/>
    <s v="Ingreep wordt niet opgevolgd in BOD"/>
    <s v="&lt;null&gt;"/>
    <s v="&lt;null&gt;"/>
    <s v="&lt;null&gt;"/>
    <s v="&lt;null&gt;"/>
    <s v="&lt;null&gt;"/>
    <x v="0"/>
    <s v="&lt;null&gt;"/>
    <s v="&lt;null&gt;"/>
    <s v="&lt;null&gt;"/>
    <s v="&lt;null&gt;"/>
    <n v="100"/>
    <s v="&lt;null&gt;"/>
    <s v="&lt;null&gt;"/>
    <s v="&lt;null&gt;"/>
    <s v="&lt;null&gt;"/>
    <m/>
    <m/>
    <m/>
    <m/>
  </r>
  <r>
    <x v="316"/>
    <x v="316"/>
    <s v="Verkeersveiligheid"/>
    <x v="1"/>
    <n v="350"/>
    <s v="IN/000314"/>
    <s v="in Antwerpen : Noordersingel, Stenenbrug"/>
    <s v="volledige heraanleg (vanaf Turnhoutsebaan tot voorbij Stenenbrug) fietsers zitten onder op- en afrittencomplex"/>
    <s v="Structurele Ingreep"/>
    <s v="&lt;null&gt;"/>
    <b v="0"/>
    <s v="Ingreep wordt niet opgevolgd in BOD"/>
    <s v="&lt;null&gt;"/>
    <s v="&lt;null&gt;"/>
    <s v="&lt;null&gt;"/>
    <s v="&lt;null&gt;"/>
    <s v="&lt;null&gt;"/>
    <x v="0"/>
    <s v="&lt;null&gt;"/>
    <s v="&lt;null&gt;"/>
    <s v="&lt;null&gt;"/>
    <s v="&lt;null&gt;"/>
    <n v="100"/>
    <s v="&lt;null&gt;"/>
    <s v="&lt;null&gt;"/>
    <s v="&lt;null&gt;"/>
    <s v="&lt;null&gt;"/>
    <m/>
    <m/>
    <m/>
    <m/>
  </r>
  <r>
    <x v="317"/>
    <x v="317"/>
    <s v="Verkeersveiligheid"/>
    <x v="1"/>
    <n v="351"/>
    <s v="IN/000315"/>
    <s v="in Antwerpen : Sint-Bernardsesteenweg, Zaanstraat RELANCE21"/>
    <s v="Aanpassen verkeerslichtenregeling (kadert in een grotere herinrichting waar de stad de infrastructuurwerken zal uitvoeren)"/>
    <s v="Kleine Ingreep"/>
    <s v="WA/INV/N148/3"/>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5951"/>
    <s v="SVC 811A2 K105 VLCC Sint-Bernardsesteenweg"/>
    <s v="&lt;p&gt;IN/000315&lt;/p&gt;"/>
    <s v="WA/INV/N148/3"/>
    <n v="100"/>
    <n v="50000"/>
    <n v="0"/>
    <n v="0"/>
    <n v="237.54"/>
    <n v="50000"/>
    <n v="0"/>
    <n v="0"/>
    <n v="237.54"/>
  </r>
  <r>
    <x v="317"/>
    <x v="317"/>
    <s v="Verkeersveiligheid"/>
    <x v="1"/>
    <n v="352"/>
    <s v="IN/000316"/>
    <s v="in Antwerpen : Sint-Bernardsesteenweg, Zaanstraat VIA PCV BESTEK"/>
    <s v="VLCC + linksafslagstrook wordt aangepast&gt;opstelruimte voor voetgangers en fietsers + conflict met tram wordt eruit gehaald"/>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353"/>
    <s v="IN/000317"/>
    <s v="in Antwerpen : Binnensingel, Grotesteenweg, Singel"/>
    <s v="nog niet gedefinieerd"/>
    <s v="Klein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354"/>
    <s v="IN/000318"/>
    <s v="in Antwerpen : Driekoningenstraat, Grotesteenweg"/>
    <s v="Nog concreet te bepalen: Rode slem fietspaden, zichtbaarheid linksaf?, lichtenregeling linksaf, dambordmarkering, knipperlicht tramoversteek"/>
    <s v="Kleine Ingreep"/>
    <s v="WA/INV/N1/13"/>
    <b v="0"/>
    <s v="Ingreep wordt niet opgevolgd in BOD"/>
    <s v="&lt;null&gt;"/>
    <s v="&lt;null&gt;"/>
    <s v="&lt;null&gt;"/>
    <s v="&lt;null&gt;"/>
    <s v="&lt;null&gt;"/>
    <x v="0"/>
    <s v="&lt;null&gt;"/>
    <s v="&lt;null&gt;"/>
    <s v="&lt;null&gt;"/>
    <s v="&lt;null&gt;"/>
    <s v="&lt;null&gt;"/>
    <s v="&lt;null&gt;"/>
    <s v="&lt;null&gt;"/>
    <s v="&lt;null&gt;"/>
    <s v="&lt;null&gt;"/>
    <m/>
    <m/>
    <m/>
    <m/>
  </r>
  <r>
    <x v="318"/>
    <x v="318"/>
    <s v="Verkeersveiligheid"/>
    <x v="1"/>
    <n v="355"/>
    <s v="IN/000319"/>
    <s v="in Antwerpen : Groenendaallaan, Noorderlaan"/>
    <s v="Brabo 2"/>
    <s v="Structurele Ingreep"/>
    <s v="&lt;null&gt;"/>
    <b v="0"/>
    <s v="Ingreep wordt niet opgevolgd in BOD"/>
    <s v="&lt;null&gt;"/>
    <s v="&lt;null&gt;"/>
    <s v="&lt;null&gt;"/>
    <s v="&lt;null&gt;"/>
    <s v="&lt;null&gt;"/>
    <x v="0"/>
    <s v="&lt;null&gt;"/>
    <s v="&lt;null&gt;"/>
    <s v="&lt;null&gt;"/>
    <s v="&lt;null&gt;"/>
    <n v="100"/>
    <s v="&lt;null&gt;"/>
    <s v="&lt;null&gt;"/>
    <s v="&lt;null&gt;"/>
    <s v="&lt;null&gt;"/>
    <m/>
    <m/>
    <m/>
    <m/>
  </r>
  <r>
    <x v="319"/>
    <x v="319"/>
    <s v="Verkeersveiligheid"/>
    <x v="1"/>
    <n v="356"/>
    <s v="IN/000320"/>
    <s v="in Antwerpen : Carnotstraat, Provinciestraa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320"/>
    <x v="320"/>
    <s v="Verkeersveiligheid"/>
    <x v="1"/>
    <n v="357"/>
    <s v="IN/000321"/>
    <s v="in Antwerpen : Baron Joostensstraat, Plantin en Moretuslei, Van Immerseelstraat"/>
    <s v="wordt heraangelegd &gt; af rond zomer 2020"/>
    <s v="Structurele Ingreep"/>
    <s v="&lt;null&gt;"/>
    <b v="0"/>
    <s v="Ingreep wordt niet opgevolgd in BOD"/>
    <s v="&lt;null&gt;"/>
    <s v="&lt;null&gt;"/>
    <s v="&lt;null&gt;"/>
    <s v="&lt;null&gt;"/>
    <s v="&lt;null&gt;"/>
    <x v="0"/>
    <s v="&lt;null&gt;"/>
    <s v="&lt;null&gt;"/>
    <s v="&lt;null&gt;"/>
    <s v="&lt;null&gt;"/>
    <n v="100"/>
    <s v="&lt;null&gt;"/>
    <s v="&lt;null&gt;"/>
    <s v="&lt;null&gt;"/>
    <s v="&lt;null&gt;"/>
    <m/>
    <m/>
    <m/>
    <m/>
  </r>
  <r>
    <x v="321"/>
    <x v="321"/>
    <s v="Verkeersveiligheid"/>
    <x v="1"/>
    <n v="358"/>
    <s v="IN/000322"/>
    <s v="VRI: aanpassen lichtenregeling in Antwerpen, Wijnegem : August Van de Wielelei, Houtlaan, Krijgsbaan, Turnhoutsebaan RELANCE21"/>
    <s v="Aanpassen lichtenregeling + centrale aanleg fietspad op bypass (2021)"/>
    <s v="Kleine Ingreep"/>
    <s v="WA/INV/N12/11"/>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10029"/>
    <s v="049A7, 166A3, 815A1 (V015437) VLCC RG29 - Deel 2"/>
    <s v="&lt;p&gt;IN/000322&lt;/p&gt;"/>
    <s v="WA/INV/N12/11"/>
    <n v="100"/>
    <n v="250000"/>
    <n v="0"/>
    <n v="0"/>
    <n v="0"/>
    <n v="250000"/>
    <n v="0"/>
    <n v="0"/>
    <n v="0"/>
  </r>
  <r>
    <x v="322"/>
    <x v="322"/>
    <s v="Verkeersveiligheid"/>
    <x v="1"/>
    <n v="359"/>
    <s v="IN/000323"/>
    <s v="in Ardooie : Izegemsestraat, N37 Richting Aalter, Oostlaan, Roeselaarsestraat"/>
    <s v="Aanpassing VRI (actieplan)"/>
    <s v="Kleine Ingreep"/>
    <s v="&lt;null&gt;"/>
    <b v="0"/>
    <s v="Ingreep wordt niet opgevolgd in BOD"/>
    <s v="&lt;null&gt;"/>
    <s v="&lt;null&gt;"/>
    <s v="&lt;null&gt;"/>
    <s v="&lt;null&gt;"/>
    <s v="&lt;null&gt;"/>
    <x v="0"/>
    <s v="&lt;null&gt;"/>
    <s v="&lt;null&gt;"/>
    <s v="&lt;null&gt;"/>
    <s v="&lt;null&gt;"/>
    <n v="100"/>
    <s v="&lt;null&gt;"/>
    <s v="&lt;null&gt;"/>
    <s v="&lt;null&gt;"/>
    <s v="&lt;null&gt;"/>
    <m/>
    <m/>
    <m/>
    <m/>
  </r>
  <r>
    <x v="323"/>
    <x v="323"/>
    <s v="Verkeersveiligheid"/>
    <x v="1"/>
    <n v="360"/>
    <s v="IN/000324"/>
    <s v="Horizontale signalisatie aanpassen in As : Europalaan, Lanklaarsesteenweg, N723 Genk - As (N75), Stationsstraat, Steenweg naar Maasmechelen"/>
    <s v="markeringen aangepast, SNC nog te plaatsen (historische lijst)"/>
    <s v="Kleine Ingreep"/>
    <s v="WL/INV/N75/9"/>
    <b v="0"/>
    <s v="Ingreep wordt niet opgevolgd in BOD"/>
    <s v="&lt;null&gt;"/>
    <s v="&lt;null&gt;"/>
    <s v="&lt;null&gt;"/>
    <s v="&lt;null&gt;"/>
    <s v="&lt;null&gt;"/>
    <x v="0"/>
    <s v="&lt;null&gt;"/>
    <s v="&lt;null&gt;"/>
    <s v="&lt;null&gt;"/>
    <s v="&lt;null&gt;"/>
    <n v="100"/>
    <s v="&lt;null&gt;"/>
    <s v="&lt;null&gt;"/>
    <s v="&lt;null&gt;"/>
    <s v="&lt;null&gt;"/>
    <m/>
    <m/>
    <m/>
    <m/>
  </r>
  <r>
    <x v="324"/>
    <x v="324"/>
    <s v="Verkeersveiligheid"/>
    <x v="1"/>
    <n v="361"/>
    <s v="IN/000325"/>
    <s v="in Asse : R0 Binnenring, R0 Binnenring Uitrit 10 (Asse) (weefzone Zellik)"/>
    <s v="afrit naar Zellik wordt verglegd. Werd besproken in PCV april 2019, niet alle partijen waren akkoord. Oplossing wordt verder uitgewerkt"/>
    <s v="Kleine Ingreep"/>
    <s v="&lt;null&gt;"/>
    <b v="0"/>
    <s v="Ingreep wordt niet opgevolgd in BOD"/>
    <s v="&lt;null&gt;"/>
    <s v="&lt;null&gt;"/>
    <s v="&lt;null&gt;"/>
    <s v="&lt;null&gt;"/>
    <s v="&lt;null&gt;"/>
    <x v="0"/>
    <s v="&lt;null&gt;"/>
    <s v="&lt;null&gt;"/>
    <s v="&lt;null&gt;"/>
    <s v="&lt;null&gt;"/>
    <n v="100"/>
    <s v="&lt;null&gt;"/>
    <s v="&lt;null&gt;"/>
    <s v="&lt;null&gt;"/>
    <s v="&lt;null&gt;"/>
    <m/>
    <m/>
    <m/>
    <m/>
  </r>
  <r>
    <x v="324"/>
    <x v="324"/>
    <s v="Verkeersveiligheid"/>
    <x v="1"/>
    <n v="362"/>
    <s v="IN/000326"/>
    <s v="in Asse : R0 Binnenring, R0 Binnenring Uitrit 10 (Asse) (weefzone Zellik) (MAG WEG - DOOR DWV)"/>
    <s v="Herinrichting R0 door De Werkvennootschap"/>
    <s v="Structurele Ingreep"/>
    <s v="&lt;null&gt;"/>
    <b v="0"/>
    <s v="Ingreep wordt niet opgevolgd in BOD"/>
    <s v="&lt;null&gt;"/>
    <s v="&lt;null&gt;"/>
    <s v="&lt;null&gt;"/>
    <s v="&lt;null&gt;"/>
    <s v="&lt;null&gt;"/>
    <x v="0"/>
    <s v="&lt;null&gt;"/>
    <s v="&lt;null&gt;"/>
    <s v="&lt;null&gt;"/>
    <s v="&lt;null&gt;"/>
    <n v="100"/>
    <s v="&lt;null&gt;"/>
    <s v="&lt;null&gt;"/>
    <s v="&lt;null&gt;"/>
    <s v="&lt;null&gt;"/>
    <m/>
    <m/>
    <m/>
    <m/>
  </r>
  <r>
    <x v="325"/>
    <x v="325"/>
    <s v="Verkeersveiligheid"/>
    <x v="1"/>
    <n v="363"/>
    <s v="IN/000327"/>
    <s v="in Assenede : N49 met Stoepestraat"/>
    <s v="brug over E34. kruispunt wordt afgesloten"/>
    <s v="Structurele Ingreep"/>
    <s v="WOV/INV/A11/4"/>
    <b v="0"/>
    <s v="Ingreep wordt niet opgevolgd in BOD"/>
    <s v="&lt;null&gt;"/>
    <s v="&lt;null&gt;"/>
    <s v="&lt;null&gt;"/>
    <s v="&lt;null&gt;"/>
    <s v="&lt;null&gt;"/>
    <x v="0"/>
    <s v="&lt;null&gt;"/>
    <s v="&lt;null&gt;"/>
    <s v="&lt;null&gt;"/>
    <s v="&lt;null&gt;"/>
    <n v="100"/>
    <s v="&lt;null&gt;"/>
    <s v="&lt;null&gt;"/>
    <s v="&lt;null&gt;"/>
    <s v="&lt;null&gt;"/>
    <m/>
    <m/>
    <m/>
    <m/>
  </r>
  <r>
    <x v="326"/>
    <x v="326"/>
    <s v="Verkeersveiligheid"/>
    <x v="1"/>
    <n v="364"/>
    <s v="IN/000328"/>
    <s v="Gevaarlijk Punt: N49 Assenede: plaatsen RLC + verlengen linksafslagstroken"/>
    <s v="RLC plaatsen + verlengen linksafslagstroken;\nN49 met Oosthoek."/>
    <s v="Kleine Ingreep"/>
    <s v="WOV/INV/A11/3"/>
    <b v="0"/>
    <s v="Ingreep wordt niet opgevolgd in BOD"/>
    <s v="&lt;null&gt;"/>
    <s v="&lt;null&gt;"/>
    <s v="&lt;null&gt;"/>
    <s v="&lt;null&gt;"/>
    <s v="&lt;null&gt;"/>
    <x v="0"/>
    <s v="&lt;null&gt;"/>
    <s v="&lt;null&gt;"/>
    <s v="&lt;null&gt;"/>
    <s v="&lt;null&gt;"/>
    <n v="100"/>
    <s v="&lt;null&gt;"/>
    <s v="&lt;null&gt;"/>
    <s v="&lt;null&gt;"/>
    <s v="&lt;null&gt;"/>
    <m/>
    <m/>
    <m/>
    <m/>
  </r>
  <r>
    <x v="18"/>
    <x v="18"/>
    <s v="&lt;null&gt;"/>
    <x v="3"/>
    <n v="365"/>
    <s v="IN/000329"/>
    <s v="Handhaving in Assenede : N49 met Oosthoek"/>
    <s v="Brug over E34"/>
    <s v="Kleine Ingreep"/>
    <s v="&lt;null&gt;"/>
    <b v="0"/>
    <s v="Ingreep wordt niet opgevolgd in BOD"/>
    <s v="&lt;null&gt;"/>
    <s v="&lt;null&gt;"/>
    <s v="&lt;null&gt;"/>
    <s v="&lt;null&gt;"/>
    <s v="&lt;null&gt;"/>
    <x v="0"/>
    <s v="&lt;null&gt;"/>
    <s v="&lt;null&gt;"/>
    <s v="&lt;null&gt;"/>
    <s v="&lt;null&gt;"/>
    <s v="&lt;null&gt;"/>
    <s v="&lt;null&gt;"/>
    <s v="&lt;null&gt;"/>
    <s v="&lt;null&gt;"/>
    <s v="&lt;null&gt;"/>
    <m/>
    <m/>
    <m/>
    <m/>
  </r>
  <r>
    <x v="327"/>
    <x v="327"/>
    <s v="Verkeersveiligheid"/>
    <x v="1"/>
    <n v="366"/>
    <s v="IN/000330"/>
    <s v="GEEN E1 UITGEVOERD n Assenede : N49 met Stroomstraat"/>
    <s v="kruispunt afgesloten, brug geplaatst"/>
    <s v="Structurele Ingreep"/>
    <s v="&lt;null&gt;"/>
    <b v="0"/>
    <s v="Ingreep wordt niet opgevolgd in BOD"/>
    <s v="&lt;null&gt;"/>
    <s v="&lt;null&gt;"/>
    <s v="&lt;null&gt;"/>
    <s v="&lt;null&gt;"/>
    <s v="&lt;null&gt;"/>
    <x v="0"/>
    <s v="&lt;null&gt;"/>
    <s v="&lt;null&gt;"/>
    <s v="&lt;null&gt;"/>
    <s v="&lt;null&gt;"/>
    <n v="100"/>
    <s v="&lt;null&gt;"/>
    <s v="&lt;null&gt;"/>
    <s v="&lt;null&gt;"/>
    <s v="&lt;null&gt;"/>
    <m/>
    <m/>
    <m/>
    <m/>
  </r>
  <r>
    <x v="328"/>
    <x v="328"/>
    <s v="Verkeersveiligheid"/>
    <x v="1"/>
    <n v="367"/>
    <s v="IN/000331"/>
    <s v="in Beernem : Wingene Steenweg"/>
    <s v="parkeren onmogelijk gemaakt op strook tussen rijbaan en fietspad en daardoor ook op het fietspad zelf. \nZicht is daardoor verbeterd."/>
    <s v="Kleine Ingreep"/>
    <s v="&lt;null&gt;"/>
    <b v="0"/>
    <s v="Ingreep wordt niet opgevolgd in BOD"/>
    <s v="&lt;null&gt;"/>
    <s v="&lt;null&gt;"/>
    <s v="&lt;null&gt;"/>
    <s v="&lt;null&gt;"/>
    <s v="&lt;null&gt;"/>
    <x v="0"/>
    <s v="&lt;null&gt;"/>
    <s v="&lt;null&gt;"/>
    <s v="&lt;null&gt;"/>
    <s v="&lt;null&gt;"/>
    <n v="100"/>
    <s v="&lt;null&gt;"/>
    <s v="&lt;null&gt;"/>
    <s v="&lt;null&gt;"/>
    <s v="&lt;null&gt;"/>
    <m/>
    <m/>
    <m/>
    <m/>
  </r>
  <r>
    <x v="329"/>
    <x v="329"/>
    <s v="Verkeersveiligheid"/>
    <x v="1"/>
    <n v="368"/>
    <s v="IN/000332"/>
    <s v="in Beringen : Koolmijnlaan"/>
    <s v="veel kop-staart aanrijding in de wachtrij naar de verkeerslichten (4/12 zeker + 2/12 wellicht)\n- 1 overleden voetganger wat eerder een zelfdoding lijkt te zijn, de politie bevestigt dit.\n\nDe verkeerslichten die oorzaak zijn van de wachtrij worden omgev"/>
    <s v="Structurele Ingreep"/>
    <s v="&lt;null&gt;"/>
    <b v="0"/>
    <s v="Ingreep wordt niet opgevolgd in BOD"/>
    <s v="&lt;null&gt;"/>
    <s v="&lt;null&gt;"/>
    <s v="&lt;null&gt;"/>
    <s v="&lt;null&gt;"/>
    <s v="&lt;null&gt;"/>
    <x v="0"/>
    <s v="&lt;null&gt;"/>
    <s v="&lt;null&gt;"/>
    <s v="&lt;null&gt;"/>
    <s v="&lt;null&gt;"/>
    <n v="100"/>
    <s v="&lt;null&gt;"/>
    <s v="&lt;null&gt;"/>
    <s v="&lt;null&gt;"/>
    <s v="&lt;null&gt;"/>
    <m/>
    <m/>
    <m/>
    <m/>
  </r>
  <r>
    <x v="330"/>
    <x v="330"/>
    <s v="Verkeersveiligheid"/>
    <x v="1"/>
    <n v="369"/>
    <s v="IN/000333"/>
    <s v="in Beringen : Koolmijnlaan, Laardijkstraat, Twaalf Meilaan"/>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331"/>
    <x v="331"/>
    <s v="Verkeersveiligheid"/>
    <x v="1"/>
    <n v="370"/>
    <s v="IN/000334"/>
    <s v="in Beveren : N70 Oude Zandstraat met Bosdamlaan en Diederik Van Beverenlaan"/>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332"/>
    <x v="332"/>
    <s v="Verkeersveiligheid"/>
    <x v="1"/>
    <n v="371"/>
    <s v="IN/000335"/>
    <s v="in Beveren : A11-E34 Ri Ant langswg complx 10 Vrasene aan oprit, A11-E34 Richting Antwerpen, Duikeldam, Hoge Watergangweg, Provinciale Baan"/>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333"/>
    <x v="333"/>
    <s v="Verkeersveiligheid"/>
    <x v="1"/>
    <n v="372"/>
    <s v="IN/000336"/>
    <s v="in Bierbeek : Pellenbergstraat, Stationsstraat, Tiensesteenweg"/>
    <s v="Aanpassen lichtenregeling Pellenbergstraat afgesloten in 2019 wegens werken, na openstelling zal de VRI aangepast worden ."/>
    <s v="Kleine Ingreep"/>
    <s v="&lt;null&gt;"/>
    <b v="0"/>
    <s v="Ingreep wordt niet opgevolgd in BOD"/>
    <s v="&lt;null&gt;"/>
    <s v="&lt;null&gt;"/>
    <s v="&lt;null&gt;"/>
    <s v="&lt;null&gt;"/>
    <s v="&lt;null&gt;"/>
    <x v="0"/>
    <s v="&lt;null&gt;"/>
    <s v="&lt;null&gt;"/>
    <s v="&lt;null&gt;"/>
    <s v="&lt;null&gt;"/>
    <n v="100"/>
    <s v="&lt;null&gt;"/>
    <s v="&lt;null&gt;"/>
    <s v="&lt;null&gt;"/>
    <s v="&lt;null&gt;"/>
    <m/>
    <m/>
    <m/>
    <m/>
  </r>
  <r>
    <x v="334"/>
    <x v="334"/>
    <s v="Verkeersveiligheid"/>
    <x v="1"/>
    <n v="373"/>
    <s v="IN/000337"/>
    <s v="in Blankenberge : IJzerstraat, Oudstrijdersstraat, Vredelaan"/>
    <m/>
    <s v="Kleine Ingreep"/>
    <s v="WWV/INV/N34/14"/>
    <b v="1"/>
    <s v="Ingreep wordt opgevolgd in BOD"/>
    <s v="&lt;null&gt;"/>
    <s v="&lt;null&gt;"/>
    <n v="118201"/>
    <n v="21065772"/>
    <s v="&lt;p&gt;OF AWV/INV/2021/3 P3 3mh229 - gevaarlijke punten&lt;/p&gt;"/>
    <x v="10"/>
    <n v="8162"/>
    <s v="N034903 Ijzerstraat Blankenberge"/>
    <s v="&lt;null&gt;"/>
    <s v="WWV/INV/N34/14"/>
    <n v="100"/>
    <n v="24800"/>
    <n v="0"/>
    <n v="0"/>
    <n v="24800"/>
    <n v="24800"/>
    <n v="0"/>
    <n v="0"/>
    <n v="24800"/>
  </r>
  <r>
    <x v="335"/>
    <x v="335"/>
    <s v="Verkeersveiligheid"/>
    <x v="1"/>
    <n v="374"/>
    <s v="IN/000338"/>
    <s v="VRI: aanpassen lichtenregeling in Blankenberge : B. Vandammestraat, Kerkstraat, Zeebruggelaan"/>
    <s v="Aanpassen lichtenregeling"/>
    <s v="Kleine Ingreep"/>
    <s v="WWV/INV/N371/3"/>
    <b v="1"/>
    <s v="Ingreep wordt opgevolgd in BOD"/>
    <n v="10167"/>
    <s v="MDN/59-5"/>
    <n v="94851"/>
    <n v="21046677"/>
    <s v="&lt;p&gt;Blankenberge - N371/N335 N371 Kerkstraat - N355 Zeebruggelaan - &amp;nbsp;B. Vandammestraat - Herinrichten kruispunt WW0202/VL volgens V-plan 008149v18 conform &quot;Actieplan verkeerslichten - Relance Wegen en Verkeer West-Vlaanderen&quot; - Historia 41465-2/4&lt;/p&gt;"/>
    <x v="8"/>
    <n v="6743"/>
    <s v="&lt;null&gt;"/>
    <s v="&lt;p&gt;Blankenberge - N371/N335 N371 Kerkstraat - N355 Zeebruggelaan - &amp;nbsp;B. Vandammestraat - Herinrichten kruispunt WW0202/VL volgens V-plan 008149v18 conform &quot;Actieplan verkeerslichten - Relance Wegen en Verkeer West-Vlaanderen&quot; - Historia 41465-2/4&lt;/p&gt;"/>
    <s v="WWV/INV/N371/3"/>
    <n v="100"/>
    <n v="118323.46"/>
    <n v="0"/>
    <n v="0"/>
    <n v="0"/>
    <n v="118323.46"/>
    <n v="0"/>
    <n v="0"/>
    <n v="0"/>
  </r>
  <r>
    <x v="336"/>
    <x v="336"/>
    <s v="Verkeersveiligheid"/>
    <x v="1"/>
    <n v="375"/>
    <s v="IN/000339"/>
    <s v="in Boechout : Borsbeeksesteenweg, Provinciesteenweg (Capenberg)"/>
    <s v="Aanpassen lichtenregeling \nokt 2020: tellingen besteld"/>
    <s v="Kleine Ingreep"/>
    <s v="&lt;null&gt;"/>
    <b v="0"/>
    <s v="Ingreep wordt niet opgevolgd in BOD"/>
    <s v="&lt;null&gt;"/>
    <s v="&lt;null&gt;"/>
    <s v="&lt;null&gt;"/>
    <s v="&lt;null&gt;"/>
    <s v="&lt;null&gt;"/>
    <x v="0"/>
    <s v="&lt;null&gt;"/>
    <s v="&lt;null&gt;"/>
    <s v="&lt;null&gt;"/>
    <s v="&lt;null&gt;"/>
    <n v="100"/>
    <s v="&lt;null&gt;"/>
    <s v="&lt;null&gt;"/>
    <s v="&lt;null&gt;"/>
    <s v="&lt;null&gt;"/>
    <m/>
    <m/>
    <m/>
    <m/>
  </r>
  <r>
    <x v="152"/>
    <x v="152"/>
    <s v="Verkeersveiligheid"/>
    <x v="1"/>
    <n v="376"/>
    <s v="IN/000340"/>
    <s v="VRI: aanpassen lichtenregeling in Boechout : Heuvelstraat, Provinciesteenweg, Vremdesesteenweg RELANCE21"/>
    <s v="aanpassen VRI"/>
    <s v="Kleine Ingreep"/>
    <s v="WA/INV/N10/10"/>
    <b v="0"/>
    <s v="Ingreep wordt niet opgevolgd in BOD"/>
    <s v="&lt;null&gt;"/>
    <s v="&lt;null&gt;"/>
    <s v="&lt;null&gt;"/>
    <s v="&lt;null&gt;"/>
    <s v="&lt;null&gt;"/>
    <x v="0"/>
    <s v="&lt;null&gt;"/>
    <s v="&lt;null&gt;"/>
    <s v="&lt;null&gt;"/>
    <s v="&lt;null&gt;"/>
    <n v="100"/>
    <s v="&lt;null&gt;"/>
    <s v="&lt;null&gt;"/>
    <s v="&lt;null&gt;"/>
    <s v="&lt;null&gt;"/>
    <m/>
    <m/>
    <m/>
    <m/>
  </r>
  <r>
    <x v="337"/>
    <x v="337"/>
    <s v="Verkeersveiligheid"/>
    <x v="1"/>
    <n v="377"/>
    <s v="IN/000341"/>
    <s v="in Boortmeerbeek : Leuvense steenweg, N26 Richting Leuven, Trianonlaan"/>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378"/>
    <s v="IN/000342"/>
    <s v="in Boortmeerbeek : Leuvense steenweg, N26 Richting Leuven, Trianonlaan (SCHRAPPEN - MAAKT DEEL UIT VAN WVB/INV/N26/7)"/>
    <s v="Volledige heraanleg (oa fietspaden, (fietsrelance)"/>
    <s v="Structurele Ingreep"/>
    <s v="&lt;null&gt;"/>
    <b v="0"/>
    <s v="Ingreep wordt niet opgevolgd in BOD"/>
    <s v="&lt;null&gt;"/>
    <s v="&lt;null&gt;"/>
    <s v="&lt;null&gt;"/>
    <s v="&lt;null&gt;"/>
    <s v="&lt;null&gt;"/>
    <x v="0"/>
    <s v="&lt;null&gt;"/>
    <s v="&lt;null&gt;"/>
    <s v="&lt;null&gt;"/>
    <s v="&lt;null&gt;"/>
    <s v="&lt;null&gt;"/>
    <s v="&lt;null&gt;"/>
    <s v="&lt;null&gt;"/>
    <s v="&lt;null&gt;"/>
    <s v="&lt;null&gt;"/>
    <m/>
    <m/>
    <m/>
    <m/>
  </r>
  <r>
    <x v="338"/>
    <x v="338"/>
    <s v="Verkeersveiligheid"/>
    <x v="1"/>
    <n v="379"/>
    <s v="IN/000343"/>
    <s v="in Bornem : Cesar Van Kerckhovenstraat, Klein-Mechelen, N16 Richting Mechelen, N16 Richting Sint-Niklaas"/>
    <s v="Actieplan VRI"/>
    <s v="Kleine Ingreep"/>
    <s v="WA/INV/N16/5"/>
    <b v="0"/>
    <s v="Ingreep wordt niet opgevolgd in BOD"/>
    <s v="&lt;null&gt;"/>
    <s v="&lt;null&gt;"/>
    <s v="&lt;null&gt;"/>
    <s v="&lt;null&gt;"/>
    <s v="&lt;null&gt;"/>
    <x v="0"/>
    <s v="&lt;null&gt;"/>
    <s v="&lt;null&gt;"/>
    <s v="&lt;null&gt;"/>
    <s v="&lt;null&gt;"/>
    <n v="100"/>
    <s v="&lt;null&gt;"/>
    <s v="&lt;null&gt;"/>
    <s v="&lt;null&gt;"/>
    <s v="&lt;null&gt;"/>
    <m/>
    <m/>
    <m/>
    <m/>
  </r>
  <r>
    <x v="339"/>
    <x v="339"/>
    <s v="Verkeersveiligheid"/>
    <x v="1"/>
    <n v="380"/>
    <s v="IN/000344"/>
    <s v="Horizontale signalisatie aanpassen in Borsbeek : Herentalsebaan, Laarstraat, Reinaert, Singel, Tibert"/>
    <s v="Middeneiland oversteek"/>
    <s v="Kleine Ingreep"/>
    <s v="&lt;null&gt;"/>
    <b v="0"/>
    <s v="Ingreep wordt niet opgevolgd in BOD"/>
    <s v="&lt;null&gt;"/>
    <s v="&lt;null&gt;"/>
    <s v="&lt;null&gt;"/>
    <s v="&lt;null&gt;"/>
    <s v="&lt;null&gt;"/>
    <x v="0"/>
    <s v="&lt;null&gt;"/>
    <s v="&lt;null&gt;"/>
    <s v="&lt;null&gt;"/>
    <s v="&lt;null&gt;"/>
    <n v="100"/>
    <s v="&lt;null&gt;"/>
    <s v="&lt;null&gt;"/>
    <s v="&lt;null&gt;"/>
    <s v="&lt;null&gt;"/>
    <m/>
    <m/>
    <m/>
    <m/>
  </r>
  <r>
    <x v="340"/>
    <x v="340"/>
    <s v="Verkeersveiligheid"/>
    <x v="4"/>
    <n v="380"/>
    <s v="IN/000344"/>
    <s v="Horizontale signalisatie aanpassen in Borsbeek : Herentalsebaan, Laarstraat, Reinaert, Singel, Tibert"/>
    <s v="Middeneiland oversteek"/>
    <s v="Kleine Ingreep"/>
    <s v="&lt;null&gt;"/>
    <b v="0"/>
    <s v="Ingreep wordt niet opgevolgd in BOD"/>
    <s v="&lt;null&gt;"/>
    <s v="&lt;null&gt;"/>
    <s v="&lt;null&gt;"/>
    <s v="&lt;null&gt;"/>
    <s v="&lt;null&gt;"/>
    <x v="0"/>
    <s v="&lt;null&gt;"/>
    <s v="&lt;null&gt;"/>
    <s v="&lt;null&gt;"/>
    <s v="&lt;null&gt;"/>
    <n v="0"/>
    <s v="&lt;null&gt;"/>
    <s v="&lt;null&gt;"/>
    <s v="&lt;null&gt;"/>
    <s v="&lt;null&gt;"/>
    <m/>
    <m/>
    <m/>
    <m/>
  </r>
  <r>
    <x v="341"/>
    <x v="341"/>
    <s v="Verkeersveiligheid"/>
    <x v="1"/>
    <n v="381"/>
    <s v="IN/000345"/>
    <s v="in Borsbeek : de Robianostraat, Frans Beirenslaan"/>
    <s v="Aanpassing VRI"/>
    <s v="Kleine Ingreep"/>
    <s v="&lt;null&gt;"/>
    <b v="0"/>
    <s v="Ingreep wordt niet opgevolgd in BOD"/>
    <s v="&lt;null&gt;"/>
    <s v="&lt;null&gt;"/>
    <s v="&lt;null&gt;"/>
    <s v="&lt;null&gt;"/>
    <s v="&lt;null&gt;"/>
    <x v="0"/>
    <s v="&lt;null&gt;"/>
    <s v="&lt;null&gt;"/>
    <s v="&lt;null&gt;"/>
    <s v="&lt;null&gt;"/>
    <n v="100"/>
    <s v="&lt;null&gt;"/>
    <s v="&lt;null&gt;"/>
    <s v="&lt;null&gt;"/>
    <s v="&lt;null&gt;"/>
    <m/>
    <m/>
    <m/>
    <m/>
  </r>
  <r>
    <x v="342"/>
    <x v="342"/>
    <s v="Verkeersveiligheid"/>
    <x v="1"/>
    <n v="382"/>
    <s v="IN/000346"/>
    <s v="in Brasschaat : Bredabaan, Van Hemelrijcklei"/>
    <s v="Aanpassen lichtenregeling"/>
    <s v="Kleine Ingreep"/>
    <s v="&lt;null&gt;"/>
    <b v="0"/>
    <s v="Ingreep wordt niet opgevolgd in BOD"/>
    <s v="&lt;null&gt;"/>
    <s v="&lt;null&gt;"/>
    <s v="&lt;null&gt;"/>
    <s v="&lt;null&gt;"/>
    <s v="&lt;null&gt;"/>
    <x v="0"/>
    <s v="&lt;null&gt;"/>
    <s v="&lt;null&gt;"/>
    <s v="&lt;null&gt;"/>
    <s v="&lt;null&gt;"/>
    <n v="100"/>
    <s v="&lt;null&gt;"/>
    <s v="&lt;null&gt;"/>
    <s v="&lt;null&gt;"/>
    <s v="&lt;null&gt;"/>
    <m/>
    <m/>
    <m/>
    <m/>
  </r>
  <r>
    <x v="343"/>
    <x v="343"/>
    <s v="Verkeersveiligheid"/>
    <x v="1"/>
    <n v="383"/>
    <s v="IN/000347"/>
    <s v="in Brasschaat : Bredabaan, Voshollei"/>
    <s v="VRI aanpassen (niet-conflictvrije linksaf)"/>
    <s v="Kleine Ingreep"/>
    <s v="&lt;null&gt;"/>
    <b v="0"/>
    <s v="Ingreep wordt niet opgevolgd in BOD"/>
    <s v="&lt;null&gt;"/>
    <s v="&lt;null&gt;"/>
    <s v="&lt;null&gt;"/>
    <s v="&lt;null&gt;"/>
    <s v="&lt;null&gt;"/>
    <x v="0"/>
    <s v="&lt;null&gt;"/>
    <s v="&lt;null&gt;"/>
    <s v="&lt;null&gt;"/>
    <s v="&lt;null&gt;"/>
    <n v="100"/>
    <s v="&lt;null&gt;"/>
    <s v="&lt;null&gt;"/>
    <s v="&lt;null&gt;"/>
    <s v="&lt;null&gt;"/>
    <m/>
    <m/>
    <m/>
    <m/>
  </r>
  <r>
    <x v="344"/>
    <x v="344"/>
    <s v="Verkeersveiligheid"/>
    <x v="1"/>
    <n v="384"/>
    <s v="IN/000348"/>
    <s v="VRI: aanpassen lichtenregeling in Brasschaat : Armand Reusensplein, Augustijnslei, Bredabaan, Miksebaan RELANCE21"/>
    <s v="VLCC"/>
    <s v="Kleine Ingreep"/>
    <s v="WA/INV/N121/6"/>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10030"/>
    <s v="208A3, 397A3, 677A7 (V015404) Bredabaan ; Armand Reusensplein ; Augustijnslei ; Miksebaan"/>
    <s v="&lt;p&gt;IN/000348&lt;/p&gt;"/>
    <s v="WA/INV/N121/6"/>
    <n v="100"/>
    <n v="250000"/>
    <n v="0"/>
    <n v="0"/>
    <n v="0"/>
    <n v="250000"/>
    <n v="0"/>
    <n v="0"/>
    <n v="0"/>
  </r>
  <r>
    <x v="345"/>
    <x v="345"/>
    <s v="Verkeersveiligheid"/>
    <x v="1"/>
    <n v="385"/>
    <s v="IN/000349"/>
    <s v="in Brasschaat : Bredabaan, Essensteenweg, Sint Jobsesteenweg"/>
    <s v="Het kruispunt wordt compacter en we gaan van een 5-taks kruispunt naar een 4-taks kruispunt wat een positief effect zal hebben op de leesbaarheid en de veiligheid. Er zullen conform het actieplan van EVT ook zo veel mogelijk conflicten weggewerkt worden. "/>
    <s v="Structurele Ingreep"/>
    <s v="WA/INV/N001/2"/>
    <b v="0"/>
    <s v="Ingreep wordt niet opgevolgd in BOD"/>
    <s v="&lt;null&gt;"/>
    <s v="&lt;null&gt;"/>
    <s v="&lt;null&gt;"/>
    <s v="&lt;null&gt;"/>
    <s v="&lt;null&gt;"/>
    <x v="0"/>
    <s v="&lt;null&gt;"/>
    <s v="&lt;null&gt;"/>
    <s v="&lt;null&gt;"/>
    <s v="&lt;null&gt;"/>
    <n v="100"/>
    <s v="&lt;null&gt;"/>
    <s v="&lt;null&gt;"/>
    <s v="&lt;null&gt;"/>
    <s v="&lt;null&gt;"/>
    <m/>
    <m/>
    <m/>
    <m/>
  </r>
  <r>
    <x v="346"/>
    <x v="346"/>
    <s v="Verkeersveiligheid"/>
    <x v="1"/>
    <n v="386"/>
    <s v="IN/000350"/>
    <s v="VRI: aanpassen lichtenregeling in Bree : Gruitroderkiezel, Kloosterpoort, Rode Kruislaan"/>
    <s v="Aanpassen lichtenregeling"/>
    <s v="Kleine Ingreep"/>
    <s v="WL/INV/N73/18"/>
    <b v="0"/>
    <s v="Ingreep wordt niet opgevolgd in BOD"/>
    <s v="&lt;null&gt;"/>
    <s v="&lt;null&gt;"/>
    <s v="&lt;null&gt;"/>
    <s v="&lt;null&gt;"/>
    <s v="&lt;null&gt;"/>
    <x v="0"/>
    <s v="&lt;null&gt;"/>
    <s v="&lt;null&gt;"/>
    <s v="&lt;null&gt;"/>
    <s v="&lt;null&gt;"/>
    <n v="100"/>
    <s v="&lt;null&gt;"/>
    <s v="&lt;null&gt;"/>
    <s v="&lt;null&gt;"/>
    <s v="&lt;null&gt;"/>
    <m/>
    <m/>
    <m/>
    <m/>
  </r>
  <r>
    <x v="347"/>
    <x v="347"/>
    <s v="Verkeersveiligheid"/>
    <x v="1"/>
    <n v="387"/>
    <s v="IN/000351"/>
    <s v="Horizontale signalisatie aanpassen in Bree : Hamonterweg, Sportlaan"/>
    <s v="Aanpassing markeringen, signalisatie en zichtbaarheid (reeds uitgevoerd in 2020).  SNC's (historische lijst)"/>
    <s v="Kleine Ingreep"/>
    <s v="WL/INV/NX/2"/>
    <b v="0"/>
    <s v="Ingreep wordt niet opgevolgd in BOD"/>
    <s v="&lt;null&gt;"/>
    <s v="&lt;null&gt;"/>
    <s v="&lt;null&gt;"/>
    <s v="&lt;null&gt;"/>
    <s v="&lt;null&gt;"/>
    <x v="0"/>
    <s v="&lt;null&gt;"/>
    <s v="&lt;null&gt;"/>
    <s v="&lt;null&gt;"/>
    <s v="&lt;null&gt;"/>
    <n v="100"/>
    <s v="&lt;null&gt;"/>
    <s v="&lt;null&gt;"/>
    <s v="&lt;null&gt;"/>
    <s v="&lt;null&gt;"/>
    <m/>
    <m/>
    <m/>
    <m/>
  </r>
  <r>
    <x v="348"/>
    <x v="348"/>
    <s v="Verkeersveiligheid"/>
    <x v="1"/>
    <n v="388"/>
    <s v="IN/000352"/>
    <s v="in Bree : Maalbosstraat, Rode Kruislaan"/>
    <s v="niet gedefinieerd"/>
    <s v="Kleine Ingreep"/>
    <s v="WL/INV/N73/26"/>
    <b v="0"/>
    <s v="Ingreep wordt niet opgevolgd in BOD"/>
    <s v="&lt;null&gt;"/>
    <s v="&lt;null&gt;"/>
    <s v="&lt;null&gt;"/>
    <s v="&lt;null&gt;"/>
    <s v="&lt;null&gt;"/>
    <x v="0"/>
    <s v="&lt;null&gt;"/>
    <s v="&lt;null&gt;"/>
    <s v="&lt;null&gt;"/>
    <s v="&lt;null&gt;"/>
    <n v="100"/>
    <s v="&lt;null&gt;"/>
    <s v="&lt;null&gt;"/>
    <s v="&lt;null&gt;"/>
    <s v="&lt;null&gt;"/>
    <m/>
    <m/>
    <m/>
    <m/>
  </r>
  <r>
    <x v="349"/>
    <x v="349"/>
    <s v="Verkeersveiligheid"/>
    <x v="1"/>
    <n v="389"/>
    <s v="IN/000353"/>
    <s v="VRI: nieuwe installatie plaatsen in Brugge : Ten Briele, Spoorwegstraat, Leisellestraat, Gasenbrootlaan, Spoorwegstraat"/>
    <s v="Rotonde weg en lichten plaatsen"/>
    <s v="Kleine Ingreep"/>
    <s v="WWV/INV/N342/5"/>
    <b v="1"/>
    <s v="Ingreep wordt opgevolgd in BOD"/>
    <s v="&lt;null&gt;"/>
    <s v="&lt;null&gt;"/>
    <n v="118201"/>
    <n v="21065772"/>
    <s v="&lt;p&gt;OF AWV/INV/2021/3 P3 3mh229 - gevaarlijke punten&lt;/p&gt;"/>
    <x v="10"/>
    <n v="8155"/>
    <s v="N342 Brugge ombouw rotonde naar VRI"/>
    <s v="&lt;null&gt;"/>
    <s v="WWV/INV/N342/5"/>
    <n v="100"/>
    <n v="496000"/>
    <n v="0"/>
    <n v="0"/>
    <n v="496000"/>
    <n v="496000"/>
    <n v="0"/>
    <n v="0"/>
    <n v="496000"/>
  </r>
  <r>
    <x v="350"/>
    <x v="350"/>
    <s v="Verkeersveiligheid"/>
    <x v="1"/>
    <n v="390"/>
    <s v="IN/000354"/>
    <s v="REEDS UITGEVOERD Brugge : Bevrijdingslaan, N31 Richting Oostkamp (A10), N31 Richting Zeebrugge"/>
    <s v="Ongelijkgrondse kruising -"/>
    <s v="Structurele Ingreep"/>
    <s v="&lt;null&gt;"/>
    <b v="0"/>
    <s v="Ingreep wordt niet opgevolgd in BOD"/>
    <s v="&lt;null&gt;"/>
    <s v="&lt;null&gt;"/>
    <s v="&lt;null&gt;"/>
    <s v="&lt;null&gt;"/>
    <s v="&lt;null&gt;"/>
    <x v="0"/>
    <s v="&lt;null&gt;"/>
    <s v="&lt;null&gt;"/>
    <s v="&lt;null&gt;"/>
    <s v="&lt;null&gt;"/>
    <n v="100"/>
    <s v="&lt;null&gt;"/>
    <s v="&lt;null&gt;"/>
    <s v="&lt;null&gt;"/>
    <s v="&lt;null&gt;"/>
    <m/>
    <m/>
    <m/>
    <m/>
  </r>
  <r>
    <x v="351"/>
    <x v="351"/>
    <s v="Verkeersveiligheid"/>
    <x v="1"/>
    <n v="391"/>
    <s v="IN/000355"/>
    <s v="R30 - brugge STudie kruispunt Gentpoort"/>
    <s v="simulatie uitgevoerd. Invoeren éénrichting stuk Generaal Lemanlaan, uitrusten VRI krpt Nijverheidsstraat, aparte fietsfase dwars op R30, ... zie ook 33866\nAanpassen kruisingen nav onderzoek door Buro Move - Suunta en toegelicht aan stad Brugge op 16/01/1"/>
    <s v="Structurele Ingreep"/>
    <s v="WWV/INV/R30/4"/>
    <b v="0"/>
    <s v="Ingreep wordt niet opgevolgd in BOD"/>
    <s v="&lt;null&gt;"/>
    <s v="&lt;null&gt;"/>
    <s v="&lt;null&gt;"/>
    <s v="&lt;null&gt;"/>
    <s v="&lt;null&gt;"/>
    <x v="0"/>
    <s v="&lt;null&gt;"/>
    <s v="&lt;null&gt;"/>
    <s v="&lt;null&gt;"/>
    <s v="&lt;null&gt;"/>
    <n v="50"/>
    <s v="&lt;null&gt;"/>
    <s v="&lt;null&gt;"/>
    <s v="&lt;null&gt;"/>
    <s v="&lt;null&gt;"/>
    <m/>
    <m/>
    <m/>
    <m/>
  </r>
  <r>
    <x v="352"/>
    <x v="352"/>
    <s v="Verkeersveiligheid"/>
    <x v="1"/>
    <n v="391"/>
    <s v="IN/000355"/>
    <s v="R30 - brugge STudie kruispunt Gentpoort"/>
    <s v="simulatie uitgevoerd. Invoeren éénrichting stuk Generaal Lemanlaan, uitrusten VRI krpt Nijverheidsstraat, aparte fietsfase dwars op R30, ... zie ook 33866\nAanpassen kruisingen nav onderzoek door Buro Move - Suunta en toegelicht aan stad Brugge op 16/01/1"/>
    <s v="Structurele Ingreep"/>
    <s v="WWV/INV/R30/4"/>
    <b v="0"/>
    <s v="Ingreep wordt niet opgevolgd in BOD"/>
    <s v="&lt;null&gt;"/>
    <s v="&lt;null&gt;"/>
    <s v="&lt;null&gt;"/>
    <s v="&lt;null&gt;"/>
    <s v="&lt;null&gt;"/>
    <x v="0"/>
    <s v="&lt;null&gt;"/>
    <s v="&lt;null&gt;"/>
    <s v="&lt;null&gt;"/>
    <s v="&lt;null&gt;"/>
    <n v="50"/>
    <s v="&lt;null&gt;"/>
    <s v="&lt;null&gt;"/>
    <s v="&lt;null&gt;"/>
    <s v="&lt;null&gt;"/>
    <m/>
    <m/>
    <m/>
    <m/>
  </r>
  <r>
    <x v="353"/>
    <x v="353"/>
    <s v="Verkeersveiligheid"/>
    <x v="1"/>
    <n v="392"/>
    <s v="IN/000356"/>
    <s v="in Brugge : Leopold II-laan, Leopold I-laan, Scheepsdalelaan"/>
    <s v="Aanpassen lichtenregeling. omleggen fietspaden en voorzien van een aparte fietsfase voor het fietsverkeer langs de N9. Zodra mogelijk invoeren vierkant groen.\nJan 21: uitvoering bezig, afgerond rond april\nAug 21: rode coating + laatste markeringswerken "/>
    <s v="Kleine Ingreep"/>
    <s v="WWV/INV/N9/3"/>
    <b v="0"/>
    <s v="Ingreep wordt niet opgevolgd in BOD"/>
    <s v="&lt;null&gt;"/>
    <s v="&lt;null&gt;"/>
    <s v="&lt;null&gt;"/>
    <s v="&lt;null&gt;"/>
    <s v="&lt;null&gt;"/>
    <x v="0"/>
    <s v="&lt;null&gt;"/>
    <s v="&lt;null&gt;"/>
    <s v="&lt;null&gt;"/>
    <s v="&lt;null&gt;"/>
    <n v="100"/>
    <s v="&lt;null&gt;"/>
    <s v="&lt;null&gt;"/>
    <s v="&lt;null&gt;"/>
    <s v="&lt;null&gt;"/>
    <m/>
    <m/>
    <m/>
    <m/>
  </r>
  <r>
    <x v="354"/>
    <x v="354"/>
    <s v="Verkeersveiligheid"/>
    <x v="1"/>
    <n v="393"/>
    <s v="IN/000357"/>
    <s v="in Brugge : Expresweg, Gistelse Steenweg, N31 Richting Zeebrugge"/>
    <s v="aanpassing hoeken kruispunt (oa extra afslagstrook en opstelruimte creeëren voor fietsers en voetgangers), wijziging VRI (deels conflictvrij voor fietsers). aansluitend op werken geluidsmuren, mogelijks 2022"/>
    <s v="Kleine Ingreep"/>
    <s v="WWV/INV/N31/6"/>
    <b v="1"/>
    <s v="Ingreep wordt opgevolgd in BOD"/>
    <s v="&lt;null&gt;"/>
    <s v="&lt;null&gt;"/>
    <n v="118201"/>
    <n v="21065772"/>
    <s v="&lt;p&gt;OF AWV/INV/2021/3 P3 3mh229 - gevaarlijke punten&lt;/p&gt;"/>
    <x v="10"/>
    <n v="8154"/>
    <s v="N31 N367 Brugge aanpassing VRI"/>
    <s v="&lt;null&gt;"/>
    <s v="WWV/INV/N31/6"/>
    <n v="100"/>
    <n v="310000"/>
    <n v="0"/>
    <n v="0"/>
    <n v="310000"/>
    <n v="310000"/>
    <n v="0"/>
    <n v="0"/>
    <n v="310000"/>
  </r>
  <r>
    <x v="18"/>
    <x v="18"/>
    <s v="&lt;null&gt;"/>
    <x v="3"/>
    <n v="394"/>
    <s v="IN/000358"/>
    <s v="in Brugge : Expresweg, Gistelse Steenweg, N31 Richting Zeebrugge"/>
    <s v="aanpassing hoeken kruispunt (oa extra afslagstrook en opstelruimte creeëren voor fietsers en voetgangers), wijziging VRI (deels conflictvrij voor fietsers). aansluitend op werken geluidsmuren, mogelijks 2022"/>
    <s v="Kleine Ingreep"/>
    <s v="&lt;null&gt;"/>
    <b v="0"/>
    <s v="Ingreep wordt niet opgevolgd in BOD"/>
    <s v="&lt;null&gt;"/>
    <s v="&lt;null&gt;"/>
    <s v="&lt;null&gt;"/>
    <s v="&lt;null&gt;"/>
    <s v="&lt;null&gt;"/>
    <x v="0"/>
    <s v="&lt;null&gt;"/>
    <s v="&lt;null&gt;"/>
    <s v="&lt;null&gt;"/>
    <s v="&lt;null&gt;"/>
    <s v="&lt;null&gt;"/>
    <s v="&lt;null&gt;"/>
    <s v="&lt;null&gt;"/>
    <s v="&lt;null&gt;"/>
    <s v="&lt;null&gt;"/>
    <m/>
    <m/>
    <m/>
    <m/>
  </r>
  <r>
    <x v="355"/>
    <x v="355"/>
    <s v="Verkeersveiligheid"/>
    <x v="1"/>
    <n v="395"/>
    <s v="IN/000359"/>
    <s v="GEEN E1 KLEINE INGREEP in Brugge : Gistelse Steenweg, Jan Britostraat, Robr. van Vlaanderenlaan"/>
    <s v="studie N367 Sint-Andries is lopende"/>
    <s v="Structurele Ingreep"/>
    <s v="&lt;null&gt;"/>
    <b v="0"/>
    <s v="Ingreep wordt niet opgevolgd in BOD"/>
    <s v="&lt;null&gt;"/>
    <s v="&lt;null&gt;"/>
    <s v="&lt;null&gt;"/>
    <s v="&lt;null&gt;"/>
    <s v="&lt;null&gt;"/>
    <x v="0"/>
    <s v="&lt;null&gt;"/>
    <s v="&lt;null&gt;"/>
    <s v="&lt;null&gt;"/>
    <s v="&lt;null&gt;"/>
    <n v="100"/>
    <s v="&lt;null&gt;"/>
    <s v="&lt;null&gt;"/>
    <s v="&lt;null&gt;"/>
    <s v="&lt;null&gt;"/>
    <m/>
    <m/>
    <m/>
    <m/>
  </r>
  <r>
    <x v="356"/>
    <x v="356"/>
    <s v="Verkeersveiligheid"/>
    <x v="1"/>
    <n v="396"/>
    <s v="IN/000360"/>
    <s v="in Brugge : Buiten Kruisvest, Dampoortstraat, Potterierei"/>
    <s v="uitvoering pcv, aanpassing cyclus, aanpassen fietsvoorzieningen (stuk nieuw fietspad, accentueren FP, ...)"/>
    <s v="Kleine Ingreep"/>
    <s v="&lt;null&gt;"/>
    <b v="0"/>
    <s v="Ingreep wordt niet opgevolgd in BOD"/>
    <s v="&lt;null&gt;"/>
    <s v="&lt;null&gt;"/>
    <s v="&lt;null&gt;"/>
    <s v="&lt;null&gt;"/>
    <s v="&lt;null&gt;"/>
    <x v="0"/>
    <s v="&lt;null&gt;"/>
    <s v="&lt;null&gt;"/>
    <s v="&lt;null&gt;"/>
    <s v="&lt;null&gt;"/>
    <n v="100"/>
    <s v="&lt;null&gt;"/>
    <s v="&lt;null&gt;"/>
    <s v="&lt;null&gt;"/>
    <s v="&lt;null&gt;"/>
    <m/>
    <m/>
    <m/>
    <m/>
  </r>
  <r>
    <x v="357"/>
    <x v="357"/>
    <s v="Verkeersveiligheid"/>
    <x v="1"/>
    <n v="397"/>
    <s v="IN/000361"/>
    <s v="in Brugge : Buiten Begijnenvest, Oostmeers, Stationsplein"/>
    <s v="VRI aangepast (maar beperkt effect op de gebeurde ongevallen)"/>
    <s v="Kleine Ingreep"/>
    <s v="WWV/INV/R30/12"/>
    <b v="0"/>
    <s v="Ingreep wordt niet opgevolgd in BOD"/>
    <s v="&lt;null&gt;"/>
    <s v="&lt;null&gt;"/>
    <s v="&lt;null&gt;"/>
    <s v="&lt;null&gt;"/>
    <s v="&lt;null&gt;"/>
    <x v="0"/>
    <s v="&lt;null&gt;"/>
    <s v="&lt;null&gt;"/>
    <s v="&lt;null&gt;"/>
    <s v="&lt;null&gt;"/>
    <n v="100"/>
    <s v="&lt;null&gt;"/>
    <s v="&lt;null&gt;"/>
    <s v="&lt;null&gt;"/>
    <s v="&lt;null&gt;"/>
    <m/>
    <m/>
    <m/>
    <m/>
  </r>
  <r>
    <x v="357"/>
    <x v="357"/>
    <s v="Verkeersveiligheid"/>
    <x v="1"/>
    <n v="398"/>
    <s v="IN/000362"/>
    <s v="in Brugge : Buiten Begijnenvest, Oostmeers, Stationsplein"/>
    <s v="Simulaties voor invoering actieplan afgerond (KT), waaruit mogelijkheid voor conflictvrije fietsfase langs R30 moet blijken. Parallel studie fiets-voetgangersbrug over R30 wordt opgestart (dd juni 2020) (MLT)"/>
    <s v="Structurele Ingreep"/>
    <s v="WWV/INV/R30/2"/>
    <b v="0"/>
    <s v="Ingreep wordt niet opgevolgd in BOD"/>
    <s v="&lt;null&gt;"/>
    <s v="&lt;null&gt;"/>
    <s v="&lt;null&gt;"/>
    <s v="&lt;null&gt;"/>
    <s v="&lt;null&gt;"/>
    <x v="0"/>
    <s v="&lt;null&gt;"/>
    <s v="&lt;null&gt;"/>
    <s v="&lt;null&gt;"/>
    <s v="&lt;null&gt;"/>
    <n v="100"/>
    <s v="&lt;null&gt;"/>
    <s v="&lt;null&gt;"/>
    <s v="&lt;null&gt;"/>
    <s v="&lt;null&gt;"/>
    <m/>
    <m/>
    <m/>
    <m/>
  </r>
  <r>
    <x v="358"/>
    <x v="358"/>
    <s v="Verkeersveiligheid"/>
    <x v="1"/>
    <n v="399"/>
    <s v="IN/000363"/>
    <s v="in Brugge : Blankenbergse Steenweg, Scheepsdalelaan, Sint-Pieterskaai, Steenkaai"/>
    <s v="Vierkant groen op kruispunt Scheepsdalebrug. \nInfrastructurele aanpassingen aan het kruispunt (VRI en wegenis) met de Houtkaai.\n\n"/>
    <s v="Kleine Ingreep"/>
    <s v="WWV/INV/N9/4"/>
    <b v="1"/>
    <s v="Ingreep wordt opgevolgd in BOD"/>
    <n v="10167"/>
    <s v="MDN/59-5"/>
    <n v="89251"/>
    <n v="21040192"/>
    <s v="&lt;p&gt;Brugge - R30/N9 R30 Sint-Pieterskaai - N9 Blankenbergsesteenweg - Steenkaai - Slachthuisstraat. Herinrichten kruispunt WW0217/VL conform &quot;Actieplan verkeerslichten - Relance Wegen en Verkeer West-Vlaanderen&quot; - Historia 41465-2/4&lt;/p&gt;"/>
    <x v="8"/>
    <n v="6203"/>
    <s v="&lt;null&gt;"/>
    <s v="&lt;p&gt;Brugge - R30/N9 R30 Sint-Pieterskaai - N9 Blankenbergsesteenweg - Steenkaai - Slachthuisstraat. Herinrichten kruispunt WW0217/VL conform &quot;Actieplan verkeerslichten - Relance Wegen en Verkeer West-Vlaanderen&quot; - Historia 41465-2/4&lt;/p&gt;"/>
    <s v="WWV/INV/N9/4"/>
    <n v="100"/>
    <n v="164760.54999999999"/>
    <n v="0"/>
    <n v="0"/>
    <n v="67026.720000000001"/>
    <n v="164760.54999999999"/>
    <n v="0"/>
    <n v="0"/>
    <n v="67026.720000000001"/>
  </r>
  <r>
    <x v="359"/>
    <x v="359"/>
    <s v="Verkeersveiligheid"/>
    <x v="1"/>
    <n v="400"/>
    <s v="IN/000364"/>
    <s v="VRI: aanpassen lichtenregeling in Brugge : Buiten De Kruispoort, Buiten Kazernevest, Buiten Kruisvest, Langestraat, Moerkerkse Steenweg"/>
    <s v="Aanpassen lichtenregeling"/>
    <s v="Kleine Ingreep"/>
    <s v="&lt;null&gt;"/>
    <b v="0"/>
    <s v="Ingreep wordt niet opgevolgd in BOD"/>
    <s v="&lt;null&gt;"/>
    <s v="&lt;null&gt;"/>
    <s v="&lt;null&gt;"/>
    <s v="&lt;null&gt;"/>
    <s v="&lt;null&gt;"/>
    <x v="0"/>
    <s v="&lt;null&gt;"/>
    <s v="&lt;null&gt;"/>
    <s v="&lt;null&gt;"/>
    <s v="&lt;null&gt;"/>
    <n v="100"/>
    <s v="&lt;null&gt;"/>
    <s v="&lt;null&gt;"/>
    <s v="&lt;null&gt;"/>
    <s v="&lt;null&gt;"/>
    <m/>
    <m/>
    <m/>
    <m/>
  </r>
  <r>
    <x v="359"/>
    <x v="359"/>
    <s v="Verkeersveiligheid"/>
    <x v="1"/>
    <n v="401"/>
    <s v="IN/000365"/>
    <s v="VRI: aanpassen lichtenregeling in Brugge : Buiten De Kruispoort, Buiten Kazernevest, Buiten Kruisvest, Langestraat, Moerkerkse Steenweg"/>
    <s v="Infrastructurele wijzigingen. Aanleg tweede kruispoortbrug.\nOpdrachtgever studiefase: DVW (contactpersoon = Jonas Fahy)"/>
    <s v="Kleine Ingreep"/>
    <s v="&lt;null&gt;"/>
    <b v="0"/>
    <s v="Ingreep wordt niet opgevolgd in BOD"/>
    <s v="&lt;null&gt;"/>
    <s v="&lt;null&gt;"/>
    <s v="&lt;null&gt;"/>
    <s v="&lt;null&gt;"/>
    <s v="&lt;null&gt;"/>
    <x v="0"/>
    <s v="&lt;null&gt;"/>
    <s v="&lt;null&gt;"/>
    <s v="&lt;null&gt;"/>
    <s v="&lt;null&gt;"/>
    <n v="100"/>
    <s v="&lt;null&gt;"/>
    <s v="&lt;null&gt;"/>
    <s v="&lt;null&gt;"/>
    <s v="&lt;null&gt;"/>
    <m/>
    <m/>
    <m/>
    <m/>
  </r>
  <r>
    <x v="360"/>
    <x v="360"/>
    <s v="Verkeersveiligheid"/>
    <x v="1"/>
    <n v="402"/>
    <s v="IN/000366"/>
    <s v="Fietspad: coating in Brugge : Gistelse Steenweg, Korte Vesting"/>
    <s v="accentueren fietspaden"/>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403"/>
    <s v="IN/000367"/>
    <s v="Fietspad: coating in Brugge : Gistelse Steenweg, Korte Vesting"/>
    <s v="herinrichten wegvak Phare- Smedenpoort &gt; studie moet nog worden opgestart"/>
    <s v="Kleine Ingreep"/>
    <s v="&lt;null&gt;"/>
    <b v="0"/>
    <s v="Ingreep wordt niet opgevolgd in BOD"/>
    <s v="&lt;null&gt;"/>
    <s v="&lt;null&gt;"/>
    <s v="&lt;null&gt;"/>
    <s v="&lt;null&gt;"/>
    <s v="&lt;null&gt;"/>
    <x v="0"/>
    <s v="&lt;null&gt;"/>
    <s v="&lt;null&gt;"/>
    <s v="&lt;null&gt;"/>
    <s v="&lt;null&gt;"/>
    <s v="&lt;null&gt;"/>
    <s v="&lt;null&gt;"/>
    <s v="&lt;null&gt;"/>
    <s v="&lt;null&gt;"/>
    <s v="&lt;null&gt;"/>
    <m/>
    <m/>
    <m/>
    <m/>
  </r>
  <r>
    <x v="361"/>
    <x v="361"/>
    <s v="Verkeersveiligheid"/>
    <x v="1"/>
    <n v="404"/>
    <s v="IN/000368"/>
    <s v="in Brugge : Sint-Baafsstraat, Torhoutse Steenweg"/>
    <s v="accentueren fietspad"/>
    <s v="Kleine Ingreep"/>
    <s v="&lt;null&gt;"/>
    <b v="0"/>
    <s v="Ingreep wordt niet opgevolgd in BOD"/>
    <s v="&lt;null&gt;"/>
    <s v="&lt;null&gt;"/>
    <s v="&lt;null&gt;"/>
    <s v="&lt;null&gt;"/>
    <s v="&lt;null&gt;"/>
    <x v="0"/>
    <s v="&lt;null&gt;"/>
    <s v="&lt;null&gt;"/>
    <s v="&lt;null&gt;"/>
    <s v="&lt;null&gt;"/>
    <n v="100"/>
    <s v="&lt;null&gt;"/>
    <s v="&lt;null&gt;"/>
    <s v="&lt;null&gt;"/>
    <s v="&lt;null&gt;"/>
    <m/>
    <m/>
    <m/>
    <m/>
  </r>
  <r>
    <x v="362"/>
    <x v="362"/>
    <s v="Verkeersveiligheid"/>
    <x v="1"/>
    <n v="405"/>
    <s v="IN/000369"/>
    <s v="in Brugge : Krakeleweg, Sint-Pieterskaai"/>
    <s v="Afsluiten zijstraat"/>
    <s v="Kleine Ingreep"/>
    <s v="WWV/INV/R30/13"/>
    <b v="1"/>
    <s v="Ingreep wordt opgevolgd in BOD"/>
    <s v="&lt;null&gt;"/>
    <s v="&lt;null&gt;"/>
    <n v="118201"/>
    <n v="21065772"/>
    <s v="&lt;p&gt;OF AWV/INV/2021/3 P3 3mh229 - gevaarlijke punten&lt;/p&gt;"/>
    <x v="10"/>
    <n v="8159"/>
    <s v="R30 Krakeleweg Brugge"/>
    <s v="&lt;null&gt;"/>
    <s v="WWV/INV/R30/13"/>
    <n v="100"/>
    <n v="4132"/>
    <n v="0"/>
    <n v="0"/>
    <n v="4132"/>
    <n v="4132"/>
    <n v="0"/>
    <n v="0"/>
    <n v="4132"/>
  </r>
  <r>
    <x v="362"/>
    <x v="362"/>
    <s v="Verkeersveiligheid"/>
    <x v="1"/>
    <n v="406"/>
    <s v="IN/000370"/>
    <s v="in Brugge : Krakeleweg, Sint-Pieterskaai"/>
    <s v="Dubbelrichtingsfietspad zonder aanpassing lichtenregeling, zijstraat wordt enkelrichting."/>
    <s v="Kleine Ingreep"/>
    <s v="&lt;null&gt;"/>
    <b v="0"/>
    <s v="Ingreep wordt niet opgevolgd in BOD"/>
    <s v="&lt;null&gt;"/>
    <s v="&lt;null&gt;"/>
    <s v="&lt;null&gt;"/>
    <s v="&lt;null&gt;"/>
    <s v="&lt;null&gt;"/>
    <x v="0"/>
    <s v="&lt;null&gt;"/>
    <s v="&lt;null&gt;"/>
    <s v="&lt;null&gt;"/>
    <s v="&lt;null&gt;"/>
    <n v="100"/>
    <s v="&lt;null&gt;"/>
    <s v="&lt;null&gt;"/>
    <s v="&lt;null&gt;"/>
    <s v="&lt;null&gt;"/>
    <m/>
    <m/>
    <m/>
    <m/>
  </r>
  <r>
    <x v="363"/>
    <x v="363"/>
    <s v="Verkeersveiligheid"/>
    <x v="1"/>
    <n v="407"/>
    <s v="IN/000371"/>
    <s v="in Brugge : Doornhut, Maalse Steenweg, Vossensteert"/>
    <s v="Aanpassing VRI"/>
    <s v="Kleine Ingreep"/>
    <s v="&lt;null&gt;"/>
    <b v="0"/>
    <s v="Ingreep wordt niet opgevolgd in BOD"/>
    <s v="&lt;null&gt;"/>
    <s v="&lt;null&gt;"/>
    <s v="&lt;null&gt;"/>
    <s v="&lt;null&gt;"/>
    <s v="&lt;null&gt;"/>
    <x v="0"/>
    <s v="&lt;null&gt;"/>
    <s v="&lt;null&gt;"/>
    <s v="&lt;null&gt;"/>
    <s v="&lt;null&gt;"/>
    <n v="100"/>
    <s v="&lt;null&gt;"/>
    <s v="&lt;null&gt;"/>
    <s v="&lt;null&gt;"/>
    <s v="&lt;null&gt;"/>
    <m/>
    <m/>
    <m/>
    <m/>
  </r>
  <r>
    <x v="364"/>
    <x v="364"/>
    <s v="Verkeersveiligheid"/>
    <x v="1"/>
    <n v="408"/>
    <s v="IN/000372"/>
    <s v="in Brugge : Baron Ruzettelaan, Buiten Gentpoortvest, Buiten Katelijnevest, Katelijnestraat, R30 Buitenring"/>
    <s v="V-plan opgemaakt 20/12/18. Belangrijkste conflict voor fietsers weg"/>
    <s v="Kleine Ingreep"/>
    <s v="&lt;null&gt;"/>
    <b v="0"/>
    <s v="Ingreep wordt niet opgevolgd in BOD"/>
    <s v="&lt;null&gt;"/>
    <s v="&lt;null&gt;"/>
    <s v="&lt;null&gt;"/>
    <s v="&lt;null&gt;"/>
    <s v="&lt;null&gt;"/>
    <x v="0"/>
    <s v="&lt;null&gt;"/>
    <s v="&lt;null&gt;"/>
    <s v="&lt;null&gt;"/>
    <s v="&lt;null&gt;"/>
    <n v="100"/>
    <s v="&lt;null&gt;"/>
    <s v="&lt;null&gt;"/>
    <s v="&lt;null&gt;"/>
    <s v="&lt;null&gt;"/>
    <m/>
    <m/>
    <m/>
    <m/>
  </r>
  <r>
    <x v="352"/>
    <x v="352"/>
    <s v="Verkeersveiligheid"/>
    <x v="1"/>
    <n v="409"/>
    <s v="IN/000373"/>
    <s v="in Brugge : Generaal Lemanlaan, N337a Verbinding R30 - N337, Nijverheidsstraat"/>
    <s v="Stopstreep verbindingsweg x N337 + rode coating op fietspad over Nijverheidsstraat (14/08/2019)"/>
    <s v="Kleine Ingreep"/>
    <s v="WWV/INV/N337/5"/>
    <b v="0"/>
    <s v="Ingreep wordt niet opgevolgd in BOD"/>
    <s v="&lt;null&gt;"/>
    <s v="&lt;null&gt;"/>
    <s v="&lt;null&gt;"/>
    <s v="&lt;null&gt;"/>
    <s v="&lt;null&gt;"/>
    <x v="0"/>
    <s v="&lt;null&gt;"/>
    <s v="&lt;null&gt;"/>
    <s v="&lt;null&gt;"/>
    <s v="&lt;null&gt;"/>
    <n v="100"/>
    <s v="&lt;null&gt;"/>
    <s v="&lt;null&gt;"/>
    <s v="&lt;null&gt;"/>
    <s v="&lt;null&gt;"/>
    <m/>
    <m/>
    <m/>
    <m/>
  </r>
  <r>
    <x v="18"/>
    <x v="18"/>
    <s v="&lt;null&gt;"/>
    <x v="3"/>
    <n v="410"/>
    <s v="IN/000374"/>
    <s v="in Brugge : Generaal Lemanlaan, N337a Verbinding R30 - N337, Nijverheidsstraat"/>
    <s v="Aanpassen kruisingen nav onderzoek door Buro Move - Suunta en toegelicht aan stad Brugge op 16/01/19. Simulaties Sweco uitgevoerd en goedgekeurd. Detailontwerp in opmaak (19/6/19). Ggk op PCV 29/4/2020."/>
    <s v="Kleine Ingreep"/>
    <s v="&lt;null&gt;"/>
    <b v="0"/>
    <s v="Ingreep wordt niet opgevolgd in BOD"/>
    <s v="&lt;null&gt;"/>
    <s v="&lt;null&gt;"/>
    <s v="&lt;null&gt;"/>
    <s v="&lt;null&gt;"/>
    <s v="&lt;null&gt;"/>
    <x v="0"/>
    <s v="&lt;null&gt;"/>
    <s v="&lt;null&gt;"/>
    <s v="&lt;null&gt;"/>
    <s v="&lt;null&gt;"/>
    <s v="&lt;null&gt;"/>
    <s v="&lt;null&gt;"/>
    <s v="&lt;null&gt;"/>
    <s v="&lt;null&gt;"/>
    <s v="&lt;null&gt;"/>
    <m/>
    <m/>
    <m/>
    <m/>
  </r>
  <r>
    <x v="365"/>
    <x v="365"/>
    <s v="Verkeersveiligheid"/>
    <x v="1"/>
    <n v="411"/>
    <s v="IN/000375"/>
    <s v="in Brugge : Gistelse Steenweg, burggraaf de Nieulantlaan"/>
    <s v="studie N367 Sint-Andries is lopende"/>
    <s v="Kleine Ingreep"/>
    <s v="&lt;null&gt;"/>
    <b v="0"/>
    <s v="Ingreep wordt niet opgevolgd in BOD"/>
    <s v="&lt;null&gt;"/>
    <s v="&lt;null&gt;"/>
    <s v="&lt;null&gt;"/>
    <s v="&lt;null&gt;"/>
    <s v="&lt;null&gt;"/>
    <x v="0"/>
    <s v="&lt;null&gt;"/>
    <s v="&lt;null&gt;"/>
    <s v="&lt;null&gt;"/>
    <s v="&lt;null&gt;"/>
    <n v="100"/>
    <s v="&lt;null&gt;"/>
    <s v="&lt;null&gt;"/>
    <s v="&lt;null&gt;"/>
    <s v="&lt;null&gt;"/>
    <m/>
    <m/>
    <m/>
    <m/>
  </r>
  <r>
    <x v="366"/>
    <x v="366"/>
    <s v="Verkeersveiligheid"/>
    <x v="1"/>
    <n v="412"/>
    <s v="IN/000376"/>
    <s v="in Brugge : Bevrijdingslaan, Guido Gezellelaan, Gulden-Vlieslaan, Hoefijzerlaan, Pater Damiaanstraat"/>
    <s v="oplossing voor fiets-fiets-ongevallen op de hoek met de Damiaanstraat. Verbeteren zichtbaarheid."/>
    <s v="Kleine Ingreep"/>
    <s v="&lt;null&gt;"/>
    <b v="0"/>
    <s v="Ingreep wordt niet opgevolgd in BOD"/>
    <s v="&lt;null&gt;"/>
    <s v="&lt;null&gt;"/>
    <s v="&lt;null&gt;"/>
    <s v="&lt;null&gt;"/>
    <s v="&lt;null&gt;"/>
    <x v="0"/>
    <s v="&lt;null&gt;"/>
    <s v="&lt;null&gt;"/>
    <s v="&lt;null&gt;"/>
    <s v="&lt;null&gt;"/>
    <n v="100"/>
    <s v="&lt;null&gt;"/>
    <s v="&lt;null&gt;"/>
    <s v="&lt;null&gt;"/>
    <s v="&lt;null&gt;"/>
    <m/>
    <m/>
    <m/>
    <m/>
  </r>
  <r>
    <x v="367"/>
    <x v="367"/>
    <s v="Verkeersveiligheid"/>
    <x v="1"/>
    <n v="413"/>
    <s v="IN/000377"/>
    <s v="in Brugge : Buiten Begijnenvest, Chantrellstraat, Hendrik Brugmansstraat"/>
    <s v="Simulaties voor invoering actieplan afgerond (KT), waaruit mogelijkheid voor conflictvrije fietsfase langs R30 moet blijken. Parallel studie fiets-voetgangersbrug over R30 wordt opgestart (dd juni 2020) (MLT)"/>
    <s v="Kleine Ingreep"/>
    <s v="&lt;null&gt;"/>
    <b v="0"/>
    <s v="Ingreep wordt niet opgevolgd in BOD"/>
    <s v="&lt;null&gt;"/>
    <s v="&lt;null&gt;"/>
    <s v="&lt;null&gt;"/>
    <s v="&lt;null&gt;"/>
    <s v="&lt;null&gt;"/>
    <x v="0"/>
    <s v="&lt;null&gt;"/>
    <s v="&lt;null&gt;"/>
    <s v="&lt;null&gt;"/>
    <s v="&lt;null&gt;"/>
    <n v="100"/>
    <s v="&lt;null&gt;"/>
    <s v="&lt;null&gt;"/>
    <s v="&lt;null&gt;"/>
    <s v="&lt;null&gt;"/>
    <m/>
    <m/>
    <m/>
    <m/>
  </r>
  <r>
    <x v="368"/>
    <x v="368"/>
    <s v="Verkeersveiligheid"/>
    <x v="1"/>
    <n v="414"/>
    <s v="IN/000378"/>
    <s v="in De Haan : Brugse Baan, Clemensheulestraat, Duiveketestraat"/>
    <s v="TC geplaatst \nEventueel: Uitvoerig PCV beslissing (middengeleiders, aanpassing bushaltes, accentueren fietspaden, ....)\nTiming afhankelijk van coronamaatregelen. Uitvoering voorzien in stockbestek dit jaar."/>
    <s v="Kleine Ingreep"/>
    <s v="&lt;null&gt;"/>
    <b v="0"/>
    <s v="Ingreep wordt niet opgevolgd in BOD"/>
    <s v="&lt;null&gt;"/>
    <s v="&lt;null&gt;"/>
    <s v="&lt;null&gt;"/>
    <s v="&lt;null&gt;"/>
    <s v="&lt;null&gt;"/>
    <x v="0"/>
    <s v="&lt;null&gt;"/>
    <s v="&lt;null&gt;"/>
    <s v="&lt;null&gt;"/>
    <s v="&lt;null&gt;"/>
    <n v="100"/>
    <s v="&lt;null&gt;"/>
    <s v="&lt;null&gt;"/>
    <s v="&lt;null&gt;"/>
    <s v="&lt;null&gt;"/>
    <m/>
    <m/>
    <m/>
    <m/>
  </r>
  <r>
    <x v="369"/>
    <x v="369"/>
    <s v="Verkeersveiligheid"/>
    <x v="1"/>
    <n v="415"/>
    <s v="IN/000379"/>
    <s v="in De Panne : N34 Richting De Panne"/>
    <s v="parkeren onmogelijk maken zijde Hoeve Noord om de zichtbaarheid bij het uitrijden te verbeteren."/>
    <s v="Kleine Ingreep"/>
    <s v="&lt;null&gt;"/>
    <b v="0"/>
    <s v="Ingreep wordt niet opgevolgd in BOD"/>
    <s v="&lt;null&gt;"/>
    <s v="&lt;null&gt;"/>
    <s v="&lt;null&gt;"/>
    <s v="&lt;null&gt;"/>
    <s v="&lt;null&gt;"/>
    <x v="0"/>
    <s v="&lt;null&gt;"/>
    <s v="&lt;null&gt;"/>
    <s v="&lt;null&gt;"/>
    <s v="&lt;null&gt;"/>
    <n v="100"/>
    <s v="&lt;null&gt;"/>
    <s v="&lt;null&gt;"/>
    <s v="&lt;null&gt;"/>
    <s v="&lt;null&gt;"/>
    <m/>
    <m/>
    <m/>
    <m/>
  </r>
  <r>
    <x v="369"/>
    <x v="369"/>
    <s v="Verkeersveiligheid"/>
    <x v="1"/>
    <n v="416"/>
    <s v="IN/000380"/>
    <s v="in De Panne : N34 Richting De Panne"/>
    <s v="omleidingsweg Adinkerke (uitgebreide werken)"/>
    <s v="Structurele Ingreep"/>
    <s v="WWV/INV/N34/1"/>
    <b v="0"/>
    <s v="Ingreep wordt niet opgevolgd in BOD"/>
    <s v="&lt;null&gt;"/>
    <s v="&lt;null&gt;"/>
    <s v="&lt;null&gt;"/>
    <s v="&lt;null&gt;"/>
    <s v="&lt;null&gt;"/>
    <x v="0"/>
    <s v="&lt;null&gt;"/>
    <s v="&lt;null&gt;"/>
    <s v="&lt;null&gt;"/>
    <s v="&lt;null&gt;"/>
    <n v="100"/>
    <s v="&lt;null&gt;"/>
    <s v="&lt;null&gt;"/>
    <s v="&lt;null&gt;"/>
    <s v="&lt;null&gt;"/>
    <m/>
    <m/>
    <m/>
    <m/>
  </r>
  <r>
    <x v="370"/>
    <x v="370"/>
    <s v="Verkeersveiligheid"/>
    <x v="1"/>
    <n v="417"/>
    <s v="IN/000381"/>
    <s v="VERWIJDEREN SAMEN MET ANDERE INGREEP in De Pinte : A14-E17 Richting Frankrijk Uitrit 8, N60 Richting Gent, N60 Richting Valenciennes (Fr)"/>
    <s v="wordt een driekwart klaverblad, + aanleg rotonde + fietser gescheiden"/>
    <s v="Structurele Ingreep"/>
    <s v="&lt;null&gt;"/>
    <b v="0"/>
    <s v="Ingreep wordt niet opgevolgd in BOD"/>
    <s v="&lt;null&gt;"/>
    <s v="&lt;null&gt;"/>
    <s v="&lt;null&gt;"/>
    <s v="&lt;null&gt;"/>
    <s v="&lt;null&gt;"/>
    <x v="0"/>
    <s v="&lt;null&gt;"/>
    <s v="&lt;null&gt;"/>
    <s v="&lt;null&gt;"/>
    <s v="&lt;null&gt;"/>
    <n v="100"/>
    <s v="&lt;null&gt;"/>
    <s v="&lt;null&gt;"/>
    <s v="&lt;null&gt;"/>
    <s v="&lt;null&gt;"/>
    <m/>
    <m/>
    <m/>
    <m/>
  </r>
  <r>
    <x v="370"/>
    <x v="370"/>
    <s v="Verkeersveiligheid"/>
    <x v="1"/>
    <n v="418"/>
    <s v="IN/000382"/>
    <s v="in De Pinte : A14-E17 Richting Antwerpen Uitrit 8, N60 Richting Gent, N60 Richting Valenciennes (Fr)"/>
    <s v="wordt een driekwart klaverblad, + aanleg rotonde + fietser gescheiden"/>
    <s v="Structurele Ingreep"/>
    <s v="WOV/INV/N60/8"/>
    <b v="0"/>
    <s v="Ingreep wordt niet opgevolgd in BOD"/>
    <s v="&lt;null&gt;"/>
    <s v="&lt;null&gt;"/>
    <s v="&lt;null&gt;"/>
    <s v="&lt;null&gt;"/>
    <s v="&lt;null&gt;"/>
    <x v="0"/>
    <s v="&lt;null&gt;"/>
    <s v="&lt;null&gt;"/>
    <s v="&lt;null&gt;"/>
    <s v="&lt;null&gt;"/>
    <n v="20"/>
    <s v="&lt;null&gt;"/>
    <s v="&lt;null&gt;"/>
    <s v="&lt;null&gt;"/>
    <s v="&lt;null&gt;"/>
    <m/>
    <m/>
    <m/>
    <m/>
  </r>
  <r>
    <x v="371"/>
    <x v="371"/>
    <s v="Verkeersveiligheid"/>
    <x v="1"/>
    <n v="418"/>
    <s v="IN/000382"/>
    <s v="in De Pinte : A14-E17 Richting Antwerpen Uitrit 8, N60 Richting Gent, N60 Richting Valenciennes (Fr)"/>
    <s v="wordt een driekwart klaverblad, + aanleg rotonde + fietser gescheiden"/>
    <s v="Structurele Ingreep"/>
    <s v="WOV/INV/N60/8"/>
    <b v="0"/>
    <s v="Ingreep wordt niet opgevolgd in BOD"/>
    <s v="&lt;null&gt;"/>
    <s v="&lt;null&gt;"/>
    <s v="&lt;null&gt;"/>
    <s v="&lt;null&gt;"/>
    <s v="&lt;null&gt;"/>
    <x v="0"/>
    <s v="&lt;null&gt;"/>
    <s v="&lt;null&gt;"/>
    <s v="&lt;null&gt;"/>
    <s v="&lt;null&gt;"/>
    <n v="80"/>
    <s v="&lt;null&gt;"/>
    <s v="&lt;null&gt;"/>
    <s v="&lt;null&gt;"/>
    <s v="&lt;null&gt;"/>
    <m/>
    <m/>
    <m/>
    <m/>
  </r>
  <r>
    <x v="372"/>
    <x v="372"/>
    <s v="Verkeersveiligheid"/>
    <x v="1"/>
    <n v="419"/>
    <s v="IN/000383"/>
    <s v="in Deerlijk : A14-E17 Richting Frankrijk Oprit 4, Vichtesteenweg"/>
    <s v="Aanpassing VRI"/>
    <s v="Kleine Ingreep"/>
    <s v="&lt;null&gt;"/>
    <b v="0"/>
    <s v="Ingreep wordt niet opgevolgd in BOD"/>
    <s v="&lt;null&gt;"/>
    <s v="&lt;null&gt;"/>
    <s v="&lt;null&gt;"/>
    <s v="&lt;null&gt;"/>
    <s v="&lt;null&gt;"/>
    <x v="0"/>
    <s v="&lt;null&gt;"/>
    <s v="&lt;null&gt;"/>
    <s v="&lt;null&gt;"/>
    <s v="&lt;null&gt;"/>
    <n v="100"/>
    <s v="&lt;null&gt;"/>
    <s v="&lt;null&gt;"/>
    <s v="&lt;null&gt;"/>
    <s v="&lt;null&gt;"/>
    <m/>
    <m/>
    <m/>
    <m/>
  </r>
  <r>
    <x v="373"/>
    <x v="373"/>
    <s v="Verkeersveiligheid"/>
    <x v="1"/>
    <n v="420"/>
    <s v="IN/000384"/>
    <s v="in Denderleeuw : N45 met Hoogstraat"/>
    <s v="stopstreep verplaatst (september 2019), trajectcontrole geplaatst (2018, maar werkt nog niet) op 2 locaties N45 2.1-4.7 en 6&gt;N28) allebei geplaatst in 2018, RLC functie (DO afwachten)"/>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421"/>
    <s v="IN/000385"/>
    <s v="VERWIJDEREN in Dendermonde : N17 Mechelsesteenweg, N41 Richting Aalst, N41 Richting Hulst (Nl)"/>
    <s v="Volledig conflictvrije maken, waardoor er een extra vak moet bijgelegd worden"/>
    <s v="Structurele Ingreep"/>
    <s v="&lt;null&gt;"/>
    <b v="0"/>
    <s v="Ingreep wordt niet opgevolgd in BOD"/>
    <s v="&lt;null&gt;"/>
    <s v="&lt;null&gt;"/>
    <s v="&lt;null&gt;"/>
    <s v="&lt;null&gt;"/>
    <s v="&lt;null&gt;"/>
    <x v="0"/>
    <s v="&lt;null&gt;"/>
    <s v="&lt;null&gt;"/>
    <s v="&lt;null&gt;"/>
    <s v="&lt;null&gt;"/>
    <s v="&lt;null&gt;"/>
    <s v="&lt;null&gt;"/>
    <s v="&lt;null&gt;"/>
    <s v="&lt;null&gt;"/>
    <s v="&lt;null&gt;"/>
    <m/>
    <m/>
    <m/>
    <m/>
  </r>
  <r>
    <x v="374"/>
    <x v="374"/>
    <s v="Verkeersveiligheid"/>
    <x v="1"/>
    <n v="422"/>
    <s v="IN/000386"/>
    <s v="VERWIJDEREN in Dendermonde : N47 Leopold II-laan, Martelarenlaan, N17 Mechelsesteenweg, N406 Noordlaan"/>
    <s v="complete heraanleg (TV3V project)"/>
    <s v="Structurele Ingreep"/>
    <s v="&lt;null&gt;"/>
    <b v="0"/>
    <s v="Ingreep wordt niet opgevolgd in BOD"/>
    <s v="&lt;null&gt;"/>
    <s v="&lt;null&gt;"/>
    <s v="&lt;null&gt;"/>
    <s v="&lt;null&gt;"/>
    <s v="&lt;null&gt;"/>
    <x v="0"/>
    <s v="&lt;null&gt;"/>
    <s v="&lt;null&gt;"/>
    <s v="&lt;null&gt;"/>
    <s v="&lt;null&gt;"/>
    <n v="100"/>
    <s v="&lt;null&gt;"/>
    <s v="&lt;null&gt;"/>
    <s v="&lt;null&gt;"/>
    <s v="&lt;null&gt;"/>
    <m/>
    <m/>
    <m/>
    <m/>
  </r>
  <r>
    <x v="375"/>
    <x v="375"/>
    <s v="Verkeersveiligheid"/>
    <x v="1"/>
    <n v="423"/>
    <s v="IN/000387"/>
    <s v="in Dendermonde : N406 Noordlaan met De Bruynlaan en Veerstraat"/>
    <s v="GIP2020; aanbesteding in 2020, start uitvoering ten vroegste najaar 2021 (samen met Mechelsepoort)"/>
    <s v="Structurele Ingreep"/>
    <s v="WOV/INV/N17/1"/>
    <b v="0"/>
    <s v="Ingreep wordt niet opgevolgd in BOD"/>
    <s v="&lt;null&gt;"/>
    <s v="&lt;null&gt;"/>
    <s v="&lt;null&gt;"/>
    <s v="&lt;null&gt;"/>
    <s v="&lt;null&gt;"/>
    <x v="0"/>
    <s v="&lt;null&gt;"/>
    <s v="&lt;null&gt;"/>
    <s v="&lt;null&gt;"/>
    <s v="&lt;null&gt;"/>
    <n v="10"/>
    <s v="&lt;null&gt;"/>
    <s v="&lt;null&gt;"/>
    <s v="&lt;null&gt;"/>
    <s v="&lt;null&gt;"/>
    <m/>
    <m/>
    <m/>
    <m/>
  </r>
  <r>
    <x v="374"/>
    <x v="374"/>
    <s v="Verkeersveiligheid"/>
    <x v="1"/>
    <n v="423"/>
    <s v="IN/000387"/>
    <s v="in Dendermonde : N406 Noordlaan met De Bruynlaan en Veerstraat"/>
    <s v="GIP2020; aanbesteding in 2020, start uitvoering ten vroegste najaar 2021 (samen met Mechelsepoort)"/>
    <s v="Structurele Ingreep"/>
    <s v="WOV/INV/N17/1"/>
    <b v="0"/>
    <s v="Ingreep wordt niet opgevolgd in BOD"/>
    <s v="&lt;null&gt;"/>
    <s v="&lt;null&gt;"/>
    <s v="&lt;null&gt;"/>
    <s v="&lt;null&gt;"/>
    <s v="&lt;null&gt;"/>
    <x v="0"/>
    <s v="&lt;null&gt;"/>
    <s v="&lt;null&gt;"/>
    <s v="&lt;null&gt;"/>
    <s v="&lt;null&gt;"/>
    <n v="75"/>
    <s v="&lt;null&gt;"/>
    <s v="&lt;null&gt;"/>
    <s v="&lt;null&gt;"/>
    <s v="&lt;null&gt;"/>
    <m/>
    <m/>
    <m/>
    <m/>
  </r>
  <r>
    <x v="376"/>
    <x v="376"/>
    <s v="Verkeersveiligheid"/>
    <x v="1"/>
    <n v="423"/>
    <s v="IN/000387"/>
    <s v="in Dendermonde : N406 Noordlaan met De Bruynlaan en Veerstraat"/>
    <s v="GIP2020; aanbesteding in 2020, start uitvoering ten vroegste najaar 2021 (samen met Mechelsepoort)"/>
    <s v="Structurele Ingreep"/>
    <s v="WOV/INV/N17/1"/>
    <b v="0"/>
    <s v="Ingreep wordt niet opgevolgd in BOD"/>
    <s v="&lt;null&gt;"/>
    <s v="&lt;null&gt;"/>
    <s v="&lt;null&gt;"/>
    <s v="&lt;null&gt;"/>
    <s v="&lt;null&gt;"/>
    <x v="0"/>
    <s v="&lt;null&gt;"/>
    <s v="&lt;null&gt;"/>
    <s v="&lt;null&gt;"/>
    <s v="&lt;null&gt;"/>
    <n v="10"/>
    <s v="&lt;null&gt;"/>
    <s v="&lt;null&gt;"/>
    <s v="&lt;null&gt;"/>
    <s v="&lt;null&gt;"/>
    <m/>
    <m/>
    <m/>
    <m/>
  </r>
  <r>
    <x v="377"/>
    <x v="377"/>
    <s v="Verkeersveiligheid"/>
    <x v="1"/>
    <n v="423"/>
    <s v="IN/000387"/>
    <s v="in Dendermonde : N406 Noordlaan met De Bruynlaan en Veerstraat"/>
    <s v="GIP2020; aanbesteding in 2020, start uitvoering ten vroegste najaar 2021 (samen met Mechelsepoort)"/>
    <s v="Structurele Ingreep"/>
    <s v="WOV/INV/N17/1"/>
    <b v="0"/>
    <s v="Ingreep wordt niet opgevolgd in BOD"/>
    <s v="&lt;null&gt;"/>
    <s v="&lt;null&gt;"/>
    <s v="&lt;null&gt;"/>
    <s v="&lt;null&gt;"/>
    <s v="&lt;null&gt;"/>
    <x v="0"/>
    <s v="&lt;null&gt;"/>
    <s v="&lt;null&gt;"/>
    <s v="&lt;null&gt;"/>
    <s v="&lt;null&gt;"/>
    <n v="5"/>
    <s v="&lt;null&gt;"/>
    <s v="&lt;null&gt;"/>
    <s v="&lt;null&gt;"/>
    <s v="&lt;null&gt;"/>
    <m/>
    <m/>
    <m/>
    <m/>
  </r>
  <r>
    <x v="18"/>
    <x v="18"/>
    <s v="&lt;null&gt;"/>
    <x v="3"/>
    <n v="424"/>
    <s v="IN/000388"/>
    <s v="VRI: aanpassen lichtenregeling + bijkomende aanpassingen infra in Diepenbeek : Grendelbaan, Verbindingslaan"/>
    <s v="Conflictvrij maken van kruispunt (2T-kruispunten ipv 4 armen)"/>
    <s v="Kleine Ingreep"/>
    <s v="WL/INV/N76/21"/>
    <b v="0"/>
    <s v="Ingreep wordt niet opgevolgd in BOD"/>
    <s v="&lt;null&gt;"/>
    <s v="&lt;null&gt;"/>
    <s v="&lt;null&gt;"/>
    <s v="&lt;null&gt;"/>
    <s v="&lt;null&gt;"/>
    <x v="0"/>
    <s v="&lt;null&gt;"/>
    <s v="&lt;null&gt;"/>
    <s v="&lt;null&gt;"/>
    <s v="&lt;null&gt;"/>
    <s v="&lt;null&gt;"/>
    <s v="&lt;null&gt;"/>
    <s v="&lt;null&gt;"/>
    <s v="&lt;null&gt;"/>
    <s v="&lt;null&gt;"/>
    <m/>
    <m/>
    <m/>
    <m/>
  </r>
  <r>
    <x v="378"/>
    <x v="378"/>
    <s v="Verkeersveiligheid"/>
    <x v="1"/>
    <n v="425"/>
    <s v="IN/000389"/>
    <s v="Diepenbeek N76 x N2"/>
    <s v="Het betreft in eerste fase een tijdelijke vernieuwde aansluiting van de Grendelbaan (N2) op de Verbindingslaan (N76) aan de zijde van Diepenbeek-centrum. Die aanpassing moet er komen om de aansluiting te kunnen maken op de nieuwe spoorwegbrug Molenstraat "/>
    <s v="Structurele Ingreep"/>
    <s v="WL/INV/N76/6"/>
    <b v="0"/>
    <s v="Ingreep wordt niet opgevolgd in BOD"/>
    <s v="&lt;null&gt;"/>
    <s v="&lt;null&gt;"/>
    <s v="&lt;null&gt;"/>
    <s v="&lt;null&gt;"/>
    <s v="&lt;null&gt;"/>
    <x v="0"/>
    <s v="&lt;null&gt;"/>
    <s v="&lt;null&gt;"/>
    <s v="&lt;null&gt;"/>
    <s v="&lt;null&gt;"/>
    <n v="100"/>
    <s v="&lt;null&gt;"/>
    <s v="&lt;null&gt;"/>
    <s v="&lt;null&gt;"/>
    <s v="&lt;null&gt;"/>
    <m/>
    <m/>
    <m/>
    <m/>
  </r>
  <r>
    <x v="379"/>
    <x v="379"/>
    <s v="Verkeersveiligheid"/>
    <x v="1"/>
    <n v="426"/>
    <s v="IN/000390"/>
    <s v="in Diepenbeek : Katteweidelaan, Verbindingslaan"/>
    <s v="Plaatsing VRI"/>
    <s v="Kleine Ingreep"/>
    <s v="&lt;null&gt;"/>
    <b v="0"/>
    <s v="Ingreep wordt niet opgevolgd in BOD"/>
    <s v="&lt;null&gt;"/>
    <s v="&lt;null&gt;"/>
    <s v="&lt;null&gt;"/>
    <s v="&lt;null&gt;"/>
    <s v="&lt;null&gt;"/>
    <x v="0"/>
    <s v="&lt;null&gt;"/>
    <s v="&lt;null&gt;"/>
    <s v="&lt;null&gt;"/>
    <s v="&lt;null&gt;"/>
    <n v="100"/>
    <s v="&lt;null&gt;"/>
    <s v="&lt;null&gt;"/>
    <s v="&lt;null&gt;"/>
    <s v="&lt;null&gt;"/>
    <m/>
    <m/>
    <m/>
    <m/>
  </r>
  <r>
    <x v="380"/>
    <x v="380"/>
    <s v="Verkeersveiligheid"/>
    <x v="1"/>
    <n v="427"/>
    <s v="IN/000391"/>
    <s v="in Diest : Koningin Astridlaan, Omer Vanaudenhovelaan, Sint-Janstraat, Sint-Jansveld, Vervoortstraat"/>
    <s v="busbaan van kan verleggen, bredere middenberm, punaise"/>
    <s v="Kleine Ingreep"/>
    <s v="&lt;null&gt;"/>
    <b v="0"/>
    <s v="Ingreep wordt niet opgevolgd in BOD"/>
    <s v="&lt;null&gt;"/>
    <s v="&lt;null&gt;"/>
    <s v="&lt;null&gt;"/>
    <s v="&lt;null&gt;"/>
    <s v="&lt;null&gt;"/>
    <x v="0"/>
    <s v="&lt;null&gt;"/>
    <s v="&lt;null&gt;"/>
    <s v="&lt;null&gt;"/>
    <s v="&lt;null&gt;"/>
    <n v="100"/>
    <s v="&lt;null&gt;"/>
    <s v="&lt;null&gt;"/>
    <s v="&lt;null&gt;"/>
    <s v="&lt;null&gt;"/>
    <m/>
    <m/>
    <m/>
    <m/>
  </r>
  <r>
    <x v="381"/>
    <x v="381"/>
    <s v="Verkeersveiligheid"/>
    <x v="1"/>
    <n v="428"/>
    <s v="IN/000392"/>
    <s v="in Dilbeek : E. Eylenboschstraat, Ninoofsesteenweg, Wijngaardstraa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382"/>
    <x v="382"/>
    <s v="Verkeersveiligheid"/>
    <x v="1"/>
    <n v="429"/>
    <s v="IN/000393"/>
    <s v="in Dilbeek : Ninoofsesteenweg, R0 Buitenring Oprit 13 (N8), Rozenlaan"/>
    <s v="aanpassen stopstreep"/>
    <s v="Kleine Ingreep"/>
    <s v="&lt;null&gt;"/>
    <b v="0"/>
    <s v="Ingreep wordt niet opgevolgd in BOD"/>
    <s v="&lt;null&gt;"/>
    <s v="&lt;null&gt;"/>
    <s v="&lt;null&gt;"/>
    <s v="&lt;null&gt;"/>
    <s v="&lt;null&gt;"/>
    <x v="0"/>
    <s v="&lt;null&gt;"/>
    <s v="&lt;null&gt;"/>
    <s v="&lt;null&gt;"/>
    <s v="&lt;null&gt;"/>
    <n v="100"/>
    <s v="&lt;null&gt;"/>
    <s v="&lt;null&gt;"/>
    <s v="&lt;null&gt;"/>
    <s v="&lt;null&gt;"/>
    <m/>
    <m/>
    <m/>
    <m/>
  </r>
  <r>
    <x v="382"/>
    <x v="382"/>
    <s v="Verkeersveiligheid"/>
    <x v="1"/>
    <n v="430"/>
    <s v="IN/000394"/>
    <s v="in Dilbeek : Ninoofsesteenweg, R0 Buitenring Oprit 13 (N8), Rozenlaan (MAG WEG - DOOR DWV)"/>
    <s v="aanpassing diamond cross. herinrichting R0"/>
    <s v="Structurele Ingreep"/>
    <s v="&lt;null&gt;"/>
    <b v="0"/>
    <s v="Ingreep wordt niet opgevolgd in BOD"/>
    <s v="&lt;null&gt;"/>
    <s v="&lt;null&gt;"/>
    <s v="&lt;null&gt;"/>
    <s v="&lt;null&gt;"/>
    <s v="&lt;null&gt;"/>
    <x v="0"/>
    <s v="&lt;null&gt;"/>
    <s v="&lt;null&gt;"/>
    <s v="&lt;null&gt;"/>
    <s v="&lt;null&gt;"/>
    <n v="100"/>
    <s v="&lt;null&gt;"/>
    <s v="&lt;null&gt;"/>
    <s v="&lt;null&gt;"/>
    <s v="&lt;null&gt;"/>
    <m/>
    <m/>
    <m/>
    <m/>
  </r>
  <r>
    <x v="383"/>
    <x v="383"/>
    <s v="Verkeersveiligheid"/>
    <x v="1"/>
    <n v="431"/>
    <s v="IN/000395"/>
    <s v="in Dilbeek : A10-E40 Richting Brussel (weefzone tussen nevenbedrijf en aansluiting R0)  (MAG WEG - DOOR DWV)"/>
    <s v="wordt heringericht door de werkvenootschap"/>
    <s v="Structurele Ingreep"/>
    <s v="&lt;null&gt;"/>
    <b v="0"/>
    <s v="Ingreep wordt niet opgevolgd in BOD"/>
    <s v="&lt;null&gt;"/>
    <s v="&lt;null&gt;"/>
    <s v="&lt;null&gt;"/>
    <s v="&lt;null&gt;"/>
    <s v="&lt;null&gt;"/>
    <x v="0"/>
    <s v="&lt;null&gt;"/>
    <s v="&lt;null&gt;"/>
    <s v="&lt;null&gt;"/>
    <s v="&lt;null&gt;"/>
    <n v="100"/>
    <s v="&lt;null&gt;"/>
    <s v="&lt;null&gt;"/>
    <s v="&lt;null&gt;"/>
    <s v="&lt;null&gt;"/>
    <m/>
    <m/>
    <m/>
    <m/>
  </r>
  <r>
    <x v="384"/>
    <x v="384"/>
    <s v="Verkeersveiligheid"/>
    <x v="1"/>
    <n v="432"/>
    <s v="IN/000396"/>
    <s v="Handhaving in Dilsen-Stokkem : Rachels, Rijksweg"/>
    <s v="2 RLC's (historische lijst)"/>
    <s v="Kleine Ingreep"/>
    <s v="WL/INV/N78/17"/>
    <b v="0"/>
    <s v="Ingreep wordt niet opgevolgd in BOD"/>
    <s v="&lt;null&gt;"/>
    <s v="&lt;null&gt;"/>
    <s v="&lt;null&gt;"/>
    <s v="&lt;null&gt;"/>
    <s v="&lt;null&gt;"/>
    <x v="0"/>
    <s v="&lt;null&gt;"/>
    <s v="&lt;null&gt;"/>
    <s v="&lt;null&gt;"/>
    <s v="&lt;null&gt;"/>
    <n v="100"/>
    <s v="&lt;null&gt;"/>
    <s v="&lt;null&gt;"/>
    <s v="&lt;null&gt;"/>
    <s v="&lt;null&gt;"/>
    <m/>
    <m/>
    <m/>
    <m/>
  </r>
  <r>
    <x v="385"/>
    <x v="385"/>
    <s v="Verkeersveiligheid"/>
    <x v="1"/>
    <n v="433"/>
    <s v="IN/000397"/>
    <s v="Verlagen toegelaten snelheid in Drogenbos : R0-A7 Binnenring Oprit 18 (Ruisbroek), R0 Binnenring"/>
    <s v="Verlagen toegelaten snelheid"/>
    <s v="Kleine Ingreep"/>
    <s v="&lt;null&gt;"/>
    <b v="0"/>
    <s v="Ingreep wordt niet opgevolgd in BOD"/>
    <s v="&lt;null&gt;"/>
    <s v="&lt;null&gt;"/>
    <s v="&lt;null&gt;"/>
    <s v="&lt;null&gt;"/>
    <s v="&lt;null&gt;"/>
    <x v="0"/>
    <s v="&lt;null&gt;"/>
    <s v="&lt;null&gt;"/>
    <s v="&lt;null&gt;"/>
    <s v="&lt;null&gt;"/>
    <n v="100"/>
    <s v="&lt;null&gt;"/>
    <s v="&lt;null&gt;"/>
    <s v="&lt;null&gt;"/>
    <s v="&lt;null&gt;"/>
    <m/>
    <m/>
    <m/>
    <m/>
  </r>
  <r>
    <x v="386"/>
    <x v="386"/>
    <s v="Verkeersveiligheid"/>
    <x v="1"/>
    <n v="434"/>
    <s v="IN/000398"/>
    <s v="in Edegem : de Burletlaan, De Burletlaan, Prins Boudewijnlaan"/>
    <s v="N173 (doorsteek + fietsoversteek) ter hoogte van verschillende kruispunten wordt aangepakt. Ter hoogte van oversteken zal het aantal rijstroken naar 1 gebracht worden, zodat de lengte van de oversteek beperkt wordt. Oversteek voor gemotoriseerd verkeer ni"/>
    <s v="Structurele Ingreep"/>
    <s v="&lt;null&gt;"/>
    <b v="0"/>
    <s v="Ingreep wordt niet opgevolgd in BOD"/>
    <s v="&lt;null&gt;"/>
    <s v="&lt;null&gt;"/>
    <s v="&lt;null&gt;"/>
    <s v="&lt;null&gt;"/>
    <s v="&lt;null&gt;"/>
    <x v="0"/>
    <s v="&lt;null&gt;"/>
    <s v="&lt;null&gt;"/>
    <s v="&lt;null&gt;"/>
    <s v="&lt;null&gt;"/>
    <n v="100"/>
    <s v="&lt;null&gt;"/>
    <s v="&lt;null&gt;"/>
    <s v="&lt;null&gt;"/>
    <s v="&lt;null&gt;"/>
    <m/>
    <m/>
    <m/>
    <m/>
  </r>
  <r>
    <x v="387"/>
    <x v="387"/>
    <s v="Verkeersveiligheid"/>
    <x v="1"/>
    <n v="435"/>
    <s v="IN/000399"/>
    <s v="in Edegem : Den Eeckhofstraat, Ingenieur Haesaertslaan, Kerkplein, Leroylaan, Prins Boudewijnlaan"/>
    <s v="VLCC"/>
    <s v="Kleine Ingreep"/>
    <s v="&lt;null&gt;"/>
    <b v="0"/>
    <s v="Ingreep wordt niet opgevolgd in BOD"/>
    <s v="&lt;null&gt;"/>
    <s v="&lt;null&gt;"/>
    <s v="&lt;null&gt;"/>
    <s v="&lt;null&gt;"/>
    <s v="&lt;null&gt;"/>
    <x v="0"/>
    <s v="&lt;null&gt;"/>
    <s v="&lt;null&gt;"/>
    <s v="&lt;null&gt;"/>
    <s v="&lt;null&gt;"/>
    <n v="100"/>
    <s v="&lt;null&gt;"/>
    <s v="&lt;null&gt;"/>
    <s v="&lt;null&gt;"/>
    <s v="&lt;null&gt;"/>
    <m/>
    <m/>
    <m/>
    <m/>
  </r>
  <r>
    <x v="388"/>
    <x v="388"/>
    <s v="Verkeersveiligheid"/>
    <x v="1"/>
    <n v="436"/>
    <s v="IN/000400"/>
    <s v="in Eeklo : N9 Stationsstraat met Oostveldstraat. (Relance Raamcontrac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437"/>
    <s v="IN/000401"/>
    <s v="in Eeklo : N9 Stationsstraat met Oostveldstraat"/>
    <s v="Fietspad verleggen (budget vanuit Eeklo?) + VRI conflictvrij + bushalte aanpassen+ aanpassen overweg om fietspad te ontsluiten"/>
    <s v="Kleine Ingreep"/>
    <s v="&lt;null&gt;"/>
    <b v="0"/>
    <s v="Ingreep wordt niet opgevolgd in BOD"/>
    <s v="&lt;null&gt;"/>
    <s v="&lt;null&gt;"/>
    <s v="&lt;null&gt;"/>
    <s v="&lt;null&gt;"/>
    <s v="&lt;null&gt;"/>
    <x v="0"/>
    <s v="&lt;null&gt;"/>
    <s v="&lt;null&gt;"/>
    <s v="&lt;null&gt;"/>
    <s v="&lt;null&gt;"/>
    <s v="&lt;null&gt;"/>
    <s v="&lt;null&gt;"/>
    <s v="&lt;null&gt;"/>
    <s v="&lt;null&gt;"/>
    <s v="&lt;null&gt;"/>
    <m/>
    <m/>
    <m/>
    <m/>
  </r>
  <r>
    <x v="389"/>
    <x v="389"/>
    <s v="Verkeersveiligheid"/>
    <x v="1"/>
    <n v="438"/>
    <s v="IN/000402"/>
    <s v="Verticale signalisatie aanpassen in Eeklo : Boelare, Koning Albertstraat, Markt, Molenstraat"/>
    <s v="B9 verplaatst (augustus 2019) + RLC plaatsen (2022)"/>
    <s v="Kleine Ingreep"/>
    <s v="&lt;null&gt;"/>
    <b v="0"/>
    <s v="Ingreep wordt niet opgevolgd in BOD"/>
    <s v="&lt;null&gt;"/>
    <s v="&lt;null&gt;"/>
    <s v="&lt;null&gt;"/>
    <s v="&lt;null&gt;"/>
    <s v="&lt;null&gt;"/>
    <x v="0"/>
    <s v="&lt;null&gt;"/>
    <s v="&lt;null&gt;"/>
    <s v="&lt;null&gt;"/>
    <s v="&lt;null&gt;"/>
    <n v="100"/>
    <s v="&lt;null&gt;"/>
    <s v="&lt;null&gt;"/>
    <s v="&lt;null&gt;"/>
    <s v="&lt;null&gt;"/>
    <m/>
    <m/>
    <m/>
    <m/>
  </r>
  <r>
    <x v="390"/>
    <x v="390"/>
    <s v="Verkeersveiligheid"/>
    <x v="1"/>
    <n v="439"/>
    <s v="IN/000403"/>
    <s v="in Eeklo : Kaaistraat, Raamstraat, Stationsstraat"/>
    <s v="Gevleugelde zebrapad uitgevoerd (2020)"/>
    <s v="Kleine Ingreep"/>
    <s v="&lt;null&gt;"/>
    <b v="0"/>
    <s v="Ingreep wordt niet opgevolgd in BOD"/>
    <s v="&lt;null&gt;"/>
    <s v="&lt;null&gt;"/>
    <s v="&lt;null&gt;"/>
    <s v="&lt;null&gt;"/>
    <s v="&lt;null&gt;"/>
    <x v="0"/>
    <s v="&lt;null&gt;"/>
    <s v="&lt;null&gt;"/>
    <s v="&lt;null&gt;"/>
    <s v="&lt;null&gt;"/>
    <n v="100"/>
    <s v="&lt;null&gt;"/>
    <s v="&lt;null&gt;"/>
    <s v="&lt;null&gt;"/>
    <s v="&lt;null&gt;"/>
    <m/>
    <m/>
    <m/>
    <m/>
  </r>
  <r>
    <x v="391"/>
    <x v="391"/>
    <s v="Verkeersveiligheid"/>
    <x v="1"/>
    <n v="440"/>
    <s v="IN/000404"/>
    <s v="in Evergem : N456 Zwaantje met Wellingstraat en Putten"/>
    <s v="huis afgebroken (slechte zichtbaarheid door huis) (2019)"/>
    <s v="Kleine Ingreep"/>
    <s v="&lt;null&gt;"/>
    <b v="0"/>
    <s v="Ingreep wordt niet opgevolgd in BOD"/>
    <s v="&lt;null&gt;"/>
    <s v="&lt;null&gt;"/>
    <s v="&lt;null&gt;"/>
    <s v="&lt;null&gt;"/>
    <s v="&lt;null&gt;"/>
    <x v="0"/>
    <s v="&lt;null&gt;"/>
    <s v="&lt;null&gt;"/>
    <s v="&lt;null&gt;"/>
    <s v="&lt;null&gt;"/>
    <n v="100"/>
    <s v="&lt;null&gt;"/>
    <s v="&lt;null&gt;"/>
    <s v="&lt;null&gt;"/>
    <s v="&lt;null&gt;"/>
    <m/>
    <m/>
    <m/>
    <m/>
  </r>
  <r>
    <x v="392"/>
    <x v="392"/>
    <s v="Verkeersveiligheid"/>
    <x v="1"/>
    <n v="441"/>
    <s v="IN/000405"/>
    <s v="in Evergem : N456 Polenstraat met Wurmstraat"/>
    <s v="B5 + stopstreep geplaatst"/>
    <s v="Kleine Ingreep"/>
    <s v="WOV/INV/N456/15"/>
    <b v="0"/>
    <s v="Ingreep wordt niet opgevolgd in BOD"/>
    <s v="&lt;null&gt;"/>
    <s v="&lt;null&gt;"/>
    <s v="&lt;null&gt;"/>
    <s v="&lt;null&gt;"/>
    <s v="&lt;null&gt;"/>
    <x v="0"/>
    <s v="&lt;null&gt;"/>
    <s v="&lt;null&gt;"/>
    <s v="&lt;null&gt;"/>
    <s v="&lt;null&gt;"/>
    <n v="100"/>
    <s v="&lt;null&gt;"/>
    <s v="&lt;null&gt;"/>
    <s v="&lt;null&gt;"/>
    <s v="&lt;null&gt;"/>
    <m/>
    <m/>
    <m/>
    <m/>
  </r>
  <r>
    <x v="393"/>
    <x v="393"/>
    <s v="Verkeersveiligheid"/>
    <x v="1"/>
    <n v="442"/>
    <s v="IN/000406"/>
    <s v="PPS R4WO  in Evergem : R4 Jacques Paryslaan met Pastorijstraat en Riemesteenweg"/>
    <s v="tunnel (PPS R4WO)"/>
    <s v="Structurele Ingreep"/>
    <s v="&lt;null&gt;"/>
    <b v="0"/>
    <s v="Ingreep wordt niet opgevolgd in BOD"/>
    <s v="&lt;null&gt;"/>
    <s v="&lt;null&gt;"/>
    <s v="&lt;null&gt;"/>
    <s v="&lt;null&gt;"/>
    <s v="&lt;null&gt;"/>
    <x v="0"/>
    <s v="&lt;null&gt;"/>
    <s v="&lt;null&gt;"/>
    <s v="&lt;null&gt;"/>
    <s v="&lt;null&gt;"/>
    <n v="100"/>
    <s v="&lt;null&gt;"/>
    <s v="&lt;null&gt;"/>
    <s v="&lt;null&gt;"/>
    <s v="&lt;null&gt;"/>
    <m/>
    <m/>
    <m/>
    <m/>
  </r>
  <r>
    <x v="394"/>
    <x v="394"/>
    <s v="Verkeersveiligheid"/>
    <x v="1"/>
    <n v="443"/>
    <s v="IN/000407"/>
    <s v="PPS R4WO in Evergem : R4 Jacques Paryslaan met Elslo"/>
    <s v="complete heraanleg (PPS R4WO)"/>
    <s v="Structurele Ingreep"/>
    <s v="&lt;null&gt;"/>
    <b v="0"/>
    <s v="Ingreep wordt niet opgevolgd in BOD"/>
    <s v="&lt;null&gt;"/>
    <s v="&lt;null&gt;"/>
    <s v="&lt;null&gt;"/>
    <s v="&lt;null&gt;"/>
    <s v="&lt;null&gt;"/>
    <x v="0"/>
    <s v="&lt;null&gt;"/>
    <s v="&lt;null&gt;"/>
    <s v="&lt;null&gt;"/>
    <s v="&lt;null&gt;"/>
    <n v="100"/>
    <s v="&lt;null&gt;"/>
    <s v="&lt;null&gt;"/>
    <s v="&lt;null&gt;"/>
    <s v="&lt;null&gt;"/>
    <m/>
    <m/>
    <m/>
    <m/>
  </r>
  <r>
    <x v="395"/>
    <x v="395"/>
    <s v="Verkeersveiligheid"/>
    <x v="1"/>
    <n v="444"/>
    <s v="IN/000408"/>
    <s v="Gevaarlijk Punt: R4 Evergem: kruispunt aanpasse; linksaf van R4 is verboden"/>
    <s v="Linksaf van R4 is verboden (2020);\nR4 Jacques Paryslaan met Hoogstraat."/>
    <s v="Kleine Ingreep"/>
    <s v="&lt;null&gt;"/>
    <b v="0"/>
    <s v="Ingreep wordt niet opgevolgd in BOD"/>
    <s v="&lt;null&gt;"/>
    <s v="&lt;null&gt;"/>
    <s v="&lt;null&gt;"/>
    <s v="&lt;null&gt;"/>
    <s v="&lt;null&gt;"/>
    <x v="0"/>
    <s v="&lt;null&gt;"/>
    <s v="&lt;null&gt;"/>
    <s v="&lt;null&gt;"/>
    <s v="&lt;null&gt;"/>
    <n v="100"/>
    <s v="&lt;null&gt;"/>
    <s v="&lt;null&gt;"/>
    <s v="&lt;null&gt;"/>
    <s v="&lt;null&gt;"/>
    <m/>
    <m/>
    <m/>
    <m/>
  </r>
  <r>
    <x v="395"/>
    <x v="395"/>
    <s v="Verkeersveiligheid"/>
    <x v="1"/>
    <n v="445"/>
    <s v="IN/000409"/>
    <s v="PPS  R4WO    Evergem : R4 Jacques Paryslaan met Hoogstraat"/>
    <s v="fietsbrug (PPS R4WO)"/>
    <s v="Structurele Ingreep"/>
    <s v="&lt;null&gt;"/>
    <b v="0"/>
    <s v="Ingreep wordt niet opgevolgd in BOD"/>
    <s v="&lt;null&gt;"/>
    <s v="&lt;null&gt;"/>
    <s v="&lt;null&gt;"/>
    <s v="&lt;null&gt;"/>
    <s v="&lt;null&gt;"/>
    <x v="0"/>
    <s v="&lt;null&gt;"/>
    <s v="&lt;null&gt;"/>
    <s v="&lt;null&gt;"/>
    <s v="&lt;null&gt;"/>
    <n v="100"/>
    <s v="&lt;null&gt;"/>
    <s v="&lt;null&gt;"/>
    <s v="&lt;null&gt;"/>
    <s v="&lt;null&gt;"/>
    <m/>
    <m/>
    <m/>
    <m/>
  </r>
  <r>
    <x v="396"/>
    <x v="396"/>
    <s v="Verkeersveiligheid"/>
    <x v="1"/>
    <n v="446"/>
    <s v="IN/000410"/>
    <s v="in Evergem : N456 Christoffelweg met Brielken en Schoonstraat. (Relance Raamcontrac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396"/>
    <x v="396"/>
    <s v="Verkeersveiligheid"/>
    <x v="1"/>
    <n v="447"/>
    <s v="IN/000411"/>
    <s v="N456 Gent-Evergem doorstroming Brielken-R4"/>
    <s v="&lt;null&gt;"/>
    <s v="Structurele Ingreep"/>
    <s v="WOV/INV/N456/1"/>
    <b v="0"/>
    <s v="Ingreep wordt niet opgevolgd in BOD"/>
    <s v="&lt;null&gt;"/>
    <s v="&lt;null&gt;"/>
    <s v="&lt;null&gt;"/>
    <s v="&lt;null&gt;"/>
    <s v="&lt;null&gt;"/>
    <x v="0"/>
    <s v="&lt;null&gt;"/>
    <s v="&lt;null&gt;"/>
    <s v="&lt;null&gt;"/>
    <s v="&lt;null&gt;"/>
    <n v="100"/>
    <s v="&lt;null&gt;"/>
    <s v="&lt;null&gt;"/>
    <s v="&lt;null&gt;"/>
    <s v="&lt;null&gt;"/>
    <m/>
    <m/>
    <m/>
    <m/>
  </r>
  <r>
    <x v="397"/>
    <x v="397"/>
    <s v="Verkeersveiligheid"/>
    <x v="1"/>
    <n v="448"/>
    <s v="IN/000412"/>
    <s v="PPS R4WO   in Evergem : R4 Jacques Paryslaan met Langerbrugsestraat"/>
    <s v="complete heraanleg R4WO"/>
    <s v="Structurele Ingreep"/>
    <s v="&lt;null&gt;"/>
    <b v="0"/>
    <s v="Ingreep wordt niet opgevolgd in BOD"/>
    <s v="&lt;null&gt;"/>
    <s v="&lt;null&gt;"/>
    <s v="&lt;null&gt;"/>
    <s v="&lt;null&gt;"/>
    <s v="&lt;null&gt;"/>
    <x v="0"/>
    <s v="&lt;null&gt;"/>
    <s v="&lt;null&gt;"/>
    <s v="&lt;null&gt;"/>
    <s v="&lt;null&gt;"/>
    <n v="100"/>
    <s v="&lt;null&gt;"/>
    <s v="&lt;null&gt;"/>
    <s v="&lt;null&gt;"/>
    <s v="&lt;null&gt;"/>
    <m/>
    <m/>
    <m/>
    <m/>
  </r>
  <r>
    <x v="398"/>
    <x v="398"/>
    <s v="Verkeersveiligheid"/>
    <x v="1"/>
    <n v="449"/>
    <s v="IN/000413"/>
    <s v="VRI: aanpassen lichtenregeling in Genk : Camerlo, Oosterring"/>
    <s v="Aanpassen lichtenregeling (slimme VRI)"/>
    <s v="Kleine Ingreep"/>
    <s v="WL/INV/N75/11"/>
    <b v="0"/>
    <s v="Ingreep wordt niet opgevolgd in BOD"/>
    <s v="&lt;null&gt;"/>
    <s v="&lt;null&gt;"/>
    <s v="&lt;null&gt;"/>
    <s v="&lt;null&gt;"/>
    <s v="&lt;null&gt;"/>
    <x v="0"/>
    <s v="&lt;null&gt;"/>
    <s v="&lt;null&gt;"/>
    <s v="&lt;null&gt;"/>
    <s v="&lt;null&gt;"/>
    <n v="100"/>
    <s v="&lt;null&gt;"/>
    <s v="&lt;null&gt;"/>
    <s v="&lt;null&gt;"/>
    <s v="&lt;null&gt;"/>
    <m/>
    <m/>
    <m/>
    <m/>
  </r>
  <r>
    <x v="399"/>
    <x v="399"/>
    <s v="Verkeersveiligheid"/>
    <x v="1"/>
    <n v="450"/>
    <s v="IN/000414"/>
    <s v="in Genk : Hoevenzavellaan, Weststraat"/>
    <s v="zebrapad weggehaald, FOP aangepast"/>
    <s v="Kleine Ingreep"/>
    <s v="&lt;null&gt;"/>
    <b v="0"/>
    <s v="Ingreep wordt niet opgevolgd in BOD"/>
    <s v="&lt;null&gt;"/>
    <s v="&lt;null&gt;"/>
    <s v="&lt;null&gt;"/>
    <s v="&lt;null&gt;"/>
    <s v="&lt;null&gt;"/>
    <x v="0"/>
    <s v="&lt;null&gt;"/>
    <s v="&lt;null&gt;"/>
    <s v="&lt;null&gt;"/>
    <s v="&lt;null&gt;"/>
    <n v="100"/>
    <s v="&lt;null&gt;"/>
    <s v="&lt;null&gt;"/>
    <s v="&lt;null&gt;"/>
    <s v="&lt;null&gt;"/>
    <m/>
    <m/>
    <m/>
    <m/>
  </r>
  <r>
    <x v="400"/>
    <x v="400"/>
    <s v="Verkeersveiligheid"/>
    <x v="1"/>
    <n v="451"/>
    <s v="IN/000415"/>
    <s v="in Genk : A2-E314 Richting Leuven"/>
    <s v="(toevalsfactor)"/>
    <s v="Kleine Ingreep"/>
    <s v="&lt;null&gt;"/>
    <b v="0"/>
    <s v="Ingreep wordt niet opgevolgd in BOD"/>
    <s v="&lt;null&gt;"/>
    <s v="&lt;null&gt;"/>
    <s v="&lt;null&gt;"/>
    <s v="&lt;null&gt;"/>
    <s v="&lt;null&gt;"/>
    <x v="0"/>
    <s v="&lt;null&gt;"/>
    <s v="&lt;null&gt;"/>
    <s v="&lt;null&gt;"/>
    <s v="&lt;null&gt;"/>
    <n v="100"/>
    <s v="&lt;null&gt;"/>
    <s v="&lt;null&gt;"/>
    <s v="&lt;null&gt;"/>
    <s v="&lt;null&gt;"/>
    <m/>
    <m/>
    <m/>
    <m/>
  </r>
  <r>
    <x v="401"/>
    <x v="401"/>
    <s v="Verkeersveiligheid"/>
    <x v="1"/>
    <n v="452"/>
    <s v="IN/000416"/>
    <s v="VRI: aanpassen lichtenregeling in Genk : Achterstraat, Hoevenzavellaan, Risstraat"/>
    <s v="Aanpassen lichtenregeling (volgens actieplan)"/>
    <s v="Kleine Ingreep"/>
    <s v="&lt;null&gt;"/>
    <b v="0"/>
    <s v="Ingreep wordt niet opgevolgd in BOD"/>
    <s v="&lt;null&gt;"/>
    <s v="&lt;null&gt;"/>
    <s v="&lt;null&gt;"/>
    <s v="&lt;null&gt;"/>
    <s v="&lt;null&gt;"/>
    <x v="0"/>
    <s v="&lt;null&gt;"/>
    <s v="&lt;null&gt;"/>
    <s v="&lt;null&gt;"/>
    <s v="&lt;null&gt;"/>
    <n v="100"/>
    <s v="&lt;null&gt;"/>
    <s v="&lt;null&gt;"/>
    <s v="&lt;null&gt;"/>
    <s v="&lt;null&gt;"/>
    <m/>
    <m/>
    <m/>
    <m/>
  </r>
  <r>
    <x v="402"/>
    <x v="402"/>
    <s v="Verkeersveiligheid"/>
    <x v="1"/>
    <n v="453"/>
    <s v="IN/000417"/>
    <s v="Verlagen toegelaten snelheid in Genk : Boudewijnlaan, Henry Fordlaan, Nieuwstraat, Westerring"/>
    <s v="Snelheidsverlaging + 2 maatregelen mbt zichtbaarheid lichten"/>
    <s v="Kleine Ingreep"/>
    <s v="WL/INV/N702/4"/>
    <b v="0"/>
    <s v="Ingreep wordt niet opgevolgd in BOD"/>
    <s v="&lt;null&gt;"/>
    <s v="&lt;null&gt;"/>
    <s v="&lt;null&gt;"/>
    <s v="&lt;null&gt;"/>
    <s v="&lt;null&gt;"/>
    <x v="0"/>
    <s v="&lt;null&gt;"/>
    <s v="&lt;null&gt;"/>
    <s v="&lt;null&gt;"/>
    <s v="&lt;null&gt;"/>
    <n v="100"/>
    <s v="&lt;null&gt;"/>
    <s v="&lt;null&gt;"/>
    <s v="&lt;null&gt;"/>
    <s v="&lt;null&gt;"/>
    <m/>
    <m/>
    <m/>
    <m/>
  </r>
  <r>
    <x v="403"/>
    <x v="403"/>
    <s v="Verkeersveiligheid"/>
    <x v="1"/>
    <n v="454"/>
    <s v="IN/000418"/>
    <s v="in Genk : Europalaan, Westerring"/>
    <s v="VRI slim gemaakt"/>
    <s v="Kleine Ingreep"/>
    <s v="&lt;null&gt;"/>
    <b v="0"/>
    <s v="Ingreep wordt niet opgevolgd in BOD"/>
    <s v="&lt;null&gt;"/>
    <s v="&lt;null&gt;"/>
    <s v="&lt;null&gt;"/>
    <s v="&lt;null&gt;"/>
    <s v="&lt;null&gt;"/>
    <x v="0"/>
    <s v="&lt;null&gt;"/>
    <s v="&lt;null&gt;"/>
    <s v="&lt;null&gt;"/>
    <s v="&lt;null&gt;"/>
    <n v="100"/>
    <s v="&lt;null&gt;"/>
    <s v="&lt;null&gt;"/>
    <s v="&lt;null&gt;"/>
    <s v="&lt;null&gt;"/>
    <m/>
    <m/>
    <m/>
    <m/>
  </r>
  <r>
    <x v="404"/>
    <x v="404"/>
    <s v="Verkeersveiligheid"/>
    <x v="1"/>
    <n v="455"/>
    <s v="IN/000419"/>
    <s v="VRI: aanpassen lichtenregeling in Genk : Evence Coppéelaan, Westerring"/>
    <s v="Aanpassen lichtenregeling + markering aanpassen (reeds uitgevoerd)"/>
    <s v="Kleine Ingreep"/>
    <s v="&lt;null&gt;"/>
    <b v="0"/>
    <s v="Ingreep wordt niet opgevolgd in BOD"/>
    <s v="&lt;null&gt;"/>
    <s v="&lt;null&gt;"/>
    <s v="&lt;null&gt;"/>
    <s v="&lt;null&gt;"/>
    <s v="&lt;null&gt;"/>
    <x v="0"/>
    <s v="&lt;null&gt;"/>
    <s v="&lt;null&gt;"/>
    <s v="&lt;null&gt;"/>
    <s v="&lt;null&gt;"/>
    <n v="100"/>
    <s v="&lt;null&gt;"/>
    <s v="&lt;null&gt;"/>
    <s v="&lt;null&gt;"/>
    <s v="&lt;null&gt;"/>
    <m/>
    <m/>
    <m/>
    <m/>
  </r>
  <r>
    <x v="405"/>
    <x v="405"/>
    <s v="Verkeersveiligheid"/>
    <x v="1"/>
    <n v="456"/>
    <s v="IN/000420"/>
    <s v="in Genk : Westerring"/>
    <s v="Aanpassen lichtenregeling"/>
    <s v="Kleine Ingreep"/>
    <s v="&lt;null&gt;"/>
    <b v="0"/>
    <s v="Ingreep wordt niet opgevolgd in BOD"/>
    <s v="&lt;null&gt;"/>
    <s v="&lt;null&gt;"/>
    <s v="&lt;null&gt;"/>
    <s v="&lt;null&gt;"/>
    <s v="&lt;null&gt;"/>
    <x v="0"/>
    <s v="&lt;null&gt;"/>
    <s v="&lt;null&gt;"/>
    <s v="&lt;null&gt;"/>
    <s v="&lt;null&gt;"/>
    <n v="100"/>
    <s v="&lt;null&gt;"/>
    <s v="&lt;null&gt;"/>
    <s v="&lt;null&gt;"/>
    <s v="&lt;null&gt;"/>
    <m/>
    <m/>
    <m/>
    <m/>
  </r>
  <r>
    <x v="406"/>
    <x v="406"/>
    <s v="Verkeersveiligheid"/>
    <x v="1"/>
    <n v="457"/>
    <s v="IN/000421"/>
    <s v="VRI: aanpassen lichtenregeling in Genk : Fletersdel, Oosterring"/>
    <s v="Aanpassen lichtenregeling (slimme VRI)"/>
    <s v="Kleine Ingreep"/>
    <s v="WL/INV/N75/10"/>
    <b v="0"/>
    <s v="Ingreep wordt niet opgevolgd in BOD"/>
    <s v="&lt;null&gt;"/>
    <s v="&lt;null&gt;"/>
    <s v="&lt;null&gt;"/>
    <s v="&lt;null&gt;"/>
    <s v="&lt;null&gt;"/>
    <x v="0"/>
    <s v="&lt;null&gt;"/>
    <s v="&lt;null&gt;"/>
    <s v="&lt;null&gt;"/>
    <s v="&lt;null&gt;"/>
    <n v="100"/>
    <s v="&lt;null&gt;"/>
    <s v="&lt;null&gt;"/>
    <s v="&lt;null&gt;"/>
    <s v="&lt;null&gt;"/>
    <m/>
    <m/>
    <m/>
    <m/>
  </r>
  <r>
    <x v="406"/>
    <x v="406"/>
    <s v="Verkeersveiligheid"/>
    <x v="1"/>
    <n v="458"/>
    <s v="IN/000422"/>
    <s v="VRI: aanpassen lichtenregeling in Genk : Fletersdel, Oosterring"/>
    <s v="uitgebreidere aanpassing"/>
    <s v="Structurele Ingreep"/>
    <s v="&lt;null&gt;"/>
    <b v="0"/>
    <s v="Ingreep wordt niet opgevolgd in BOD"/>
    <s v="&lt;null&gt;"/>
    <s v="&lt;null&gt;"/>
    <s v="&lt;null&gt;"/>
    <s v="&lt;null&gt;"/>
    <s v="&lt;null&gt;"/>
    <x v="0"/>
    <s v="&lt;null&gt;"/>
    <s v="&lt;null&gt;"/>
    <s v="&lt;null&gt;"/>
    <s v="&lt;null&gt;"/>
    <n v="100"/>
    <s v="&lt;null&gt;"/>
    <s v="&lt;null&gt;"/>
    <s v="&lt;null&gt;"/>
    <s v="&lt;null&gt;"/>
    <m/>
    <m/>
    <m/>
    <m/>
  </r>
  <r>
    <x v="407"/>
    <x v="407"/>
    <s v="Verkeersveiligheid"/>
    <x v="1"/>
    <n v="459"/>
    <s v="IN/000423"/>
    <s v="GEEN E1 UITGEVOERD in Gent : B401 Richting A14, Bellevue, Dierentuinlaan, Gustaaf Callierlaan, Keizervest, Sint-Lievenslaan, Zuidparklaan"/>
    <s v="Fietsonderdoorgang + aanpassingen infra (werken bezig) + aanpassing VRI"/>
    <s v="Structurele Ingreep"/>
    <s v="&lt;null&gt;"/>
    <b v="0"/>
    <s v="Ingreep wordt niet opgevolgd in BOD"/>
    <s v="&lt;null&gt;"/>
    <s v="&lt;null&gt;"/>
    <s v="&lt;null&gt;"/>
    <s v="&lt;null&gt;"/>
    <s v="&lt;null&gt;"/>
    <x v="0"/>
    <s v="&lt;null&gt;"/>
    <s v="&lt;null&gt;"/>
    <s v="&lt;null&gt;"/>
    <s v="&lt;null&gt;"/>
    <n v="100"/>
    <s v="&lt;null&gt;"/>
    <s v="&lt;null&gt;"/>
    <s v="&lt;null&gt;"/>
    <s v="&lt;null&gt;"/>
    <m/>
    <m/>
    <m/>
    <m/>
  </r>
  <r>
    <x v="408"/>
    <x v="408"/>
    <s v="Verkeersveiligheid"/>
    <x v="1"/>
    <n v="460"/>
    <s v="IN/000424"/>
    <s v="NIET IN E1, UITGEVOERD in Gent : Achilles Musschestraat, Kortrijksesteenweg, Sint-Denijslaan"/>
    <s v="Structureel onderhoud + aanpakken van fietsoversteek (2020)"/>
    <s v="Structurele Ingreep"/>
    <s v="&lt;null&gt;"/>
    <b v="0"/>
    <s v="Ingreep wordt niet opgevolgd in BOD"/>
    <s v="&lt;null&gt;"/>
    <s v="&lt;null&gt;"/>
    <s v="&lt;null&gt;"/>
    <s v="&lt;null&gt;"/>
    <s v="&lt;null&gt;"/>
    <x v="0"/>
    <s v="&lt;null&gt;"/>
    <s v="&lt;null&gt;"/>
    <s v="&lt;null&gt;"/>
    <s v="&lt;null&gt;"/>
    <n v="100"/>
    <s v="&lt;null&gt;"/>
    <s v="&lt;null&gt;"/>
    <s v="&lt;null&gt;"/>
    <s v="&lt;null&gt;"/>
    <m/>
    <m/>
    <m/>
    <m/>
  </r>
  <r>
    <x v="409"/>
    <x v="409"/>
    <s v="Verkeersveiligheid"/>
    <x v="1"/>
    <n v="461"/>
    <s v="IN/000425"/>
    <s v="in Gent : R40 Sint-Lievenslaan met Tentoonstellingslaan. (Relance Raamcontrac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410"/>
    <x v="410"/>
    <s v="Verkeersveiligheid"/>
    <x v="1"/>
    <n v="462"/>
    <s v="IN/000426"/>
    <s v="N458 Gent Wiedauwkaai doorstromingsmaatregelen"/>
    <s v="herinrichting (hoge kosten)"/>
    <s v="Structurele Ingreep"/>
    <s v="WOV/INV/N458/1"/>
    <b v="0"/>
    <s v="Ingreep wordt niet opgevolgd in BOD"/>
    <s v="&lt;null&gt;"/>
    <s v="&lt;null&gt;"/>
    <s v="&lt;null&gt;"/>
    <s v="&lt;null&gt;"/>
    <s v="&lt;null&gt;"/>
    <x v="0"/>
    <s v="&lt;null&gt;"/>
    <s v="&lt;null&gt;"/>
    <s v="&lt;null&gt;"/>
    <s v="&lt;null&gt;"/>
    <n v="100"/>
    <s v="&lt;null&gt;"/>
    <s v="&lt;null&gt;"/>
    <s v="&lt;null&gt;"/>
    <s v="&lt;null&gt;"/>
    <m/>
    <m/>
    <m/>
    <m/>
  </r>
  <r>
    <x v="411"/>
    <x v="411"/>
    <s v="Verkeersveiligheid"/>
    <x v="1"/>
    <n v="463"/>
    <s v="IN/000427"/>
    <s v="in Gent : R4 Industrieweg / Eversteinlaan met Evergemsesteenweg en Zeeschipstraat"/>
    <s v="Aanpassen VRI volgens actieplan (2018)"/>
    <s v="Kleine Ingreep"/>
    <s v="&lt;null&gt;"/>
    <b v="0"/>
    <s v="Ingreep wordt niet opgevolgd in BOD"/>
    <s v="&lt;null&gt;"/>
    <s v="&lt;null&gt;"/>
    <s v="&lt;null&gt;"/>
    <s v="&lt;null&gt;"/>
    <s v="&lt;null&gt;"/>
    <x v="0"/>
    <s v="&lt;null&gt;"/>
    <s v="&lt;null&gt;"/>
    <s v="&lt;null&gt;"/>
    <s v="&lt;null&gt;"/>
    <n v="100"/>
    <s v="&lt;null&gt;"/>
    <s v="&lt;null&gt;"/>
    <s v="&lt;null&gt;"/>
    <s v="&lt;null&gt;"/>
    <m/>
    <m/>
    <m/>
    <m/>
  </r>
  <r>
    <x v="412"/>
    <x v="412"/>
    <s v="Verkeersveiligheid"/>
    <x v="1"/>
    <n v="464"/>
    <s v="IN/000428"/>
    <s v="in Gent : N70 Land van Waaslaan met Engelbert van Arenbergstraat"/>
    <s v="Heraanleg deel N70 tussen Antwerpenplein en Alfons Braeckmanlaan"/>
    <s v="Structurele Ingreep"/>
    <s v="WOV/INV/N70/5"/>
    <b v="0"/>
    <s v="Ingreep wordt niet opgevolgd in BOD"/>
    <s v="&lt;null&gt;"/>
    <s v="&lt;null&gt;"/>
    <s v="&lt;null&gt;"/>
    <s v="&lt;null&gt;"/>
    <s v="&lt;null&gt;"/>
    <x v="0"/>
    <s v="&lt;null&gt;"/>
    <s v="&lt;null&gt;"/>
    <s v="&lt;null&gt;"/>
    <s v="&lt;null&gt;"/>
    <n v="100"/>
    <s v="&lt;null&gt;"/>
    <s v="&lt;null&gt;"/>
    <s v="&lt;null&gt;"/>
    <s v="&lt;null&gt;"/>
    <m/>
    <m/>
    <m/>
    <m/>
  </r>
  <r>
    <x v="413"/>
    <x v="413"/>
    <s v="Verkeersveiligheid"/>
    <x v="1"/>
    <n v="465"/>
    <s v="IN/000429"/>
    <s v="PPS R4WO  Gent : R4 John Kennedylaan met Energiestraat"/>
    <s v="brug (PPS R4WO)"/>
    <s v="Structurele Ingreep"/>
    <s v="&lt;null&gt;"/>
    <b v="0"/>
    <s v="Ingreep wordt niet opgevolgd in BOD"/>
    <s v="&lt;null&gt;"/>
    <s v="&lt;null&gt;"/>
    <s v="&lt;null&gt;"/>
    <s v="&lt;null&gt;"/>
    <s v="&lt;null&gt;"/>
    <x v="0"/>
    <s v="&lt;null&gt;"/>
    <s v="&lt;null&gt;"/>
    <s v="&lt;null&gt;"/>
    <s v="&lt;null&gt;"/>
    <n v="100"/>
    <s v="&lt;null&gt;"/>
    <s v="&lt;null&gt;"/>
    <s v="&lt;null&gt;"/>
    <s v="&lt;null&gt;"/>
    <m/>
    <m/>
    <m/>
    <m/>
  </r>
  <r>
    <x v="414"/>
    <x v="414"/>
    <s v="Verkeersveiligheid"/>
    <x v="1"/>
    <n v="466"/>
    <s v="IN/000430"/>
    <s v="in Gent : N456 Port Arthurlaan met Pauwstraat. (Relance Raamcontract)"/>
    <s v="Fietspaden vrijliggend maken"/>
    <s v="Kleine Ingreep"/>
    <s v="WOV/INV/N456/12"/>
    <b v="0"/>
    <s v="Ingreep wordt niet opgevolgd in BOD"/>
    <s v="&lt;null&gt;"/>
    <s v="&lt;null&gt;"/>
    <s v="&lt;null&gt;"/>
    <s v="&lt;null&gt;"/>
    <s v="&lt;null&gt;"/>
    <x v="0"/>
    <s v="&lt;null&gt;"/>
    <s v="&lt;null&gt;"/>
    <s v="&lt;null&gt;"/>
    <s v="&lt;null&gt;"/>
    <n v="100"/>
    <s v="&lt;null&gt;"/>
    <s v="&lt;null&gt;"/>
    <s v="&lt;null&gt;"/>
    <s v="&lt;null&gt;"/>
    <m/>
    <m/>
    <m/>
    <m/>
  </r>
  <r>
    <x v="18"/>
    <x v="18"/>
    <s v="&lt;null&gt;"/>
    <x v="3"/>
    <n v="467"/>
    <s v="IN/000431"/>
    <s v="in Gent : N456 Port Arthurlaan met Pauwstraat"/>
    <s v="Fietspaden vrijliggend maken"/>
    <s v="Kleine Ingreep"/>
    <s v="&lt;null&gt;"/>
    <b v="0"/>
    <s v="Ingreep wordt niet opgevolgd in BOD"/>
    <s v="&lt;null&gt;"/>
    <s v="&lt;null&gt;"/>
    <s v="&lt;null&gt;"/>
    <s v="&lt;null&gt;"/>
    <s v="&lt;null&gt;"/>
    <x v="0"/>
    <s v="&lt;null&gt;"/>
    <s v="&lt;null&gt;"/>
    <s v="&lt;null&gt;"/>
    <s v="&lt;null&gt;"/>
    <s v="&lt;null&gt;"/>
    <s v="&lt;null&gt;"/>
    <s v="&lt;null&gt;"/>
    <s v="&lt;null&gt;"/>
    <s v="&lt;null&gt;"/>
    <m/>
    <m/>
    <m/>
    <m/>
  </r>
  <r>
    <x v="415"/>
    <x v="415"/>
    <s v="Verkeersveiligheid"/>
    <x v="1"/>
    <n v="468"/>
    <s v="IN/000432"/>
    <s v="in Gent : N70 Antwerpsesteenweg met Kleine Schuurstraat"/>
    <s v="&lt;null&gt;"/>
    <s v="Structurele Ingreep"/>
    <s v="WOV/INV/N70/4"/>
    <b v="0"/>
    <s v="Ingreep wordt niet opgevolgd in BOD"/>
    <s v="&lt;null&gt;"/>
    <s v="&lt;null&gt;"/>
    <s v="&lt;null&gt;"/>
    <s v="&lt;null&gt;"/>
    <s v="&lt;null&gt;"/>
    <x v="0"/>
    <s v="&lt;null&gt;"/>
    <s v="&lt;null&gt;"/>
    <s v="&lt;null&gt;"/>
    <s v="&lt;null&gt;"/>
    <n v="10"/>
    <s v="&lt;null&gt;"/>
    <s v="&lt;null&gt;"/>
    <s v="&lt;null&gt;"/>
    <s v="&lt;null&gt;"/>
    <m/>
    <m/>
    <m/>
    <m/>
  </r>
  <r>
    <x v="416"/>
    <x v="416"/>
    <s v="Verkeersveiligheid"/>
    <x v="1"/>
    <n v="468"/>
    <s v="IN/000432"/>
    <s v="in Gent : N70 Antwerpsesteenweg met Kleine Schuurstraat"/>
    <s v="&lt;null&gt;"/>
    <s v="Structurele Ingreep"/>
    <s v="WOV/INV/N70/4"/>
    <b v="0"/>
    <s v="Ingreep wordt niet opgevolgd in BOD"/>
    <s v="&lt;null&gt;"/>
    <s v="&lt;null&gt;"/>
    <s v="&lt;null&gt;"/>
    <s v="&lt;null&gt;"/>
    <s v="&lt;null&gt;"/>
    <x v="0"/>
    <s v="&lt;null&gt;"/>
    <s v="&lt;null&gt;"/>
    <s v="&lt;null&gt;"/>
    <s v="&lt;null&gt;"/>
    <n v="90"/>
    <s v="&lt;null&gt;"/>
    <s v="&lt;null&gt;"/>
    <s v="&lt;null&gt;"/>
    <s v="&lt;null&gt;"/>
    <m/>
    <m/>
    <m/>
    <m/>
  </r>
  <r>
    <x v="417"/>
    <x v="417"/>
    <s v="Verkeersveiligheid"/>
    <x v="1"/>
    <n v="469"/>
    <s v="IN/000433"/>
    <s v="Gevaarlijk Punt: R40 Gent: aanpassen lichtenregeling"/>
    <s v="Aanpassen lichtenregeling (VRI) + markering aanpassen: 1 linksaf verboden en andere wordt conflictvrij  (2021);\nR40 Einde Were met N430 Nieuwewandeling en Overzet."/>
    <s v="Kleine Ingreep"/>
    <s v="WOV/INV/R40/9"/>
    <b v="0"/>
    <s v="Ingreep wordt niet opgevolgd in BOD"/>
    <s v="&lt;null&gt;"/>
    <s v="&lt;null&gt;"/>
    <s v="&lt;null&gt;"/>
    <s v="&lt;null&gt;"/>
    <s v="&lt;null&gt;"/>
    <x v="0"/>
    <s v="&lt;null&gt;"/>
    <s v="&lt;null&gt;"/>
    <s v="&lt;null&gt;"/>
    <s v="&lt;null&gt;"/>
    <n v="100"/>
    <s v="&lt;null&gt;"/>
    <s v="&lt;null&gt;"/>
    <s v="&lt;null&gt;"/>
    <s v="&lt;null&gt;"/>
    <m/>
    <m/>
    <m/>
    <m/>
  </r>
  <r>
    <x v="418"/>
    <x v="418"/>
    <s v="Verkeersveiligheid"/>
    <x v="1"/>
    <n v="470"/>
    <s v="IN/000434"/>
    <s v="Gevaarlijk Punt: N60 Gent: VRI: aanpassen lichtenregeling + bijkomende aanpassingen infra"/>
    <s v="Aanpassen lichtenregeling + infra;\nin Gent : N60 Krijgslaan met Burggravenlaan. (Relance Raamcontract)"/>
    <s v="Kleine Ingreep"/>
    <s v="WOV/INV/N60/11"/>
    <b v="1"/>
    <s v="Ingreep wordt opgevolgd in BOD"/>
    <n v="10165"/>
    <s v="MDN/59-3"/>
    <n v="99601"/>
    <n v="21057055"/>
    <s v="&lt;p&gt;2021-10-3MH231.65-MDN59-BOD2-Gent, 4 VL&lt;/p&gt;"/>
    <x v="8"/>
    <n v="6912"/>
    <s v="WO0507 : Gent, N60/Burggravenlaan"/>
    <s v="&lt;p&gt;Relance Gevaarlijke pt BOD2&lt;/p&gt;"/>
    <s v="WOV/INV/N60/11"/>
    <n v="100"/>
    <n v="95867.77"/>
    <n v="0"/>
    <n v="0"/>
    <n v="39636.86"/>
    <n v="95867.77"/>
    <n v="0"/>
    <n v="0"/>
    <n v="39636.86"/>
  </r>
  <r>
    <x v="419"/>
    <x v="419"/>
    <s v="Verkeersveiligheid"/>
    <x v="1"/>
    <n v="471"/>
    <s v="IN/000435"/>
    <s v="Infra allerlei (oa brugvoegen vernieuwen, middenberm sluiten) in Gent : R40 Ijzerlaan met Eedverbondkaai en Holdaal. (Relance Raamcontract)"/>
    <s v="Middenberm sluiten (+ extra)"/>
    <s v="Kleine Ingreep"/>
    <s v="WOV/INV/R40/11"/>
    <b v="0"/>
    <s v="Ingreep wordt niet opgevolgd in BOD"/>
    <s v="&lt;null&gt;"/>
    <s v="&lt;null&gt;"/>
    <s v="&lt;null&gt;"/>
    <s v="&lt;null&gt;"/>
    <s v="&lt;null&gt;"/>
    <x v="0"/>
    <s v="&lt;null&gt;"/>
    <s v="&lt;null&gt;"/>
    <s v="&lt;null&gt;"/>
    <s v="&lt;null&gt;"/>
    <n v="100"/>
    <s v="&lt;null&gt;"/>
    <s v="&lt;null&gt;"/>
    <s v="&lt;null&gt;"/>
    <s v="&lt;null&gt;"/>
    <m/>
    <m/>
    <m/>
    <m/>
  </r>
  <r>
    <x v="420"/>
    <x v="420"/>
    <s v="Verkeersveiligheid"/>
    <x v="1"/>
    <n v="472"/>
    <s v="IN/000436"/>
    <s v="Gevaarlijk Punt: N444 Gent : aanpassen lichtenregeling"/>
    <s v="nog niet gedefinieerd;\nAchilles Heyndrickxlaan, Hundelgemsesteenweg, Willem van Guliklaan"/>
    <s v="Kleine Ingreep"/>
    <s v="WOV/INV/N444/6"/>
    <b v="0"/>
    <s v="Ingreep wordt niet opgevolgd in BOD"/>
    <s v="&lt;null&gt;"/>
    <s v="&lt;null&gt;"/>
    <s v="&lt;null&gt;"/>
    <s v="&lt;null&gt;"/>
    <s v="&lt;null&gt;"/>
    <x v="0"/>
    <s v="&lt;null&gt;"/>
    <s v="&lt;null&gt;"/>
    <s v="&lt;null&gt;"/>
    <s v="&lt;null&gt;"/>
    <n v="100"/>
    <s v="&lt;null&gt;"/>
    <s v="&lt;null&gt;"/>
    <s v="&lt;null&gt;"/>
    <s v="&lt;null&gt;"/>
    <m/>
    <m/>
    <m/>
    <m/>
  </r>
  <r>
    <x v="18"/>
    <x v="18"/>
    <s v="&lt;null&gt;"/>
    <x v="3"/>
    <n v="473"/>
    <s v="IN/000437"/>
    <s v="in Gent : Achilles Heyndrickxlaan, Hundelgemsesteenweg, Willem van Guliklaan"/>
    <s v="Gedeeltelijke herinrichting van kruispunt (oa conflictvrij) Weg wordt heraangelegd door Gent, VRI door AWV"/>
    <s v="Kleine Ingreep"/>
    <s v="&lt;null&gt;"/>
    <b v="0"/>
    <s v="Ingreep wordt niet opgevolgd in BOD"/>
    <s v="&lt;null&gt;"/>
    <s v="&lt;null&gt;"/>
    <s v="&lt;null&gt;"/>
    <s v="&lt;null&gt;"/>
    <s v="&lt;null&gt;"/>
    <x v="0"/>
    <s v="&lt;null&gt;"/>
    <s v="&lt;null&gt;"/>
    <s v="&lt;null&gt;"/>
    <s v="&lt;null&gt;"/>
    <s v="&lt;null&gt;"/>
    <s v="&lt;null&gt;"/>
    <s v="&lt;null&gt;"/>
    <s v="&lt;null&gt;"/>
    <s v="&lt;null&gt;"/>
    <m/>
    <m/>
    <m/>
    <m/>
  </r>
  <r>
    <x v="421"/>
    <x v="421"/>
    <s v="Verkeersveiligheid"/>
    <x v="1"/>
    <n v="474"/>
    <s v="IN/000438"/>
    <s v="in Gent : N70 Antwerpsesteenweg met Groenstraat en Orchideestraat - eerste fase"/>
    <s v="conflictvrij maken + fysieke voorstart fietsers (2020)"/>
    <s v="Kleine Ingreep"/>
    <s v="&lt;null&gt;"/>
    <b v="0"/>
    <s v="Ingreep wordt niet opgevolgd in BOD"/>
    <s v="&lt;null&gt;"/>
    <s v="&lt;null&gt;"/>
    <s v="&lt;null&gt;"/>
    <s v="&lt;null&gt;"/>
    <s v="&lt;null&gt;"/>
    <x v="0"/>
    <s v="&lt;null&gt;"/>
    <s v="&lt;null&gt;"/>
    <s v="&lt;null&gt;"/>
    <s v="&lt;null&gt;"/>
    <n v="100"/>
    <s v="&lt;null&gt;"/>
    <s v="&lt;null&gt;"/>
    <s v="&lt;null&gt;"/>
    <s v="&lt;null&gt;"/>
    <m/>
    <m/>
    <m/>
    <m/>
  </r>
  <r>
    <x v="421"/>
    <x v="421"/>
    <s v="Verkeersveiligheid"/>
    <x v="1"/>
    <n v="475"/>
    <s v="IN/000439"/>
    <s v="in Gent : N70 Antwerpsesteenweg met Groenstraat en Orchideestraat"/>
    <s v="complete heraanleg"/>
    <s v="Structurele Ingreep"/>
    <s v="WOV/INV/N70/2"/>
    <b v="0"/>
    <s v="Ingreep wordt niet opgevolgd in BOD"/>
    <s v="&lt;null&gt;"/>
    <s v="&lt;null&gt;"/>
    <s v="&lt;null&gt;"/>
    <s v="&lt;null&gt;"/>
    <s v="&lt;null&gt;"/>
    <x v="0"/>
    <s v="&lt;null&gt;"/>
    <s v="&lt;null&gt;"/>
    <s v="&lt;null&gt;"/>
    <s v="&lt;null&gt;"/>
    <n v="100"/>
    <s v="&lt;null&gt;"/>
    <s v="&lt;null&gt;"/>
    <s v="&lt;null&gt;"/>
    <s v="&lt;null&gt;"/>
    <m/>
    <m/>
    <m/>
    <m/>
  </r>
  <r>
    <x v="416"/>
    <x v="416"/>
    <s v="Verkeersveiligheid"/>
    <x v="1"/>
    <n v="476"/>
    <s v="IN/000440"/>
    <s v="VERWIJDEREN    in Gent : Achtenkouterstraat, Antwerpsesteenweg, Hollenaarstraat"/>
    <s v="heraanleg kruispunt."/>
    <s v="Structurele Ingreep"/>
    <s v="&lt;null&gt;"/>
    <b v="0"/>
    <s v="Ingreep wordt niet opgevolgd in BOD"/>
    <s v="&lt;null&gt;"/>
    <s v="&lt;null&gt;"/>
    <s v="&lt;null&gt;"/>
    <s v="&lt;null&gt;"/>
    <s v="&lt;null&gt;"/>
    <x v="0"/>
    <s v="&lt;null&gt;"/>
    <s v="&lt;null&gt;"/>
    <s v="&lt;null&gt;"/>
    <s v="&lt;null&gt;"/>
    <n v="100"/>
    <s v="&lt;null&gt;"/>
    <s v="&lt;null&gt;"/>
    <s v="&lt;null&gt;"/>
    <s v="&lt;null&gt;"/>
    <m/>
    <m/>
    <m/>
    <m/>
  </r>
  <r>
    <x v="422"/>
    <x v="422"/>
    <s v="Verkeersveiligheid"/>
    <x v="1"/>
    <n v="477"/>
    <s v="IN/000441"/>
    <s v="in Gent : N9 Brugsevaart met op- en afrit R4 Industrieweg en Speistraat"/>
    <s v="In kader van heraanleg N9 Brugsevaart"/>
    <s v="Structurele Ingreep"/>
    <s v="WOV/INV/N9/3"/>
    <b v="0"/>
    <s v="Ingreep wordt niet opgevolgd in BOD"/>
    <s v="&lt;null&gt;"/>
    <s v="&lt;null&gt;"/>
    <s v="&lt;null&gt;"/>
    <s v="&lt;null&gt;"/>
    <s v="&lt;null&gt;"/>
    <x v="0"/>
    <s v="&lt;null&gt;"/>
    <s v="&lt;null&gt;"/>
    <s v="&lt;null&gt;"/>
    <s v="&lt;null&gt;"/>
    <n v="100"/>
    <s v="&lt;null&gt;"/>
    <s v="&lt;null&gt;"/>
    <s v="&lt;null&gt;"/>
    <s v="&lt;null&gt;"/>
    <m/>
    <m/>
    <m/>
    <m/>
  </r>
  <r>
    <x v="423"/>
    <x v="423"/>
    <s v="Verkeersveiligheid"/>
    <x v="1"/>
    <n v="478"/>
    <s v="IN/000442"/>
    <s v="in Gent : R40 Rooigemlaan met N466 Drongensesteenweg. (Relance Raamcontract)"/>
    <s v="nog niet gedefinieerd"/>
    <s v="Kleine Ingreep"/>
    <s v="WOV/INV/R40/12"/>
    <b v="0"/>
    <s v="Ingreep wordt niet opgevolgd in BOD"/>
    <s v="&lt;null&gt;"/>
    <s v="&lt;null&gt;"/>
    <s v="&lt;null&gt;"/>
    <s v="&lt;null&gt;"/>
    <s v="&lt;null&gt;"/>
    <x v="0"/>
    <s v="&lt;null&gt;"/>
    <s v="&lt;null&gt;"/>
    <s v="&lt;null&gt;"/>
    <s v="&lt;null&gt;"/>
    <n v="100"/>
    <s v="&lt;null&gt;"/>
    <s v="&lt;null&gt;"/>
    <s v="&lt;null&gt;"/>
    <s v="&lt;null&gt;"/>
    <m/>
    <m/>
    <m/>
    <m/>
  </r>
  <r>
    <x v="423"/>
    <x v="423"/>
    <s v="Verkeersveiligheid"/>
    <x v="1"/>
    <n v="479"/>
    <s v="IN/000443"/>
    <s v="in Gent : R40 Rooigemlaan met N466 Drongensesteenweg"/>
    <s v="heraanleg kruispunt."/>
    <s v="Kleine Ingreep"/>
    <s v="&lt;null&gt;"/>
    <b v="0"/>
    <s v="Ingreep wordt niet opgevolgd in BOD"/>
    <s v="&lt;null&gt;"/>
    <s v="&lt;null&gt;"/>
    <s v="&lt;null&gt;"/>
    <s v="&lt;null&gt;"/>
    <s v="&lt;null&gt;"/>
    <x v="0"/>
    <s v="&lt;null&gt;"/>
    <s v="&lt;null&gt;"/>
    <s v="&lt;null&gt;"/>
    <s v="&lt;null&gt;"/>
    <n v="100"/>
    <s v="&lt;null&gt;"/>
    <s v="&lt;null&gt;"/>
    <s v="&lt;null&gt;"/>
    <s v="&lt;null&gt;"/>
    <m/>
    <m/>
    <m/>
    <m/>
  </r>
  <r>
    <x v="424"/>
    <x v="424"/>
    <s v="Verkeersveiligheid"/>
    <x v="1"/>
    <n v="480"/>
    <s v="IN/000444"/>
    <s v="in Gent : R40 Vlaamsekaai met Snoekstraat"/>
    <s v="zebrapad werd weggehaald + jersey werd doorgetrokken (november 2019)"/>
    <s v="Kleine Ingreep"/>
    <s v="&lt;null&gt;"/>
    <b v="0"/>
    <s v="Ingreep wordt niet opgevolgd in BOD"/>
    <s v="&lt;null&gt;"/>
    <s v="&lt;null&gt;"/>
    <s v="&lt;null&gt;"/>
    <s v="&lt;null&gt;"/>
    <s v="&lt;null&gt;"/>
    <x v="0"/>
    <s v="&lt;null&gt;"/>
    <s v="&lt;null&gt;"/>
    <s v="&lt;null&gt;"/>
    <s v="&lt;null&gt;"/>
    <n v="100"/>
    <s v="&lt;null&gt;"/>
    <s v="&lt;null&gt;"/>
    <s v="&lt;null&gt;"/>
    <s v="&lt;null&gt;"/>
    <m/>
    <m/>
    <m/>
    <m/>
  </r>
  <r>
    <x v="425"/>
    <x v="425"/>
    <s v="Verkeersveiligheid"/>
    <x v="1"/>
    <n v="481"/>
    <s v="IN/000445"/>
    <s v="in Gent : wegvak kruispunt N43 Kortrijksesteenweg met Sint-Dionysiusstraat en Schoonzichtstraat tot rotonde Driesleutels. (Relance Raamcontrac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425"/>
    <x v="425"/>
    <s v="Verkeersveiligheid"/>
    <x v="1"/>
    <n v="482"/>
    <s v="IN/000446"/>
    <s v="PPS tram  Gent : wegvak kruispunt N43 Kortrijksesteenweg met Sint-Dionysiusstraat en Schoonzichtstraat tot rotonde Driesleutels"/>
    <s v="Fietspaden verbeteren en middengeleider aanleggen"/>
    <s v="Structurele Ingreep"/>
    <s v="&lt;null&gt;"/>
    <b v="0"/>
    <s v="Ingreep wordt niet opgevolgd in BOD"/>
    <s v="&lt;null&gt;"/>
    <s v="&lt;null&gt;"/>
    <s v="&lt;null&gt;"/>
    <s v="&lt;null&gt;"/>
    <s v="&lt;null&gt;"/>
    <x v="0"/>
    <s v="&lt;null&gt;"/>
    <s v="&lt;null&gt;"/>
    <s v="&lt;null&gt;"/>
    <s v="&lt;null&gt;"/>
    <n v="100"/>
    <s v="&lt;null&gt;"/>
    <s v="&lt;null&gt;"/>
    <s v="&lt;null&gt;"/>
    <s v="&lt;null&gt;"/>
    <m/>
    <m/>
    <m/>
    <m/>
  </r>
  <r>
    <x v="426"/>
    <x v="426"/>
    <s v="Verkeersveiligheid"/>
    <x v="1"/>
    <n v="483"/>
    <s v="IN/000447"/>
    <s v="PPS R4WO  Gent : R4 John Kennedylaan met Smishoekstraat"/>
    <s v="Project De Werkvennootschap. Kruispunt verdwijnt en wordt een fietstunnel"/>
    <s v="Structurele Ingreep"/>
    <s v="&lt;null&gt;"/>
    <b v="0"/>
    <s v="Ingreep wordt niet opgevolgd in BOD"/>
    <s v="&lt;null&gt;"/>
    <s v="&lt;null&gt;"/>
    <s v="&lt;null&gt;"/>
    <s v="&lt;null&gt;"/>
    <s v="&lt;null&gt;"/>
    <x v="0"/>
    <s v="&lt;null&gt;"/>
    <s v="&lt;null&gt;"/>
    <s v="&lt;null&gt;"/>
    <s v="&lt;null&gt;"/>
    <n v="100"/>
    <s v="&lt;null&gt;"/>
    <s v="&lt;null&gt;"/>
    <s v="&lt;null&gt;"/>
    <s v="&lt;null&gt;"/>
    <m/>
    <m/>
    <m/>
    <m/>
  </r>
  <r>
    <x v="427"/>
    <x v="427"/>
    <s v="Verkeersveiligheid"/>
    <x v="1"/>
    <n v="484"/>
    <s v="IN/000448"/>
    <s v="Gevaarlijk Punt: R40 Gent : verlengen linksafslagstrook, bushaltes aanpassen, vri semi-conflitvrij maken, VOP verschuiven, ..."/>
    <s v="Verlengen linksafslagstrook, bushaltes aanpassen, vri semi-conflitvrij maken, VOP verschuiven, ...;\nR40 Rooigemlaan met Bevrijdingslaan, Brugsesteenweg, Hamerstraat."/>
    <s v="Kleine Ingreep"/>
    <s v="&lt;null&gt;"/>
    <b v="0"/>
    <s v="Ingreep wordt niet opgevolgd in BOD"/>
    <s v="&lt;null&gt;"/>
    <s v="&lt;null&gt;"/>
    <s v="&lt;null&gt;"/>
    <s v="&lt;null&gt;"/>
    <s v="&lt;null&gt;"/>
    <x v="0"/>
    <s v="&lt;null&gt;"/>
    <s v="&lt;null&gt;"/>
    <s v="&lt;null&gt;"/>
    <s v="&lt;null&gt;"/>
    <n v="100"/>
    <s v="&lt;null&gt;"/>
    <s v="&lt;null&gt;"/>
    <s v="&lt;null&gt;"/>
    <s v="&lt;null&gt;"/>
    <m/>
    <m/>
    <m/>
    <m/>
  </r>
  <r>
    <x v="428"/>
    <x v="428"/>
    <s v="Verkeersveiligheid"/>
    <x v="1"/>
    <n v="485"/>
    <s v="IN/000449"/>
    <s v="in Gent : Blaisantvest, Muidelaan, Muidepoort, Neuseplein, Sint-Salvatorstraat, Voormuide"/>
    <s v="aanpassing aan Noord-Oost hoek van kruispunt: bypass aanpassen zodat deze veiliger wordt voor de fieters"/>
    <s v="Kleine Ingreep"/>
    <s v="&lt;null&gt;"/>
    <b v="0"/>
    <s v="Ingreep wordt niet opgevolgd in BOD"/>
    <s v="&lt;null&gt;"/>
    <s v="&lt;null&gt;"/>
    <s v="&lt;null&gt;"/>
    <s v="&lt;null&gt;"/>
    <s v="&lt;null&gt;"/>
    <x v="0"/>
    <s v="&lt;null&gt;"/>
    <s v="&lt;null&gt;"/>
    <s v="&lt;null&gt;"/>
    <s v="&lt;null&gt;"/>
    <n v="100"/>
    <s v="&lt;null&gt;"/>
    <s v="&lt;null&gt;"/>
    <s v="&lt;null&gt;"/>
    <s v="&lt;null&gt;"/>
    <m/>
    <m/>
    <m/>
    <m/>
  </r>
  <r>
    <x v="428"/>
    <x v="428"/>
    <s v="Verkeersveiligheid"/>
    <x v="1"/>
    <n v="486"/>
    <s v="IN/000450"/>
    <s v="PPS tram Gent  : Blaisantvest, Muidelaan, Muidepoort, Neuseplein, Sint-Salvatorstraat, Voormuide"/>
    <s v="Verkennende studie Neuseplein en omgeving lopende"/>
    <s v="Structurele Ingreep"/>
    <s v="&lt;null&gt;"/>
    <b v="0"/>
    <s v="Ingreep wordt niet opgevolgd in BOD"/>
    <s v="&lt;null&gt;"/>
    <s v="&lt;null&gt;"/>
    <s v="&lt;null&gt;"/>
    <s v="&lt;null&gt;"/>
    <s v="&lt;null&gt;"/>
    <x v="0"/>
    <s v="&lt;null&gt;"/>
    <s v="&lt;null&gt;"/>
    <s v="&lt;null&gt;"/>
    <s v="&lt;null&gt;"/>
    <n v="100"/>
    <s v="&lt;null&gt;"/>
    <s v="&lt;null&gt;"/>
    <s v="&lt;null&gt;"/>
    <s v="&lt;null&gt;"/>
    <m/>
    <m/>
    <m/>
    <m/>
  </r>
  <r>
    <x v="429"/>
    <x v="429"/>
    <s v="Verkeersveiligheid"/>
    <x v="1"/>
    <n v="487"/>
    <s v="IN/000451"/>
    <s v="Gent : Dampoortstraat, Dok-Zuid, Hagelandkaai, Kasteellaan, Oktrooiplein"/>
    <s v="Uitrusten van Dampoort met VRI (opgelet, in 2 fases)  (2018)\n Aanpassing signalisatie en kleine infra aanpassingen (fietspad)  (2018)"/>
    <s v="Kleine Ingreep"/>
    <s v="&lt;null&gt;"/>
    <b v="0"/>
    <s v="Ingreep wordt niet opgevolgd in BOD"/>
    <s v="&lt;null&gt;"/>
    <s v="&lt;null&gt;"/>
    <s v="&lt;null&gt;"/>
    <s v="&lt;null&gt;"/>
    <s v="&lt;null&gt;"/>
    <x v="0"/>
    <s v="&lt;null&gt;"/>
    <s v="&lt;null&gt;"/>
    <s v="&lt;null&gt;"/>
    <s v="&lt;null&gt;"/>
    <n v="100"/>
    <s v="&lt;null&gt;"/>
    <s v="&lt;null&gt;"/>
    <s v="&lt;null&gt;"/>
    <s v="&lt;null&gt;"/>
    <m/>
    <m/>
    <m/>
    <m/>
  </r>
  <r>
    <x v="430"/>
    <x v="430"/>
    <s v="Verkeersveiligheid"/>
    <x v="1"/>
    <n v="488"/>
    <s v="IN/000452"/>
    <s v="Gevaarlijk Punt: N60 Gent: plaatsen van verkeerslichten"/>
    <s v="Plaatsen van verkeerslichten;\nVRI: nieuwe installatie plaatsen in Gent : N60 Krijgslaan met Achilles Musschestraat. (Relance Raamcontract)"/>
    <s v="Kleine Ingreep"/>
    <s v="WOV/INV/N60/12"/>
    <b v="1"/>
    <s v="Ingreep wordt opgevolgd in BOD"/>
    <n v="9663"/>
    <s v="MDN/1504"/>
    <n v="99651"/>
    <n v="21057228"/>
    <s v="&lt;p&gt;6 locaties waar nieuwe verkeersregelaars worden geplaatst in het kader van de aanpak van gevaarlijke punten met relance-kredieten: Drongen (N466/Catriestraat), Gent (N60/Musschestraat), Gent (N70/N70a), St-Niklaas (R42/N451), Temse (N16/Hoogkamerstraat"/>
    <x v="8"/>
    <n v="6922"/>
    <s v="WO nieuw: Gent, N60/A. Musschestraat"/>
    <s v="&lt;p&gt;Lijst gevaarlijke punten&lt;/p&gt;"/>
    <s v="WOV/INV/N60/12"/>
    <n v="100"/>
    <n v="20500"/>
    <n v="0"/>
    <n v="0"/>
    <n v="4159.26"/>
    <n v="20500"/>
    <n v="0"/>
    <n v="0"/>
    <n v="4159.26"/>
  </r>
  <r>
    <x v="430"/>
    <x v="430"/>
    <s v="Verkeersveiligheid"/>
    <x v="1"/>
    <n v="488"/>
    <s v="IN/000452"/>
    <s v="Gevaarlijk Punt: N60 Gent: plaatsen van verkeerslichten"/>
    <s v="Plaatsen van verkeerslichten;\nVRI: nieuwe installatie plaatsen in Gent : N60 Krijgslaan met Achilles Musschestraat. (Relance Raamcontract)"/>
    <s v="Kleine Ingreep"/>
    <s v="WOV/INV/N60/12"/>
    <b v="1"/>
    <s v="Ingreep wordt opgevolgd in BOD"/>
    <n v="10165"/>
    <s v="MDN/59-3"/>
    <n v="99601"/>
    <n v="21057055"/>
    <s v="&lt;p&gt;2021-10-3MH231.65-MDN59-BOD2-Gent, 4 VL&lt;/p&gt;"/>
    <x v="8"/>
    <n v="6911"/>
    <s v="WO nieuw: Gent, N60/A. Musschestraat"/>
    <s v="&lt;p&gt;Relance Gevaarlijke pt BOD2&lt;/p&gt;"/>
    <s v="WOV/INV/N60/12"/>
    <n v="100"/>
    <n v="108925.62"/>
    <n v="0"/>
    <n v="0"/>
    <n v="28799.78"/>
    <n v="108925.62"/>
    <n v="0"/>
    <n v="0"/>
    <n v="28799.78"/>
  </r>
  <r>
    <x v="431"/>
    <x v="431"/>
    <s v="Verkeersveiligheid"/>
    <x v="1"/>
    <n v="489"/>
    <s v="IN/000453"/>
    <s v="in Gent : N70 Nieuwelaan met N70a Antwerpsesteenweg. (Relance Raamcontract)"/>
    <s v="Lichten plaatsen?"/>
    <s v="Kleine Ingreep"/>
    <s v="WOV/INV/N70/18"/>
    <b v="0"/>
    <s v="Ingreep wordt niet opgevolgd in BOD"/>
    <s v="&lt;null&gt;"/>
    <s v="&lt;null&gt;"/>
    <s v="&lt;null&gt;"/>
    <s v="&lt;null&gt;"/>
    <s v="&lt;null&gt;"/>
    <x v="0"/>
    <s v="&lt;null&gt;"/>
    <s v="&lt;null&gt;"/>
    <s v="&lt;null&gt;"/>
    <s v="&lt;null&gt;"/>
    <n v="100"/>
    <s v="&lt;null&gt;"/>
    <s v="&lt;null&gt;"/>
    <s v="&lt;null&gt;"/>
    <s v="&lt;null&gt;"/>
    <m/>
    <m/>
    <m/>
    <m/>
  </r>
  <r>
    <x v="432"/>
    <x v="432"/>
    <s v="Verkeersveiligheid"/>
    <x v="1"/>
    <n v="490"/>
    <s v="IN/000454"/>
    <s v="in Gent : N70a Antwerpsesteenweg - Pitta Can. (Relance Raamcontrac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433"/>
    <x v="433"/>
    <s v="Verkeersveiligheid"/>
    <x v="1"/>
    <n v="491"/>
    <s v="IN/000455"/>
    <s v="Gevaarlijk Punt: N466 Gent: verticale signalisatie aanpassen"/>
    <s v="Linksafbeweging verbieden;\nN466 Drongensesteenweg met Paddelstraat"/>
    <s v="Kleine Ingreep"/>
    <s v="WOV/INV/N466/6"/>
    <b v="0"/>
    <s v="Ingreep wordt niet opgevolgd in BOD"/>
    <s v="&lt;null&gt;"/>
    <s v="&lt;null&gt;"/>
    <s v="&lt;null&gt;"/>
    <s v="&lt;null&gt;"/>
    <s v="&lt;null&gt;"/>
    <x v="0"/>
    <s v="&lt;null&gt;"/>
    <s v="&lt;null&gt;"/>
    <s v="&lt;null&gt;"/>
    <s v="&lt;null&gt;"/>
    <n v="100"/>
    <s v="&lt;null&gt;"/>
    <s v="&lt;null&gt;"/>
    <s v="&lt;null&gt;"/>
    <s v="&lt;null&gt;"/>
    <m/>
    <m/>
    <m/>
    <m/>
  </r>
  <r>
    <x v="434"/>
    <x v="434"/>
    <s v="Verkeersveiligheid"/>
    <x v="1"/>
    <n v="492"/>
    <s v="IN/000456"/>
    <s v="Gevaarlijk Punt: N466xN461 Gent: aanpassen kruispunt VRI + Infra"/>
    <s v="N466 Deinsesteenweg met N461 Antoon Catriestraat. (Relance Raamcontract);\nAanpassen kruispunt VRI + Infra"/>
    <s v="Kleine Ingreep"/>
    <s v="WOV/INV/N466/7"/>
    <b v="1"/>
    <s v="Ingreep wordt opgevolgd in BOD"/>
    <n v="10165"/>
    <s v="MDN/59-3"/>
    <n v="99601"/>
    <n v="21057055"/>
    <s v="&lt;p&gt;2021-10-3MH231.65-MDN59-BOD2-Gent, 4 VL&lt;/p&gt;"/>
    <x v="8"/>
    <n v="8391"/>
    <s v="WO0528 : Gent, N466 / Catriestraat"/>
    <s v="&lt;p&gt;Relance Gevaarlijke pt - BOD4 - KP/000449&lt;/p&gt;"/>
    <s v="WOV/INV/N466/7"/>
    <n v="100"/>
    <n v="121487.6"/>
    <n v="0"/>
    <n v="0"/>
    <n v="23285.64"/>
    <n v="121487.6"/>
    <n v="0"/>
    <n v="0"/>
    <n v="23285.64"/>
  </r>
  <r>
    <x v="434"/>
    <x v="434"/>
    <s v="Verkeersveiligheid"/>
    <x v="1"/>
    <n v="492"/>
    <s v="IN/000456"/>
    <s v="Gevaarlijk Punt: N466xN461 Gent: aanpassen kruispunt VRI + Infra"/>
    <s v="N466 Deinsesteenweg met N461 Antoon Catriestraat. (Relance Raamcontract);\nAanpassen kruispunt VRI + Infra"/>
    <s v="Kleine Ingreep"/>
    <s v="WOV/INV/N466/7"/>
    <b v="1"/>
    <s v="Ingreep wordt opgevolgd in BOD"/>
    <n v="11864"/>
    <s v="AWV/INV/2021/3_P4"/>
    <n v="110801"/>
    <n v="21065762"/>
    <s v="&lt;p&gt;Gevaarlijke punten (2021 en 2022 (op 229))&lt;/p&gt;"/>
    <x v="10"/>
    <n v="7570"/>
    <s v="N466xN461 Catriestraat"/>
    <s v="&lt;p&gt;PCV 466xN461 Catriestraat te Gent&lt;/p&gt;"/>
    <s v="WOV/INV/N466/7"/>
    <n v="100"/>
    <n v="220350"/>
    <n v="0"/>
    <n v="0"/>
    <n v="220350"/>
    <n v="220350"/>
    <n v="0"/>
    <n v="0"/>
    <n v="220350"/>
  </r>
  <r>
    <x v="18"/>
    <x v="18"/>
    <s v="&lt;null&gt;"/>
    <x v="3"/>
    <n v="493"/>
    <s v="IN/000457"/>
    <s v="in Gent : N466 Deinsesteenweg met N461 Antoon Catriestraat"/>
    <s v="Lichtenregeling conflictvrij maken met complete heraanleg"/>
    <s v="Kleine Ingreep"/>
    <s v="&lt;null&gt;"/>
    <b v="0"/>
    <s v="Ingreep wordt niet opgevolgd in BOD"/>
    <s v="&lt;null&gt;"/>
    <s v="&lt;null&gt;"/>
    <s v="&lt;null&gt;"/>
    <s v="&lt;null&gt;"/>
    <s v="&lt;null&gt;"/>
    <x v="0"/>
    <s v="&lt;null&gt;"/>
    <s v="&lt;null&gt;"/>
    <s v="&lt;null&gt;"/>
    <s v="&lt;null&gt;"/>
    <s v="&lt;null&gt;"/>
    <s v="&lt;null&gt;"/>
    <s v="&lt;null&gt;"/>
    <s v="&lt;null&gt;"/>
    <s v="&lt;null&gt;"/>
    <m/>
    <m/>
    <m/>
    <m/>
  </r>
  <r>
    <x v="435"/>
    <x v="435"/>
    <s v="Verkeersveiligheid"/>
    <x v="1"/>
    <n v="494"/>
    <s v="IN/000458"/>
    <s v="in Gent : N9 Brusselsesteenweg met Land van Rodelaan en op- en afrit E17"/>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435"/>
    <x v="435"/>
    <s v="Verkeersveiligheid"/>
    <x v="1"/>
    <n v="495"/>
    <s v="IN/000459"/>
    <s v="in Gent : N9 Brusselsesteenweg met Land van Rodelaan en op- en afrit E1711"/>
    <s v="studie doorstroming tramlijn 2 (kruispunt zi hierbij)"/>
    <s v="Kleine Ingreep"/>
    <s v="&lt;null&gt;"/>
    <b v="0"/>
    <s v="Ingreep wordt niet opgevolgd in BOD"/>
    <s v="&lt;null&gt;"/>
    <s v="&lt;null&gt;"/>
    <s v="&lt;null&gt;"/>
    <s v="&lt;null&gt;"/>
    <s v="&lt;null&gt;"/>
    <x v="0"/>
    <s v="&lt;null&gt;"/>
    <s v="&lt;null&gt;"/>
    <s v="&lt;null&gt;"/>
    <s v="&lt;null&gt;"/>
    <n v="100"/>
    <s v="&lt;null&gt;"/>
    <s v="&lt;null&gt;"/>
    <s v="&lt;null&gt;"/>
    <s v="&lt;null&gt;"/>
    <m/>
    <m/>
    <m/>
    <m/>
  </r>
  <r>
    <x v="436"/>
    <x v="436"/>
    <s v="Verkeersveiligheid"/>
    <x v="1"/>
    <n v="496"/>
    <s v="IN/000460"/>
    <s v="in Gent : N70 Land van Waaslaan met Pilorijnstraat"/>
    <s v="De signalisatie duidelijker maken  (2018)"/>
    <s v="Kleine Ingreep"/>
    <s v="&lt;null&gt;"/>
    <b v="0"/>
    <s v="Ingreep wordt niet opgevolgd in BOD"/>
    <s v="&lt;null&gt;"/>
    <s v="&lt;null&gt;"/>
    <s v="&lt;null&gt;"/>
    <s v="&lt;null&gt;"/>
    <s v="&lt;null&gt;"/>
    <x v="0"/>
    <s v="&lt;null&gt;"/>
    <s v="&lt;null&gt;"/>
    <s v="&lt;null&gt;"/>
    <s v="&lt;null&gt;"/>
    <n v="100"/>
    <s v="&lt;null&gt;"/>
    <s v="&lt;null&gt;"/>
    <s v="&lt;null&gt;"/>
    <s v="&lt;null&gt;"/>
    <m/>
    <m/>
    <m/>
    <m/>
  </r>
  <r>
    <x v="437"/>
    <x v="437"/>
    <s v="Verkeersveiligheid"/>
    <x v="1"/>
    <n v="497"/>
    <s v="IN/000461"/>
    <s v="in Gent : Pantserschipstraat, N458 Wondelgemkaai, N456 Zeeschipstraat"/>
    <s v="heraanleg kruispunt in kader van herbouwen Meulestedebrug"/>
    <s v="Structurele Ingreep"/>
    <s v="WOV/INV/N456/2"/>
    <b v="0"/>
    <s v="Ingreep wordt niet opgevolgd in BOD"/>
    <s v="&lt;null&gt;"/>
    <s v="&lt;null&gt;"/>
    <s v="&lt;null&gt;"/>
    <s v="&lt;null&gt;"/>
    <s v="&lt;null&gt;"/>
    <x v="0"/>
    <s v="&lt;null&gt;"/>
    <s v="&lt;null&gt;"/>
    <s v="&lt;null&gt;"/>
    <s v="&lt;null&gt;"/>
    <n v="100"/>
    <s v="&lt;null&gt;"/>
    <s v="&lt;null&gt;"/>
    <s v="&lt;null&gt;"/>
    <s v="&lt;null&gt;"/>
    <m/>
    <m/>
    <m/>
    <m/>
  </r>
  <r>
    <x v="438"/>
    <x v="438"/>
    <s v="Verkeersveiligheid"/>
    <x v="1"/>
    <n v="498"/>
    <s v="IN/000462"/>
    <s v="Gevaarlijk punt: R40 Gent: aanpassen lichtenregeling"/>
    <s v="Conflictvrij maken;\nVRI: aanpassen lichtenregeling in Gent : R40 Charles de Kerchovelaan / Citadellaan met Hofbouwlaan, Normaalschoolstraat, Overpoortstraat. (Relance Raamcontract)"/>
    <s v="Kleine Ingreep"/>
    <s v="WOV/INV/R40/10"/>
    <b v="0"/>
    <s v="Ingreep wordt niet opgevolgd in BOD"/>
    <s v="&lt;null&gt;"/>
    <s v="&lt;null&gt;"/>
    <s v="&lt;null&gt;"/>
    <s v="&lt;null&gt;"/>
    <s v="&lt;null&gt;"/>
    <x v="0"/>
    <s v="&lt;null&gt;"/>
    <s v="&lt;null&gt;"/>
    <s v="&lt;null&gt;"/>
    <s v="&lt;null&gt;"/>
    <n v="100"/>
    <s v="&lt;null&gt;"/>
    <s v="&lt;null&gt;"/>
    <s v="&lt;null&gt;"/>
    <s v="&lt;null&gt;"/>
    <m/>
    <m/>
    <m/>
    <m/>
  </r>
  <r>
    <x v="439"/>
    <x v="439"/>
    <s v="Verkeersveiligheid"/>
    <x v="1"/>
    <n v="499"/>
    <s v="IN/000463"/>
    <s v="Horizontale signalisatie aanpassen in Gent : R40 Ijzerlaan met Bijlokekaai en Henleykaai. (Relance Raamcontract)"/>
    <s v="VRI plaatsen"/>
    <s v="Kleine Ingreep"/>
    <s v="&lt;null&gt;"/>
    <b v="0"/>
    <s v="Ingreep wordt niet opgevolgd in BOD"/>
    <s v="&lt;null&gt;"/>
    <s v="&lt;null&gt;"/>
    <s v="&lt;null&gt;"/>
    <s v="&lt;null&gt;"/>
    <s v="&lt;null&gt;"/>
    <x v="0"/>
    <s v="&lt;null&gt;"/>
    <s v="&lt;null&gt;"/>
    <s v="&lt;null&gt;"/>
    <s v="&lt;null&gt;"/>
    <n v="100"/>
    <s v="&lt;null&gt;"/>
    <s v="&lt;null&gt;"/>
    <s v="&lt;null&gt;"/>
    <s v="&lt;null&gt;"/>
    <m/>
    <m/>
    <m/>
    <m/>
  </r>
  <r>
    <x v="440"/>
    <x v="440"/>
    <s v="Verkeersveiligheid"/>
    <x v="1"/>
    <n v="500"/>
    <s v="IN/000464"/>
    <s v="Gevaarlijk Punt: N9 Gent: markeringen aanpassen"/>
    <s v="Alexis Dallièrestraat, Brusselsesteenweg, Langestraat. (Relance Raamcontract);\nMarkeringen aanpassen"/>
    <s v="Kleine Ingreep"/>
    <s v="WOV/INV/N9/26"/>
    <b v="1"/>
    <s v="Ingreep wordt opgevolgd in BOD"/>
    <n v="8664"/>
    <s v="O40/D411/92-C+D"/>
    <n v="71651"/>
    <n v="21014842"/>
    <s v="&lt;p&gt;Vastlegging D jaar&lt;/p&gt;"/>
    <x v="11"/>
    <n v="7768"/>
    <s v="Zwart Punt Dallierestraat N9 Gent"/>
    <s v="&lt;p&gt;zwart punt Dallierestraat - N9&lt;/p&gt;"/>
    <s v="WOV/INV/N9/26"/>
    <n v="100"/>
    <n v="2000"/>
    <n v="2000"/>
    <n v="0"/>
    <n v="0"/>
    <n v="2000"/>
    <n v="2000"/>
    <n v="0"/>
    <n v="0"/>
  </r>
  <r>
    <x v="441"/>
    <x v="441"/>
    <s v="Verkeersveiligheid"/>
    <x v="1"/>
    <n v="501"/>
    <s v="IN/000465"/>
    <s v="VRI: aanpassen lichtenregeling in Geraardsbergen : N42 Astridlaan met N493 Oudenaardsestraat. (Relance Raamcontract)"/>
    <s v="Ombouw actieplan"/>
    <s v="Kleine Ingreep"/>
    <s v="WOV/INV/N42/13"/>
    <b v="0"/>
    <s v="Ingreep wordt niet opgevolgd in BOD"/>
    <s v="&lt;null&gt;"/>
    <s v="&lt;null&gt;"/>
    <s v="&lt;null&gt;"/>
    <s v="&lt;null&gt;"/>
    <s v="&lt;null&gt;"/>
    <x v="0"/>
    <s v="&lt;null&gt;"/>
    <s v="&lt;null&gt;"/>
    <s v="&lt;null&gt;"/>
    <s v="&lt;null&gt;"/>
    <n v="100"/>
    <s v="&lt;null&gt;"/>
    <s v="&lt;null&gt;"/>
    <s v="&lt;null&gt;"/>
    <s v="&lt;null&gt;"/>
    <m/>
    <m/>
    <m/>
    <m/>
  </r>
  <r>
    <x v="18"/>
    <x v="18"/>
    <s v="&lt;null&gt;"/>
    <x v="3"/>
    <n v="502"/>
    <s v="IN/000466"/>
    <s v="in Geraardsbergen : N42 Astridlaan met N493 Oudenaardsestraat"/>
    <s v="complete heraanleg"/>
    <s v="Kleine Ingreep"/>
    <s v="&lt;null&gt;"/>
    <b v="0"/>
    <s v="Ingreep wordt niet opgevolgd in BOD"/>
    <s v="&lt;null&gt;"/>
    <s v="&lt;null&gt;"/>
    <s v="&lt;null&gt;"/>
    <s v="&lt;null&gt;"/>
    <s v="&lt;null&gt;"/>
    <x v="0"/>
    <s v="&lt;null&gt;"/>
    <s v="&lt;null&gt;"/>
    <s v="&lt;null&gt;"/>
    <s v="&lt;null&gt;"/>
    <s v="&lt;null&gt;"/>
    <s v="&lt;null&gt;"/>
    <s v="&lt;null&gt;"/>
    <s v="&lt;null&gt;"/>
    <s v="&lt;null&gt;"/>
    <m/>
    <m/>
    <m/>
    <m/>
  </r>
  <r>
    <x v="442"/>
    <x v="442"/>
    <s v="Verkeersveiligheid"/>
    <x v="1"/>
    <n v="503"/>
    <s v="IN/000467"/>
    <s v="Gevaarlijk Punt: N8 Geraardsbergen: VRI en Infra aanpassen"/>
    <s v="VRI en Infra: aanpassen lichtenregeling in Geraardsbergen : Brambroek, N42 Richting Lessines, N42 Richting Wetteren, Brakel (N8), N8 Richting Brussel, N8 Richting Koksijde. (Relance raamcontract);\nOmbouw naar slimme verkeerslichten"/>
    <s v="Kleine Ingreep"/>
    <s v="WOV/INV/N8/10"/>
    <b v="1"/>
    <s v="Ingreep wordt opgevolgd in BOD"/>
    <n v="11864"/>
    <s v="AWV/INV/2021/3_P4"/>
    <n v="110801"/>
    <n v="21065762"/>
    <s v="&lt;p&gt;Gevaarlijke punten (2021 en 2022 (op 229))&lt;/p&gt;"/>
    <x v="10"/>
    <n v="7702"/>
    <s v="N42 x N8 Bambroek"/>
    <s v="&lt;p&gt;Gevaarlijk punt N42 x N8 Bambroek&lt;/p&gt;"/>
    <s v="WOV/INV/N8/10"/>
    <n v="100"/>
    <n v="162000"/>
    <n v="0"/>
    <n v="0"/>
    <n v="1601.52"/>
    <n v="162000"/>
    <n v="0"/>
    <n v="0"/>
    <n v="1601.52"/>
  </r>
  <r>
    <x v="443"/>
    <x v="443"/>
    <s v="Verkeersveiligheid"/>
    <x v="1"/>
    <n v="504"/>
    <s v="IN/000468"/>
    <s v="in Gistel : Hoogstraat, Kerkstraat, Markt"/>
    <s v="in- en uitritconstructie aanpassen om verkeer uit Kerkstraat te remmen"/>
    <s v="Kleine Ingreep"/>
    <s v="&lt;null&gt;"/>
    <b v="0"/>
    <s v="Ingreep wordt niet opgevolgd in BOD"/>
    <s v="&lt;null&gt;"/>
    <s v="&lt;null&gt;"/>
    <s v="&lt;null&gt;"/>
    <s v="&lt;null&gt;"/>
    <s v="&lt;null&gt;"/>
    <x v="0"/>
    <s v="&lt;null&gt;"/>
    <s v="&lt;null&gt;"/>
    <s v="&lt;null&gt;"/>
    <s v="&lt;null&gt;"/>
    <n v="100"/>
    <s v="&lt;null&gt;"/>
    <s v="&lt;null&gt;"/>
    <s v="&lt;null&gt;"/>
    <s v="&lt;null&gt;"/>
    <m/>
    <m/>
    <m/>
    <m/>
  </r>
  <r>
    <x v="444"/>
    <x v="444"/>
    <s v="Verkeersveiligheid"/>
    <x v="1"/>
    <n v="505"/>
    <s v="IN/000469"/>
    <s v="in Grimbergen : R0 Binnenring (MAG WEG - DOOR DWV)"/>
    <s v="Herinrichting R0 door De Werkvennootschap"/>
    <s v="Structurele Ingreep"/>
    <s v="&lt;null&gt;"/>
    <b v="0"/>
    <s v="Ingreep wordt niet opgevolgd in BOD"/>
    <s v="&lt;null&gt;"/>
    <s v="&lt;null&gt;"/>
    <s v="&lt;null&gt;"/>
    <s v="&lt;null&gt;"/>
    <s v="&lt;null&gt;"/>
    <x v="0"/>
    <s v="&lt;null&gt;"/>
    <s v="&lt;null&gt;"/>
    <s v="&lt;null&gt;"/>
    <s v="&lt;null&gt;"/>
    <n v="100"/>
    <s v="&lt;null&gt;"/>
    <s v="&lt;null&gt;"/>
    <s v="&lt;null&gt;"/>
    <s v="&lt;null&gt;"/>
    <m/>
    <m/>
    <m/>
    <m/>
  </r>
  <r>
    <x v="445"/>
    <x v="445"/>
    <s v="Verkeersveiligheid"/>
    <x v="1"/>
    <n v="506"/>
    <s v="IN/000470"/>
    <s v="in Grimbergen : R0 Binnenring Oprit A12, R0 Rotonde - Verkeerswisselaar A12"/>
    <s v="Toegelaten snelheid verlaagd naar 70km/u"/>
    <s v="Kleine Ingreep"/>
    <s v="&lt;null&gt;"/>
    <b v="0"/>
    <s v="Ingreep wordt niet opgevolgd in BOD"/>
    <s v="&lt;null&gt;"/>
    <s v="&lt;null&gt;"/>
    <s v="&lt;null&gt;"/>
    <s v="&lt;null&gt;"/>
    <s v="&lt;null&gt;"/>
    <x v="0"/>
    <s v="&lt;null&gt;"/>
    <s v="&lt;null&gt;"/>
    <s v="&lt;null&gt;"/>
    <s v="&lt;null&gt;"/>
    <n v="100"/>
    <s v="&lt;null&gt;"/>
    <s v="&lt;null&gt;"/>
    <s v="&lt;null&gt;"/>
    <s v="&lt;null&gt;"/>
    <m/>
    <m/>
    <m/>
    <m/>
  </r>
  <r>
    <x v="445"/>
    <x v="445"/>
    <s v="Verkeersveiligheid"/>
    <x v="1"/>
    <n v="507"/>
    <s v="IN/000471"/>
    <s v="in Grimbergen : R0 Binnenring Oprit A12, R0 Rotonde - Verkeerswisselaar A12 (MAG WEG - DOOR DWV)"/>
    <s v="Herinrichting R0 door De Werkvennootschap"/>
    <s v="Structurele Ingreep"/>
    <s v="&lt;null&gt;"/>
    <b v="0"/>
    <s v="Ingreep wordt niet opgevolgd in BOD"/>
    <s v="&lt;null&gt;"/>
    <s v="&lt;null&gt;"/>
    <s v="&lt;null&gt;"/>
    <s v="&lt;null&gt;"/>
    <s v="&lt;null&gt;"/>
    <x v="0"/>
    <s v="&lt;null&gt;"/>
    <s v="&lt;null&gt;"/>
    <s v="&lt;null&gt;"/>
    <s v="&lt;null&gt;"/>
    <n v="100"/>
    <s v="&lt;null&gt;"/>
    <s v="&lt;null&gt;"/>
    <s v="&lt;null&gt;"/>
    <s v="&lt;null&gt;"/>
    <m/>
    <m/>
    <m/>
    <m/>
  </r>
  <r>
    <x v="446"/>
    <x v="446"/>
    <s v="Verkeersveiligheid"/>
    <x v="1"/>
    <n v="508"/>
    <s v="IN/000472"/>
    <s v="in Grobbendonk : A13-E313 Richting Antwerpen (herentals-West Grobbendonk)"/>
    <s v="(toevalsfactor)"/>
    <s v="Kleine Ingreep"/>
    <s v="&lt;null&gt;"/>
    <b v="0"/>
    <s v="Ingreep wordt niet opgevolgd in BOD"/>
    <s v="&lt;null&gt;"/>
    <s v="&lt;null&gt;"/>
    <s v="&lt;null&gt;"/>
    <s v="&lt;null&gt;"/>
    <s v="&lt;null&gt;"/>
    <x v="0"/>
    <s v="&lt;null&gt;"/>
    <s v="&lt;null&gt;"/>
    <s v="&lt;null&gt;"/>
    <s v="&lt;null&gt;"/>
    <n v="100"/>
    <s v="&lt;null&gt;"/>
    <s v="&lt;null&gt;"/>
    <s v="&lt;null&gt;"/>
    <s v="&lt;null&gt;"/>
    <m/>
    <m/>
    <m/>
    <m/>
  </r>
  <r>
    <x v="447"/>
    <x v="447"/>
    <s v="Verkeersveiligheid"/>
    <x v="1"/>
    <n v="509"/>
    <s v="IN/000473"/>
    <s v="in Halle : A8-E429 Richting Brussel, A8-E429 Richting Lille (Fr), N203a Verbinding A7 - A8 te Halle, Nijvelsesteenweg"/>
    <s v="Fiets- en voetgangersbrug"/>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510"/>
    <s v="IN/000474"/>
    <s v="in Halle : A8-E429 Richting Brussel, A8-E429 Richting Lille (Fr), N203a Verbinding A7 - A8 te Halle, Nijvelsesteenweg (SCHRAPPEN - MAAKT DEEL UIT VAN WVB/INV/A8/1)"/>
    <s v="er komt een voetgangers- en fietsersbrug"/>
    <s v="Structurele Ingreep"/>
    <s v="&lt;null&gt;"/>
    <b v="0"/>
    <s v="Ingreep wordt niet opgevolgd in BOD"/>
    <s v="&lt;null&gt;"/>
    <s v="&lt;null&gt;"/>
    <s v="&lt;null&gt;"/>
    <s v="&lt;null&gt;"/>
    <s v="&lt;null&gt;"/>
    <x v="0"/>
    <s v="&lt;null&gt;"/>
    <s v="&lt;null&gt;"/>
    <s v="&lt;null&gt;"/>
    <s v="&lt;null&gt;"/>
    <s v="&lt;null&gt;"/>
    <s v="&lt;null&gt;"/>
    <s v="&lt;null&gt;"/>
    <s v="&lt;null&gt;"/>
    <s v="&lt;null&gt;"/>
    <m/>
    <m/>
    <m/>
    <m/>
  </r>
  <r>
    <x v="448"/>
    <x v="448"/>
    <s v="Verkeersveiligheid"/>
    <x v="1"/>
    <n v="511"/>
    <s v="IN/000475"/>
    <s v="Horizontale signalisatie aanpassen in Halle : Auguste Demaeghtlaan, Bergensesteenweg, Bevrijdingsplein, Edingensesteenweg"/>
    <s v="zichtbaarheid wordt verbeterd door het weghalen van een cabine stroomvoorziening. Rotonde wordt teruggebracht naar 1 vak (nu veel breder) waardoor fietser beter in zicht komt"/>
    <s v="Kleine Ingreep"/>
    <s v="&lt;null&gt;"/>
    <b v="0"/>
    <s v="Ingreep wordt niet opgevolgd in BOD"/>
    <s v="&lt;null&gt;"/>
    <s v="&lt;null&gt;"/>
    <s v="&lt;null&gt;"/>
    <s v="&lt;null&gt;"/>
    <s v="&lt;null&gt;"/>
    <x v="0"/>
    <s v="&lt;null&gt;"/>
    <s v="&lt;null&gt;"/>
    <s v="&lt;null&gt;"/>
    <s v="&lt;null&gt;"/>
    <n v="100"/>
    <s v="&lt;null&gt;"/>
    <s v="&lt;null&gt;"/>
    <s v="&lt;null&gt;"/>
    <s v="&lt;null&gt;"/>
    <m/>
    <m/>
    <m/>
    <m/>
  </r>
  <r>
    <x v="449"/>
    <x v="449"/>
    <s v="Verkeersveiligheid"/>
    <x v="1"/>
    <n v="512"/>
    <s v="IN/000476"/>
    <s v="in Halle : Auguste Demaeghtlaan (N28 Nijvelsestwg)"/>
    <s v="Vrijliggende fietspaden, bushaltes aanpassen"/>
    <s v="Kleine Ingreep"/>
    <s v="WVB/INV/N6/5"/>
    <b v="1"/>
    <s v="Ingreep wordt opgevolgd in BOD"/>
    <n v="10166"/>
    <s v="MDN/59-4"/>
    <n v="104951"/>
    <n v="21064254"/>
    <s v="&lt;p&gt;Relance VRI - aanpak van gevaarlijke punten in de provincie Vlaams-Brabant 2022-2023.&lt;br&gt;&lt;br&gt;Budget voor aanpassingen aan de buiteninstallatie verkeerslichten op verkeerslichtengeregelde kruispunten die opgenomen zijn in de dynamische lijst gevaarlijke"/>
    <x v="4"/>
    <n v="9857"/>
    <s v="Installatie 834C3 - N6 Auguste Demaeghtlaan x N28 Ninoofsesteenweg - HALLE"/>
    <s v="&lt;p&gt;Aanpassing van gevaarlijk punt (heraanleg bushaltes, fietspaden en oversteekplaatsen) waarvoor ook het lichtengeregeld kruispunt aangepast wordt volgens actieplan.&lt;/p&gt;"/>
    <s v="WVB/INV/N6/5"/>
    <n v="100"/>
    <n v="143623.76999999999"/>
    <n v="0"/>
    <n v="0"/>
    <n v="0"/>
    <n v="143623.76999999999"/>
    <n v="0"/>
    <n v="0"/>
    <n v="0"/>
  </r>
  <r>
    <x v="450"/>
    <x v="450"/>
    <s v="Verkeersveiligheid"/>
    <x v="1"/>
    <n v="513"/>
    <s v="IN/000477"/>
    <s v="in Harelbeke : Kortrijksesteenweg, Peter Benoitlaan, Vlasstraat"/>
    <s v="conflictvrije fase voor voetgangers dwars over de N43"/>
    <s v="Kleine Ingreep"/>
    <s v="WWV/INV/N43/3"/>
    <b v="1"/>
    <s v="Ingreep wordt opgevolgd in BOD"/>
    <n v="10167"/>
    <s v="MDN/59-5"/>
    <n v="89351"/>
    <n v="21039714"/>
    <s v="&lt;p&gt;Harelbeke - N43 Kortrijksesteenweg - Vlasstraat - P. Benoitlaan. Herinrichten kruispunt WW0504/VL conform &quot;Actieplan verkeerslichten - Relance Wegen en Verkeer West-Vlaanderen&quot; - Historia 41465-2/4&lt;/p&gt;"/>
    <x v="8"/>
    <n v="6207"/>
    <s v="&lt;null&gt;"/>
    <s v="&lt;p&gt;Harelbeke - N43 Kortrijksesteenweg - Vlasstraat - P. Benoitlaan. Herinrichten kruispunt WW0504/VL conform &quot;Actieplan verkeerslichten - Relance Wegen en Verkeer West-Vlaanderen&quot; - Historia 41465-2/4&lt;/p&gt;"/>
    <s v="WWV/INV/N43/3"/>
    <n v="100"/>
    <n v="67554.149999999994"/>
    <n v="34519.850299999998"/>
    <n v="0"/>
    <n v="0"/>
    <n v="67554.149999999994"/>
    <n v="34519.850299999998"/>
    <n v="0"/>
    <n v="0"/>
  </r>
  <r>
    <x v="18"/>
    <x v="18"/>
    <s v="&lt;null&gt;"/>
    <x v="3"/>
    <n v="514"/>
    <s v="IN/000478"/>
    <s v="in Harelbeke : Gentsesteenweg, Kortrijksesteenweg, N395a Parallelweg R8 Noord, N43 Richting Gent, N43 Richting Moeskroen, R8 Buitenring, R8 Buitenring Oprit 5 (Harelbeke)"/>
    <s v="2022: circulatiemaatregelen:  conflictvrije linksaffasen (in combinatie met 2 andere kruispunten)\nLange termijn: realisatie R8 - MLT"/>
    <s v="Kleine Ingreep"/>
    <s v="&lt;null&gt;"/>
    <b v="0"/>
    <s v="Ingreep wordt niet opgevolgd in BOD"/>
    <s v="&lt;null&gt;"/>
    <s v="&lt;null&gt;"/>
    <s v="&lt;null&gt;"/>
    <s v="&lt;null&gt;"/>
    <s v="&lt;null&gt;"/>
    <x v="0"/>
    <s v="&lt;null&gt;"/>
    <s v="&lt;null&gt;"/>
    <s v="&lt;null&gt;"/>
    <s v="&lt;null&gt;"/>
    <s v="&lt;null&gt;"/>
    <s v="&lt;null&gt;"/>
    <s v="&lt;null&gt;"/>
    <s v="&lt;null&gt;"/>
    <s v="&lt;null&gt;"/>
    <m/>
    <m/>
    <m/>
    <m/>
  </r>
  <r>
    <x v="451"/>
    <x v="451"/>
    <s v="Verkeersveiligheid"/>
    <x v="1"/>
    <n v="515"/>
    <s v="IN/000479"/>
    <s v="in Harelbeke : Groeningestraat, Kortrijksesteenweg"/>
    <s v="Op- en afrit tankstation gestroomlijnd"/>
    <s v="Kleine Ingreep"/>
    <s v="&lt;null&gt;"/>
    <b v="0"/>
    <s v="Ingreep wordt niet opgevolgd in BOD"/>
    <s v="&lt;null&gt;"/>
    <s v="&lt;null&gt;"/>
    <s v="&lt;null&gt;"/>
    <s v="&lt;null&gt;"/>
    <s v="&lt;null&gt;"/>
    <x v="0"/>
    <s v="&lt;null&gt;"/>
    <s v="&lt;null&gt;"/>
    <s v="&lt;null&gt;"/>
    <s v="&lt;null&gt;"/>
    <n v="100"/>
    <s v="&lt;null&gt;"/>
    <s v="&lt;null&gt;"/>
    <s v="&lt;null&gt;"/>
    <s v="&lt;null&gt;"/>
    <m/>
    <m/>
    <m/>
    <m/>
  </r>
  <r>
    <x v="452"/>
    <x v="452"/>
    <s v="Verkeersveiligheid"/>
    <x v="1"/>
    <n v="516"/>
    <s v="IN/000480"/>
    <s v="in Hasselt : Hendrik van Veldekesingel, Herkenrodesingel, Kuringersteenweg"/>
    <s v="Aanpassen lichtenregeling (reeds uitgevoerd)  + markering wordt nog aangepast + signalisatie plaatsen (snelheidsverlaging naar 70 km/u)"/>
    <s v="Kleine Ingreep"/>
    <s v="&lt;null&gt;"/>
    <b v="0"/>
    <s v="Ingreep wordt niet opgevolgd in BOD"/>
    <s v="&lt;null&gt;"/>
    <s v="&lt;null&gt;"/>
    <s v="&lt;null&gt;"/>
    <s v="&lt;null&gt;"/>
    <s v="&lt;null&gt;"/>
    <x v="0"/>
    <s v="&lt;null&gt;"/>
    <s v="&lt;null&gt;"/>
    <s v="&lt;null&gt;"/>
    <s v="&lt;null&gt;"/>
    <n v="100"/>
    <s v="&lt;null&gt;"/>
    <s v="&lt;null&gt;"/>
    <s v="&lt;null&gt;"/>
    <s v="&lt;null&gt;"/>
    <m/>
    <m/>
    <m/>
    <m/>
  </r>
  <r>
    <x v="453"/>
    <x v="453"/>
    <s v="Verkeersveiligheid"/>
    <x v="1"/>
    <n v="517"/>
    <s v="IN/000481"/>
    <s v="in Hasselt : de Gerlachestraat, Guffenslaan"/>
    <s v="fietspad in tegenrichting aanglegd op promenade (middenberm)"/>
    <s v="Structurele Ingreep"/>
    <s v="&lt;null&gt;"/>
    <b v="0"/>
    <s v="Ingreep wordt niet opgevolgd in BOD"/>
    <s v="&lt;null&gt;"/>
    <s v="&lt;null&gt;"/>
    <s v="&lt;null&gt;"/>
    <s v="&lt;null&gt;"/>
    <s v="&lt;null&gt;"/>
    <x v="0"/>
    <s v="&lt;null&gt;"/>
    <s v="&lt;null&gt;"/>
    <s v="&lt;null&gt;"/>
    <s v="&lt;null&gt;"/>
    <n v="100"/>
    <s v="&lt;null&gt;"/>
    <s v="&lt;null&gt;"/>
    <s v="&lt;null&gt;"/>
    <s v="&lt;null&gt;"/>
    <m/>
    <m/>
    <m/>
    <m/>
  </r>
  <r>
    <x v="454"/>
    <x v="454"/>
    <s v="Verkeersveiligheid"/>
    <x v="1"/>
    <n v="518"/>
    <s v="IN/000482"/>
    <s v="VRI: aanpassen lichtenregeling in Hasselt : Biezenstraat, Boerenkrijgsingel"/>
    <s v="Aanpassen lichtenregeling (slimme VRI)"/>
    <s v="Kleine Ingreep"/>
    <s v="WL/INV/R71/20"/>
    <b v="0"/>
    <s v="Ingreep wordt niet opgevolgd in BOD"/>
    <s v="&lt;null&gt;"/>
    <s v="&lt;null&gt;"/>
    <s v="&lt;null&gt;"/>
    <s v="&lt;null&gt;"/>
    <s v="&lt;null&gt;"/>
    <x v="0"/>
    <s v="&lt;null&gt;"/>
    <s v="&lt;null&gt;"/>
    <s v="&lt;null&gt;"/>
    <s v="&lt;null&gt;"/>
    <n v="100"/>
    <s v="&lt;null&gt;"/>
    <s v="&lt;null&gt;"/>
    <s v="&lt;null&gt;"/>
    <s v="&lt;null&gt;"/>
    <m/>
    <m/>
    <m/>
    <m/>
  </r>
  <r>
    <x v="18"/>
    <x v="18"/>
    <s v="&lt;null&gt;"/>
    <x v="3"/>
    <n v="519"/>
    <s v="IN/000483"/>
    <s v="in Hasselt : Genkersteenweg, Kempische steenweg"/>
    <s v="nog niet gedefinieerd"/>
    <s v="Kleine Ingreep"/>
    <s v="&lt;null&gt;"/>
    <b v="0"/>
    <s v="Ingreep wordt niet opgevolgd in BOD"/>
    <s v="&lt;null&gt;"/>
    <s v="&lt;null&gt;"/>
    <s v="&lt;null&gt;"/>
    <s v="&lt;null&gt;"/>
    <s v="&lt;null&gt;"/>
    <x v="0"/>
    <s v="&lt;null&gt;"/>
    <s v="&lt;null&gt;"/>
    <s v="&lt;null&gt;"/>
    <s v="&lt;null&gt;"/>
    <s v="&lt;null&gt;"/>
    <s v="&lt;null&gt;"/>
    <s v="&lt;null&gt;"/>
    <s v="&lt;null&gt;"/>
    <s v="&lt;null&gt;"/>
    <m/>
    <m/>
    <m/>
    <m/>
  </r>
  <r>
    <x v="455"/>
    <x v="455"/>
    <s v="Verkeersveiligheid"/>
    <x v="1"/>
    <n v="520"/>
    <s v="IN/000484"/>
    <s v="in Hasselt : Genkersteenweg, Kempische steenweg"/>
    <s v="Combi met 8137\nHerinrichting kruispunt tijdens verhogen Kanaalbrug"/>
    <s v="Structurele Ingreep"/>
    <s v="&lt;null&gt;"/>
    <b v="0"/>
    <s v="Ingreep wordt niet opgevolgd in BOD"/>
    <s v="&lt;null&gt;"/>
    <s v="&lt;null&gt;"/>
    <s v="&lt;null&gt;"/>
    <s v="&lt;null&gt;"/>
    <s v="&lt;null&gt;"/>
    <x v="0"/>
    <s v="&lt;null&gt;"/>
    <s v="&lt;null&gt;"/>
    <s v="&lt;null&gt;"/>
    <s v="&lt;null&gt;"/>
    <n v="100"/>
    <s v="&lt;null&gt;"/>
    <s v="&lt;null&gt;"/>
    <s v="&lt;null&gt;"/>
    <s v="&lt;null&gt;"/>
    <m/>
    <m/>
    <m/>
    <m/>
  </r>
  <r>
    <x v="456"/>
    <x v="456"/>
    <s v="Verkeersveiligheid"/>
    <x v="1"/>
    <n v="521"/>
    <s v="IN/000485"/>
    <s v="in Hasselt : Gouverneur Roppesingel, Luikersteenweg, Prins-Bisschopssingel"/>
    <s v="Ombouw volgens actieplan"/>
    <s v="Kleine Ingreep"/>
    <s v="WL/INV/N20/9"/>
    <b v="0"/>
    <s v="Ingreep wordt niet opgevolgd in BOD"/>
    <s v="&lt;null&gt;"/>
    <s v="&lt;null&gt;"/>
    <s v="&lt;null&gt;"/>
    <s v="&lt;null&gt;"/>
    <s v="&lt;null&gt;"/>
    <x v="0"/>
    <s v="&lt;null&gt;"/>
    <s v="&lt;null&gt;"/>
    <s v="&lt;null&gt;"/>
    <s v="&lt;null&gt;"/>
    <n v="100"/>
    <s v="&lt;null&gt;"/>
    <s v="&lt;null&gt;"/>
    <s v="&lt;null&gt;"/>
    <s v="&lt;null&gt;"/>
    <m/>
    <m/>
    <m/>
    <m/>
  </r>
  <r>
    <x v="457"/>
    <x v="457"/>
    <s v="Verkeersveiligheid"/>
    <x v="1"/>
    <n v="522"/>
    <s v="IN/000486"/>
    <s v="in Hasselt : Gouverneur Verwilghensingel, Hendrik van Veldekesingel, Herkenrodesingel, Kempische steenweg"/>
    <s v="Kruispunt wordt herbekeken samen met verhoging brug over Albertkanaal door de Vlaamse Waterweg maar er was reeds een zeer sterke daling van de priorwaarde (van 88 naar 37) dankzij installatie RLC's"/>
    <s v="Structurele Ingreep"/>
    <s v="WL/INV/N74/2"/>
    <b v="0"/>
    <s v="Ingreep wordt niet opgevolgd in BOD"/>
    <s v="&lt;null&gt;"/>
    <s v="&lt;null&gt;"/>
    <s v="&lt;null&gt;"/>
    <s v="&lt;null&gt;"/>
    <s v="&lt;null&gt;"/>
    <x v="0"/>
    <s v="&lt;null&gt;"/>
    <s v="&lt;null&gt;"/>
    <s v="&lt;null&gt;"/>
    <s v="&lt;null&gt;"/>
    <n v="100"/>
    <s v="&lt;null&gt;"/>
    <s v="&lt;null&gt;"/>
    <s v="&lt;null&gt;"/>
    <s v="&lt;null&gt;"/>
    <m/>
    <m/>
    <m/>
    <m/>
  </r>
  <r>
    <x v="458"/>
    <x v="458"/>
    <s v="Verkeersveiligheid"/>
    <x v="1"/>
    <n v="523"/>
    <s v="IN/000487"/>
    <s v="in Hasselt : Gouverneur Roppesingel, Gouverneur Verwilghensingel, Koning Boudewijnlaan, Universiteitslaan"/>
    <s v="Aanleg bustunnel"/>
    <s v="Structurele Ingreep"/>
    <s v="&lt;null&gt;"/>
    <b v="0"/>
    <s v="Ingreep wordt niet opgevolgd in BOD"/>
    <s v="&lt;null&gt;"/>
    <s v="&lt;null&gt;"/>
    <s v="&lt;null&gt;"/>
    <s v="&lt;null&gt;"/>
    <s v="&lt;null&gt;"/>
    <x v="0"/>
    <s v="&lt;null&gt;"/>
    <s v="&lt;null&gt;"/>
    <s v="&lt;null&gt;"/>
    <s v="&lt;null&gt;"/>
    <n v="100"/>
    <s v="&lt;null&gt;"/>
    <s v="&lt;null&gt;"/>
    <s v="&lt;null&gt;"/>
    <s v="&lt;null&gt;"/>
    <m/>
    <m/>
    <m/>
    <m/>
  </r>
  <r>
    <x v="459"/>
    <x v="459"/>
    <s v="Verkeersveiligheid"/>
    <x v="1"/>
    <n v="524"/>
    <s v="IN/000488"/>
    <s v="in Hasselt : Gouverneur Roppesingel, Kroonwinningstraat"/>
    <s v="Herinrichting kruispunt"/>
    <s v="Structurele Ingreep"/>
    <s v="&lt;null&gt;"/>
    <b v="0"/>
    <s v="Ingreep wordt niet opgevolgd in BOD"/>
    <s v="&lt;null&gt;"/>
    <s v="&lt;null&gt;"/>
    <s v="&lt;null&gt;"/>
    <s v="&lt;null&gt;"/>
    <s v="&lt;null&gt;"/>
    <x v="0"/>
    <s v="&lt;null&gt;"/>
    <s v="&lt;null&gt;"/>
    <s v="&lt;null&gt;"/>
    <s v="&lt;null&gt;"/>
    <n v="100"/>
    <s v="&lt;null&gt;"/>
    <s v="&lt;null&gt;"/>
    <s v="&lt;null&gt;"/>
    <s v="&lt;null&gt;"/>
    <m/>
    <m/>
    <m/>
    <m/>
  </r>
  <r>
    <x v="460"/>
    <x v="460"/>
    <s v="Verkeersveiligheid"/>
    <x v="1"/>
    <n v="525"/>
    <s v="IN/000489"/>
    <s v="Aanpassen lichtenregeling (slimme VRI)"/>
    <m/>
    <s v="Kleine Ingreep"/>
    <s v="WL/INV/NX/3"/>
    <b v="0"/>
    <s v="Ingreep wordt niet opgevolgd in BOD"/>
    <s v="&lt;null&gt;"/>
    <s v="&lt;null&gt;"/>
    <s v="&lt;null&gt;"/>
    <s v="&lt;null&gt;"/>
    <s v="&lt;null&gt;"/>
    <x v="0"/>
    <s v="&lt;null&gt;"/>
    <s v="&lt;null&gt;"/>
    <s v="&lt;null&gt;"/>
    <s v="&lt;null&gt;"/>
    <n v="100"/>
    <s v="&lt;null&gt;"/>
    <s v="&lt;null&gt;"/>
    <s v="&lt;null&gt;"/>
    <s v="&lt;null&gt;"/>
    <m/>
    <m/>
    <m/>
    <m/>
  </r>
  <r>
    <x v="461"/>
    <x v="461"/>
    <s v="Verkeersveiligheid"/>
    <x v="1"/>
    <n v="526"/>
    <s v="IN/000490"/>
    <s v="in Hasselt : de Geloesplein, Gouverneur Roppesingel, Kliniekstraat, Prins-Bisschopssingel"/>
    <s v="aanbesteding lopende. uitvoering 2020"/>
    <s v="Structurele Ingreep"/>
    <s v="&lt;null&gt;"/>
    <b v="0"/>
    <s v="Ingreep wordt niet opgevolgd in BOD"/>
    <s v="&lt;null&gt;"/>
    <s v="&lt;null&gt;"/>
    <s v="&lt;null&gt;"/>
    <s v="&lt;null&gt;"/>
    <s v="&lt;null&gt;"/>
    <x v="0"/>
    <s v="&lt;null&gt;"/>
    <s v="&lt;null&gt;"/>
    <s v="&lt;null&gt;"/>
    <s v="&lt;null&gt;"/>
    <n v="100"/>
    <s v="&lt;null&gt;"/>
    <s v="&lt;null&gt;"/>
    <s v="&lt;null&gt;"/>
    <s v="&lt;null&gt;"/>
    <m/>
    <m/>
    <m/>
    <m/>
  </r>
  <r>
    <x v="462"/>
    <x v="462"/>
    <s v="Verkeersveiligheid"/>
    <x v="1"/>
    <n v="527"/>
    <s v="IN/000491"/>
    <s v="Aanpassing naar i-VRI"/>
    <m/>
    <s v="Kleine Ingreep"/>
    <s v="WL/INV/N80/3"/>
    <b v="0"/>
    <s v="Ingreep wordt niet opgevolgd in BOD"/>
    <s v="&lt;null&gt;"/>
    <s v="&lt;null&gt;"/>
    <s v="&lt;null&gt;"/>
    <s v="&lt;null&gt;"/>
    <s v="&lt;null&gt;"/>
    <x v="0"/>
    <s v="&lt;null&gt;"/>
    <s v="&lt;null&gt;"/>
    <s v="&lt;null&gt;"/>
    <s v="&lt;null&gt;"/>
    <n v="100"/>
    <s v="&lt;null&gt;"/>
    <s v="&lt;null&gt;"/>
    <s v="&lt;null&gt;"/>
    <s v="&lt;null&gt;"/>
    <m/>
    <m/>
    <m/>
    <m/>
  </r>
  <r>
    <x v="463"/>
    <x v="463"/>
    <s v="Verkeersveiligheid"/>
    <x v="1"/>
    <n v="528"/>
    <s v="IN/000492"/>
    <s v="in Hasselt : Thonissenlaan (thv kmpt 0,3)"/>
    <s v="uitgebreide aanpassing in uitvoering:  stuk van thonissenlaan is in herinrichting + manteliusstraat is éénrichting gemaakt"/>
    <s v="Structurele Ingreep"/>
    <s v="&lt;null&gt;"/>
    <b v="0"/>
    <s v="Ingreep wordt niet opgevolgd in BOD"/>
    <s v="&lt;null&gt;"/>
    <s v="&lt;null&gt;"/>
    <s v="&lt;null&gt;"/>
    <s v="&lt;null&gt;"/>
    <s v="&lt;null&gt;"/>
    <x v="0"/>
    <s v="&lt;null&gt;"/>
    <s v="&lt;null&gt;"/>
    <s v="&lt;null&gt;"/>
    <s v="&lt;null&gt;"/>
    <n v="100"/>
    <s v="&lt;null&gt;"/>
    <s v="&lt;null&gt;"/>
    <s v="&lt;null&gt;"/>
    <s v="&lt;null&gt;"/>
    <m/>
    <m/>
    <m/>
    <m/>
  </r>
  <r>
    <x v="464"/>
    <x v="464"/>
    <s v="Verkeersveiligheid"/>
    <x v="1"/>
    <n v="529"/>
    <s v="IN/000493"/>
    <s v="in Hasselt : Trichterheideweg, Universiteitslaan, Via Media"/>
    <s v="kruispunt in herinrichting"/>
    <s v="Structurele Ingreep"/>
    <s v="&lt;null&gt;"/>
    <b v="0"/>
    <s v="Ingreep wordt niet opgevolgd in BOD"/>
    <s v="&lt;null&gt;"/>
    <s v="&lt;null&gt;"/>
    <s v="&lt;null&gt;"/>
    <s v="&lt;null&gt;"/>
    <s v="&lt;null&gt;"/>
    <x v="0"/>
    <s v="&lt;null&gt;"/>
    <s v="&lt;null&gt;"/>
    <s v="&lt;null&gt;"/>
    <s v="&lt;null&gt;"/>
    <n v="100"/>
    <s v="&lt;null&gt;"/>
    <s v="&lt;null&gt;"/>
    <s v="&lt;null&gt;"/>
    <s v="&lt;null&gt;"/>
    <m/>
    <m/>
    <m/>
    <m/>
  </r>
  <r>
    <x v="465"/>
    <x v="465"/>
    <s v="Verkeersveiligheid"/>
    <x v="1"/>
    <n v="530"/>
    <s v="IN/000494"/>
    <s v="Fietspad: aanpassen van ligging in Hasselt : Kempische steenweg, N74 Richting Eindhoven (Nl), Putvennestraat"/>
    <s v="Fietspaden verleggen + aanpassen aansluiting putvennestraat ((nog asfalteren en markeren)"/>
    <s v="Kleine Ingreep"/>
    <s v="&lt;null&gt;"/>
    <b v="0"/>
    <s v="Ingreep wordt niet opgevolgd in BOD"/>
    <s v="&lt;null&gt;"/>
    <s v="&lt;null&gt;"/>
    <s v="&lt;null&gt;"/>
    <s v="&lt;null&gt;"/>
    <s v="&lt;null&gt;"/>
    <x v="0"/>
    <s v="&lt;null&gt;"/>
    <s v="&lt;null&gt;"/>
    <s v="&lt;null&gt;"/>
    <s v="&lt;null&gt;"/>
    <n v="100"/>
    <s v="&lt;null&gt;"/>
    <s v="&lt;null&gt;"/>
    <s v="&lt;null&gt;"/>
    <s v="&lt;null&gt;"/>
    <m/>
    <m/>
    <m/>
    <m/>
  </r>
  <r>
    <x v="466"/>
    <x v="466"/>
    <s v="Verkeersveiligheid"/>
    <x v="1"/>
    <n v="531"/>
    <s v="IN/000495"/>
    <s v="in Hechtel-Eksel : Hasseltsebaan, N74 (NOORD-ZUID VERBINDING), N74 Richting Hasselt"/>
    <s v="Noord-zuidverbinding: uitvoering binnen compelx project van DWV"/>
    <s v="Structurele Ingreep"/>
    <s v="&lt;null&gt;"/>
    <b v="0"/>
    <s v="Ingreep wordt niet opgevolgd in BOD"/>
    <s v="&lt;null&gt;"/>
    <s v="&lt;null&gt;"/>
    <s v="&lt;null&gt;"/>
    <s v="&lt;null&gt;"/>
    <s v="&lt;null&gt;"/>
    <x v="0"/>
    <s v="&lt;null&gt;"/>
    <s v="&lt;null&gt;"/>
    <s v="&lt;null&gt;"/>
    <s v="&lt;null&gt;"/>
    <n v="100"/>
    <s v="&lt;null&gt;"/>
    <s v="&lt;null&gt;"/>
    <s v="&lt;null&gt;"/>
    <s v="&lt;null&gt;"/>
    <m/>
    <m/>
    <m/>
    <m/>
  </r>
  <r>
    <x v="467"/>
    <x v="467"/>
    <s v="Verkeersveiligheid"/>
    <x v="1"/>
    <n v="532"/>
    <s v="IN/000496"/>
    <s v="in Heist-op-den-Berg : Liersesteenweg, Schoorstraa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468"/>
    <x v="468"/>
    <s v="Verkeersveiligheid"/>
    <x v="1"/>
    <n v="533"/>
    <s v="IN/000497"/>
    <s v="Verlagen toegelaten snelheid in Heusden-Zolder : Meylandtlaan"/>
    <s v="Snelheidsverlaging"/>
    <s v="Kleine Ingreep"/>
    <s v="WL/INV/N72/14"/>
    <b v="0"/>
    <s v="Ingreep wordt niet opgevolgd in BOD"/>
    <s v="&lt;null&gt;"/>
    <s v="&lt;null&gt;"/>
    <s v="&lt;null&gt;"/>
    <s v="&lt;null&gt;"/>
    <s v="&lt;null&gt;"/>
    <x v="0"/>
    <s v="&lt;null&gt;"/>
    <s v="&lt;null&gt;"/>
    <s v="&lt;null&gt;"/>
    <s v="&lt;null&gt;"/>
    <n v="100"/>
    <s v="&lt;null&gt;"/>
    <s v="&lt;null&gt;"/>
    <s v="&lt;null&gt;"/>
    <s v="&lt;null&gt;"/>
    <m/>
    <m/>
    <m/>
    <m/>
  </r>
  <r>
    <x v="469"/>
    <x v="469"/>
    <s v="Verkeersveiligheid"/>
    <x v="1"/>
    <n v="534"/>
    <s v="IN/000498"/>
    <s v="VRI: aanpassen lichtenregeling in Heusden-Zolder : Bieststraat, Meylandtlaan, O.L. Vrouwstraat"/>
    <s v="snelheidsverlaging + slimme VRI"/>
    <s v="Kleine Ingreep"/>
    <s v="WL/INV/N72/15"/>
    <b v="0"/>
    <s v="Ingreep wordt niet opgevolgd in BOD"/>
    <s v="&lt;null&gt;"/>
    <s v="&lt;null&gt;"/>
    <s v="&lt;null&gt;"/>
    <s v="&lt;null&gt;"/>
    <s v="&lt;null&gt;"/>
    <x v="0"/>
    <s v="&lt;null&gt;"/>
    <s v="&lt;null&gt;"/>
    <s v="&lt;null&gt;"/>
    <s v="&lt;null&gt;"/>
    <n v="100"/>
    <s v="&lt;null&gt;"/>
    <s v="&lt;null&gt;"/>
    <s v="&lt;null&gt;"/>
    <s v="&lt;null&gt;"/>
    <m/>
    <m/>
    <m/>
    <m/>
  </r>
  <r>
    <x v="470"/>
    <x v="470"/>
    <s v="Verkeersveiligheid"/>
    <x v="1"/>
    <n v="535"/>
    <s v="IN/000499"/>
    <s v="VRI: aanpassen lichtenregeling in Hoeilaart : Groenendaalsesteenweg, Leopold II laan, R0 Binnenring Uitrit N275, Terhulpsesteenweg"/>
    <s v="aanpassen lichtenregeling, zebrapaden worden weggehaald (zie punt 24889)"/>
    <s v="Kleine Ingreep"/>
    <s v="WVB/INV/N275/3"/>
    <b v="0"/>
    <s v="Ingreep wordt niet opgevolgd in BOD"/>
    <s v="&lt;null&gt;"/>
    <s v="&lt;null&gt;"/>
    <s v="&lt;null&gt;"/>
    <s v="&lt;null&gt;"/>
    <s v="&lt;null&gt;"/>
    <x v="0"/>
    <s v="&lt;null&gt;"/>
    <s v="&lt;null&gt;"/>
    <s v="&lt;null&gt;"/>
    <s v="&lt;null&gt;"/>
    <n v="100"/>
    <s v="&lt;null&gt;"/>
    <s v="&lt;null&gt;"/>
    <s v="&lt;null&gt;"/>
    <s v="&lt;null&gt;"/>
    <m/>
    <m/>
    <m/>
    <m/>
  </r>
  <r>
    <x v="470"/>
    <x v="470"/>
    <s v="Verkeersveiligheid"/>
    <x v="1"/>
    <n v="536"/>
    <s v="IN/000500"/>
    <s v="PROJECT VAN DWV DUS GEEN AID NR // VRI: aanpassen lichtenregeling in Hoeilaart : Groenendaalsesteenweg, Leopold II laan, R0 Binnenring Uitrit N275, Terhulpsesteenweg"/>
    <s v="Herinrichting R0 door De Werkvennootschap"/>
    <s v="Structurele Ingreep"/>
    <s v="&lt;null&gt;"/>
    <b v="0"/>
    <s v="Ingreep wordt niet opgevolgd in BOD"/>
    <s v="&lt;null&gt;"/>
    <s v="&lt;null&gt;"/>
    <s v="&lt;null&gt;"/>
    <s v="&lt;null&gt;"/>
    <s v="&lt;null&gt;"/>
    <x v="0"/>
    <s v="&lt;null&gt;"/>
    <s v="&lt;null&gt;"/>
    <s v="&lt;null&gt;"/>
    <s v="&lt;null&gt;"/>
    <n v="100"/>
    <s v="&lt;null&gt;"/>
    <s v="&lt;null&gt;"/>
    <s v="&lt;null&gt;"/>
    <s v="&lt;null&gt;"/>
    <m/>
    <m/>
    <m/>
    <m/>
  </r>
  <r>
    <x v="471"/>
    <x v="471"/>
    <s v="Verkeersveiligheid"/>
    <x v="1"/>
    <n v="537"/>
    <s v="IN/000501"/>
    <s v="VRI: aanpassen lichtenregeling in Hoeilaart : Duboislaan, Leopold II laan, R0 Buitenring Uitrit N275, Terhulpsesteenweg"/>
    <s v="aanpassing lichtenregeling volgens actieplan"/>
    <s v="Kleine Ingreep"/>
    <s v="WVB/INV/N275/4"/>
    <b v="0"/>
    <s v="Ingreep wordt niet opgevolgd in BOD"/>
    <s v="&lt;null&gt;"/>
    <s v="&lt;null&gt;"/>
    <s v="&lt;null&gt;"/>
    <s v="&lt;null&gt;"/>
    <s v="&lt;null&gt;"/>
    <x v="0"/>
    <s v="&lt;null&gt;"/>
    <s v="&lt;null&gt;"/>
    <s v="&lt;null&gt;"/>
    <s v="&lt;null&gt;"/>
    <n v="100"/>
    <s v="&lt;null&gt;"/>
    <s v="&lt;null&gt;"/>
    <s v="&lt;null&gt;"/>
    <s v="&lt;null&gt;"/>
    <m/>
    <m/>
    <m/>
    <m/>
  </r>
  <r>
    <x v="472"/>
    <x v="472"/>
    <s v="Verkeersveiligheid"/>
    <x v="1"/>
    <n v="538"/>
    <s v="IN/000502"/>
    <s v="VRI: aanpassen lichtenregeling in Houthalen-Helchteren : Grote Baan, Helzoldstraat, Kazernelaan, Sint-Trudoplein"/>
    <s v="Plaatsen van knipperlicht (Q1 2021 uitgevoerd)"/>
    <s v="Kleine Ingreep"/>
    <s v="&lt;null&gt;"/>
    <b v="0"/>
    <s v="Ingreep wordt niet opgevolgd in BOD"/>
    <s v="&lt;null&gt;"/>
    <s v="&lt;null&gt;"/>
    <s v="&lt;null&gt;"/>
    <s v="&lt;null&gt;"/>
    <s v="&lt;null&gt;"/>
    <x v="0"/>
    <s v="&lt;null&gt;"/>
    <s v="&lt;null&gt;"/>
    <s v="&lt;null&gt;"/>
    <s v="&lt;null&gt;"/>
    <n v="100"/>
    <s v="&lt;null&gt;"/>
    <s v="&lt;null&gt;"/>
    <s v="&lt;null&gt;"/>
    <s v="&lt;null&gt;"/>
    <m/>
    <m/>
    <m/>
    <m/>
  </r>
  <r>
    <x v="472"/>
    <x v="472"/>
    <s v="Verkeersveiligheid"/>
    <x v="1"/>
    <n v="539"/>
    <s v="IN/000503"/>
    <s v="Dubbelrichtingsfietspaden, lichtenregeling 4 kruispunten (de Werkvennootschap)"/>
    <s v="\n"/>
    <s v="Structurele Ingreep"/>
    <s v="&lt;null&gt;"/>
    <b v="0"/>
    <s v="Ingreep wordt niet opgevolgd in BOD"/>
    <s v="&lt;null&gt;"/>
    <s v="&lt;null&gt;"/>
    <s v="&lt;null&gt;"/>
    <s v="&lt;null&gt;"/>
    <s v="&lt;null&gt;"/>
    <x v="0"/>
    <s v="&lt;null&gt;"/>
    <s v="&lt;null&gt;"/>
    <s v="&lt;null&gt;"/>
    <s v="&lt;null&gt;"/>
    <n v="100"/>
    <s v="&lt;null&gt;"/>
    <s v="&lt;null&gt;"/>
    <s v="&lt;null&gt;"/>
    <s v="&lt;null&gt;"/>
    <m/>
    <m/>
    <m/>
    <m/>
  </r>
  <r>
    <x v="473"/>
    <x v="473"/>
    <s v="Verkeersveiligheid"/>
    <x v="1"/>
    <n v="540"/>
    <s v="IN/000504"/>
    <s v="Uitvoering complex project NZ (door de Werkvennootschap)"/>
    <m/>
    <s v="Structurele Ingreep"/>
    <s v="&lt;null&gt;"/>
    <b v="0"/>
    <s v="Ingreep wordt niet opgevolgd in BOD"/>
    <s v="&lt;null&gt;"/>
    <s v="&lt;null&gt;"/>
    <s v="&lt;null&gt;"/>
    <s v="&lt;null&gt;"/>
    <s v="&lt;null&gt;"/>
    <x v="0"/>
    <s v="&lt;null&gt;"/>
    <s v="&lt;null&gt;"/>
    <s v="&lt;null&gt;"/>
    <s v="&lt;null&gt;"/>
    <n v="100"/>
    <s v="&lt;null&gt;"/>
    <s v="&lt;null&gt;"/>
    <s v="&lt;null&gt;"/>
    <s v="&lt;null&gt;"/>
    <m/>
    <m/>
    <m/>
    <m/>
  </r>
  <r>
    <x v="474"/>
    <x v="474"/>
    <s v="Verkeersveiligheid"/>
    <x v="1"/>
    <n v="541"/>
    <s v="IN/000505"/>
    <s v="in Houthulst : Klerkenstraat, Torhoutstraat"/>
    <s v="aanpassing asmarkering en voorzien stopstreep en B5 in zijtak"/>
    <s v="Kleine Ingreep"/>
    <s v="&lt;null&gt;"/>
    <b v="0"/>
    <s v="Ingreep wordt niet opgevolgd in BOD"/>
    <s v="&lt;null&gt;"/>
    <s v="&lt;null&gt;"/>
    <s v="&lt;null&gt;"/>
    <s v="&lt;null&gt;"/>
    <s v="&lt;null&gt;"/>
    <x v="0"/>
    <s v="&lt;null&gt;"/>
    <s v="&lt;null&gt;"/>
    <s v="&lt;null&gt;"/>
    <s v="&lt;null&gt;"/>
    <n v="100"/>
    <s v="&lt;null&gt;"/>
    <s v="&lt;null&gt;"/>
    <s v="&lt;null&gt;"/>
    <s v="&lt;null&gt;"/>
    <m/>
    <m/>
    <m/>
    <m/>
  </r>
  <r>
    <x v="474"/>
    <x v="474"/>
    <s v="Verkeersveiligheid"/>
    <x v="1"/>
    <n v="542"/>
    <s v="IN/000506"/>
    <s v="in Houthulst : Klerkenstraat, Torhoutstraat"/>
    <s v="Projectnota goedgekeurd, wacht op studie DT Klerken. Eventueel los te koppelen omwille van gevaarlijk punt. In fietspadenproject wordt zicht gecreëerd voor en op verkeer uit de Torhoutstraat"/>
    <s v="Structurele Ingreep"/>
    <s v="WWV/INV/N301/1"/>
    <b v="0"/>
    <s v="Ingreep wordt niet opgevolgd in BOD"/>
    <s v="&lt;null&gt;"/>
    <s v="&lt;null&gt;"/>
    <s v="&lt;null&gt;"/>
    <s v="&lt;null&gt;"/>
    <s v="&lt;null&gt;"/>
    <x v="0"/>
    <s v="&lt;null&gt;"/>
    <s v="&lt;null&gt;"/>
    <s v="&lt;null&gt;"/>
    <s v="&lt;null&gt;"/>
    <n v="100"/>
    <s v="&lt;null&gt;"/>
    <s v="&lt;null&gt;"/>
    <s v="&lt;null&gt;"/>
    <s v="&lt;null&gt;"/>
    <m/>
    <m/>
    <m/>
    <m/>
  </r>
  <r>
    <x v="475"/>
    <x v="475"/>
    <s v="Verkeersveiligheid"/>
    <x v="1"/>
    <n v="543"/>
    <s v="IN/000507"/>
    <s v="in Ingelmunster : De Ring, Meulebekestraat, N50 Richting Brugge"/>
    <s v="bypass afschaffen en vrijliggende fietspaden op rotonde"/>
    <s v="Kleine Ingreep"/>
    <s v="WWV/INV/N399/1"/>
    <b v="1"/>
    <s v="Ingreep wordt opgevolgd in BOD"/>
    <n v="10666"/>
    <s v="VWT/EW/2020/028"/>
    <n v="96901"/>
    <n v="21054514"/>
    <s v="&lt;p&gt;Opstellen en aanpassen van de rotondeverlichting volgens herinrichting van het kruispunt.&lt;/p&gt;"/>
    <x v="10"/>
    <n v="6821"/>
    <s v="&lt;null&gt;"/>
    <s v="&lt;p&gt;PWV336 Ingelmunster N50/N399 Opstellen en aanpassen van de rotondeverlichting volgens herinrichting van het kruispunt.&lt;/p&gt;"/>
    <s v="WWV/INV/N399/1"/>
    <n v="100"/>
    <n v="42970.99"/>
    <n v="0"/>
    <n v="0"/>
    <n v="7197.81"/>
    <n v="42970.99"/>
    <n v="0"/>
    <n v="0"/>
    <n v="7197.81"/>
  </r>
  <r>
    <x v="475"/>
    <x v="475"/>
    <s v="Verkeersveiligheid"/>
    <x v="1"/>
    <n v="543"/>
    <s v="IN/000507"/>
    <s v="in Ingelmunster : De Ring, Meulebekestraat, N50 Richting Brugge"/>
    <s v="bypass afschaffen en vrijliggende fietspaden op rotonde"/>
    <s v="Kleine Ingreep"/>
    <s v="WWV/INV/N399/1"/>
    <b v="1"/>
    <s v="Ingreep wordt opgevolgd in BOD"/>
    <n v="11517"/>
    <s v="X30/0/330"/>
    <n v="94701"/>
    <n v="21040099"/>
    <s v="&lt;p&gt;Relancemiddelen&lt;/p&gt;"/>
    <x v="10"/>
    <n v="6737"/>
    <s v="&lt;null&gt;"/>
    <s v="&lt;p&gt;Relancemiddelen&lt;/p&gt;"/>
    <s v="WWV/INV/N399/1"/>
    <n v="100"/>
    <n v="347080.18"/>
    <n v="331214.57199999999"/>
    <n v="0"/>
    <n v="0.7"/>
    <n v="347080.18"/>
    <n v="331214.57199999999"/>
    <n v="0"/>
    <n v="0.7"/>
  </r>
  <r>
    <x v="18"/>
    <x v="18"/>
    <s v="&lt;null&gt;"/>
    <x v="3"/>
    <n v="544"/>
    <s v="IN/000508"/>
    <s v="in Ingelmunster : De Ring, Meulebekestraat, N50 Richting Brugge"/>
    <s v="bypass afschaffen en vrijliggende fietspaden op rotonde"/>
    <s v="Kleine Ingreep"/>
    <s v="&lt;null&gt;"/>
    <b v="0"/>
    <s v="Ingreep wordt niet opgevolgd in BOD"/>
    <s v="&lt;null&gt;"/>
    <s v="&lt;null&gt;"/>
    <s v="&lt;null&gt;"/>
    <s v="&lt;null&gt;"/>
    <s v="&lt;null&gt;"/>
    <x v="0"/>
    <s v="&lt;null&gt;"/>
    <s v="&lt;null&gt;"/>
    <s v="&lt;null&gt;"/>
    <s v="&lt;null&gt;"/>
    <s v="&lt;null&gt;"/>
    <s v="&lt;null&gt;"/>
    <s v="&lt;null&gt;"/>
    <s v="&lt;null&gt;"/>
    <s v="&lt;null&gt;"/>
    <m/>
    <m/>
    <m/>
    <m/>
  </r>
  <r>
    <x v="476"/>
    <x v="476"/>
    <s v="Verkeersveiligheid"/>
    <x v="1"/>
    <n v="545"/>
    <s v="IN/000509"/>
    <s v="in Jabbeke : Gistelsteenweg, Kerkeweg, N367 Brugge (N32) - Nieuwpoort (N380)"/>
    <s v="- rijbaan versmallen"/>
    <s v="Kleine Ingreep"/>
    <s v="&lt;null&gt;"/>
    <b v="0"/>
    <s v="Ingreep wordt niet opgevolgd in BOD"/>
    <s v="&lt;null&gt;"/>
    <s v="&lt;null&gt;"/>
    <s v="&lt;null&gt;"/>
    <s v="&lt;null&gt;"/>
    <s v="&lt;null&gt;"/>
    <x v="0"/>
    <s v="&lt;null&gt;"/>
    <s v="&lt;null&gt;"/>
    <s v="&lt;null&gt;"/>
    <s v="&lt;null&gt;"/>
    <n v="100"/>
    <s v="&lt;null&gt;"/>
    <s v="&lt;null&gt;"/>
    <s v="&lt;null&gt;"/>
    <s v="&lt;null&gt;"/>
    <m/>
    <m/>
    <m/>
    <m/>
  </r>
  <r>
    <x v="477"/>
    <x v="477"/>
    <s v="Verkeersveiligheid"/>
    <x v="1"/>
    <n v="546"/>
    <s v="IN/000510"/>
    <s v="in Kampenhout : Haachtsesteenweg, Kerkstraat, Tiendeschuurstraat"/>
    <s v="extra zebra Kerkstraat + fietslgeleidingsmarkering+B1s"/>
    <s v="Kleine Ingreep"/>
    <s v="&lt;null&gt;"/>
    <b v="0"/>
    <s v="Ingreep wordt niet opgevolgd in BOD"/>
    <s v="&lt;null&gt;"/>
    <s v="&lt;null&gt;"/>
    <s v="&lt;null&gt;"/>
    <s v="&lt;null&gt;"/>
    <s v="&lt;null&gt;"/>
    <x v="0"/>
    <s v="&lt;null&gt;"/>
    <s v="&lt;null&gt;"/>
    <s v="&lt;null&gt;"/>
    <s v="&lt;null&gt;"/>
    <n v="100"/>
    <s v="&lt;null&gt;"/>
    <s v="&lt;null&gt;"/>
    <s v="&lt;null&gt;"/>
    <s v="&lt;null&gt;"/>
    <m/>
    <m/>
    <m/>
    <m/>
  </r>
  <r>
    <x v="478"/>
    <x v="478"/>
    <s v="Verkeersveiligheid"/>
    <x v="1"/>
    <n v="547"/>
    <s v="IN/000511"/>
    <s v="in Kampenhout : Haachtsesteenweg, Oudestraat"/>
    <s v="Middenberm wordt aangelegd met oversteek in 2 delen"/>
    <s v="Kleine Ingreep"/>
    <s v="&lt;null&gt;"/>
    <b v="0"/>
    <s v="Ingreep wordt niet opgevolgd in BOD"/>
    <s v="&lt;null&gt;"/>
    <s v="&lt;null&gt;"/>
    <s v="&lt;null&gt;"/>
    <s v="&lt;null&gt;"/>
    <s v="&lt;null&gt;"/>
    <x v="0"/>
    <s v="&lt;null&gt;"/>
    <s v="&lt;null&gt;"/>
    <s v="&lt;null&gt;"/>
    <s v="&lt;null&gt;"/>
    <n v="100"/>
    <s v="&lt;null&gt;"/>
    <s v="&lt;null&gt;"/>
    <s v="&lt;null&gt;"/>
    <s v="&lt;null&gt;"/>
    <m/>
    <m/>
    <m/>
    <m/>
  </r>
  <r>
    <x v="478"/>
    <x v="478"/>
    <s v="Verkeersveiligheid"/>
    <x v="1"/>
    <n v="548"/>
    <s v="IN/000512"/>
    <s v="in Kampenhout : Haachtsesteenweg, Oudestraat"/>
    <s v="Kruispunt wordt uitgerust met VRI"/>
    <s v="Kleine Ingreep"/>
    <s v="&lt;null&gt;"/>
    <b v="0"/>
    <s v="Ingreep wordt niet opgevolgd in BOD"/>
    <s v="&lt;null&gt;"/>
    <s v="&lt;null&gt;"/>
    <s v="&lt;null&gt;"/>
    <s v="&lt;null&gt;"/>
    <s v="&lt;null&gt;"/>
    <x v="0"/>
    <s v="&lt;null&gt;"/>
    <s v="&lt;null&gt;"/>
    <s v="&lt;null&gt;"/>
    <s v="&lt;null&gt;"/>
    <n v="100"/>
    <s v="&lt;null&gt;"/>
    <s v="&lt;null&gt;"/>
    <s v="&lt;null&gt;"/>
    <s v="&lt;null&gt;"/>
    <m/>
    <m/>
    <m/>
    <m/>
  </r>
  <r>
    <x v="479"/>
    <x v="479"/>
    <s v="Verkeersveiligheid"/>
    <x v="1"/>
    <n v="549"/>
    <s v="IN/000513"/>
    <s v="in Kaprijke : A11-E34 Richting Antwerpen, A11-E34 Richting Knokke-Heist, N49, Vaartstraat"/>
    <s v="werd conflictvrijer gemaakt (2020)"/>
    <s v="Kleine Ingreep"/>
    <s v="&lt;null&gt;"/>
    <b v="0"/>
    <s v="Ingreep wordt niet opgevolgd in BOD"/>
    <s v="&lt;null&gt;"/>
    <s v="&lt;null&gt;"/>
    <s v="&lt;null&gt;"/>
    <s v="&lt;null&gt;"/>
    <s v="&lt;null&gt;"/>
    <x v="0"/>
    <s v="&lt;null&gt;"/>
    <s v="&lt;null&gt;"/>
    <s v="&lt;null&gt;"/>
    <s v="&lt;null&gt;"/>
    <n v="100"/>
    <s v="&lt;null&gt;"/>
    <s v="&lt;null&gt;"/>
    <s v="&lt;null&gt;"/>
    <s v="&lt;null&gt;"/>
    <m/>
    <m/>
    <m/>
    <m/>
  </r>
  <r>
    <x v="480"/>
    <x v="480"/>
    <s v="Verkeersveiligheid"/>
    <x v="1"/>
    <n v="550"/>
    <s v="IN/000514"/>
    <s v="Fietspad: aanpassen van ligging in Kinrooi : Breeërsteenweg, Dorpsplein, Weertersteenweg"/>
    <s v="Fietspaden vrijliggend aanleggen"/>
    <s v="Kleine Ingreep"/>
    <s v="WL/INV/N762/2"/>
    <b v="0"/>
    <s v="Ingreep wordt niet opgevolgd in BOD"/>
    <s v="&lt;null&gt;"/>
    <s v="&lt;null&gt;"/>
    <s v="&lt;null&gt;"/>
    <s v="&lt;null&gt;"/>
    <s v="&lt;null&gt;"/>
    <x v="0"/>
    <s v="&lt;null&gt;"/>
    <s v="&lt;null&gt;"/>
    <s v="&lt;null&gt;"/>
    <s v="&lt;null&gt;"/>
    <n v="100"/>
    <s v="&lt;null&gt;"/>
    <s v="&lt;null&gt;"/>
    <s v="&lt;null&gt;"/>
    <s v="&lt;null&gt;"/>
    <m/>
    <m/>
    <m/>
    <m/>
  </r>
  <r>
    <x v="481"/>
    <x v="481"/>
    <s v="Verkeersveiligheid"/>
    <x v="1"/>
    <n v="551"/>
    <s v="IN/000515"/>
    <s v="in Knokke-Heist : Elizabetlaan, Krommedijk"/>
    <s v="herinrichting Elisabethlaan door gemeente.VRI buiten werking vanaf 1/1/2020"/>
    <s v="Kleine Ingreep"/>
    <s v="&lt;null&gt;"/>
    <b v="0"/>
    <s v="Ingreep wordt niet opgevolgd in BOD"/>
    <s v="&lt;null&gt;"/>
    <s v="&lt;null&gt;"/>
    <s v="&lt;null&gt;"/>
    <s v="&lt;null&gt;"/>
    <s v="&lt;null&gt;"/>
    <x v="0"/>
    <s v="&lt;null&gt;"/>
    <s v="&lt;null&gt;"/>
    <s v="&lt;null&gt;"/>
    <s v="&lt;null&gt;"/>
    <n v="100"/>
    <s v="&lt;null&gt;"/>
    <s v="&lt;null&gt;"/>
    <s v="&lt;null&gt;"/>
    <s v="&lt;null&gt;"/>
    <m/>
    <m/>
    <m/>
    <m/>
  </r>
  <r>
    <x v="482"/>
    <x v="482"/>
    <s v="Verkeersveiligheid"/>
    <x v="1"/>
    <n v="552"/>
    <s v="IN/000516"/>
    <s v="in Knokke-Heist : Kalvekeetdijk, Natiënlaan"/>
    <s v="Rotonde met ongelijkgrondse kruising voor zwakke weggebruikers (TV3V)"/>
    <s v="Structurele Ingreep"/>
    <s v="WWV/INV/N49/1"/>
    <b v="0"/>
    <s v="Ingreep wordt niet opgevolgd in BOD"/>
    <s v="&lt;null&gt;"/>
    <s v="&lt;null&gt;"/>
    <s v="&lt;null&gt;"/>
    <s v="&lt;null&gt;"/>
    <s v="&lt;null&gt;"/>
    <x v="0"/>
    <s v="&lt;null&gt;"/>
    <s v="&lt;null&gt;"/>
    <s v="&lt;null&gt;"/>
    <s v="&lt;null&gt;"/>
    <n v="100"/>
    <s v="&lt;null&gt;"/>
    <s v="&lt;null&gt;"/>
    <s v="&lt;null&gt;"/>
    <s v="&lt;null&gt;"/>
    <m/>
    <m/>
    <m/>
    <m/>
  </r>
  <r>
    <x v="483"/>
    <x v="483"/>
    <s v="Verkeersveiligheid"/>
    <x v="1"/>
    <n v="553"/>
    <s v="IN/000517"/>
    <s v="in Knokke-Heist : Elizabetlaan, Kardinaal Mercierstraat"/>
    <s v="Volledige herinrichting (gefinancierd door Knokke)."/>
    <s v="Kleine Ingreep"/>
    <s v="&lt;null&gt;"/>
    <b v="0"/>
    <s v="Ingreep wordt niet opgevolgd in BOD"/>
    <s v="&lt;null&gt;"/>
    <s v="&lt;null&gt;"/>
    <s v="&lt;null&gt;"/>
    <s v="&lt;null&gt;"/>
    <s v="&lt;null&gt;"/>
    <x v="0"/>
    <s v="&lt;null&gt;"/>
    <s v="&lt;null&gt;"/>
    <s v="&lt;null&gt;"/>
    <s v="&lt;null&gt;"/>
    <n v="100"/>
    <s v="&lt;null&gt;"/>
    <s v="&lt;null&gt;"/>
    <s v="&lt;null&gt;"/>
    <s v="&lt;null&gt;"/>
    <m/>
    <m/>
    <m/>
    <m/>
  </r>
  <r>
    <x v="484"/>
    <x v="484"/>
    <s v="Verkeersveiligheid"/>
    <x v="1"/>
    <n v="554"/>
    <s v="IN/000518"/>
    <s v="in Kontich : Drabstraat, N171 Edegem (N1) - Krekelenberg (Niel), Pierstraat"/>
    <s v="Herhalingslichten opnieuw geplaatst (werden weggehaald rond 2017)"/>
    <s v="Kleine Ingreep"/>
    <s v="&lt;null&gt;"/>
    <b v="0"/>
    <s v="Ingreep wordt niet opgevolgd in BOD"/>
    <s v="&lt;null&gt;"/>
    <s v="&lt;null&gt;"/>
    <s v="&lt;null&gt;"/>
    <s v="&lt;null&gt;"/>
    <s v="&lt;null&gt;"/>
    <x v="0"/>
    <s v="&lt;null&gt;"/>
    <s v="&lt;null&gt;"/>
    <s v="&lt;null&gt;"/>
    <s v="&lt;null&gt;"/>
    <n v="100"/>
    <s v="&lt;null&gt;"/>
    <s v="&lt;null&gt;"/>
    <s v="&lt;null&gt;"/>
    <s v="&lt;null&gt;"/>
    <m/>
    <m/>
    <m/>
    <m/>
  </r>
  <r>
    <x v="484"/>
    <x v="484"/>
    <s v="Verkeersveiligheid"/>
    <x v="1"/>
    <n v="555"/>
    <s v="IN/000519"/>
    <s v="in Kontich : Drabstraat, N171 Edegem (N1) - Krekelenberg (Niel), Pierstraat"/>
    <s v="Uitgebreide werken gepland: fietstunnel"/>
    <s v="Structurele Ingreep"/>
    <s v="&lt;null&gt;"/>
    <b v="0"/>
    <s v="Ingreep wordt niet opgevolgd in BOD"/>
    <s v="&lt;null&gt;"/>
    <s v="&lt;null&gt;"/>
    <s v="&lt;null&gt;"/>
    <s v="&lt;null&gt;"/>
    <s v="&lt;null&gt;"/>
    <x v="0"/>
    <s v="&lt;null&gt;"/>
    <s v="&lt;null&gt;"/>
    <s v="&lt;null&gt;"/>
    <s v="&lt;null&gt;"/>
    <n v="100"/>
    <s v="&lt;null&gt;"/>
    <s v="&lt;null&gt;"/>
    <s v="&lt;null&gt;"/>
    <s v="&lt;null&gt;"/>
    <m/>
    <m/>
    <m/>
    <m/>
  </r>
  <r>
    <x v="485"/>
    <x v="485"/>
    <s v="Verkeersveiligheid"/>
    <x v="1"/>
    <n v="556"/>
    <s v="IN/000520"/>
    <s v="Ombouw naar lichtengeregeld kruispunt"/>
    <s v="Ombouw naar lichtengeregeld kruispunt"/>
    <s v="Kleine Ingreep"/>
    <s v="WA/INV/N173/4"/>
    <b v="0"/>
    <s v="Ingreep wordt niet opgevolgd in BOD"/>
    <s v="&lt;null&gt;"/>
    <s v="&lt;null&gt;"/>
    <s v="&lt;null&gt;"/>
    <s v="&lt;null&gt;"/>
    <s v="&lt;null&gt;"/>
    <x v="0"/>
    <s v="&lt;null&gt;"/>
    <s v="&lt;null&gt;"/>
    <s v="&lt;null&gt;"/>
    <s v="&lt;null&gt;"/>
    <n v="100"/>
    <s v="&lt;null&gt;"/>
    <s v="&lt;null&gt;"/>
    <s v="&lt;null&gt;"/>
    <s v="&lt;null&gt;"/>
    <m/>
    <m/>
    <m/>
    <m/>
  </r>
  <r>
    <x v="18"/>
    <x v="18"/>
    <s v="&lt;null&gt;"/>
    <x v="3"/>
    <n v="557"/>
    <s v="IN/000521"/>
    <s v="in Kontich : De Villermontstraat, Prins Boudewijnlaan VIA PCV  BESTEK"/>
    <s v="wordt een lichtengeregeld kruispunt"/>
    <s v="Structurele Ingreep"/>
    <s v="&lt;null&gt;"/>
    <b v="0"/>
    <s v="Ingreep wordt niet opgevolgd in BOD"/>
    <s v="&lt;null&gt;"/>
    <s v="&lt;null&gt;"/>
    <s v="&lt;null&gt;"/>
    <s v="&lt;null&gt;"/>
    <s v="&lt;null&gt;"/>
    <x v="0"/>
    <s v="&lt;null&gt;"/>
    <s v="&lt;null&gt;"/>
    <s v="&lt;null&gt;"/>
    <s v="&lt;null&gt;"/>
    <s v="&lt;null&gt;"/>
    <s v="&lt;null&gt;"/>
    <s v="&lt;null&gt;"/>
    <s v="&lt;null&gt;"/>
    <s v="&lt;null&gt;"/>
    <m/>
    <m/>
    <m/>
    <m/>
  </r>
  <r>
    <x v="486"/>
    <x v="486"/>
    <s v="Verkeersveiligheid"/>
    <x v="1"/>
    <n v="558"/>
    <s v="IN/000522"/>
    <s v="Aanpassen/vernieuwing van verharding in Kontich : A1-E19 Richting Brussel Uitrit 7, N171 Edegem (N1) - Krekelenberg (Niel)"/>
    <s v="QW, haaks aansluiten van de uitrit, maken intern plan op en bereiden PCV dossier voor (samen met aanpassingen van P&amp;R)"/>
    <s v="Kleine Ingreep"/>
    <s v="WA/INV/N171/9"/>
    <b v="0"/>
    <s v="Ingreep wordt niet opgevolgd in BOD"/>
    <s v="&lt;null&gt;"/>
    <s v="&lt;null&gt;"/>
    <s v="&lt;null&gt;"/>
    <s v="&lt;null&gt;"/>
    <s v="&lt;null&gt;"/>
    <x v="0"/>
    <s v="&lt;null&gt;"/>
    <s v="&lt;null&gt;"/>
    <s v="&lt;null&gt;"/>
    <s v="&lt;null&gt;"/>
    <n v="100"/>
    <s v="&lt;null&gt;"/>
    <s v="&lt;null&gt;"/>
    <s v="&lt;null&gt;"/>
    <s v="&lt;null&gt;"/>
    <m/>
    <m/>
    <m/>
    <m/>
  </r>
  <r>
    <x v="487"/>
    <x v="487"/>
    <s v="Verkeersveiligheid"/>
    <x v="1"/>
    <n v="559"/>
    <s v="IN/000523"/>
    <s v="Circulatiemaatregelen in Kortrijk : Monseigneur De Haernelaan, N43 Richting Gent, N43 Richting Moeskroen"/>
    <s v="Wegvak van 400 m: parkeerstrook weghalen en fietspaden + versmalde rijweg, 1 van de takken (westelijke tak) wordt éénrichting (175.000)"/>
    <s v="Kleine Ingreep"/>
    <s v="WWV/INV/N43/2"/>
    <b v="1"/>
    <s v="Ingreep wordt opgevolgd in BOD"/>
    <n v="12024"/>
    <s v="AWV/INV/2021/3_P3"/>
    <n v="118201"/>
    <n v="21065772"/>
    <s v="&lt;p&gt;OF AWV/INV/2021/3 P3 3mh229 - gevaarlijke punten&lt;/p&gt;"/>
    <x v="10"/>
    <n v="8156"/>
    <s v="N43 Mgr De Haerne Kortrijk"/>
    <s v="&lt;null&gt;"/>
    <s v="WWV/INV/N43/2"/>
    <n v="100"/>
    <n v="145000"/>
    <n v="145000"/>
    <n v="0"/>
    <n v="0"/>
    <n v="145000"/>
    <n v="145000"/>
    <n v="0"/>
    <n v="0"/>
  </r>
  <r>
    <x v="488"/>
    <x v="488"/>
    <s v="Verkeersveiligheid"/>
    <x v="1"/>
    <n v="560"/>
    <s v="IN/000524"/>
    <s v="Fietspad: coating in Kortrijk : Minister Tacklaan, N50h Tacklaan-Wandelweg, N50 Richting Mons, R36 Buitenring, Wandelweg"/>
    <s v="Dubbelrichtingsfietspad zal geaccentueerd worden. (20.000)"/>
    <s v="Kleine Ingreep"/>
    <s v="WWV/INV/N50/6"/>
    <b v="1"/>
    <s v="Ingreep wordt opgevolgd in BOD"/>
    <n v="12024"/>
    <s v="AWV/INV/2021/3_P3"/>
    <n v="118201"/>
    <n v="21065772"/>
    <s v="&lt;p&gt;OF AWV/INV/2021/3 P3 3mh229 - gevaarlijke punten&lt;/p&gt;"/>
    <x v="10"/>
    <n v="8157"/>
    <s v="R36/N50 Kortrijk"/>
    <s v="&lt;null&gt;"/>
    <s v="WWV/INV/N50/6"/>
    <n v="100"/>
    <n v="16530"/>
    <n v="0"/>
    <n v="10215.35"/>
    <n v="6314.65"/>
    <n v="16530"/>
    <n v="0"/>
    <n v="10215.35"/>
    <n v="6314.65"/>
  </r>
  <r>
    <x v="489"/>
    <x v="489"/>
    <s v="Verkeersveiligheid"/>
    <x v="1"/>
    <n v="561"/>
    <s v="IN/000525"/>
    <s v="in Kortrijk : Minister Vanden Peereboomlaan, N43 Richting Moeskroen, R36 Binnenring, R36 Buitenring"/>
    <s v="Herinrichting stationsomgeving Kortrijk. Afsluiten Minister VAnden Peereboomlaan voor auto's. Weghalen conflict fietsers met verkeer komende uit de tunnels onder de sporen."/>
    <s v="Kleine Ingreep"/>
    <s v="&lt;null&gt;"/>
    <b v="0"/>
    <s v="Ingreep wordt niet opgevolgd in BOD"/>
    <s v="&lt;null&gt;"/>
    <s v="&lt;null&gt;"/>
    <s v="&lt;null&gt;"/>
    <s v="&lt;null&gt;"/>
    <s v="&lt;null&gt;"/>
    <x v="0"/>
    <s v="&lt;null&gt;"/>
    <s v="&lt;null&gt;"/>
    <s v="&lt;null&gt;"/>
    <s v="&lt;null&gt;"/>
    <n v="100"/>
    <s v="&lt;null&gt;"/>
    <s v="&lt;null&gt;"/>
    <s v="&lt;null&gt;"/>
    <s v="&lt;null&gt;"/>
    <m/>
    <m/>
    <m/>
    <m/>
  </r>
  <r>
    <x v="490"/>
    <x v="490"/>
    <s v="Verkeersveiligheid"/>
    <x v="1"/>
    <n v="562"/>
    <s v="IN/000526"/>
    <s v="in Kortrijk : R36 Binnenring, R36 Buitenring, Sint-Sebastiaanslaan"/>
    <s v="inkorten BOB, rustpunt voor overstekende fietsers en voertuigen (mei 2019)"/>
    <s v="Kleine Ingreep"/>
    <s v="&lt;null&gt;"/>
    <b v="0"/>
    <s v="Ingreep wordt niet opgevolgd in BOD"/>
    <s v="&lt;null&gt;"/>
    <s v="&lt;null&gt;"/>
    <s v="&lt;null&gt;"/>
    <s v="&lt;null&gt;"/>
    <s v="&lt;null&gt;"/>
    <x v="0"/>
    <s v="&lt;null&gt;"/>
    <s v="&lt;null&gt;"/>
    <s v="&lt;null&gt;"/>
    <s v="&lt;null&gt;"/>
    <n v="100"/>
    <s v="&lt;null&gt;"/>
    <s v="&lt;null&gt;"/>
    <s v="&lt;null&gt;"/>
    <s v="&lt;null&gt;"/>
    <m/>
    <m/>
    <m/>
    <m/>
  </r>
  <r>
    <x v="491"/>
    <x v="491"/>
    <s v="Verkeersveiligheid"/>
    <x v="1"/>
    <n v="563"/>
    <s v="IN/000527"/>
    <s v="Aanpassen/vernieuwing van verharding in Kortrijk : A14-E17 Richting Frankrijk Oprit 3 N8 Brussel, A14-E17 Richting Frankrijk Uitrit 3, N8 Richting Brussel"/>
    <s v="Fietspaden accentueren en conform uitvoeren (2019) Proefproject"/>
    <s v="Kleine Ingreep"/>
    <s v="WWV/INV/N8/16"/>
    <b v="1"/>
    <s v="Ingreep wordt opgevolgd in BOD"/>
    <n v="8713"/>
    <s v="O30/D312/149"/>
    <n v="97601"/>
    <n v="21054883"/>
    <s v="&lt;p&gt;RELANCE Leveren en aanbrengen markeringen in het district 312 Kortrijk&lt;/p&gt;"/>
    <x v="10"/>
    <n v="6846"/>
    <s v="&lt;null&gt;"/>
    <s v="&lt;p&gt;RELANCE Leveren en aanbrengen markeringen in het district 312 Kortrijk&lt;/p&gt;"/>
    <s v="WWV/INV/N8/16"/>
    <n v="100"/>
    <n v="24793.39"/>
    <n v="20462.1446"/>
    <n v="0"/>
    <n v="4331.2453999999998"/>
    <n v="24793.39"/>
    <n v="20462.1446"/>
    <n v="0"/>
    <n v="4331.2453999999998"/>
  </r>
  <r>
    <x v="491"/>
    <x v="491"/>
    <s v="Verkeersveiligheid"/>
    <x v="1"/>
    <n v="564"/>
    <s v="IN/000528"/>
    <s v="Aanpassen/vernieuwing van verharding in Kortrijk : A14-E17 Richting Frankrijk Oprit 3 N8 Brussel, A14-E17 Richting Frankrijk Uitrit 3, N8 Richting Brussel"/>
    <s v="langetermijnsoplossing in kader van KR8"/>
    <s v="Kleine Ingreep"/>
    <s v="&lt;null&gt;"/>
    <b v="0"/>
    <s v="Ingreep wordt niet opgevolgd in BOD"/>
    <s v="&lt;null&gt;"/>
    <s v="&lt;null&gt;"/>
    <s v="&lt;null&gt;"/>
    <s v="&lt;null&gt;"/>
    <s v="&lt;null&gt;"/>
    <x v="0"/>
    <s v="&lt;null&gt;"/>
    <s v="&lt;null&gt;"/>
    <s v="&lt;null&gt;"/>
    <s v="&lt;null&gt;"/>
    <n v="100"/>
    <s v="&lt;null&gt;"/>
    <s v="&lt;null&gt;"/>
    <s v="&lt;null&gt;"/>
    <s v="&lt;null&gt;"/>
    <m/>
    <m/>
    <m/>
    <m/>
  </r>
  <r>
    <x v="492"/>
    <x v="492"/>
    <s v="Verkeersveiligheid"/>
    <x v="1"/>
    <n v="565"/>
    <s v="IN/000529"/>
    <s v="in Kortrijk : N395b Parallelweg R8 Zuid, R8 Binnenring, Zandbergstraat"/>
    <s v="dichten middengeleider voor voertuigen van Hippodroomstraat en Zandbergstraat\naanpassen VRI naar maximaal conflictvrij\naanpassen afslagstroken N43\nrenovatie fietspaden N43 Gentsesteenweg"/>
    <s v="Kleine Ingreep"/>
    <s v="WWV/INV/N395B/1"/>
    <b v="1"/>
    <s v="Ingreep wordt opgevolgd in BOD"/>
    <n v="10167"/>
    <s v="MDN/59-5"/>
    <n v="89301"/>
    <n v="21040221"/>
    <s v="&lt;p&gt;Kortrijk - R8/N43 Ringlaan - Zandbergstraat - Hippodroomlaan - Kortrijksesteenweg - Gentsesteenweg. Herinrichten kruispunt WW0416/VL conform &quot;Actieplan verkeerslichten - Relance Wegen en Verkeer West-Vlaanderen&quot; - Historia 41465-2/4&lt;/p&gt;"/>
    <x v="8"/>
    <n v="6205"/>
    <s v="&lt;null&gt;"/>
    <s v="&lt;p&gt;Kortrijk - R8/N43 Ringlaan - Zandbergstraat - Hippodroomlaan - Kortrijksesteenweg - Gentsesteenweg. Herinrichten kruispunt WW0416/VL conform &quot;Actieplan verkeerslichten - Relance Wegen en Verkeer West-Vlaanderen&quot; - Historia 41465-2/4&lt;/p&gt;"/>
    <s v="WWV/INV/N395B/1"/>
    <n v="40"/>
    <n v="248089.47"/>
    <n v="0"/>
    <n v="0"/>
    <n v="0"/>
    <n v="99235.788"/>
    <n v="0"/>
    <n v="0"/>
    <n v="0"/>
  </r>
  <r>
    <x v="493"/>
    <x v="493"/>
    <s v="Verkeersveiligheid"/>
    <x v="1"/>
    <n v="565"/>
    <s v="IN/000529"/>
    <s v="in Kortrijk : N395b Parallelweg R8 Zuid, R8 Binnenring, Zandbergstraat"/>
    <s v="dichten middengeleider voor voertuigen van Hippodroomstraat en Zandbergstraat\naanpassen VRI naar maximaal conflictvrij\naanpassen afslagstroken N43\nrenovatie fietspaden N43 Gentsesteenweg"/>
    <s v="Kleine Ingreep"/>
    <s v="WWV/INV/N395B/1"/>
    <b v="1"/>
    <s v="Ingreep wordt opgevolgd in BOD"/>
    <n v="10167"/>
    <s v="MDN/59-5"/>
    <n v="89301"/>
    <n v="21040221"/>
    <s v="&lt;p&gt;Kortrijk - R8/N43 Ringlaan - Zandbergstraat - Hippodroomlaan - Kortrijksesteenweg - Gentsesteenweg. Herinrichten kruispunt WW0416/VL conform &quot;Actieplan verkeerslichten - Relance Wegen en Verkeer West-Vlaanderen&quot; - Historia 41465-2/4&lt;/p&gt;"/>
    <x v="8"/>
    <n v="6205"/>
    <s v="&lt;null&gt;"/>
    <s v="&lt;p&gt;Kortrijk - R8/N43 Ringlaan - Zandbergstraat - Hippodroomlaan - Kortrijksesteenweg - Gentsesteenweg. Herinrichten kruispunt WW0416/VL conform &quot;Actieplan verkeerslichten - Relance Wegen en Verkeer West-Vlaanderen&quot; - Historia 41465-2/4&lt;/p&gt;"/>
    <s v="WWV/INV/N395B/1"/>
    <n v="40"/>
    <n v="248089.47"/>
    <n v="0"/>
    <n v="0"/>
    <n v="0"/>
    <n v="99235.788"/>
    <n v="0"/>
    <n v="0"/>
    <n v="0"/>
  </r>
  <r>
    <x v="494"/>
    <x v="494"/>
    <s v="Verkeersveiligheid"/>
    <x v="4"/>
    <n v="565"/>
    <s v="IN/000529"/>
    <s v="in Kortrijk : N395b Parallelweg R8 Zuid, R8 Binnenring, Zandbergstraat"/>
    <s v="dichten middengeleider voor voertuigen van Hippodroomstraat en Zandbergstraat\naanpassen VRI naar maximaal conflictvrij\naanpassen afslagstroken N43\nrenovatie fietspaden N43 Gentsesteenweg"/>
    <s v="Kleine Ingreep"/>
    <s v="WWV/INV/N395B/1"/>
    <b v="1"/>
    <s v="Ingreep wordt opgevolgd in BOD"/>
    <n v="10167"/>
    <s v="MDN/59-5"/>
    <n v="89301"/>
    <n v="21040221"/>
    <s v="&lt;p&gt;Kortrijk - R8/N43 Ringlaan - Zandbergstraat - Hippodroomlaan - Kortrijksesteenweg - Gentsesteenweg. Herinrichten kruispunt WW0416/VL conform &quot;Actieplan verkeerslichten - Relance Wegen en Verkeer West-Vlaanderen&quot; - Historia 41465-2/4&lt;/p&gt;"/>
    <x v="8"/>
    <n v="6205"/>
    <s v="&lt;null&gt;"/>
    <s v="&lt;p&gt;Kortrijk - R8/N43 Ringlaan - Zandbergstraat - Hippodroomlaan - Kortrijksesteenweg - Gentsesteenweg. Herinrichten kruispunt WW0416/VL conform &quot;Actieplan verkeerslichten - Relance Wegen en Verkeer West-Vlaanderen&quot; - Historia 41465-2/4&lt;/p&gt;"/>
    <s v="WWV/INV/N395B/1"/>
    <n v="20"/>
    <n v="248089.47"/>
    <n v="0"/>
    <n v="0"/>
    <n v="0"/>
    <n v="49617.894"/>
    <n v="0"/>
    <n v="0"/>
    <n v="0"/>
  </r>
  <r>
    <x v="493"/>
    <x v="493"/>
    <s v="Verkeersveiligheid"/>
    <x v="1"/>
    <n v="566"/>
    <s v="IN/000530"/>
    <s v="in Kortrijk : N395b Parallelweg R8 Zuid, R8 Binnenring, Zandbergstraat"/>
    <s v="2022: circulatiemaatregelen. Hier gaat middenberm dicht. in combinatie met 2 andere kruispunten\nLange termijn: realisatie R8 (Kanaal Bossuyt-Kortrijk)"/>
    <s v="Kleine Ingreep"/>
    <s v="&lt;null&gt;"/>
    <b v="0"/>
    <s v="Ingreep wordt niet opgevolgd in BOD"/>
    <s v="&lt;null&gt;"/>
    <s v="&lt;null&gt;"/>
    <s v="&lt;null&gt;"/>
    <s v="&lt;null&gt;"/>
    <s v="&lt;null&gt;"/>
    <x v="0"/>
    <s v="&lt;null&gt;"/>
    <s v="&lt;null&gt;"/>
    <s v="&lt;null&gt;"/>
    <s v="&lt;null&gt;"/>
    <n v="100"/>
    <s v="&lt;null&gt;"/>
    <s v="&lt;null&gt;"/>
    <s v="&lt;null&gt;"/>
    <s v="&lt;null&gt;"/>
    <m/>
    <m/>
    <m/>
    <m/>
  </r>
  <r>
    <x v="495"/>
    <x v="495"/>
    <s v="Verkeersveiligheid"/>
    <x v="1"/>
    <n v="567"/>
    <s v="IN/000531"/>
    <s v="Handhaving in Kortrijk : A14-E17 Richting Frankrijk"/>
    <s v="dynamische signalisatie (snelheid) + extra ANPRcamera + toplaag vernieuwen"/>
    <s v="Kleine Ingreep"/>
    <s v="WWV/INV/A14/2"/>
    <b v="0"/>
    <s v="Ingreep wordt niet opgevolgd in BOD"/>
    <s v="&lt;null&gt;"/>
    <s v="&lt;null&gt;"/>
    <s v="&lt;null&gt;"/>
    <s v="&lt;null&gt;"/>
    <s v="&lt;null&gt;"/>
    <x v="0"/>
    <s v="&lt;null&gt;"/>
    <s v="&lt;null&gt;"/>
    <s v="&lt;null&gt;"/>
    <s v="&lt;null&gt;"/>
    <n v="100"/>
    <s v="&lt;null&gt;"/>
    <s v="&lt;null&gt;"/>
    <s v="&lt;null&gt;"/>
    <s v="&lt;null&gt;"/>
    <m/>
    <m/>
    <m/>
    <m/>
  </r>
  <r>
    <x v="496"/>
    <x v="496"/>
    <s v="Verkeersveiligheid"/>
    <x v="1"/>
    <n v="568"/>
    <s v="IN/000532"/>
    <s v="in Kortrijk : Beekstraat, Hugo Verriestlaan, N8 Richting Brussel, Oudenaardsesteenweg"/>
    <s v="V-plan volgens actieplan, aanpassingen aan fietsinfrastructuur, fietspad, ...(mei 2020 uitgevoerd)"/>
    <s v="Kleine Ingreep"/>
    <s v="&lt;null&gt;"/>
    <b v="0"/>
    <s v="Ingreep wordt niet opgevolgd in BOD"/>
    <s v="&lt;null&gt;"/>
    <s v="&lt;null&gt;"/>
    <s v="&lt;null&gt;"/>
    <s v="&lt;null&gt;"/>
    <s v="&lt;null&gt;"/>
    <x v="0"/>
    <s v="&lt;null&gt;"/>
    <s v="&lt;null&gt;"/>
    <s v="&lt;null&gt;"/>
    <s v="&lt;null&gt;"/>
    <n v="100"/>
    <s v="&lt;null&gt;"/>
    <s v="&lt;null&gt;"/>
    <s v="&lt;null&gt;"/>
    <s v="&lt;null&gt;"/>
    <m/>
    <m/>
    <m/>
    <m/>
  </r>
  <r>
    <x v="497"/>
    <x v="497"/>
    <s v="Verkeersveiligheid"/>
    <x v="1"/>
    <n v="569"/>
    <s v="IN/000533"/>
    <s v="VRI: aanpassen lichtenregeling in Kortrijk, Kuurne : Heirweg, N395b Parallelweg R8 Zuid, R8 Binnenring, R8 Buitenring, Ringlaan"/>
    <s v="uitvoering conform actieplan"/>
    <s v="Kleine Ingreep"/>
    <s v="WWV/INV/N395B/2"/>
    <b v="1"/>
    <s v="Ingreep wordt opgevolgd in BOD"/>
    <n v="10167"/>
    <s v="MDN/59-5"/>
    <n v="89401"/>
    <n v="21040210"/>
    <s v="&lt;p&gt;Kuurne - N395a/N395b (Ringlaan) met Heirweg. Herinrichten kruispunt WW0510/VL conform &quot;Actieplan verkeerslichten - Relance Wegen en Verkeer West-Vlaanderen&quot; - Historia 41465-2/4&lt;/p&gt;"/>
    <x v="8"/>
    <n v="6209"/>
    <s v="&lt;null&gt;"/>
    <s v="&lt;p&gt;Kuurne - N395a/N395b (Ringlaan) met Heirweg. Herinrichten kruispunt WW0510/VL conform &quot;Actieplan verkeerslichten - Relance Wegen en Verkeer West-Vlaanderen&quot;. Historia 41465-2/4&lt;/p&gt;"/>
    <s v="WWV/INV/N395B/2"/>
    <n v="100"/>
    <n v="165321.95000000001"/>
    <n v="127025.21025"/>
    <n v="0"/>
    <n v="0"/>
    <n v="165321.95000000001"/>
    <n v="127025.21025"/>
    <n v="0"/>
    <n v="0"/>
  </r>
  <r>
    <x v="498"/>
    <x v="498"/>
    <s v="Verkeersveiligheid"/>
    <x v="1"/>
    <n v="570"/>
    <s v="IN/000534"/>
    <s v="in Kraainem : R0 Binnenring"/>
    <s v="nazicht stroefheid  (bleek ok)+ verticale signalisatie"/>
    <s v="Kleine Ingreep"/>
    <s v="&lt;null&gt;"/>
    <b v="0"/>
    <s v="Ingreep wordt niet opgevolgd in BOD"/>
    <s v="&lt;null&gt;"/>
    <s v="&lt;null&gt;"/>
    <s v="&lt;null&gt;"/>
    <s v="&lt;null&gt;"/>
    <s v="&lt;null&gt;"/>
    <x v="0"/>
    <s v="&lt;null&gt;"/>
    <s v="&lt;null&gt;"/>
    <s v="&lt;null&gt;"/>
    <s v="&lt;null&gt;"/>
    <n v="100"/>
    <s v="&lt;null&gt;"/>
    <s v="&lt;null&gt;"/>
    <s v="&lt;null&gt;"/>
    <s v="&lt;null&gt;"/>
    <m/>
    <m/>
    <m/>
    <m/>
  </r>
  <r>
    <x v="499"/>
    <x v="499"/>
    <s v="Verkeersveiligheid"/>
    <x v="1"/>
    <n v="571"/>
    <s v="IN/000535"/>
    <s v="in Kuurne : Kleine Ringlaan, Kortrijksestraat, Kuurnsesteenweg, N395a Parallelweg R8 Noord, R8 Buitenring, R8 Buitenring Uitrit 6 (Kuurne)"/>
    <s v="Aanpassen markeringen (fietspaden en voorsorteerpijlen)"/>
    <s v="Kleine Ingreep"/>
    <s v="&lt;null&gt;"/>
    <b v="0"/>
    <s v="Ingreep wordt niet opgevolgd in BOD"/>
    <s v="&lt;null&gt;"/>
    <s v="&lt;null&gt;"/>
    <s v="&lt;null&gt;"/>
    <s v="&lt;null&gt;"/>
    <s v="&lt;null&gt;"/>
    <x v="0"/>
    <s v="&lt;null&gt;"/>
    <s v="&lt;null&gt;"/>
    <s v="&lt;null&gt;"/>
    <s v="&lt;null&gt;"/>
    <n v="100"/>
    <s v="&lt;null&gt;"/>
    <s v="&lt;null&gt;"/>
    <s v="&lt;null&gt;"/>
    <s v="&lt;null&gt;"/>
    <m/>
    <m/>
    <m/>
    <m/>
  </r>
  <r>
    <x v="500"/>
    <x v="500"/>
    <s v="Verkeersveiligheid"/>
    <x v="1"/>
    <n v="572"/>
    <s v="IN/000536"/>
    <s v="in Kuurne : Brugsesteenweg, N395a Parallelweg R8 Noord, N50 Richting Brugge, R8 Buitenring"/>
    <s v="conflictvrije fietsfase langsheen de N50."/>
    <s v="Kleine Ingreep"/>
    <s v="&lt;null&gt;"/>
    <b v="0"/>
    <s v="Ingreep wordt niet opgevolgd in BOD"/>
    <s v="&lt;null&gt;"/>
    <s v="&lt;null&gt;"/>
    <s v="&lt;null&gt;"/>
    <s v="&lt;null&gt;"/>
    <s v="&lt;null&gt;"/>
    <x v="0"/>
    <s v="&lt;null&gt;"/>
    <s v="&lt;null&gt;"/>
    <s v="&lt;null&gt;"/>
    <s v="&lt;null&gt;"/>
    <n v="100"/>
    <s v="&lt;null&gt;"/>
    <s v="&lt;null&gt;"/>
    <s v="&lt;null&gt;"/>
    <s v="&lt;null&gt;"/>
    <m/>
    <m/>
    <m/>
    <m/>
  </r>
  <r>
    <x v="501"/>
    <x v="501"/>
    <s v="Verkeersveiligheid"/>
    <x v="1"/>
    <n v="573"/>
    <s v="IN/000537"/>
    <s v="in Laakdal : Geelsebaan, Meerhoutstraat"/>
    <s v="Zie struct ingreep"/>
    <s v="Kleine Ingreep"/>
    <s v="&lt;null&gt;"/>
    <b v="0"/>
    <s v="Ingreep wordt niet opgevolgd in BOD"/>
    <s v="&lt;null&gt;"/>
    <s v="&lt;null&gt;"/>
    <s v="&lt;null&gt;"/>
    <s v="&lt;null&gt;"/>
    <s v="&lt;null&gt;"/>
    <x v="0"/>
    <s v="&lt;null&gt;"/>
    <s v="&lt;null&gt;"/>
    <s v="&lt;null&gt;"/>
    <s v="&lt;null&gt;"/>
    <n v="100"/>
    <s v="&lt;null&gt;"/>
    <s v="&lt;null&gt;"/>
    <s v="&lt;null&gt;"/>
    <s v="&lt;null&gt;"/>
    <m/>
    <m/>
    <m/>
    <m/>
  </r>
  <r>
    <x v="501"/>
    <x v="501"/>
    <s v="Verkeersveiligheid"/>
    <x v="1"/>
    <n v="574"/>
    <s v="IN/000538"/>
    <s v="Heraanleg kruispunt N126 x Meerhoutstraat VIA PCV BESTEK"/>
    <s v="Studie: klaar (2021)\nUitvoering: 2022 (2023) via PCV"/>
    <s v="Kleine Ingreep"/>
    <s v="&lt;null&gt;"/>
    <b v="0"/>
    <s v="Ingreep wordt niet opgevolgd in BOD"/>
    <s v="&lt;null&gt;"/>
    <s v="&lt;null&gt;"/>
    <s v="&lt;null&gt;"/>
    <s v="&lt;null&gt;"/>
    <s v="&lt;null&gt;"/>
    <x v="0"/>
    <s v="&lt;null&gt;"/>
    <s v="&lt;null&gt;"/>
    <s v="&lt;null&gt;"/>
    <s v="&lt;null&gt;"/>
    <n v="100"/>
    <s v="&lt;null&gt;"/>
    <s v="&lt;null&gt;"/>
    <s v="&lt;null&gt;"/>
    <s v="&lt;null&gt;"/>
    <m/>
    <m/>
    <m/>
    <m/>
  </r>
  <r>
    <x v="502"/>
    <x v="502"/>
    <s v="Verkeersveiligheid"/>
    <x v="1"/>
    <n v="575"/>
    <s v="IN/000539"/>
    <s v="in Lebbeke : N47 Dendermondsesteenweg met Flor Hofmanslaan en Lindelaan"/>
    <s v="Fietspaden vrijliggend? Rotonde groter? Onteigeningen nodig"/>
    <s v="Structurele Ingreep"/>
    <s v="&lt;null&gt;"/>
    <b v="0"/>
    <s v="Ingreep wordt niet opgevolgd in BOD"/>
    <s v="&lt;null&gt;"/>
    <s v="&lt;null&gt;"/>
    <s v="&lt;null&gt;"/>
    <s v="&lt;null&gt;"/>
    <s v="&lt;null&gt;"/>
    <x v="0"/>
    <s v="&lt;null&gt;"/>
    <s v="&lt;null&gt;"/>
    <s v="&lt;null&gt;"/>
    <s v="&lt;null&gt;"/>
    <n v="100"/>
    <s v="&lt;null&gt;"/>
    <s v="&lt;null&gt;"/>
    <s v="&lt;null&gt;"/>
    <s v="&lt;null&gt;"/>
    <m/>
    <m/>
    <m/>
    <m/>
  </r>
  <r>
    <x v="503"/>
    <x v="503"/>
    <s v="Verkeersveiligheid"/>
    <x v="1"/>
    <n v="576"/>
    <s v="IN/000540"/>
    <s v="Verlagen toegelaten snelheid in Lennik : Assesteenweg, Ninoofsesteenweg"/>
    <s v="snelheid verlagen naar 50 km/u"/>
    <s v="Kleine Ingreep"/>
    <s v="&lt;null&gt;"/>
    <b v="0"/>
    <s v="Ingreep wordt niet opgevolgd in BOD"/>
    <s v="&lt;null&gt;"/>
    <s v="&lt;null&gt;"/>
    <s v="&lt;null&gt;"/>
    <s v="&lt;null&gt;"/>
    <s v="&lt;null&gt;"/>
    <x v="0"/>
    <s v="&lt;null&gt;"/>
    <s v="&lt;null&gt;"/>
    <s v="&lt;null&gt;"/>
    <s v="&lt;null&gt;"/>
    <n v="100"/>
    <s v="&lt;null&gt;"/>
    <s v="&lt;null&gt;"/>
    <s v="&lt;null&gt;"/>
    <s v="&lt;null&gt;"/>
    <m/>
    <m/>
    <m/>
    <m/>
  </r>
  <r>
    <x v="504"/>
    <x v="504"/>
    <s v="Verkeersveiligheid"/>
    <x v="1"/>
    <n v="577"/>
    <s v="IN/000541"/>
    <s v="VRI: aanpassen lichtenregeling + bijkomende aanpassingen infra in Leuven : Erasme Ruelensvest, Naamsesteenweg, Naamsestraat, Naamsevest, Tervuursevest"/>
    <s v="Aanpassen lichtenregeling (maximaal conflictvrij), bypasses weghalen, asverschuiving"/>
    <s v="Kleine Ingreep"/>
    <s v="WVB/INV/R23/8"/>
    <b v="1"/>
    <s v="Ingreep wordt opgevolgd in BOD"/>
    <n v="10166"/>
    <s v="MDN/59-4"/>
    <n v="72851"/>
    <n v="21023529"/>
    <s v="&lt;p&gt;Ombouwen van verkeerslichten van gloeilamp naar LED en uitvoering volgens actieplan samen met IBO-werkzaamheden aan de Naamsepoort te Leuven.&lt;/p&gt;&lt;p&gt;Deze werkzaamheden kaderen in de uitvoering van het fietsrelanceplan 1 + 2.&amp;nbsp;&lt;/p&gt;"/>
    <x v="2"/>
    <n v="4808"/>
    <s v="&lt;null&gt;"/>
    <s v="&lt;p&gt;Ombouwen van verkeerslichten van gloeilamp naar LED en uitvoering volgens actieplan samen met IBO-werkzaamheden aan de Naamsepoort.&lt;/p&gt;&lt;p&gt;Deze werkzaamheden kaderen in de uitvoering van het fietsrelanceplan 1 + 2.&amp;nbsp;&lt;/p&gt;"/>
    <s v="WVB/INV/R23/8"/>
    <n v="100"/>
    <n v="215476.14"/>
    <n v="65101.7955"/>
    <n v="0"/>
    <n v="0"/>
    <n v="215476.14"/>
    <n v="65101.7955"/>
    <n v="0"/>
    <n v="0"/>
  </r>
  <r>
    <x v="504"/>
    <x v="504"/>
    <s v="Verkeersveiligheid"/>
    <x v="1"/>
    <n v="577"/>
    <s v="IN/000541"/>
    <s v="VRI: aanpassen lichtenregeling + bijkomende aanpassingen infra in Leuven : Erasme Ruelensvest, Naamsesteenweg, Naamsestraat, Naamsevest, Tervuursevest"/>
    <s v="Aanpassen lichtenregeling (maximaal conflictvrij), bypasses weghalen, asverschuiving"/>
    <s v="Kleine Ingreep"/>
    <s v="WVB/INV/R23/8"/>
    <b v="1"/>
    <s v="Ingreep wordt opgevolgd in BOD"/>
    <n v="9663"/>
    <s v="MDN/1504"/>
    <n v="73101"/>
    <n v="21042796"/>
    <s v="&lt;p&gt;Plaatsing van een nieuwe verkeersregelaar met PT-installaties aan de Naamsepoort te Leuven volgens V017006v10.&amp;nbsp;&lt;/p&gt;&lt;p&gt;De uitvoering is voorzien op het fietsrelanceplan 1+2 ter vervanging van de installaties in Tienen (Aandorenstraat) en Grimbergen"/>
    <x v="2"/>
    <n v="4816"/>
    <s v="&lt;null&gt;"/>
    <s v="&lt;p&gt;Plaatsing van een nieuwe verkeersregelaar met PT-installaties aan de Naamsepoort te Leuven volgens V017006v10.&amp;nbsp;&lt;/p&gt;&lt;p&gt;De uitvoering is voorzien op het fietsrelanceplan 1+2 ter vervanging van de installaties in Tienen (Aandorenstraat) en Grimbergen"/>
    <s v="WVB/INV/R23/8"/>
    <n v="100"/>
    <n v="27616.560000000001"/>
    <n v="27616.560000000001"/>
    <n v="0"/>
    <n v="0"/>
    <n v="27616.560000000001"/>
    <n v="27616.560000000001"/>
    <n v="0"/>
    <n v="0"/>
  </r>
  <r>
    <x v="504"/>
    <x v="504"/>
    <s v="Verkeersveiligheid"/>
    <x v="1"/>
    <n v="577"/>
    <s v="IN/000541"/>
    <s v="VRI: aanpassen lichtenregeling + bijkomende aanpassingen infra in Leuven : Erasme Ruelensvest, Naamsesteenweg, Naamsestraat, Naamsevest, Tervuursevest"/>
    <s v="Aanpassen lichtenregeling (maximaal conflictvrij), bypasses weghalen, asverschuiving"/>
    <s v="Kleine Ingreep"/>
    <s v="WVB/INV/R23/8"/>
    <b v="1"/>
    <s v="Ingreep wordt opgevolgd in BOD"/>
    <n v="7664"/>
    <s v="X21/0/461-perceel 1"/>
    <n v="76051"/>
    <n v="21033421"/>
    <s v="&lt;p&gt;relance gevaarlijke punten&lt;/p&gt;"/>
    <x v="10"/>
    <n v="5061"/>
    <s v="&lt;null&gt;"/>
    <s v="&lt;p&gt;relance gevaarlijke punten&lt;/p&gt;"/>
    <s v="WVB/INV/R23/8"/>
    <n v="100"/>
    <n v="248000"/>
    <n v="244632.28902"/>
    <n v="0"/>
    <n v="3367.7109799999998"/>
    <n v="248000"/>
    <n v="244632.28902"/>
    <n v="0"/>
    <n v="3367.7109799999998"/>
  </r>
  <r>
    <x v="505"/>
    <x v="505"/>
    <s v="Verkeersveiligheid"/>
    <x v="1"/>
    <n v="578"/>
    <s v="IN/000542"/>
    <s v="Horizontale signalisatie aanpassen in Leuven : Dekenstraat, Geldenaaksevest"/>
    <s v="Gevleugeld zebrapad"/>
    <s v="Kleine Ingreep"/>
    <s v="WVB/INV/R23/10"/>
    <b v="0"/>
    <s v="Ingreep wordt niet opgevolgd in BOD"/>
    <s v="&lt;null&gt;"/>
    <s v="&lt;null&gt;"/>
    <s v="&lt;null&gt;"/>
    <s v="&lt;null&gt;"/>
    <s v="&lt;null&gt;"/>
    <x v="0"/>
    <s v="&lt;null&gt;"/>
    <s v="&lt;null&gt;"/>
    <s v="&lt;null&gt;"/>
    <s v="&lt;null&gt;"/>
    <n v="100"/>
    <s v="&lt;null&gt;"/>
    <s v="&lt;null&gt;"/>
    <s v="&lt;null&gt;"/>
    <s v="&lt;null&gt;"/>
    <m/>
    <m/>
    <m/>
    <m/>
  </r>
  <r>
    <x v="506"/>
    <x v="506"/>
    <s v="Verkeersveiligheid"/>
    <x v="1"/>
    <n v="579"/>
    <s v="IN/000543"/>
    <s v="Martelarenlaan, Tiensesteenweg"/>
    <s v="fietstunnel + aanpassing lichtenregeling"/>
    <s v="Structurele Ingreep"/>
    <s v="&lt;null&gt;"/>
    <b v="0"/>
    <s v="Ingreep wordt niet opgevolgd in BOD"/>
    <s v="&lt;null&gt;"/>
    <s v="&lt;null&gt;"/>
    <s v="&lt;null&gt;"/>
    <s v="&lt;null&gt;"/>
    <s v="&lt;null&gt;"/>
    <x v="0"/>
    <s v="&lt;null&gt;"/>
    <s v="&lt;null&gt;"/>
    <s v="&lt;null&gt;"/>
    <s v="&lt;null&gt;"/>
    <n v="100"/>
    <s v="&lt;null&gt;"/>
    <s v="&lt;null&gt;"/>
    <s v="&lt;null&gt;"/>
    <s v="&lt;null&gt;"/>
    <m/>
    <m/>
    <m/>
    <m/>
  </r>
  <r>
    <x v="507"/>
    <x v="507"/>
    <s v="Verkeersveiligheid"/>
    <x v="1"/>
    <n v="580"/>
    <s v="IN/000544"/>
    <s v="in Leuven : Bierbeekstraat, Blijde-Inkomststraat, Geldenaaksevest, Léon Schreursvest, Tiensesteenweg, Tiensestraat, Tiensevest"/>
    <s v="FOP conform DO maken, B1s, stopstrepen, meer geleidingsmarkering LA uit Tiensestwg+RD uit centrum, fietslijnen bypass Bierbeekstraat,"/>
    <s v="Kleine Ingreep"/>
    <s v="&lt;null&gt;"/>
    <b v="0"/>
    <s v="Ingreep wordt niet opgevolgd in BOD"/>
    <s v="&lt;null&gt;"/>
    <s v="&lt;null&gt;"/>
    <s v="&lt;null&gt;"/>
    <s v="&lt;null&gt;"/>
    <s v="&lt;null&gt;"/>
    <x v="0"/>
    <s v="&lt;null&gt;"/>
    <s v="&lt;null&gt;"/>
    <s v="&lt;null&gt;"/>
    <s v="&lt;null&gt;"/>
    <n v="100"/>
    <s v="&lt;null&gt;"/>
    <s v="&lt;null&gt;"/>
    <s v="&lt;null&gt;"/>
    <s v="&lt;null&gt;"/>
    <m/>
    <m/>
    <m/>
    <m/>
  </r>
  <r>
    <x v="508"/>
    <x v="508"/>
    <s v="Verkeersveiligheid"/>
    <x v="1"/>
    <n v="581"/>
    <s v="IN/000545"/>
    <s v="in Leuven : Diestsepoort, Martelarenplein"/>
    <s v="Nieuwe lichtenregeling in 2019 uitgevoerd"/>
    <s v="Kleine Ingreep"/>
    <s v="&lt;null&gt;"/>
    <b v="0"/>
    <s v="Ingreep wordt niet opgevolgd in BOD"/>
    <s v="&lt;null&gt;"/>
    <s v="&lt;null&gt;"/>
    <s v="&lt;null&gt;"/>
    <s v="&lt;null&gt;"/>
    <s v="&lt;null&gt;"/>
    <x v="0"/>
    <s v="&lt;null&gt;"/>
    <s v="&lt;null&gt;"/>
    <s v="&lt;null&gt;"/>
    <s v="&lt;null&gt;"/>
    <n v="100"/>
    <s v="&lt;null&gt;"/>
    <s v="&lt;null&gt;"/>
    <s v="&lt;null&gt;"/>
    <s v="&lt;null&gt;"/>
    <m/>
    <m/>
    <m/>
    <m/>
  </r>
  <r>
    <x v="509"/>
    <x v="509"/>
    <s v="Verkeersveiligheid"/>
    <x v="1"/>
    <n v="582"/>
    <s v="IN/000546"/>
    <s v="in Leuven : Kapucijnenvoer, Koning Boudewijnlaan, Tervuursevest"/>
    <s v="FOP conform DO maken, B1s, stopstrepen, langere geleidingsmarkering +struiken verwijderen rechterhoek komende van E314"/>
    <s v="Kleine Ingreep"/>
    <s v="&lt;null&gt;"/>
    <b v="0"/>
    <s v="Ingreep wordt niet opgevolgd in BOD"/>
    <s v="&lt;null&gt;"/>
    <s v="&lt;null&gt;"/>
    <s v="&lt;null&gt;"/>
    <s v="&lt;null&gt;"/>
    <s v="&lt;null&gt;"/>
    <x v="0"/>
    <s v="&lt;null&gt;"/>
    <s v="&lt;null&gt;"/>
    <s v="&lt;null&gt;"/>
    <s v="&lt;null&gt;"/>
    <n v="100"/>
    <s v="&lt;null&gt;"/>
    <s v="&lt;null&gt;"/>
    <s v="&lt;null&gt;"/>
    <s v="&lt;null&gt;"/>
    <m/>
    <m/>
    <m/>
    <m/>
  </r>
  <r>
    <x v="510"/>
    <x v="510"/>
    <s v="Verkeersveiligheid"/>
    <x v="1"/>
    <n v="583"/>
    <s v="IN/000547"/>
    <s v="in Lier : Antwerpsesteenweg, R16 Binnenring, R16 Buitenring"/>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11"/>
    <x v="511"/>
    <s v="Verkeersveiligheid"/>
    <x v="1"/>
    <n v="584"/>
    <s v="IN/000548"/>
    <s v="in Lochristi : N70 Antwerpse Steenweg met Palingstraat"/>
    <s v="Herinrichting kruispunt"/>
    <s v="Structurele Ingreep"/>
    <s v="WOV/INV/N70/1"/>
    <b v="0"/>
    <s v="Ingreep wordt niet opgevolgd in BOD"/>
    <s v="&lt;null&gt;"/>
    <s v="&lt;null&gt;"/>
    <s v="&lt;null&gt;"/>
    <s v="&lt;null&gt;"/>
    <s v="&lt;null&gt;"/>
    <x v="0"/>
    <s v="&lt;null&gt;"/>
    <s v="&lt;null&gt;"/>
    <s v="&lt;null&gt;"/>
    <s v="&lt;null&gt;"/>
    <n v="100"/>
    <s v="&lt;null&gt;"/>
    <s v="&lt;null&gt;"/>
    <s v="&lt;null&gt;"/>
    <s v="&lt;null&gt;"/>
    <m/>
    <m/>
    <m/>
    <m/>
  </r>
  <r>
    <x v="18"/>
    <x v="18"/>
    <s v="&lt;null&gt;"/>
    <x v="3"/>
    <n v="585"/>
    <s v="IN/000549"/>
    <s v="in Lommel : N71 Richting Geel, N71 Richting Hamont - Maarheeze (Nl), N746 Leopoldsburg (N73) - Luyksgestel (Nl), Stationsstraat"/>
    <s v="Ongelijkvloerse kruising R71 Stationsstraat Hollands complex aanbesteed maar door procedure tegen bouwvergunning vertraging. aanbesteed,  starten met werken in 2024"/>
    <s v="Structurele Ingreep"/>
    <s v="&lt;null&gt;"/>
    <b v="0"/>
    <s v="Ingreep wordt niet opgevolgd in BOD"/>
    <s v="&lt;null&gt;"/>
    <s v="&lt;null&gt;"/>
    <s v="&lt;null&gt;"/>
    <s v="&lt;null&gt;"/>
    <s v="&lt;null&gt;"/>
    <x v="0"/>
    <s v="&lt;null&gt;"/>
    <s v="&lt;null&gt;"/>
    <s v="&lt;null&gt;"/>
    <s v="&lt;null&gt;"/>
    <s v="&lt;null&gt;"/>
    <s v="&lt;null&gt;"/>
    <s v="&lt;null&gt;"/>
    <s v="&lt;null&gt;"/>
    <s v="&lt;null&gt;"/>
    <m/>
    <m/>
    <m/>
    <m/>
  </r>
  <r>
    <x v="512"/>
    <x v="512"/>
    <s v="Verkeersveiligheid"/>
    <x v="1"/>
    <n v="586"/>
    <s v="IN/000550"/>
    <s v="in Lommel : Karrestraat, Loberg, Norbert Neeckxlaan"/>
    <s v="Snelheidsverlaging"/>
    <s v="Kleine Ingreep"/>
    <s v="&lt;null&gt;"/>
    <b v="0"/>
    <s v="Ingreep wordt niet opgevolgd in BOD"/>
    <s v="&lt;null&gt;"/>
    <s v="&lt;null&gt;"/>
    <s v="&lt;null&gt;"/>
    <s v="&lt;null&gt;"/>
    <s v="&lt;null&gt;"/>
    <x v="0"/>
    <s v="&lt;null&gt;"/>
    <s v="&lt;null&gt;"/>
    <s v="&lt;null&gt;"/>
    <s v="&lt;null&gt;"/>
    <n v="100"/>
    <s v="&lt;null&gt;"/>
    <s v="&lt;null&gt;"/>
    <s v="&lt;null&gt;"/>
    <s v="&lt;null&gt;"/>
    <m/>
    <m/>
    <m/>
    <m/>
  </r>
  <r>
    <x v="513"/>
    <x v="513"/>
    <s v="Verkeersveiligheid"/>
    <x v="1"/>
    <n v="587"/>
    <s v="IN/000551"/>
    <s v="VRI: aanpassen lichtenregeling in Lommel : Balendijk, N71 Richting Geel, N71 Richting Hamont - Maarheeze (Nl)"/>
    <s v="Aanpassen lichtenregeling (aangepast in 2020) + aan markeringen (deels uitgevoerdin 2020)"/>
    <s v="Kleine Ingreep"/>
    <s v="WL/INV/N71/5"/>
    <b v="0"/>
    <s v="Ingreep wordt niet opgevolgd in BOD"/>
    <s v="&lt;null&gt;"/>
    <s v="&lt;null&gt;"/>
    <s v="&lt;null&gt;"/>
    <s v="&lt;null&gt;"/>
    <s v="&lt;null&gt;"/>
    <x v="0"/>
    <s v="&lt;null&gt;"/>
    <s v="&lt;null&gt;"/>
    <s v="&lt;null&gt;"/>
    <s v="&lt;null&gt;"/>
    <n v="100"/>
    <s v="&lt;null&gt;"/>
    <s v="&lt;null&gt;"/>
    <s v="&lt;null&gt;"/>
    <s v="&lt;null&gt;"/>
    <m/>
    <m/>
    <m/>
    <m/>
  </r>
  <r>
    <x v="514"/>
    <x v="514"/>
    <s v="Verkeersveiligheid"/>
    <x v="1"/>
    <n v="588"/>
    <s v="IN/000552"/>
    <s v="in Lummen : Blanklaarstraat, Grote Baan, Meldertsebaan"/>
    <s v="Aanleg rotonde, overblijvend gevaarlijk punt van de originele lijst van 800. 21/01/2019: onteigeninen zijn lopende\nokt 2020: lopende. start werken juli 2021"/>
    <s v="Structurele Ingreep"/>
    <s v="&lt;null&gt;"/>
    <b v="0"/>
    <s v="Ingreep wordt niet opgevolgd in BOD"/>
    <s v="&lt;null&gt;"/>
    <s v="&lt;null&gt;"/>
    <s v="&lt;null&gt;"/>
    <s v="&lt;null&gt;"/>
    <s v="&lt;null&gt;"/>
    <x v="0"/>
    <s v="&lt;null&gt;"/>
    <s v="&lt;null&gt;"/>
    <s v="&lt;null&gt;"/>
    <s v="&lt;null&gt;"/>
    <n v="100"/>
    <s v="&lt;null&gt;"/>
    <s v="&lt;null&gt;"/>
    <s v="&lt;null&gt;"/>
    <s v="&lt;null&gt;"/>
    <m/>
    <m/>
    <m/>
    <m/>
  </r>
  <r>
    <x v="18"/>
    <x v="18"/>
    <s v="&lt;null&gt;"/>
    <x v="3"/>
    <n v="589"/>
    <s v="IN/000553"/>
    <s v="in Maasmechelen : Koninginnelaan, Rijksweg"/>
    <s v="nog niet gedefinieerd"/>
    <s v="Klein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590"/>
    <s v="IN/000554"/>
    <s v="in Maasmechelen : Koninginnelaan, Rijksweg"/>
    <s v="plannen om rotonde aan te leggen. staat op het programma, onteigeningen lopende."/>
    <s v="Structurele Ingreep"/>
    <s v="&lt;null&gt;"/>
    <b v="0"/>
    <s v="Ingreep wordt niet opgevolgd in BOD"/>
    <s v="&lt;null&gt;"/>
    <s v="&lt;null&gt;"/>
    <s v="&lt;null&gt;"/>
    <s v="&lt;null&gt;"/>
    <s v="&lt;null&gt;"/>
    <x v="0"/>
    <s v="&lt;null&gt;"/>
    <s v="&lt;null&gt;"/>
    <s v="&lt;null&gt;"/>
    <s v="&lt;null&gt;"/>
    <s v="&lt;null&gt;"/>
    <s v="&lt;null&gt;"/>
    <s v="&lt;null&gt;"/>
    <s v="&lt;null&gt;"/>
    <s v="&lt;null&gt;"/>
    <m/>
    <m/>
    <m/>
    <m/>
  </r>
  <r>
    <x v="515"/>
    <x v="515"/>
    <s v="Verkeersveiligheid"/>
    <x v="1"/>
    <n v="591"/>
    <s v="IN/000555"/>
    <s v="Ombouw volgens actieplan en herinrichting kruispunt"/>
    <s v="Actieplan VRI"/>
    <s v="Kleine Ingreep"/>
    <s v="WL/INV/N78/18"/>
    <b v="0"/>
    <s v="Ingreep wordt niet opgevolgd in BOD"/>
    <s v="&lt;null&gt;"/>
    <s v="&lt;null&gt;"/>
    <s v="&lt;null&gt;"/>
    <s v="&lt;null&gt;"/>
    <s v="&lt;null&gt;"/>
    <x v="0"/>
    <s v="&lt;null&gt;"/>
    <s v="&lt;null&gt;"/>
    <s v="&lt;null&gt;"/>
    <s v="&lt;null&gt;"/>
    <n v="100"/>
    <s v="&lt;null&gt;"/>
    <s v="&lt;null&gt;"/>
    <s v="&lt;null&gt;"/>
    <s v="&lt;null&gt;"/>
    <m/>
    <m/>
    <m/>
    <m/>
  </r>
  <r>
    <x v="18"/>
    <x v="18"/>
    <s v="&lt;null&gt;"/>
    <x v="3"/>
    <n v="592"/>
    <s v="IN/000556"/>
    <s v="in Maasmechelen : Dokter Haubenlaan, Joseph Smeetslaan, Rijksweg"/>
    <s v="Omgebouwd volgens actieplan. Fietspaden bijgelegd"/>
    <s v="Structurele Ingreep"/>
    <s v="&lt;null&gt;"/>
    <b v="0"/>
    <s v="Ingreep wordt niet opgevolgd in BOD"/>
    <s v="&lt;null&gt;"/>
    <s v="&lt;null&gt;"/>
    <s v="&lt;null&gt;"/>
    <s v="&lt;null&gt;"/>
    <s v="&lt;null&gt;"/>
    <x v="0"/>
    <s v="&lt;null&gt;"/>
    <s v="&lt;null&gt;"/>
    <s v="&lt;null&gt;"/>
    <s v="&lt;null&gt;"/>
    <s v="&lt;null&gt;"/>
    <s v="&lt;null&gt;"/>
    <s v="&lt;null&gt;"/>
    <s v="&lt;null&gt;"/>
    <s v="&lt;null&gt;"/>
    <m/>
    <m/>
    <m/>
    <m/>
  </r>
  <r>
    <x v="516"/>
    <x v="516"/>
    <s v="Verkeersveiligheid"/>
    <x v="1"/>
    <n v="593"/>
    <s v="IN/000557"/>
    <s v="Quick win oplossing; aanpassing VRI"/>
    <s v="nog niet gedefinieerd"/>
    <s v="Kleine Ingreep"/>
    <s v="WL/INV/N78/31"/>
    <b v="0"/>
    <s v="Ingreep wordt niet opgevolgd in BOD"/>
    <s v="&lt;null&gt;"/>
    <s v="&lt;null&gt;"/>
    <s v="&lt;null&gt;"/>
    <s v="&lt;null&gt;"/>
    <s v="&lt;null&gt;"/>
    <x v="0"/>
    <s v="&lt;null&gt;"/>
    <s v="&lt;null&gt;"/>
    <s v="&lt;null&gt;"/>
    <s v="&lt;null&gt;"/>
    <n v="100"/>
    <s v="&lt;null&gt;"/>
    <s v="&lt;null&gt;"/>
    <s v="&lt;null&gt;"/>
    <s v="&lt;null&gt;"/>
    <m/>
    <m/>
    <m/>
    <m/>
  </r>
  <r>
    <x v="517"/>
    <x v="517"/>
    <s v="Verkeersveiligheid"/>
    <x v="1"/>
    <n v="594"/>
    <s v="IN/000558"/>
    <s v="in Machelen : Haachtsesteenweg, Woluwelaan"/>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17"/>
    <x v="517"/>
    <s v="Verkeersveiligheid"/>
    <x v="1"/>
    <n v="595"/>
    <s v="IN/000559"/>
    <s v="in Machelen : Haachtsesteenweg, Woluwelaan (SCHRAPPEN - MAAKT DEEL UIT VAN WVB/INV/R22/1)"/>
    <s v="volledige heraanleg (oa met busbanen)"/>
    <s v="Structurele Ingreep"/>
    <s v="&lt;null&gt;"/>
    <b v="0"/>
    <s v="Ingreep wordt niet opgevolgd in BOD"/>
    <s v="&lt;null&gt;"/>
    <s v="&lt;null&gt;"/>
    <s v="&lt;null&gt;"/>
    <s v="&lt;null&gt;"/>
    <s v="&lt;null&gt;"/>
    <x v="0"/>
    <s v="&lt;null&gt;"/>
    <s v="&lt;null&gt;"/>
    <s v="&lt;null&gt;"/>
    <s v="&lt;null&gt;"/>
    <n v="100"/>
    <s v="&lt;null&gt;"/>
    <s v="&lt;null&gt;"/>
    <s v="&lt;null&gt;"/>
    <s v="&lt;null&gt;"/>
    <m/>
    <m/>
    <m/>
    <m/>
  </r>
  <r>
    <x v="518"/>
    <x v="518"/>
    <s v="Verkeersveiligheid"/>
    <x v="1"/>
    <n v="596"/>
    <s v="IN/000560"/>
    <s v="in Machelen : Beaulieustraat, R0 Binnenring Uitrit 5 (Machelen), Woluwelaan"/>
    <s v="Afrit wordt opgeheven"/>
    <s v="Kleine Ingreep"/>
    <s v="&lt;null&gt;"/>
    <b v="0"/>
    <s v="Ingreep wordt niet opgevolgd in BOD"/>
    <s v="&lt;null&gt;"/>
    <s v="&lt;null&gt;"/>
    <s v="&lt;null&gt;"/>
    <s v="&lt;null&gt;"/>
    <s v="&lt;null&gt;"/>
    <x v="0"/>
    <s v="&lt;null&gt;"/>
    <s v="&lt;null&gt;"/>
    <s v="&lt;null&gt;"/>
    <s v="&lt;null&gt;"/>
    <n v="100"/>
    <s v="&lt;null&gt;"/>
    <s v="&lt;null&gt;"/>
    <s v="&lt;null&gt;"/>
    <s v="&lt;null&gt;"/>
    <m/>
    <m/>
    <m/>
    <m/>
  </r>
  <r>
    <x v="518"/>
    <x v="518"/>
    <s v="Verkeersveiligheid"/>
    <x v="1"/>
    <n v="597"/>
    <s v="IN/000561"/>
    <s v="in Machelen : Beaulieustraat, R0 Binnenring Uitrit 5 (Machelen), Woluwelaan (SCHRAPPEN - MAAKT DEEL UIT VAN WVB/INV/R22/1)"/>
    <s v="Afrit wordt opgeheven bij heraanleg Woluwelaan"/>
    <s v="Structurele Ingreep"/>
    <s v="&lt;null&gt;"/>
    <b v="0"/>
    <s v="Ingreep wordt niet opgevolgd in BOD"/>
    <s v="&lt;null&gt;"/>
    <s v="&lt;null&gt;"/>
    <s v="&lt;null&gt;"/>
    <s v="&lt;null&gt;"/>
    <s v="&lt;null&gt;"/>
    <x v="0"/>
    <s v="&lt;null&gt;"/>
    <s v="&lt;null&gt;"/>
    <s v="&lt;null&gt;"/>
    <s v="&lt;null&gt;"/>
    <n v="100"/>
    <s v="&lt;null&gt;"/>
    <s v="&lt;null&gt;"/>
    <s v="&lt;null&gt;"/>
    <s v="&lt;null&gt;"/>
    <m/>
    <m/>
    <m/>
    <m/>
  </r>
  <r>
    <x v="519"/>
    <x v="519"/>
    <s v="Verkeersveiligheid"/>
    <x v="1"/>
    <n v="598"/>
    <s v="IN/000562"/>
    <s v="in Maldegem : wegvak N9 Koning Leopoldlaan van kruispunt met Kattewegel tot rotonde met N44a Aalterbaan"/>
    <s v="Tijdens structureel onderhoud werd in- en uitgang winkelcentrum aangepast (2019)"/>
    <s v="Kleine Ingreep"/>
    <s v="&lt;null&gt;"/>
    <b v="0"/>
    <s v="Ingreep wordt niet opgevolgd in BOD"/>
    <s v="&lt;null&gt;"/>
    <s v="&lt;null&gt;"/>
    <s v="&lt;null&gt;"/>
    <s v="&lt;null&gt;"/>
    <s v="&lt;null&gt;"/>
    <x v="0"/>
    <s v="&lt;null&gt;"/>
    <s v="&lt;null&gt;"/>
    <s v="&lt;null&gt;"/>
    <s v="&lt;null&gt;"/>
    <n v="100"/>
    <s v="&lt;null&gt;"/>
    <s v="&lt;null&gt;"/>
    <s v="&lt;null&gt;"/>
    <s v="&lt;null&gt;"/>
    <m/>
    <m/>
    <m/>
    <m/>
  </r>
  <r>
    <x v="520"/>
    <x v="520"/>
    <s v="Verkeersveiligheid"/>
    <x v="1"/>
    <n v="599"/>
    <s v="IN/000563"/>
    <s v="in Maldegem : N49 met Celieplas"/>
    <s v="afsluiting (2020)"/>
    <s v="Kleine Ingreep"/>
    <s v="&lt;null&gt;"/>
    <b v="0"/>
    <s v="Ingreep wordt niet opgevolgd in BOD"/>
    <s v="&lt;null&gt;"/>
    <s v="&lt;null&gt;"/>
    <s v="&lt;null&gt;"/>
    <s v="&lt;null&gt;"/>
    <s v="&lt;null&gt;"/>
    <x v="0"/>
    <s v="&lt;null&gt;"/>
    <s v="&lt;null&gt;"/>
    <s v="&lt;null&gt;"/>
    <s v="&lt;null&gt;"/>
    <n v="100"/>
    <s v="&lt;null&gt;"/>
    <s v="&lt;null&gt;"/>
    <s v="&lt;null&gt;"/>
    <s v="&lt;null&gt;"/>
    <m/>
    <m/>
    <m/>
    <m/>
  </r>
  <r>
    <x v="521"/>
    <x v="521"/>
    <s v="Verkeersveiligheid"/>
    <x v="1"/>
    <n v="600"/>
    <s v="IN/000564"/>
    <s v="in Maldegem : N49 met N410 Aardenburgkalseide"/>
    <s v="Aanpassen VRI volgens actieplan (2018)"/>
    <s v="Kleine Ingreep"/>
    <s v="&lt;null&gt;"/>
    <b v="0"/>
    <s v="Ingreep wordt niet opgevolgd in BOD"/>
    <s v="&lt;null&gt;"/>
    <s v="&lt;null&gt;"/>
    <s v="&lt;null&gt;"/>
    <s v="&lt;null&gt;"/>
    <s v="&lt;null&gt;"/>
    <x v="0"/>
    <s v="&lt;null&gt;"/>
    <s v="&lt;null&gt;"/>
    <s v="&lt;null&gt;"/>
    <s v="&lt;null&gt;"/>
    <n v="100"/>
    <s v="&lt;null&gt;"/>
    <s v="&lt;null&gt;"/>
    <s v="&lt;null&gt;"/>
    <s v="&lt;null&gt;"/>
    <m/>
    <m/>
    <m/>
    <m/>
  </r>
  <r>
    <x v="522"/>
    <x v="522"/>
    <s v="Verkeersveiligheid"/>
    <x v="1"/>
    <n v="601"/>
    <s v="IN/000565"/>
    <s v="VRI: aanpassen lichtenregeling in Malle : Antwerpsesteenweg, Nijverheidsstraat, Steenovenstraat RELANCE21"/>
    <s v="Aanpassen lichtenregeling: conflictvrij regelen. Momenteel geen hoge prioriteit. er wordt bekeken of dit hoger op de lijst kan geplaatst worden"/>
    <s v="Kleine Ingreep"/>
    <s v="WA/INV/N12/17"/>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7311"/>
    <s v="KUV 013A4 (V0169090) Steenovenstraat, Nijverheidsstraat"/>
    <s v="&lt;p&gt;INV/000565&lt;/p&gt;"/>
    <s v="WA/INV/N12/17"/>
    <n v="100"/>
    <n v="98000"/>
    <n v="98000"/>
    <n v="0"/>
    <n v="0"/>
    <n v="98000"/>
    <n v="98000"/>
    <n v="0"/>
    <n v="0"/>
  </r>
  <r>
    <x v="523"/>
    <x v="523"/>
    <s v="Verkeersveiligheid"/>
    <x v="1"/>
    <n v="602"/>
    <s v="IN/000566"/>
    <s v="in Mechelen : Guido Gezellelaan, Rode-Kruisplein"/>
    <s v="middenberm afgesloten + lichtengeregelde oversteek (geannuleerd)"/>
    <s v="Kleine Ingreep"/>
    <s v="&lt;null&gt;"/>
    <b v="0"/>
    <s v="Ingreep wordt niet opgevolgd in BOD"/>
    <s v="&lt;null&gt;"/>
    <s v="&lt;null&gt;"/>
    <s v="&lt;null&gt;"/>
    <s v="&lt;null&gt;"/>
    <s v="&lt;null&gt;"/>
    <x v="0"/>
    <s v="&lt;null&gt;"/>
    <s v="&lt;null&gt;"/>
    <s v="&lt;null&gt;"/>
    <s v="&lt;null&gt;"/>
    <n v="100"/>
    <s v="&lt;null&gt;"/>
    <s v="&lt;null&gt;"/>
    <s v="&lt;null&gt;"/>
    <s v="&lt;null&gt;"/>
    <m/>
    <m/>
    <m/>
    <m/>
  </r>
  <r>
    <x v="523"/>
    <x v="523"/>
    <s v="Verkeersveiligheid"/>
    <x v="1"/>
    <n v="603"/>
    <s v="IN/000567"/>
    <s v="in Mechelen : Guido Gezellelaan, Rode-Kruisplein"/>
    <s v="Tijdelijke herinrichting tegen maart 2022. vanaf dan komende 7 a 8 jaar volledige herinrichting;"/>
    <s v="Structurele Ingreep"/>
    <s v="&lt;null&gt;"/>
    <b v="0"/>
    <s v="Ingreep wordt niet opgevolgd in BOD"/>
    <s v="&lt;null&gt;"/>
    <s v="&lt;null&gt;"/>
    <s v="&lt;null&gt;"/>
    <s v="&lt;null&gt;"/>
    <s v="&lt;null&gt;"/>
    <x v="0"/>
    <s v="&lt;null&gt;"/>
    <s v="&lt;null&gt;"/>
    <s v="&lt;null&gt;"/>
    <s v="&lt;null&gt;"/>
    <n v="100"/>
    <s v="&lt;null&gt;"/>
    <s v="&lt;null&gt;"/>
    <s v="&lt;null&gt;"/>
    <s v="&lt;null&gt;"/>
    <m/>
    <m/>
    <m/>
    <m/>
  </r>
  <r>
    <x v="524"/>
    <x v="524"/>
    <s v="Verkeersveiligheid"/>
    <x v="1"/>
    <n v="604"/>
    <s v="IN/000568"/>
    <s v="in Mechelen : Hanswijkstraat, Hendrik Speecqvest, Leuvensesteenweg, Raghenoplein, Zandpoortvest"/>
    <s v="Heraanleg (oa betere fietsinfrastructuur, heraanleg speecqvest)"/>
    <s v="Kleine Ingreep"/>
    <s v="WA/INV/N26/5"/>
    <b v="0"/>
    <s v="Ingreep wordt niet opgevolgd in BOD"/>
    <s v="&lt;null&gt;"/>
    <s v="&lt;null&gt;"/>
    <s v="&lt;null&gt;"/>
    <s v="&lt;null&gt;"/>
    <s v="&lt;null&gt;"/>
    <x v="0"/>
    <s v="&lt;null&gt;"/>
    <s v="&lt;null&gt;"/>
    <s v="&lt;null&gt;"/>
    <s v="&lt;null&gt;"/>
    <n v="100"/>
    <s v="&lt;null&gt;"/>
    <s v="&lt;null&gt;"/>
    <s v="&lt;null&gt;"/>
    <s v="&lt;null&gt;"/>
    <m/>
    <m/>
    <m/>
    <m/>
  </r>
  <r>
    <x v="525"/>
    <x v="525"/>
    <s v="Verkeersveiligheid"/>
    <x v="1"/>
    <n v="605"/>
    <s v="IN/000569"/>
    <s v="in Mechelen : Antwerpsesteenweg, R6 Binnenring (Richting N15), R6 Buitenring (Richting A1)"/>
    <s v="Aanleg flyover"/>
    <s v="Structurele Ingreep"/>
    <s v="&lt;null&gt;"/>
    <b v="0"/>
    <s v="Ingreep wordt niet opgevolgd in BOD"/>
    <s v="&lt;null&gt;"/>
    <s v="&lt;null&gt;"/>
    <s v="&lt;null&gt;"/>
    <s v="&lt;null&gt;"/>
    <s v="&lt;null&gt;"/>
    <x v="0"/>
    <s v="&lt;null&gt;"/>
    <s v="&lt;null&gt;"/>
    <s v="&lt;null&gt;"/>
    <s v="&lt;null&gt;"/>
    <n v="100"/>
    <s v="&lt;null&gt;"/>
    <s v="&lt;null&gt;"/>
    <s v="&lt;null&gt;"/>
    <s v="&lt;null&gt;"/>
    <m/>
    <m/>
    <m/>
    <m/>
  </r>
  <r>
    <x v="526"/>
    <x v="526"/>
    <s v="Verkeersveiligheid"/>
    <x v="1"/>
    <n v="606"/>
    <s v="IN/000570"/>
    <s v="in Mechelen : Edgard Tinellaan, Guido Gezellelaan, Maurits Sabbestraat, Sint-Katelijnestraa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26"/>
    <x v="526"/>
    <s v="Verkeersveiligheid"/>
    <x v="1"/>
    <n v="607"/>
    <s v="IN/000571"/>
    <s v="in Mechelen : Edgard Tinellaan, Guido Gezellelaan, Maurits Sabbestraat, Sint-Katelijnestraat"/>
    <s v="Herinrichting ring &gt; enkelrichting maken"/>
    <s v="Structurele Ingreep"/>
    <s v="&lt;null&gt;"/>
    <b v="0"/>
    <s v="Ingreep wordt niet opgevolgd in BOD"/>
    <s v="&lt;null&gt;"/>
    <s v="&lt;null&gt;"/>
    <s v="&lt;null&gt;"/>
    <s v="&lt;null&gt;"/>
    <s v="&lt;null&gt;"/>
    <x v="0"/>
    <s v="&lt;null&gt;"/>
    <s v="&lt;null&gt;"/>
    <s v="&lt;null&gt;"/>
    <s v="&lt;null&gt;"/>
    <n v="100"/>
    <s v="&lt;null&gt;"/>
    <s v="&lt;null&gt;"/>
    <s v="&lt;null&gt;"/>
    <s v="&lt;null&gt;"/>
    <m/>
    <m/>
    <m/>
    <m/>
  </r>
  <r>
    <x v="527"/>
    <x v="527"/>
    <s v="Verkeersveiligheid"/>
    <x v="1"/>
    <n v="608"/>
    <s v="IN/000572"/>
    <s v="in Mechelen : Edgard Tinellaan, Frederik de Merodestraat, Liersesteenweg, Zwartzustersves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27"/>
    <x v="527"/>
    <s v="Verkeersveiligheid"/>
    <x v="1"/>
    <n v="609"/>
    <s v="IN/000573"/>
    <s v="in Mechelen : Edgard Tinellaan, Frederik de Merodestraat, Liersesteenweg, Zwartzustersvest"/>
    <s v="Herinrichting ring &gt; enkelrichting maken"/>
    <s v="Structurele Ingreep"/>
    <s v="&lt;null&gt;"/>
    <b v="0"/>
    <s v="Ingreep wordt niet opgevolgd in BOD"/>
    <s v="&lt;null&gt;"/>
    <s v="&lt;null&gt;"/>
    <s v="&lt;null&gt;"/>
    <s v="&lt;null&gt;"/>
    <s v="&lt;null&gt;"/>
    <x v="0"/>
    <s v="&lt;null&gt;"/>
    <s v="&lt;null&gt;"/>
    <s v="&lt;null&gt;"/>
    <s v="&lt;null&gt;"/>
    <n v="100"/>
    <s v="&lt;null&gt;"/>
    <s v="&lt;null&gt;"/>
    <s v="&lt;null&gt;"/>
    <s v="&lt;null&gt;"/>
    <m/>
    <m/>
    <m/>
    <m/>
  </r>
  <r>
    <x v="528"/>
    <x v="528"/>
    <s v="Verkeersveiligheid"/>
    <x v="1"/>
    <n v="610"/>
    <s v="IN/000574"/>
    <s v="in Mechelen : Hoogstratenplein, Keizerstraat, N15 Richting Mechelen, N15 Richting Westerlo, Zandpoortvest, Zwartzustersves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28"/>
    <x v="528"/>
    <s v="Verkeersveiligheid"/>
    <x v="1"/>
    <n v="611"/>
    <s v="IN/000575"/>
    <s v="in Mechelen : Hoogstratenplein, Keizerstraat, N15 Richting Mechelen, N15 Richting Westerlo, Zandpoortvest, Zwartzustersvest"/>
    <s v="Herinrichting ring &gt; enkelrichting maken"/>
    <s v="Structurele Ingreep"/>
    <s v="&lt;null&gt;"/>
    <b v="0"/>
    <s v="Ingreep wordt niet opgevolgd in BOD"/>
    <s v="&lt;null&gt;"/>
    <s v="&lt;null&gt;"/>
    <s v="&lt;null&gt;"/>
    <s v="&lt;null&gt;"/>
    <s v="&lt;null&gt;"/>
    <x v="0"/>
    <s v="&lt;null&gt;"/>
    <s v="&lt;null&gt;"/>
    <s v="&lt;null&gt;"/>
    <s v="&lt;null&gt;"/>
    <n v="100"/>
    <s v="&lt;null&gt;"/>
    <s v="&lt;null&gt;"/>
    <s v="&lt;null&gt;"/>
    <s v="&lt;null&gt;"/>
    <m/>
    <m/>
    <m/>
    <m/>
  </r>
  <r>
    <x v="529"/>
    <x v="529"/>
    <s v="Verkeersveiligheid"/>
    <x v="1"/>
    <n v="612"/>
    <s v="IN/000576"/>
    <s v="in Meeuwen-Gruitrode : Genitsstraat, Genkerbaan, Hoogstraat, Kruisstraat"/>
    <s v="reeds een snelheidsverlaging doorgevoerd nav GP 2018."/>
    <s v="Kleine Ingreep"/>
    <s v="&lt;null&gt;"/>
    <b v="0"/>
    <s v="Ingreep wordt niet opgevolgd in BOD"/>
    <s v="&lt;null&gt;"/>
    <s v="&lt;null&gt;"/>
    <s v="&lt;null&gt;"/>
    <s v="&lt;null&gt;"/>
    <s v="&lt;null&gt;"/>
    <x v="0"/>
    <s v="&lt;null&gt;"/>
    <s v="&lt;null&gt;"/>
    <s v="&lt;null&gt;"/>
    <s v="&lt;null&gt;"/>
    <n v="100"/>
    <s v="&lt;null&gt;"/>
    <s v="&lt;null&gt;"/>
    <s v="&lt;null&gt;"/>
    <s v="&lt;null&gt;"/>
    <m/>
    <m/>
    <m/>
    <m/>
  </r>
  <r>
    <x v="530"/>
    <x v="530"/>
    <s v="Verkeersveiligheid"/>
    <x v="1"/>
    <n v="613"/>
    <s v="IN/000577"/>
    <s v="in Meise : Kerkhofstraat, Londerzeelsesteenweg, A12 (SCHRAPPEN - MAAKT DEEL UIT VAN WVB/INV/A12/1)"/>
    <s v="Volledige herinrichting van kruispunt. wordt ongelijkgronds kruispunt"/>
    <s v="Structurele Ingreep"/>
    <s v="&lt;null&gt;"/>
    <b v="0"/>
    <s v="Ingreep wordt niet opgevolgd in BOD"/>
    <s v="&lt;null&gt;"/>
    <s v="&lt;null&gt;"/>
    <s v="&lt;null&gt;"/>
    <s v="&lt;null&gt;"/>
    <s v="&lt;null&gt;"/>
    <x v="0"/>
    <s v="&lt;null&gt;"/>
    <s v="&lt;null&gt;"/>
    <s v="&lt;null&gt;"/>
    <s v="&lt;null&gt;"/>
    <n v="100"/>
    <s v="&lt;null&gt;"/>
    <s v="&lt;null&gt;"/>
    <s v="&lt;null&gt;"/>
    <s v="&lt;null&gt;"/>
    <m/>
    <m/>
    <m/>
    <m/>
  </r>
  <r>
    <x v="531"/>
    <x v="531"/>
    <s v="Verkeersveiligheid"/>
    <x v="1"/>
    <n v="614"/>
    <s v="IN/000578"/>
    <s v="Handhaving in Meise : A12 Richting Brussel"/>
    <s v="Aanpassen geleiding in bocht (geplaatst in najaar 2020) + trajectcontrole"/>
    <s v="Kleine Ingreep"/>
    <s v="WVB/INV/A12/7"/>
    <b v="0"/>
    <s v="Ingreep wordt niet opgevolgd in BOD"/>
    <s v="&lt;null&gt;"/>
    <s v="&lt;null&gt;"/>
    <s v="&lt;null&gt;"/>
    <s v="&lt;null&gt;"/>
    <s v="&lt;null&gt;"/>
    <x v="0"/>
    <s v="&lt;null&gt;"/>
    <s v="&lt;null&gt;"/>
    <s v="&lt;null&gt;"/>
    <s v="&lt;null&gt;"/>
    <n v="100"/>
    <s v="&lt;null&gt;"/>
    <s v="&lt;null&gt;"/>
    <s v="&lt;null&gt;"/>
    <s v="&lt;null&gt;"/>
    <m/>
    <m/>
    <m/>
    <m/>
  </r>
  <r>
    <x v="532"/>
    <x v="532"/>
    <s v="Verkeersveiligheid"/>
    <x v="1"/>
    <n v="615"/>
    <s v="IN/000579"/>
    <s v="in Merelbeke : N444 Hundelgemsesteenweg met Sallemeulekouter"/>
    <s v="plaatsen trajectcontrole (lijst 2018) (2020)"/>
    <s v="Kleine Ingreep"/>
    <s v="&lt;null&gt;"/>
    <b v="0"/>
    <s v="Ingreep wordt niet opgevolgd in BOD"/>
    <s v="&lt;null&gt;"/>
    <s v="&lt;null&gt;"/>
    <s v="&lt;null&gt;"/>
    <s v="&lt;null&gt;"/>
    <s v="&lt;null&gt;"/>
    <x v="0"/>
    <s v="&lt;null&gt;"/>
    <s v="&lt;null&gt;"/>
    <s v="&lt;null&gt;"/>
    <s v="&lt;null&gt;"/>
    <n v="100"/>
    <s v="&lt;null&gt;"/>
    <s v="&lt;null&gt;"/>
    <s v="&lt;null&gt;"/>
    <s v="&lt;null&gt;"/>
    <m/>
    <m/>
    <m/>
    <m/>
  </r>
  <r>
    <x v="532"/>
    <x v="532"/>
    <s v="Verkeersveiligheid"/>
    <x v="1"/>
    <n v="616"/>
    <s v="IN/000580"/>
    <s v="in Merelbeke : N444 Hundelgemsesteenweg met Sallemeulekouter"/>
    <s v="Maakt deel uit van fietspadenproject N444"/>
    <s v="Structurele Ingreep"/>
    <s v="WOV/INV/N444/1"/>
    <b v="0"/>
    <s v="Ingreep wordt niet opgevolgd in BOD"/>
    <s v="&lt;null&gt;"/>
    <s v="&lt;null&gt;"/>
    <s v="&lt;null&gt;"/>
    <s v="&lt;null&gt;"/>
    <s v="&lt;null&gt;"/>
    <x v="0"/>
    <s v="&lt;null&gt;"/>
    <s v="&lt;null&gt;"/>
    <s v="&lt;null&gt;"/>
    <s v="&lt;null&gt;"/>
    <n v="100"/>
    <s v="&lt;null&gt;"/>
    <s v="&lt;null&gt;"/>
    <s v="&lt;null&gt;"/>
    <s v="&lt;null&gt;"/>
    <m/>
    <m/>
    <m/>
    <m/>
  </r>
  <r>
    <x v="533"/>
    <x v="533"/>
    <s v="Verkeersveiligheid"/>
    <x v="1"/>
    <n v="617"/>
    <s v="IN/000581"/>
    <s v="in Merelbeke : Guldensporenlaan / Heidestraat met op- en afrit R4 Buitenring"/>
    <s v="verlenging linksafslagstrook. Onderdeel van herbouwen Bergwijkbrug + conflictvrije lichten"/>
    <s v="Structurele Ingreep"/>
    <s v="WOV/INV/R4/1"/>
    <b v="0"/>
    <s v="Ingreep wordt niet opgevolgd in BOD"/>
    <s v="&lt;null&gt;"/>
    <s v="&lt;null&gt;"/>
    <s v="&lt;null&gt;"/>
    <s v="&lt;null&gt;"/>
    <s v="&lt;null&gt;"/>
    <x v="0"/>
    <s v="&lt;null&gt;"/>
    <s v="&lt;null&gt;"/>
    <s v="&lt;null&gt;"/>
    <s v="&lt;null&gt;"/>
    <n v="100"/>
    <s v="&lt;null&gt;"/>
    <s v="&lt;null&gt;"/>
    <s v="&lt;null&gt;"/>
    <s v="&lt;null&gt;"/>
    <m/>
    <m/>
    <m/>
    <m/>
  </r>
  <r>
    <x v="534"/>
    <x v="534"/>
    <s v="Verkeersveiligheid"/>
    <x v="1"/>
    <n v="618"/>
    <s v="IN/000582"/>
    <s v="Plaatsen TC"/>
    <s v="plaatsing TC"/>
    <s v="Kleine Ingreep"/>
    <s v="&lt;null&gt;"/>
    <b v="0"/>
    <s v="Ingreep wordt niet opgevolgd in BOD"/>
    <s v="&lt;null&gt;"/>
    <s v="&lt;null&gt;"/>
    <s v="&lt;null&gt;"/>
    <s v="&lt;null&gt;"/>
    <s v="&lt;null&gt;"/>
    <x v="0"/>
    <s v="&lt;null&gt;"/>
    <s v="&lt;null&gt;"/>
    <s v="&lt;null&gt;"/>
    <s v="&lt;null&gt;"/>
    <n v="100"/>
    <s v="&lt;null&gt;"/>
    <s v="&lt;null&gt;"/>
    <s v="&lt;null&gt;"/>
    <s v="&lt;null&gt;"/>
    <m/>
    <m/>
    <m/>
    <m/>
  </r>
  <r>
    <x v="534"/>
    <x v="534"/>
    <s v="Verkeersveiligheid"/>
    <x v="1"/>
    <n v="619"/>
    <s v="IN/000583"/>
    <s v="N132 - Merksplas &amp; Turnhout - Module 13"/>
    <s v="Vrijliggende fietspaden"/>
    <s v="Structurele Ingreep"/>
    <s v="WA/INV/N132/1"/>
    <b v="0"/>
    <s v="Ingreep wordt niet opgevolgd in BOD"/>
    <s v="&lt;null&gt;"/>
    <s v="&lt;null&gt;"/>
    <s v="&lt;null&gt;"/>
    <s v="&lt;null&gt;"/>
    <s v="&lt;null&gt;"/>
    <x v="0"/>
    <s v="&lt;null&gt;"/>
    <s v="&lt;null&gt;"/>
    <s v="&lt;null&gt;"/>
    <s v="&lt;null&gt;"/>
    <n v="100"/>
    <s v="&lt;null&gt;"/>
    <s v="&lt;null&gt;"/>
    <s v="&lt;null&gt;"/>
    <s v="&lt;null&gt;"/>
    <m/>
    <m/>
    <m/>
    <m/>
  </r>
  <r>
    <x v="535"/>
    <x v="535"/>
    <s v="Verkeersveiligheid"/>
    <x v="1"/>
    <n v="620"/>
    <s v="IN/000584"/>
    <s v="in Middelkerke : Spermaliestraat"/>
    <s v="uitbreiden signalisatie bocht en voorzien van ribbelstroken in nadering van de bocht."/>
    <s v="Kleine Ingreep"/>
    <s v="&lt;null&gt;"/>
    <b v="0"/>
    <s v="Ingreep wordt niet opgevolgd in BOD"/>
    <s v="&lt;null&gt;"/>
    <s v="&lt;null&gt;"/>
    <s v="&lt;null&gt;"/>
    <s v="&lt;null&gt;"/>
    <s v="&lt;null&gt;"/>
    <x v="0"/>
    <s v="&lt;null&gt;"/>
    <s v="&lt;null&gt;"/>
    <s v="&lt;null&gt;"/>
    <s v="&lt;null&gt;"/>
    <n v="100"/>
    <s v="&lt;null&gt;"/>
    <s v="&lt;null&gt;"/>
    <s v="&lt;null&gt;"/>
    <s v="&lt;null&gt;"/>
    <m/>
    <m/>
    <m/>
    <m/>
  </r>
  <r>
    <x v="536"/>
    <x v="536"/>
    <s v="Verkeersveiligheid"/>
    <x v="1"/>
    <n v="621"/>
    <s v="IN/000585"/>
    <s v="VRI: aanpassen lichtenregeling in Mol : Achterbos, N18 Richting Turnhout, Sluis, Turnhoutsebaan RELANCE21"/>
    <s v="Volgens actieplan"/>
    <s v="Kleine Ingreep"/>
    <s v="WA/INV/N18/8"/>
    <b v="0"/>
    <s v="Ingreep wordt niet opgevolgd in BOD"/>
    <s v="&lt;null&gt;"/>
    <s v="&lt;null&gt;"/>
    <s v="&lt;null&gt;"/>
    <s v="&lt;null&gt;"/>
    <s v="&lt;null&gt;"/>
    <x v="0"/>
    <s v="&lt;null&gt;"/>
    <s v="&lt;null&gt;"/>
    <s v="&lt;null&gt;"/>
    <s v="&lt;null&gt;"/>
    <n v="100"/>
    <s v="&lt;null&gt;"/>
    <s v="&lt;null&gt;"/>
    <s v="&lt;null&gt;"/>
    <s v="&lt;null&gt;"/>
    <m/>
    <m/>
    <m/>
    <m/>
  </r>
  <r>
    <x v="537"/>
    <x v="537"/>
    <s v="Verkeersveiligheid"/>
    <x v="1"/>
    <n v="622"/>
    <s v="IN/000586"/>
    <s v="in Mortsel : Antwerpsestraat, Grotesteenweg, Hendrik Kuijpersstraat, Jozef Hermanslei"/>
    <s v="het conflict tussen de linksaf en de tram wordt weggewerkt. Hiervoor moet de links afslagstrook verlengd worden. Uitvoering in 2018. Ook opgenomen in VLCC, uitrol in 2019"/>
    <s v="Kleine Ingreep"/>
    <s v="&lt;null&gt;"/>
    <b v="0"/>
    <s v="Ingreep wordt niet opgevolgd in BOD"/>
    <s v="&lt;null&gt;"/>
    <s v="&lt;null&gt;"/>
    <s v="&lt;null&gt;"/>
    <s v="&lt;null&gt;"/>
    <s v="&lt;null&gt;"/>
    <x v="0"/>
    <s v="&lt;null&gt;"/>
    <s v="&lt;null&gt;"/>
    <s v="&lt;null&gt;"/>
    <s v="&lt;null&gt;"/>
    <n v="100"/>
    <s v="&lt;null&gt;"/>
    <s v="&lt;null&gt;"/>
    <s v="&lt;null&gt;"/>
    <s v="&lt;null&gt;"/>
    <m/>
    <m/>
    <m/>
    <m/>
  </r>
  <r>
    <x v="538"/>
    <x v="538"/>
    <s v="Verkeersveiligheid"/>
    <x v="1"/>
    <n v="623"/>
    <s v="IN/000587"/>
    <s v="in Mortsel : Antwerpsestraat, Edegemsestraat, Mechelsesteenweg, Statielei"/>
    <s v="quick win reeds uitgevoerd: statielei heel filegevoelig + breed kruispunt &gt; met 4 of 5 naast elkaar tijdens spits. Ingekort met markering en paaltjes (uitgevoerd in maart 2020) + nog quick win gepland: oneigenlijk gebruik van busstrook &gt; daarom komt busst"/>
    <s v="Kleine Ingreep"/>
    <s v="&lt;null&gt;"/>
    <b v="0"/>
    <s v="Ingreep wordt niet opgevolgd in BOD"/>
    <s v="&lt;null&gt;"/>
    <s v="&lt;null&gt;"/>
    <s v="&lt;null&gt;"/>
    <s v="&lt;null&gt;"/>
    <s v="&lt;null&gt;"/>
    <x v="0"/>
    <s v="&lt;null&gt;"/>
    <s v="&lt;null&gt;"/>
    <s v="&lt;null&gt;"/>
    <s v="&lt;null&gt;"/>
    <n v="100"/>
    <s v="&lt;null&gt;"/>
    <s v="&lt;null&gt;"/>
    <s v="&lt;null&gt;"/>
    <s v="&lt;null&gt;"/>
    <m/>
    <m/>
    <m/>
    <m/>
  </r>
  <r>
    <x v="539"/>
    <x v="539"/>
    <s v="Verkeersveiligheid"/>
    <x v="1"/>
    <n v="624"/>
    <s v="IN/000588"/>
    <s v="VRI: aanpassen lichtenregeling + bijkomende aanpassingen infra in Mortsel : Antwerpsestraat, Krijgsbaan, Vredebaan"/>
    <s v="Fietspaden zie plan Mortsel. ism Aannemer Mortsel.\n\nVLCC + infra"/>
    <s v="Kleine Ingreep"/>
    <s v="WA/INV/N1/14"/>
    <b v="0"/>
    <s v="Ingreep wordt niet opgevolgd in BOD"/>
    <s v="&lt;null&gt;"/>
    <s v="&lt;null&gt;"/>
    <s v="&lt;null&gt;"/>
    <s v="&lt;null&gt;"/>
    <s v="&lt;null&gt;"/>
    <x v="0"/>
    <s v="&lt;null&gt;"/>
    <s v="&lt;null&gt;"/>
    <s v="&lt;null&gt;"/>
    <s v="&lt;null&gt;"/>
    <n v="100"/>
    <s v="&lt;null&gt;"/>
    <s v="&lt;null&gt;"/>
    <s v="&lt;null&gt;"/>
    <s v="&lt;null&gt;"/>
    <m/>
    <m/>
    <m/>
    <m/>
  </r>
  <r>
    <x v="540"/>
    <x v="540"/>
    <s v="Verkeersveiligheid"/>
    <x v="1"/>
    <n v="625"/>
    <s v="IN/000589"/>
    <s v="VRI: aanpassen lichtenregeling in Mortsel : Drabstraat, Kerkstraat, Liersesteenweg RELANCE21"/>
    <s v="Aanpassen lichtenregeling. VLCC:conflict met tram wordt er uitgehaald (tram wordt conflictvrij geregeld). onderzoek is lopende &gt; uitvoering is voor dit jaar (momenteel is dit een omleidingsroute). dd juni 2020: plan wordt opnieuw bekeken met Mortsel"/>
    <s v="Kleine Ingreep"/>
    <s v="WA/INV/N10/15"/>
    <b v="0"/>
    <s v="Ingreep wordt niet opgevolgd in BOD"/>
    <s v="&lt;null&gt;"/>
    <s v="&lt;null&gt;"/>
    <s v="&lt;null&gt;"/>
    <s v="&lt;null&gt;"/>
    <s v="&lt;null&gt;"/>
    <x v="0"/>
    <s v="&lt;null&gt;"/>
    <s v="&lt;null&gt;"/>
    <s v="&lt;null&gt;"/>
    <s v="&lt;null&gt;"/>
    <n v="100"/>
    <s v="&lt;null&gt;"/>
    <s v="&lt;null&gt;"/>
    <s v="&lt;null&gt;"/>
    <s v="&lt;null&gt;"/>
    <m/>
    <m/>
    <m/>
    <m/>
  </r>
  <r>
    <x v="18"/>
    <x v="18"/>
    <s v="&lt;null&gt;"/>
    <x v="3"/>
    <n v="626"/>
    <s v="IN/000590"/>
    <s v="in Nazareth : Grenadierslaan, N60 Richting Gent, N60 Richting Valenciennes (Fr), Nieuwe Steenweg, Stationsstraat. (Relance Raamcontract)"/>
    <s v="nog niet gedefinieerd"/>
    <s v="Kleine Ingreep"/>
    <s v="&lt;null&gt;"/>
    <b v="0"/>
    <s v="Ingreep wordt niet opgevolgd in BOD"/>
    <s v="&lt;null&gt;"/>
    <s v="&lt;null&gt;"/>
    <s v="&lt;null&gt;"/>
    <s v="&lt;null&gt;"/>
    <s v="&lt;null&gt;"/>
    <x v="0"/>
    <s v="&lt;null&gt;"/>
    <s v="&lt;null&gt;"/>
    <s v="&lt;null&gt;"/>
    <s v="&lt;null&gt;"/>
    <s v="&lt;null&gt;"/>
    <s v="&lt;null&gt;"/>
    <s v="&lt;null&gt;"/>
    <s v="&lt;null&gt;"/>
    <s v="&lt;null&gt;"/>
    <m/>
    <m/>
    <m/>
    <m/>
  </r>
  <r>
    <x v="541"/>
    <x v="541"/>
    <s v="Verkeersveiligheid"/>
    <x v="1"/>
    <n v="627"/>
    <s v="IN/000591"/>
    <s v="in Nazareth : Gentsebaan, N35 Richting Gavere (N60), N60 Richting Gent, N60 Richting Valenciennes (Fr), Stationsstraat"/>
    <s v="invoeren indonesisch kruisen is meestal beter voor de doorstroming, de invloed op verkeersveiligheid is mij niet bekend"/>
    <s v="Kleine Ingreep"/>
    <s v="&lt;null&gt;"/>
    <b v="0"/>
    <s v="Ingreep wordt niet opgevolgd in BOD"/>
    <s v="&lt;null&gt;"/>
    <s v="&lt;null&gt;"/>
    <s v="&lt;null&gt;"/>
    <s v="&lt;null&gt;"/>
    <s v="&lt;null&gt;"/>
    <x v="0"/>
    <s v="&lt;null&gt;"/>
    <s v="&lt;null&gt;"/>
    <s v="&lt;null&gt;"/>
    <s v="&lt;null&gt;"/>
    <n v="100"/>
    <s v="&lt;null&gt;"/>
    <s v="&lt;null&gt;"/>
    <s v="&lt;null&gt;"/>
    <s v="&lt;null&gt;"/>
    <m/>
    <m/>
    <m/>
    <m/>
  </r>
  <r>
    <x v="542"/>
    <x v="542"/>
    <s v="Verkeersveiligheid"/>
    <x v="1"/>
    <n v="628"/>
    <s v="IN/000592"/>
    <s v="Horizontale signalisatie aanpassen in Neerpelt : Kolisbos, Peerderbaan, Torenstraat"/>
    <s v="TC (historische lijst) + aanpassing markering + zichtafstanden bekijken (reeds uitgevoerd in 2020)\n&gt; enkel trajectcontrole nog uit te voeren"/>
    <s v="Kleine Ingreep"/>
    <s v="&lt;null&gt;"/>
    <b v="0"/>
    <s v="Ingreep wordt niet opgevolgd in BOD"/>
    <s v="&lt;null&gt;"/>
    <s v="&lt;null&gt;"/>
    <s v="&lt;null&gt;"/>
    <s v="&lt;null&gt;"/>
    <s v="&lt;null&gt;"/>
    <x v="0"/>
    <s v="&lt;null&gt;"/>
    <s v="&lt;null&gt;"/>
    <s v="&lt;null&gt;"/>
    <s v="&lt;null&gt;"/>
    <n v="100"/>
    <s v="&lt;null&gt;"/>
    <s v="&lt;null&gt;"/>
    <s v="&lt;null&gt;"/>
    <s v="&lt;null&gt;"/>
    <m/>
    <m/>
    <m/>
    <m/>
  </r>
  <r>
    <x v="543"/>
    <x v="543"/>
    <s v="Verkeersveiligheid"/>
    <x v="1"/>
    <n v="629"/>
    <s v="IN/000593"/>
    <s v="in Ninove : Aalstersesteenweg, Expresweg, Koning Boudewijnlaan. (Relance Raamcontract)"/>
    <s v="linksafslagstrook verdubbelen"/>
    <s v="Kleine Ingreep"/>
    <s v="WOV/INV/N405/6"/>
    <b v="0"/>
    <s v="Ingreep wordt niet opgevolgd in BOD"/>
    <s v="&lt;null&gt;"/>
    <s v="&lt;null&gt;"/>
    <s v="&lt;null&gt;"/>
    <s v="&lt;null&gt;"/>
    <s v="&lt;null&gt;"/>
    <x v="0"/>
    <s v="&lt;null&gt;"/>
    <s v="&lt;null&gt;"/>
    <s v="&lt;null&gt;"/>
    <s v="&lt;null&gt;"/>
    <n v="100"/>
    <s v="&lt;null&gt;"/>
    <s v="&lt;null&gt;"/>
    <s v="&lt;null&gt;"/>
    <s v="&lt;null&gt;"/>
    <m/>
    <m/>
    <m/>
    <m/>
  </r>
  <r>
    <x v="543"/>
    <x v="543"/>
    <s v="Verkeersveiligheid"/>
    <x v="1"/>
    <n v="630"/>
    <s v="IN/000594"/>
    <s v="in Ninove : Aalstersesteenweg, Expresweg, Koning Boudewijnlaan"/>
    <s v="volledig conflictvrij &gt; grondige infrawerken nodig"/>
    <s v="Structurele Ingreep"/>
    <s v="WOV/INV/N405/1"/>
    <b v="0"/>
    <s v="Ingreep wordt niet opgevolgd in BOD"/>
    <s v="&lt;null&gt;"/>
    <s v="&lt;null&gt;"/>
    <s v="&lt;null&gt;"/>
    <s v="&lt;null&gt;"/>
    <s v="&lt;null&gt;"/>
    <x v="0"/>
    <s v="&lt;null&gt;"/>
    <s v="&lt;null&gt;"/>
    <s v="&lt;null&gt;"/>
    <s v="&lt;null&gt;"/>
    <n v="100"/>
    <s v="&lt;null&gt;"/>
    <s v="&lt;null&gt;"/>
    <s v="&lt;null&gt;"/>
    <s v="&lt;null&gt;"/>
    <m/>
    <m/>
    <m/>
    <m/>
  </r>
  <r>
    <x v="544"/>
    <x v="544"/>
    <s v="Verkeersveiligheid"/>
    <x v="1"/>
    <n v="631"/>
    <s v="IN/000595"/>
    <s v="VRI: andere installatie (oa boogpalen, opschuiven drukknop, lichtengeregelde oversteek) in Oostende : Elisabethlaan, Gistelsesteenweg"/>
    <s v="opschuiven drukknop en stopstreep fietsers op N346 (2/7/2018). Plaatsen RLC  in 2021 (historische lijst)"/>
    <s v="Kleine Ingreep"/>
    <s v="&lt;null&gt;"/>
    <b v="0"/>
    <s v="Ingreep wordt niet opgevolgd in BOD"/>
    <s v="&lt;null&gt;"/>
    <s v="&lt;null&gt;"/>
    <s v="&lt;null&gt;"/>
    <s v="&lt;null&gt;"/>
    <s v="&lt;null&gt;"/>
    <x v="0"/>
    <s v="&lt;null&gt;"/>
    <s v="&lt;null&gt;"/>
    <s v="&lt;null&gt;"/>
    <s v="&lt;null&gt;"/>
    <n v="100"/>
    <s v="&lt;null&gt;"/>
    <s v="&lt;null&gt;"/>
    <s v="&lt;null&gt;"/>
    <s v="&lt;null&gt;"/>
    <m/>
    <m/>
    <m/>
    <m/>
  </r>
  <r>
    <x v="544"/>
    <x v="544"/>
    <s v="Verkeersveiligheid"/>
    <x v="1"/>
    <n v="632"/>
    <s v="IN/000596"/>
    <s v="VRI: andere installatie (oa boogpalen, opschuiven drukknop, lichtengeregelde oversteek) in Oostende : Elisabethlaan, Gistelsesteenweg"/>
    <s v="ontsluitingsstudie Oostende. Finalisering eind 2021"/>
    <s v="Kleine Ingreep"/>
    <s v="&lt;null&gt;"/>
    <b v="0"/>
    <s v="Ingreep wordt niet opgevolgd in BOD"/>
    <s v="&lt;null&gt;"/>
    <s v="&lt;null&gt;"/>
    <s v="&lt;null&gt;"/>
    <s v="&lt;null&gt;"/>
    <s v="&lt;null&gt;"/>
    <x v="0"/>
    <s v="&lt;null&gt;"/>
    <s v="&lt;null&gt;"/>
    <s v="&lt;null&gt;"/>
    <s v="&lt;null&gt;"/>
    <n v="100"/>
    <s v="&lt;null&gt;"/>
    <s v="&lt;null&gt;"/>
    <s v="&lt;null&gt;"/>
    <s v="&lt;null&gt;"/>
    <m/>
    <m/>
    <m/>
    <m/>
  </r>
  <r>
    <x v="545"/>
    <x v="545"/>
    <s v="Verkeersveiligheid"/>
    <x v="1"/>
    <n v="633"/>
    <s v="IN/000597"/>
    <s v="in Oostkamp : Gaston Roelandtsstraat, Sint-Michielsestraat"/>
    <s v="Vervangen brug + herinrichten omgeving. Drietakskruispunt wordt viertakskruispunt"/>
    <s v="Kleine Ingreep"/>
    <s v="&lt;null&gt;"/>
    <b v="0"/>
    <s v="Ingreep wordt niet opgevolgd in BOD"/>
    <s v="&lt;null&gt;"/>
    <s v="&lt;null&gt;"/>
    <s v="&lt;null&gt;"/>
    <s v="&lt;null&gt;"/>
    <s v="&lt;null&gt;"/>
    <x v="0"/>
    <s v="&lt;null&gt;"/>
    <s v="&lt;null&gt;"/>
    <s v="&lt;null&gt;"/>
    <s v="&lt;null&gt;"/>
    <n v="100"/>
    <s v="&lt;null&gt;"/>
    <s v="&lt;null&gt;"/>
    <s v="&lt;null&gt;"/>
    <s v="&lt;null&gt;"/>
    <m/>
    <m/>
    <m/>
    <m/>
  </r>
  <r>
    <x v="546"/>
    <x v="546"/>
    <s v="Verkeersveiligheid"/>
    <x v="1"/>
    <n v="634"/>
    <s v="IN/000598"/>
    <s v="in Oostkamp : Albrecht Rodenbachstraat, Gruuthuselaan, Stationsstraat"/>
    <s v="SB N50 + opmaak PCVnota voor dit krpt\nokt 2020: streefbeeldstudie moet nog opgestart worden\n2022: streefbeeldstudie is lopende"/>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635"/>
    <s v="IN/000599"/>
    <s v="in Oostkamp : Gaston Roelandtsstraat, Kanaalstraat"/>
    <s v="snelheidsverlaging - middengeleider als rustpunt voetgangers en verbetering oversteekbaarheid oprijdende voertuigen, markeringen (mei 2019)"/>
    <s v="Kleine Ingreep"/>
    <s v="&lt;null&gt;"/>
    <b v="0"/>
    <s v="Ingreep wordt niet opgevolgd in BOD"/>
    <s v="&lt;null&gt;"/>
    <s v="&lt;null&gt;"/>
    <s v="&lt;null&gt;"/>
    <s v="&lt;null&gt;"/>
    <s v="&lt;null&gt;"/>
    <x v="0"/>
    <s v="&lt;null&gt;"/>
    <s v="&lt;null&gt;"/>
    <s v="&lt;null&gt;"/>
    <s v="&lt;null&gt;"/>
    <s v="&lt;null&gt;"/>
    <s v="&lt;null&gt;"/>
    <s v="&lt;null&gt;"/>
    <s v="&lt;null&gt;"/>
    <s v="&lt;null&gt;"/>
    <m/>
    <m/>
    <m/>
    <m/>
  </r>
  <r>
    <x v="547"/>
    <x v="547"/>
    <s v="Verkeersveiligheid"/>
    <x v="1"/>
    <n v="636"/>
    <s v="IN/000600"/>
    <s v="-"/>
    <m/>
    <s v="Kleine Ingreep"/>
    <s v="&lt;null&gt;"/>
    <b v="0"/>
    <s v="Ingreep wordt niet opgevolgd in BOD"/>
    <s v="&lt;null&gt;"/>
    <s v="&lt;null&gt;"/>
    <s v="&lt;null&gt;"/>
    <s v="&lt;null&gt;"/>
    <s v="&lt;null&gt;"/>
    <x v="0"/>
    <s v="&lt;null&gt;"/>
    <s v="&lt;null&gt;"/>
    <s v="&lt;null&gt;"/>
    <s v="&lt;null&gt;"/>
    <n v="100"/>
    <s v="&lt;null&gt;"/>
    <s v="&lt;null&gt;"/>
    <s v="&lt;null&gt;"/>
    <s v="&lt;null&gt;"/>
    <m/>
    <m/>
    <m/>
    <m/>
  </r>
  <r>
    <x v="547"/>
    <x v="547"/>
    <s v="Verkeersveiligheid"/>
    <x v="1"/>
    <n v="637"/>
    <s v="IN/000601"/>
    <s v="in Oostrozebeke : Gentstraat, Wakkensteenweg"/>
    <s v="aanleg rotonde en fietspaden - is een infrastructuurwerk"/>
    <s v="Structurele Ingreep"/>
    <s v="WWV/INV/N305/1"/>
    <b v="0"/>
    <s v="Ingreep wordt niet opgevolgd in BOD"/>
    <s v="&lt;null&gt;"/>
    <s v="&lt;null&gt;"/>
    <s v="&lt;null&gt;"/>
    <s v="&lt;null&gt;"/>
    <s v="&lt;null&gt;"/>
    <x v="0"/>
    <s v="&lt;null&gt;"/>
    <s v="&lt;null&gt;"/>
    <s v="&lt;null&gt;"/>
    <s v="&lt;null&gt;"/>
    <n v="100"/>
    <s v="&lt;null&gt;"/>
    <s v="&lt;null&gt;"/>
    <s v="&lt;null&gt;"/>
    <s v="&lt;null&gt;"/>
    <m/>
    <m/>
    <m/>
    <m/>
  </r>
  <r>
    <x v="548"/>
    <x v="548"/>
    <s v="Verkeersveiligheid"/>
    <x v="1"/>
    <n v="638"/>
    <s v="IN/000602"/>
    <s v="in Opwijk : Steenweg op Vilvoorde, Stwg. op Brussel"/>
    <s v="aanpassen middengeleider, toeleidende fietspaden, aanpassen bushalte ri Asse\naanleg linksafstrook naar Merchtem"/>
    <s v="Kleine Ingreep"/>
    <s v="WVB/INV/N47/4"/>
    <b v="1"/>
    <s v="Ingreep wordt opgevolgd in BOD"/>
    <n v="9663"/>
    <s v="MDN/1504"/>
    <n v="111451"/>
    <n v="21070755"/>
    <s v="&lt;p&gt;Relance VRI - aanpak van gevaarlijke punten in de provincie Vlaams-Brabant 2022-2023.&lt;br&gt;&lt;br&gt;Budget voor aanpassingen aan de buiteninstallatie verkeerslichten op verkeerslichtengeregelde kruispunten die opgenomen zijn in de dynamische lijst gevaarlijke"/>
    <x v="8"/>
    <n v="9371"/>
    <s v="Installatie 974C9 - N211 - N47 Steenweg op Vilvoorde - steenweg op Brussel - OPWIJK"/>
    <s v="&lt;p&gt;Nieuwe SX regelaar + PT installatie bij ombouw volgens actieplan ikv relance VRI.&lt;/p&gt;"/>
    <s v="WVB/INV/N47/4"/>
    <n v="100"/>
    <n v="25000"/>
    <n v="0"/>
    <n v="0"/>
    <n v="4121.12"/>
    <n v="25000"/>
    <n v="0"/>
    <n v="0"/>
    <n v="4121.12"/>
  </r>
  <r>
    <x v="548"/>
    <x v="548"/>
    <s v="Verkeersveiligheid"/>
    <x v="1"/>
    <n v="638"/>
    <s v="IN/000602"/>
    <s v="in Opwijk : Steenweg op Vilvoorde, Stwg. op Brussel"/>
    <s v="aanpassen middengeleider, toeleidende fietspaden, aanpassen bushalte ri Asse\naanleg linksafstrook naar Merchtem"/>
    <s v="Kleine Ingreep"/>
    <s v="WVB/INV/N47/4"/>
    <b v="1"/>
    <s v="Ingreep wordt opgevolgd in BOD"/>
    <n v="11865"/>
    <s v="AWV/INV/2021/3_P2"/>
    <n v="113301"/>
    <n v="21064996"/>
    <s v="&lt;p&gt;relance gevaarlijke punten&lt;/p&gt;"/>
    <x v="4"/>
    <n v="8852"/>
    <s v="IN/000602 N47 / N211 Opwijk"/>
    <s v="&lt;null&gt;"/>
    <s v="WVB/INV/N47/4"/>
    <n v="100"/>
    <n v="300000"/>
    <n v="0"/>
    <n v="0"/>
    <n v="0"/>
    <n v="300000"/>
    <n v="0"/>
    <n v="0"/>
    <n v="0"/>
  </r>
  <r>
    <x v="548"/>
    <x v="548"/>
    <s v="Verkeersveiligheid"/>
    <x v="1"/>
    <n v="638"/>
    <s v="IN/000602"/>
    <s v="in Opwijk : Steenweg op Vilvoorde, Stwg. op Brussel"/>
    <s v="aanpassen middengeleider, toeleidende fietspaden, aanpassen bushalte ri Asse\naanleg linksafstrook naar Merchtem"/>
    <s v="Kleine Ingreep"/>
    <s v="WVB/INV/N47/4"/>
    <b v="1"/>
    <s v="Ingreep wordt opgevolgd in BOD"/>
    <n v="10166"/>
    <s v="MDN/59-4"/>
    <n v="104951"/>
    <n v="21064254"/>
    <s v="&lt;p&gt;Relance VRI - aanpak van gevaarlijke punten in de provincie Vlaams-Brabant 2022-2023.&lt;br&gt;&lt;br&gt;Budget voor aanpassingen aan de buiteninstallatie verkeerslichten op verkeerslichtengeregelde kruispunten die opgenomen zijn in de dynamische lijst gevaarlijke"/>
    <x v="12"/>
    <n v="9411"/>
    <s v="Installatie 974C9 - N47 Stnwg op Brussel x N211 Stwg op Vilvoorde - OPWIJK"/>
    <s v="&lt;p&gt;Aanpak gevaarlijk punt op dynamische lijst - relance VRI&lt;/p&gt;"/>
    <s v="WVB/INV/N47/4"/>
    <n v="100"/>
    <n v="140000"/>
    <n v="0"/>
    <n v="0"/>
    <n v="9104.5300000000007"/>
    <n v="140000"/>
    <n v="0"/>
    <n v="0"/>
    <n v="9104.5300000000007"/>
  </r>
  <r>
    <x v="549"/>
    <x v="549"/>
    <s v="Verkeersveiligheid"/>
    <x v="1"/>
    <n v="639"/>
    <s v="IN/000603"/>
    <s v="zzzzzz X21/N251/4 Doortocht Blanden"/>
    <s v="snoeien volgens aanbeveling rapport"/>
    <s v="Kleine Ingreep"/>
    <s v="WVB/INV/N251/1"/>
    <b v="0"/>
    <s v="Ingreep wordt niet opgevolgd in BOD"/>
    <s v="&lt;null&gt;"/>
    <s v="&lt;null&gt;"/>
    <s v="&lt;null&gt;"/>
    <s v="&lt;null&gt;"/>
    <s v="&lt;null&gt;"/>
    <x v="0"/>
    <s v="&lt;null&gt;"/>
    <s v="&lt;null&gt;"/>
    <s v="&lt;null&gt;"/>
    <s v="&lt;null&gt;"/>
    <n v="100"/>
    <s v="&lt;null&gt;"/>
    <s v="&lt;null&gt;"/>
    <s v="&lt;null&gt;"/>
    <s v="&lt;null&gt;"/>
    <m/>
    <m/>
    <m/>
    <m/>
  </r>
  <r>
    <x v="550"/>
    <x v="550"/>
    <s v="Verkeersveiligheid"/>
    <x v="1"/>
    <n v="640"/>
    <s v="IN/000604"/>
    <s v="in Oud-Turnhout : Staatsbaan, Steenweg op Mol"/>
    <s v="TC geplaatst (opgeleverd: 5/12/2018)"/>
    <s v="Kleine Ingreep"/>
    <s v="&lt;null&gt;"/>
    <b v="0"/>
    <s v="Ingreep wordt niet opgevolgd in BOD"/>
    <s v="&lt;null&gt;"/>
    <s v="&lt;null&gt;"/>
    <s v="&lt;null&gt;"/>
    <s v="&lt;null&gt;"/>
    <s v="&lt;null&gt;"/>
    <x v="0"/>
    <s v="&lt;null&gt;"/>
    <s v="&lt;null&gt;"/>
    <s v="&lt;null&gt;"/>
    <s v="&lt;null&gt;"/>
    <n v="100"/>
    <s v="&lt;null&gt;"/>
    <s v="&lt;null&gt;"/>
    <s v="&lt;null&gt;"/>
    <s v="&lt;null&gt;"/>
    <m/>
    <m/>
    <m/>
    <m/>
  </r>
  <r>
    <x v="551"/>
    <x v="551"/>
    <s v="Verkeersveiligheid"/>
    <x v="1"/>
    <n v="641"/>
    <s v="IN/000605"/>
    <s v="Gevaarlijk Punt: N8 Oudenaarde: markeringen aanpassen"/>
    <s v="Kruispunt beter accentueren (stroefheid reeds aangepast);\nN8 Edelareberg (krpt met Hogeweg)."/>
    <s v="Kleine Ingreep"/>
    <s v="&lt;null&gt;"/>
    <b v="0"/>
    <s v="Ingreep wordt niet opgevolgd in BOD"/>
    <s v="&lt;null&gt;"/>
    <s v="&lt;null&gt;"/>
    <s v="&lt;null&gt;"/>
    <s v="&lt;null&gt;"/>
    <s v="&lt;null&gt;"/>
    <x v="0"/>
    <s v="&lt;null&gt;"/>
    <s v="&lt;null&gt;"/>
    <s v="&lt;null&gt;"/>
    <s v="&lt;null&gt;"/>
    <n v="100"/>
    <s v="&lt;null&gt;"/>
    <s v="&lt;null&gt;"/>
    <s v="&lt;null&gt;"/>
    <s v="&lt;null&gt;"/>
    <m/>
    <m/>
    <m/>
    <m/>
  </r>
  <r>
    <x v="552"/>
    <x v="552"/>
    <s v="Verkeersveiligheid"/>
    <x v="1"/>
    <n v="642"/>
    <s v="IN/000606"/>
    <s v="in Overijse : IJseweg, Waversesteenweg"/>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53"/>
    <x v="553"/>
    <s v="Verkeersveiligheid"/>
    <x v="1"/>
    <n v="643"/>
    <s v="IN/000607"/>
    <s v="Fietspad: coating in Overpelt : Hofweg, Leopoldlaan, Sellekaertsstraat"/>
    <s v="Kruising fietspad in rode slem (slemlaag werd aangebracht in 2020 , maar signalisatie nog niet aangepast)"/>
    <s v="Kleine Ingreep"/>
    <s v="WL/INV/N712/7"/>
    <b v="0"/>
    <s v="Ingreep wordt niet opgevolgd in BOD"/>
    <s v="&lt;null&gt;"/>
    <s v="&lt;null&gt;"/>
    <s v="&lt;null&gt;"/>
    <s v="&lt;null&gt;"/>
    <s v="&lt;null&gt;"/>
    <x v="0"/>
    <s v="&lt;null&gt;"/>
    <s v="&lt;null&gt;"/>
    <s v="&lt;null&gt;"/>
    <s v="&lt;null&gt;"/>
    <n v="100"/>
    <s v="&lt;null&gt;"/>
    <s v="&lt;null&gt;"/>
    <s v="&lt;null&gt;"/>
    <s v="&lt;null&gt;"/>
    <m/>
    <m/>
    <m/>
    <m/>
  </r>
  <r>
    <x v="554"/>
    <x v="554"/>
    <s v="Verkeersveiligheid"/>
    <x v="1"/>
    <n v="644"/>
    <s v="IN/000608"/>
    <s v="Middeneiland aanleggen in Peer : Baan naar Bree, Erpekommerweg, Smeetshofweg"/>
    <s v="2 FOP's met middeneiland + uitvlakken Smeetshofweg"/>
    <s v="Kleine Ingreep"/>
    <s v="WL/INV/N73/19"/>
    <b v="0"/>
    <s v="Ingreep wordt niet opgevolgd in BOD"/>
    <s v="&lt;null&gt;"/>
    <s v="&lt;null&gt;"/>
    <s v="&lt;null&gt;"/>
    <s v="&lt;null&gt;"/>
    <s v="&lt;null&gt;"/>
    <x v="0"/>
    <s v="&lt;null&gt;"/>
    <s v="&lt;null&gt;"/>
    <s v="&lt;null&gt;"/>
    <s v="&lt;null&gt;"/>
    <n v="100"/>
    <s v="&lt;null&gt;"/>
    <s v="&lt;null&gt;"/>
    <s v="&lt;null&gt;"/>
    <s v="&lt;null&gt;"/>
    <m/>
    <m/>
    <m/>
    <m/>
  </r>
  <r>
    <x v="555"/>
    <x v="555"/>
    <s v="Verkeersveiligheid"/>
    <x v="1"/>
    <n v="645"/>
    <s v="IN/000609"/>
    <s v="in Putte : Dokter Cornilstraat, Mechelbaan, N15 Richting Mechelen, N15 Richting Westerlo, Scherpstuklei"/>
    <s v="Volledige heraanleg"/>
    <s v="Structurele Ingreep"/>
    <s v="&lt;null&gt;"/>
    <b v="0"/>
    <s v="Ingreep wordt niet opgevolgd in BOD"/>
    <s v="&lt;null&gt;"/>
    <s v="&lt;null&gt;"/>
    <s v="&lt;null&gt;"/>
    <s v="&lt;null&gt;"/>
    <s v="&lt;null&gt;"/>
    <x v="0"/>
    <s v="&lt;null&gt;"/>
    <s v="&lt;null&gt;"/>
    <s v="&lt;null&gt;"/>
    <s v="&lt;null&gt;"/>
    <n v="100"/>
    <s v="&lt;null&gt;"/>
    <s v="&lt;null&gt;"/>
    <s v="&lt;null&gt;"/>
    <s v="&lt;null&gt;"/>
    <m/>
    <m/>
    <m/>
    <m/>
  </r>
  <r>
    <x v="556"/>
    <x v="556"/>
    <s v="Verkeersveiligheid"/>
    <x v="1"/>
    <n v="646"/>
    <s v="IN/000610"/>
    <s v="in Puurs : Dendermondsesteenweg, N16 Richting Mechelen, N16 Richting Sint-Niklaas, N17 Richting Dendermonde, N17 Richting Puurs"/>
    <s v="conflict met linksaf (komende van Willebroek) uitgehaald"/>
    <s v="Kleine Ingreep"/>
    <s v="&lt;null&gt;"/>
    <b v="0"/>
    <s v="Ingreep wordt niet opgevolgd in BOD"/>
    <s v="&lt;null&gt;"/>
    <s v="&lt;null&gt;"/>
    <s v="&lt;null&gt;"/>
    <s v="&lt;null&gt;"/>
    <s v="&lt;null&gt;"/>
    <x v="0"/>
    <s v="&lt;null&gt;"/>
    <s v="&lt;null&gt;"/>
    <s v="&lt;null&gt;"/>
    <s v="&lt;null&gt;"/>
    <n v="100"/>
    <s v="&lt;null&gt;"/>
    <s v="&lt;null&gt;"/>
    <s v="&lt;null&gt;"/>
    <s v="&lt;null&gt;"/>
    <m/>
    <m/>
    <m/>
    <m/>
  </r>
  <r>
    <x v="556"/>
    <x v="556"/>
    <s v="Verkeersveiligheid"/>
    <x v="1"/>
    <n v="647"/>
    <s v="IN/000611"/>
    <s v="A12.DP08 &amp; DP09 - Omvorming knooppunten N16 / N17"/>
    <s v="Vervolgstudie is voorzien op 2019 (150), werken zullen later voorzien worden."/>
    <s v="Structurele Ingreep"/>
    <s v="WA/INV/A12/6"/>
    <b v="0"/>
    <s v="Ingreep wordt niet opgevolgd in BOD"/>
    <s v="&lt;null&gt;"/>
    <s v="&lt;null&gt;"/>
    <s v="&lt;null&gt;"/>
    <s v="&lt;null&gt;"/>
    <s v="&lt;null&gt;"/>
    <x v="0"/>
    <s v="&lt;null&gt;"/>
    <s v="&lt;null&gt;"/>
    <s v="&lt;null&gt;"/>
    <s v="&lt;null&gt;"/>
    <n v="100"/>
    <s v="&lt;null&gt;"/>
    <s v="&lt;null&gt;"/>
    <s v="&lt;null&gt;"/>
    <s v="&lt;null&gt;"/>
    <m/>
    <m/>
    <m/>
    <m/>
  </r>
  <r>
    <x v="557"/>
    <x v="557"/>
    <s v="Verkeersveiligheid"/>
    <x v="1"/>
    <n v="648"/>
    <s v="IN/000612"/>
    <s v="in Puurs : Kleine Amer, N16 Richting Mechelen, N16 Richting Sint-Niklaas, Rijksweg"/>
    <s v="is geanalyseerd maar voorgestelde quick wins zullen weinig doeltreffend zijn. Voorlopig blijven monitoren"/>
    <s v="Kleine Ingreep"/>
    <s v="&lt;null&gt;"/>
    <b v="0"/>
    <s v="Ingreep wordt niet opgevolgd in BOD"/>
    <s v="&lt;null&gt;"/>
    <s v="&lt;null&gt;"/>
    <s v="&lt;null&gt;"/>
    <s v="&lt;null&gt;"/>
    <s v="&lt;null&gt;"/>
    <x v="0"/>
    <s v="&lt;null&gt;"/>
    <s v="&lt;null&gt;"/>
    <s v="&lt;null&gt;"/>
    <s v="&lt;null&gt;"/>
    <n v="100"/>
    <s v="&lt;null&gt;"/>
    <s v="&lt;null&gt;"/>
    <s v="&lt;null&gt;"/>
    <s v="&lt;null&gt;"/>
    <m/>
    <m/>
    <m/>
    <m/>
  </r>
  <r>
    <x v="558"/>
    <x v="558"/>
    <s v="Verkeersveiligheid"/>
    <x v="1"/>
    <n v="649"/>
    <s v="IN/000613"/>
    <s v="in Puurs, Willebroek : A12 Richting Antwerpen, A12 Richting Brussel, Breendonkstraat, Veurtstraat RELANCE21"/>
    <s v="Aanpassen lichtenregeling :dilemmazonebewaking: 100 m voor de zone rijdt nog 90 km/u kan dan nog net door groen (om probleem te voorkomen dat bestuurders stoppen voor oranje terwijl anderen doorrijden)"/>
    <s v="Kleine Ingreep"/>
    <s v="WA/INV/A12/12"/>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7641"/>
    <s v="054a5 - v015696 - veurtstraat Duvel"/>
    <s v="&lt;p&gt;IN/000613&lt;/p&gt;"/>
    <s v="WA/INV/A12/12"/>
    <n v="100"/>
    <n v="200000"/>
    <n v="0"/>
    <n v="0"/>
    <n v="2179.09"/>
    <n v="200000"/>
    <n v="0"/>
    <n v="0"/>
    <n v="2179.09"/>
  </r>
  <r>
    <x v="559"/>
    <x v="559"/>
    <s v="Verkeersveiligheid"/>
    <x v="1"/>
    <n v="650"/>
    <s v="IN/000614"/>
    <s v="in Ranst : Liersesteenweg, N14 Richting Breda (Nl), N14 Richting Mechelen, Ranstsesteenweg"/>
    <s v="Markering aanpassen, lichtvisie toepassen"/>
    <s v="Kleine Ingreep"/>
    <s v="&lt;null&gt;"/>
    <b v="0"/>
    <s v="Ingreep wordt niet opgevolgd in BOD"/>
    <s v="&lt;null&gt;"/>
    <s v="&lt;null&gt;"/>
    <s v="&lt;null&gt;"/>
    <s v="&lt;null&gt;"/>
    <s v="&lt;null&gt;"/>
    <x v="0"/>
    <s v="&lt;null&gt;"/>
    <s v="&lt;null&gt;"/>
    <s v="&lt;null&gt;"/>
    <s v="&lt;null&gt;"/>
    <n v="100"/>
    <s v="&lt;null&gt;"/>
    <s v="&lt;null&gt;"/>
    <s v="&lt;null&gt;"/>
    <s v="&lt;null&gt;"/>
    <m/>
    <m/>
    <m/>
    <m/>
  </r>
  <r>
    <x v="559"/>
    <x v="559"/>
    <s v="Verkeersveiligheid"/>
    <x v="1"/>
    <n v="651"/>
    <s v="IN/000615"/>
    <s v="in Ranst : Liersesteenweg, N14 Richting Breda (Nl), N14 Richting Mechelen, Ranstsesteenweg"/>
    <s v="Volledige herinrichting"/>
    <s v="Structurele Ingreep"/>
    <s v="&lt;null&gt;"/>
    <b v="0"/>
    <s v="Ingreep wordt niet opgevolgd in BOD"/>
    <s v="&lt;null&gt;"/>
    <s v="&lt;null&gt;"/>
    <s v="&lt;null&gt;"/>
    <s v="&lt;null&gt;"/>
    <s v="&lt;null&gt;"/>
    <x v="0"/>
    <s v="&lt;null&gt;"/>
    <s v="&lt;null&gt;"/>
    <s v="&lt;null&gt;"/>
    <s v="&lt;null&gt;"/>
    <n v="100"/>
    <s v="&lt;null&gt;"/>
    <s v="&lt;null&gt;"/>
    <s v="&lt;null&gt;"/>
    <s v="&lt;null&gt;"/>
    <m/>
    <m/>
    <m/>
    <m/>
  </r>
  <r>
    <x v="560"/>
    <x v="560"/>
    <s v="Verkeersveiligheid"/>
    <x v="1"/>
    <n v="652"/>
    <s v="IN/000616"/>
    <s v="in Ranst : Kempenlaan, Kromstraat, Schawijkstraat"/>
    <s v="heraanleg N116, inclusief dit kruispunt (wordt aanbesteed in juli 2020)"/>
    <s v="Structurele Ingreep"/>
    <s v="WA/INV/N116/1"/>
    <b v="0"/>
    <s v="Ingreep wordt niet opgevolgd in BOD"/>
    <s v="&lt;null&gt;"/>
    <s v="&lt;null&gt;"/>
    <s v="&lt;null&gt;"/>
    <s v="&lt;null&gt;"/>
    <s v="&lt;null&gt;"/>
    <x v="0"/>
    <s v="&lt;null&gt;"/>
    <s v="&lt;null&gt;"/>
    <s v="&lt;null&gt;"/>
    <s v="&lt;null&gt;"/>
    <n v="100"/>
    <s v="&lt;null&gt;"/>
    <s v="&lt;null&gt;"/>
    <s v="&lt;null&gt;"/>
    <s v="&lt;null&gt;"/>
    <m/>
    <m/>
    <m/>
    <m/>
  </r>
  <r>
    <x v="561"/>
    <x v="561"/>
    <s v="Verkeersveiligheid"/>
    <x v="1"/>
    <n v="653"/>
    <s v="IN/000617"/>
    <s v="in Ranst : Mollentstraat, N14 Richting Breda (Nl), N14 Richting Mechelen, Nijlensesteenweg, Oostmalsesteenweg"/>
    <s v="afsluiting Mollentstraat"/>
    <s v="Kleine Ingreep"/>
    <s v="&lt;null&gt;"/>
    <b v="0"/>
    <s v="Ingreep wordt niet opgevolgd in BOD"/>
    <s v="&lt;null&gt;"/>
    <s v="&lt;null&gt;"/>
    <s v="&lt;null&gt;"/>
    <s v="&lt;null&gt;"/>
    <s v="&lt;null&gt;"/>
    <x v="0"/>
    <s v="&lt;null&gt;"/>
    <s v="&lt;null&gt;"/>
    <s v="&lt;null&gt;"/>
    <s v="&lt;null&gt;"/>
    <n v="100"/>
    <s v="&lt;null&gt;"/>
    <s v="&lt;null&gt;"/>
    <s v="&lt;null&gt;"/>
    <s v="&lt;null&gt;"/>
    <m/>
    <m/>
    <m/>
    <m/>
  </r>
  <r>
    <x v="561"/>
    <x v="561"/>
    <s v="Verkeersveiligheid"/>
    <x v="1"/>
    <n v="654"/>
    <s v="IN/000618"/>
    <s v="MAG WEG in Ranst : Mollentstraat, N14 Richting Breda (Nl), N14 Richting Mechelen, Nijlensesteenweg, Oostmalsesteenweg"/>
    <s v="Heraanleg N14 en aanpassen alignement N14. Zit mee in het project aanleg fietspaden N14."/>
    <s v="Structurele Ingreep"/>
    <s v="&lt;null&gt;"/>
    <b v="0"/>
    <s v="Ingreep wordt niet opgevolgd in BOD"/>
    <s v="&lt;null&gt;"/>
    <s v="&lt;null&gt;"/>
    <s v="&lt;null&gt;"/>
    <s v="&lt;null&gt;"/>
    <s v="&lt;null&gt;"/>
    <x v="0"/>
    <s v="&lt;null&gt;"/>
    <s v="&lt;null&gt;"/>
    <s v="&lt;null&gt;"/>
    <s v="&lt;null&gt;"/>
    <n v="100"/>
    <s v="&lt;null&gt;"/>
    <s v="&lt;null&gt;"/>
    <s v="&lt;null&gt;"/>
    <s v="&lt;null&gt;"/>
    <m/>
    <m/>
    <m/>
    <m/>
  </r>
  <r>
    <x v="562"/>
    <x v="562"/>
    <s v="Verkeersveiligheid"/>
    <x v="1"/>
    <n v="655"/>
    <s v="IN/000619"/>
    <s v="in Roeselare : Hippoliet Spilleboutdreef, Meensesteenweg, Meiboomlaan, Westlaan"/>
    <s v="versmallen rijbaan op de rotonde en vergroten van de afstand tussen rijbaan en fietspad dmv markeringen en paaltjes."/>
    <s v="Kleine Ingreep"/>
    <s v="&lt;null&gt;"/>
    <b v="0"/>
    <s v="Ingreep wordt niet opgevolgd in BOD"/>
    <s v="&lt;null&gt;"/>
    <s v="&lt;null&gt;"/>
    <s v="&lt;null&gt;"/>
    <s v="&lt;null&gt;"/>
    <s v="&lt;null&gt;"/>
    <x v="0"/>
    <s v="&lt;null&gt;"/>
    <s v="&lt;null&gt;"/>
    <s v="&lt;null&gt;"/>
    <s v="&lt;null&gt;"/>
    <n v="100"/>
    <s v="&lt;null&gt;"/>
    <s v="&lt;null&gt;"/>
    <s v="&lt;null&gt;"/>
    <s v="&lt;null&gt;"/>
    <m/>
    <m/>
    <m/>
    <m/>
  </r>
  <r>
    <x v="562"/>
    <x v="562"/>
    <s v="Verkeersveiligheid"/>
    <x v="1"/>
    <n v="656"/>
    <s v="IN/000620"/>
    <s v="in Roeselare : Hippoliet Spilleboutdreef, Meensesteenweg, Meiboomlaan, Westlaan"/>
    <s v="opstarten simulatiestudie en PCV\n(te schrappen eens opgenomen als grote ingreep in projectcenter)"/>
    <s v="Kleine Ingreep"/>
    <s v="&lt;null&gt;"/>
    <b v="0"/>
    <s v="Ingreep wordt niet opgevolgd in BOD"/>
    <s v="&lt;null&gt;"/>
    <s v="&lt;null&gt;"/>
    <s v="&lt;null&gt;"/>
    <s v="&lt;null&gt;"/>
    <s v="&lt;null&gt;"/>
    <x v="0"/>
    <s v="&lt;null&gt;"/>
    <s v="&lt;null&gt;"/>
    <s v="&lt;null&gt;"/>
    <s v="&lt;null&gt;"/>
    <n v="100"/>
    <s v="&lt;null&gt;"/>
    <s v="&lt;null&gt;"/>
    <s v="&lt;null&gt;"/>
    <s v="&lt;null&gt;"/>
    <m/>
    <m/>
    <m/>
    <m/>
  </r>
  <r>
    <x v="563"/>
    <x v="563"/>
    <s v="Verkeersveiligheid"/>
    <x v="1"/>
    <n v="657"/>
    <s v="IN/000621"/>
    <s v="N32 Roeselare : Structureel onderhoud met schoolomgeving"/>
    <s v="Herinrichting van weg, met heraanleg kruispunten"/>
    <s v="Structurele Ingreep"/>
    <s v="WWV/INV/N32/5"/>
    <b v="0"/>
    <s v="Ingreep wordt niet opgevolgd in BOD"/>
    <s v="&lt;null&gt;"/>
    <s v="&lt;null&gt;"/>
    <s v="&lt;null&gt;"/>
    <s v="&lt;null&gt;"/>
    <s v="&lt;null&gt;"/>
    <x v="0"/>
    <s v="&lt;null&gt;"/>
    <s v="&lt;null&gt;"/>
    <s v="&lt;null&gt;"/>
    <s v="&lt;null&gt;"/>
    <n v="100"/>
    <s v="&lt;null&gt;"/>
    <s v="&lt;null&gt;"/>
    <s v="&lt;null&gt;"/>
    <s v="&lt;null&gt;"/>
    <m/>
    <m/>
    <m/>
    <m/>
  </r>
  <r>
    <x v="564"/>
    <x v="564"/>
    <s v="Verkeersveiligheid"/>
    <x v="1"/>
    <n v="658"/>
    <s v="IN/000622"/>
    <s v="in Roeselare : Meensesteenweg, Meiboomlaan, N32 Richting Menen-Halluin(F), Westlaan"/>
    <s v="zelfde rotonde als punt 24946. zelfde maatregel. versmallen rijbaan rotonde, vergroten veiligheidsafstand naar fietsers"/>
    <s v="Kleine Ingreep"/>
    <s v="&lt;null&gt;"/>
    <b v="0"/>
    <s v="Ingreep wordt niet opgevolgd in BOD"/>
    <s v="&lt;null&gt;"/>
    <s v="&lt;null&gt;"/>
    <s v="&lt;null&gt;"/>
    <s v="&lt;null&gt;"/>
    <s v="&lt;null&gt;"/>
    <x v="0"/>
    <s v="&lt;null&gt;"/>
    <s v="&lt;null&gt;"/>
    <s v="&lt;null&gt;"/>
    <s v="&lt;null&gt;"/>
    <n v="100"/>
    <s v="&lt;null&gt;"/>
    <s v="&lt;null&gt;"/>
    <s v="&lt;null&gt;"/>
    <s v="&lt;null&gt;"/>
    <m/>
    <m/>
    <m/>
    <m/>
  </r>
  <r>
    <x v="564"/>
    <x v="564"/>
    <s v="Verkeersveiligheid"/>
    <x v="1"/>
    <n v="659"/>
    <s v="IN/000623"/>
    <s v="in Roeselare : Meensesteenweg, Meiboomlaan, N32 Richting Menen-Halluin(F), Westlaan"/>
    <s v="opstarten studie N32 tussen R32 en N37 inclusief dit gevaarlijk punt\n(te schrappen eens opgenomen als grote ingreep in projectcenter)"/>
    <s v="Kleine Ingreep"/>
    <s v="&lt;null&gt;"/>
    <b v="0"/>
    <s v="Ingreep wordt niet opgevolgd in BOD"/>
    <s v="&lt;null&gt;"/>
    <s v="&lt;null&gt;"/>
    <s v="&lt;null&gt;"/>
    <s v="&lt;null&gt;"/>
    <s v="&lt;null&gt;"/>
    <x v="0"/>
    <s v="&lt;null&gt;"/>
    <s v="&lt;null&gt;"/>
    <s v="&lt;null&gt;"/>
    <s v="&lt;null&gt;"/>
    <n v="100"/>
    <s v="&lt;null&gt;"/>
    <s v="&lt;null&gt;"/>
    <s v="&lt;null&gt;"/>
    <s v="&lt;null&gt;"/>
    <m/>
    <m/>
    <m/>
    <m/>
  </r>
  <r>
    <x v="565"/>
    <x v="565"/>
    <s v="Verkeersveiligheid"/>
    <x v="1"/>
    <n v="660"/>
    <s v="IN/000624"/>
    <s v="N60 César Snoecklaan met N36 Zonnestraat"/>
    <s v="aanpassing rotonde"/>
    <s v="Structurele Ingreep"/>
    <s v="WOV/INV/N36/2"/>
    <b v="0"/>
    <s v="Ingreep wordt niet opgevolgd in BOD"/>
    <s v="&lt;null&gt;"/>
    <s v="&lt;null&gt;"/>
    <s v="&lt;null&gt;"/>
    <s v="&lt;null&gt;"/>
    <s v="&lt;null&gt;"/>
    <x v="0"/>
    <s v="&lt;null&gt;"/>
    <s v="&lt;null&gt;"/>
    <s v="&lt;null&gt;"/>
    <s v="&lt;null&gt;"/>
    <n v="100"/>
    <s v="&lt;null&gt;"/>
    <s v="&lt;null&gt;"/>
    <s v="&lt;null&gt;"/>
    <s v="&lt;null&gt;"/>
    <m/>
    <m/>
    <m/>
    <m/>
  </r>
  <r>
    <x v="566"/>
    <x v="566"/>
    <s v="Verkeersveiligheid"/>
    <x v="1"/>
    <n v="661"/>
    <s v="IN/000625"/>
    <s v="in Rumst : A1-E19 Richting Breda (Nl) Oprit 8, A1-E19 Richting Breda (Nl) Uitrit 8, Autosnelweg E19, Bussestraat, Tiburstraat"/>
    <m/>
    <s v="Kleine Ingreep"/>
    <s v="&lt;null&gt;"/>
    <b v="0"/>
    <s v="Ingreep wordt niet opgevolgd in BOD"/>
    <s v="&lt;null&gt;"/>
    <s v="&lt;null&gt;"/>
    <s v="&lt;null&gt;"/>
    <s v="&lt;null&gt;"/>
    <s v="&lt;null&gt;"/>
    <x v="0"/>
    <s v="&lt;null&gt;"/>
    <s v="&lt;null&gt;"/>
    <s v="&lt;null&gt;"/>
    <s v="&lt;null&gt;"/>
    <n v="100"/>
    <s v="&lt;null&gt;"/>
    <s v="&lt;null&gt;"/>
    <s v="&lt;null&gt;"/>
    <s v="&lt;null&gt;"/>
    <m/>
    <m/>
    <m/>
    <m/>
  </r>
  <r>
    <x v="567"/>
    <x v="567"/>
    <s v="Verkeersveiligheid"/>
    <x v="1"/>
    <n v="662"/>
    <s v="IN/000626"/>
    <s v="in Rumst : Antwerpsestraat, Boomsesteenweg, N177 Antwerpen - Breendonk (Puurs), Pierstraa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68"/>
    <x v="568"/>
    <s v="Verkeersveiligheid"/>
    <x v="1"/>
    <n v="663"/>
    <s v="IN/000627"/>
    <s v="in Scherpenheuvel-Zichem : Abdijstraat, Testeltsesteenweg, Westelsebaan"/>
    <s v="aanpassen toeleidende fietspaden en VRI"/>
    <s v="Kleine Ingreep"/>
    <s v="WVB/INV/N212/2"/>
    <b v="1"/>
    <s v="Ingreep wordt opgevolgd in BOD"/>
    <n v="9663"/>
    <s v="MDN/1504"/>
    <n v="111451"/>
    <n v="21070755"/>
    <s v="&lt;p&gt;Relance VRI - aanpak van gevaarlijke punten in de provincie Vlaams-Brabant 2022-2023.&lt;br&gt;&lt;br&gt;Budget voor aanpassingen aan de buiteninstallatie verkeerslichten op verkeerslichtengeregelde kruispunten die opgenomen zijn in de dynamische lijst gevaarlijke"/>
    <x v="8"/>
    <n v="9372"/>
    <s v="Installatie 338C1 - N212 x N165 Abdijstraat, Testeltsesteenweg, Westelsebaan - SCHERPENHEUVEL-ZICHEM"/>
    <s v="&lt;p&gt;Nieuwe SX regelaar bij ombouw volgens actieplan ikv relance VRI.&lt;/p&gt;"/>
    <s v="WVB/INV/N212/2"/>
    <n v="100"/>
    <n v="20000"/>
    <n v="0"/>
    <n v="0"/>
    <n v="5688.79"/>
    <n v="20000"/>
    <n v="0"/>
    <n v="0"/>
    <n v="5688.79"/>
  </r>
  <r>
    <x v="569"/>
    <x v="569"/>
    <s v="Verkeersveiligheid"/>
    <x v="1"/>
    <n v="664"/>
    <s v="IN/000628"/>
    <s v="VRI: aanpassen lichtenregeling in Schoten : Bredabaan, Fortsteenweg, Horstebaan RELANCE21"/>
    <s v="VLCC in 22, aanpassen markering in 21"/>
    <s v="Kleine Ingreep"/>
    <s v="WA/INV/N1/15"/>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0"/>
    <n v="8063"/>
    <s v="860a5 K069 v015069v10"/>
    <s v="&lt;p&gt;IN/000628&lt;/p&gt;"/>
    <s v="WA/INV/N1/15"/>
    <n v="100"/>
    <n v="100000"/>
    <n v="0"/>
    <n v="0"/>
    <n v="431.71"/>
    <n v="100000"/>
    <n v="0"/>
    <n v="0"/>
    <n v="431.71"/>
  </r>
  <r>
    <x v="569"/>
    <x v="569"/>
    <s v="Verkeersveiligheid"/>
    <x v="1"/>
    <n v="664"/>
    <s v="IN/000628"/>
    <s v="VRI: aanpassen lichtenregeling in Schoten : Bredabaan, Fortsteenweg, Horstebaan RELANCE21"/>
    <s v="VLCC in 22, aanpassen markering in 21"/>
    <s v="Kleine Ingreep"/>
    <s v="WA/INV/N1/15"/>
    <b v="1"/>
    <s v="Ingreep wordt opgevolgd in BOD"/>
    <s v="&lt;null&gt;"/>
    <s v="&lt;null&gt;"/>
    <n v="149001"/>
    <s v="test"/>
    <s v="&lt;p&gt;test ifv opdelen van de vastlegging (20/07/2022)&lt;/p&gt;"/>
    <x v="4"/>
    <n v="10264"/>
    <s v="sven"/>
    <s v="&lt;null&gt;"/>
    <s v="WA/INV/N1/15"/>
    <n v="100"/>
    <n v="1"/>
    <n v="0"/>
    <n v="0"/>
    <n v="1"/>
    <n v="1"/>
    <n v="0"/>
    <n v="0"/>
    <n v="1"/>
  </r>
  <r>
    <x v="570"/>
    <x v="570"/>
    <s v="Verkeersveiligheid"/>
    <x v="1"/>
    <n v="665"/>
    <s v="IN/000629"/>
    <s v="Gevaarlijk Punt: N456 Sint-Laureins: markeringen aanpassen Ketterijstraat met Mariapolderdijk"/>
    <s v="Markering aanpassen, paaltjes plaatsen;\nKetterijstraat met Mariapolderdijk. (Relance Raamcontract)"/>
    <s v="Kleine Ingreep"/>
    <s v="WOV/INV/N456/11"/>
    <b v="0"/>
    <s v="Ingreep wordt niet opgevolgd in BOD"/>
    <s v="&lt;null&gt;"/>
    <s v="&lt;null&gt;"/>
    <s v="&lt;null&gt;"/>
    <s v="&lt;null&gt;"/>
    <s v="&lt;null&gt;"/>
    <x v="0"/>
    <s v="&lt;null&gt;"/>
    <s v="&lt;null&gt;"/>
    <s v="&lt;null&gt;"/>
    <s v="&lt;null&gt;"/>
    <n v="100"/>
    <s v="&lt;null&gt;"/>
    <s v="&lt;null&gt;"/>
    <s v="&lt;null&gt;"/>
    <s v="&lt;null&gt;"/>
    <m/>
    <m/>
    <m/>
    <m/>
  </r>
  <r>
    <x v="571"/>
    <x v="571"/>
    <s v="Verkeersveiligheid"/>
    <x v="1"/>
    <n v="666"/>
    <s v="IN/000630"/>
    <s v="in Sint-Niklaas : R42 Singel met Raapstraat"/>
    <s v="semi-conflictvrij gemaakt (2019)"/>
    <s v="Kleine Ingreep"/>
    <s v="&lt;null&gt;"/>
    <b v="0"/>
    <s v="Ingreep wordt niet opgevolgd in BOD"/>
    <s v="&lt;null&gt;"/>
    <s v="&lt;null&gt;"/>
    <s v="&lt;null&gt;"/>
    <s v="&lt;null&gt;"/>
    <s v="&lt;null&gt;"/>
    <x v="0"/>
    <s v="&lt;null&gt;"/>
    <s v="&lt;null&gt;"/>
    <s v="&lt;null&gt;"/>
    <s v="&lt;null&gt;"/>
    <n v="100"/>
    <s v="&lt;null&gt;"/>
    <s v="&lt;null&gt;"/>
    <s v="&lt;null&gt;"/>
    <s v="&lt;null&gt;"/>
    <m/>
    <m/>
    <m/>
    <m/>
  </r>
  <r>
    <x v="572"/>
    <x v="572"/>
    <s v="Verkeersveiligheid"/>
    <x v="1"/>
    <n v="667"/>
    <s v="IN/000631"/>
    <s v="Gevaarlijk Punt: R42 Sint-Niklaas: aanpassen lichtenregeling"/>
    <s v="Aanpassen lichtenregeling: Conflictvrije regeling;\nIn Sint-Niklaas : R42 Singel met N451 Vijfstraten. (Relance Raamcontract)"/>
    <s v="Kleine Ingreep"/>
    <s v="WOV/INV/R42/2"/>
    <b v="1"/>
    <s v="Ingreep wordt opgevolgd in BOD"/>
    <n v="10165"/>
    <s v="MDN/59-3"/>
    <n v="99601"/>
    <n v="21057055"/>
    <s v="&lt;p&gt;2021-10-3MH231.65-MDN59-BOD2-Gent, 4 VL&lt;/p&gt;"/>
    <x v="8"/>
    <n v="8055"/>
    <s v="WO0634: St-Niklaas, R42/N451 Vijfstraten"/>
    <s v="&lt;p&gt;maakt deel uit van BOD3, vastgelegd op relance in nov21&lt;/p&gt;"/>
    <s v="WOV/INV/R42/2"/>
    <n v="100"/>
    <n v="102644.63"/>
    <n v="0"/>
    <n v="0"/>
    <n v="6489.57"/>
    <n v="102644.63"/>
    <n v="0"/>
    <n v="0"/>
    <n v="6489.57"/>
  </r>
  <r>
    <x v="573"/>
    <x v="573"/>
    <s v="Verkeersveiligheid"/>
    <x v="1"/>
    <n v="668"/>
    <s v="IN/000632"/>
    <s v="Gevaarlijk Punt: R42 Sint-Niklaas : VRI aanpassen"/>
    <s v="VRI aangepast (conflictvrij);\nR42 Guido Gezellelaan / Spoorweglaan met N403 Plezantstraat"/>
    <s v="Kleine Ingreep"/>
    <s v="WOV/INV/R42/3"/>
    <b v="0"/>
    <s v="Ingreep wordt niet opgevolgd in BOD"/>
    <s v="&lt;null&gt;"/>
    <s v="&lt;null&gt;"/>
    <s v="&lt;null&gt;"/>
    <s v="&lt;null&gt;"/>
    <s v="&lt;null&gt;"/>
    <x v="0"/>
    <s v="&lt;null&gt;"/>
    <s v="&lt;null&gt;"/>
    <s v="&lt;null&gt;"/>
    <s v="&lt;null&gt;"/>
    <n v="100"/>
    <s v="&lt;null&gt;"/>
    <s v="&lt;null&gt;"/>
    <s v="&lt;null&gt;"/>
    <s v="&lt;null&gt;"/>
    <m/>
    <m/>
    <m/>
    <m/>
  </r>
  <r>
    <x v="574"/>
    <x v="574"/>
    <s v="Verkeersveiligheid"/>
    <x v="1"/>
    <n v="669"/>
    <s v="IN/000633"/>
    <s v="in Sint-Niklaas : N70 Koningin Astridlaan met N16 Parklaan. (Relance Raamcontrac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75"/>
    <x v="575"/>
    <s v="Verkeersveiligheid"/>
    <x v="1"/>
    <n v="670"/>
    <s v="IN/000634"/>
    <s v="VRI en Infra: aanpassen lichtenregeling + bijkomende aanpassingen infra in Sint-Niklaas, Waasmunster : N70 Grote Baan met N446 Schrijberg. (Relance raamcontract)"/>
    <s v="Aanpassen lichtenregeling + voorsorteerstrook verlengen"/>
    <s v="Kleine Ingreep"/>
    <s v="&lt;null&gt;"/>
    <b v="0"/>
    <s v="Ingreep wordt niet opgevolgd in BOD"/>
    <s v="&lt;null&gt;"/>
    <s v="&lt;null&gt;"/>
    <s v="&lt;null&gt;"/>
    <s v="&lt;null&gt;"/>
    <s v="&lt;null&gt;"/>
    <x v="0"/>
    <s v="&lt;null&gt;"/>
    <s v="&lt;null&gt;"/>
    <s v="&lt;null&gt;"/>
    <s v="&lt;null&gt;"/>
    <n v="100"/>
    <s v="&lt;null&gt;"/>
    <s v="&lt;null&gt;"/>
    <s v="&lt;null&gt;"/>
    <s v="&lt;null&gt;"/>
    <m/>
    <m/>
    <m/>
    <m/>
  </r>
  <r>
    <x v="576"/>
    <x v="576"/>
    <s v="Verkeersveiligheid"/>
    <x v="1"/>
    <n v="671"/>
    <s v="IN/000635"/>
    <s v="in Sint-Pieters-Leeuw : Albert Van Cotthemstraat, Bergensesteenweg, Eugène Ghijsstraat (N6) (SCHRAPPEN - MAAKT DEEL UIT VAN WVB/INV/N6/1)"/>
    <s v="TV3V plan uitvoeren samen met doortocht"/>
    <s v="Structurele Ingreep"/>
    <s v="&lt;null&gt;"/>
    <b v="0"/>
    <s v="Ingreep wordt niet opgevolgd in BOD"/>
    <s v="&lt;null&gt;"/>
    <s v="&lt;null&gt;"/>
    <s v="&lt;null&gt;"/>
    <s v="&lt;null&gt;"/>
    <s v="&lt;null&gt;"/>
    <x v="0"/>
    <s v="&lt;null&gt;"/>
    <s v="&lt;null&gt;"/>
    <s v="&lt;null&gt;"/>
    <s v="&lt;null&gt;"/>
    <n v="100"/>
    <s v="&lt;null&gt;"/>
    <s v="&lt;null&gt;"/>
    <s v="&lt;null&gt;"/>
    <s v="&lt;null&gt;"/>
    <m/>
    <m/>
    <m/>
    <m/>
  </r>
  <r>
    <x v="577"/>
    <x v="577"/>
    <s v="Verkeersveiligheid"/>
    <x v="1"/>
    <n v="672"/>
    <s v="IN/000636"/>
    <s v="in Sint-Pieters-Leeuw : Bergensesteenweg, PARKING SHOPPING PAJOT (SCHRAPPEN - MAAKT DEEL UIT VAN WVB/INV/N6/1)"/>
    <s v="volledige heraanleg"/>
    <s v="Structurele Ingreep"/>
    <s v="&lt;null&gt;"/>
    <b v="0"/>
    <s v="Ingreep wordt niet opgevolgd in BOD"/>
    <s v="&lt;null&gt;"/>
    <s v="&lt;null&gt;"/>
    <s v="&lt;null&gt;"/>
    <s v="&lt;null&gt;"/>
    <s v="&lt;null&gt;"/>
    <x v="0"/>
    <s v="&lt;null&gt;"/>
    <s v="&lt;null&gt;"/>
    <s v="&lt;null&gt;"/>
    <s v="&lt;null&gt;"/>
    <n v="100"/>
    <s v="&lt;null&gt;"/>
    <s v="&lt;null&gt;"/>
    <s v="&lt;null&gt;"/>
    <s v="&lt;null&gt;"/>
    <m/>
    <m/>
    <m/>
    <m/>
  </r>
  <r>
    <x v="578"/>
    <x v="578"/>
    <s v="Verkeersveiligheid"/>
    <x v="1"/>
    <n v="673"/>
    <s v="IN/000637"/>
    <s v="in Sint-Pieters-Leeuw : Bergensesteenweg, Ruisbroeksesteenweg"/>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78"/>
    <x v="578"/>
    <s v="Verkeersveiligheid"/>
    <x v="1"/>
    <n v="674"/>
    <s v="IN/000638"/>
    <s v="in Sint-Pieters-Leeuw : Bergensesteenweg, Ruisbroeksesteenweg (SCHRAPPEN - MAAKT DEEL UIT VAN WVB/INV/N6/1)"/>
    <s v="wegvak wordt volledig heringericht"/>
    <s v="Structurele Ingreep"/>
    <s v="&lt;null&gt;"/>
    <b v="0"/>
    <s v="Ingreep wordt niet opgevolgd in BOD"/>
    <s v="&lt;null&gt;"/>
    <s v="&lt;null&gt;"/>
    <s v="&lt;null&gt;"/>
    <s v="&lt;null&gt;"/>
    <s v="&lt;null&gt;"/>
    <x v="0"/>
    <s v="&lt;null&gt;"/>
    <s v="&lt;null&gt;"/>
    <s v="&lt;null&gt;"/>
    <s v="&lt;null&gt;"/>
    <n v="100"/>
    <s v="&lt;null&gt;"/>
    <s v="&lt;null&gt;"/>
    <s v="&lt;null&gt;"/>
    <s v="&lt;null&gt;"/>
    <m/>
    <m/>
    <m/>
    <m/>
  </r>
  <r>
    <x v="579"/>
    <x v="579"/>
    <s v="Verkeersveiligheid"/>
    <x v="1"/>
    <n v="675"/>
    <s v="IN/000639"/>
    <s v="in Sint-Truiden : Hasseltsesteenweg, Melveren-Centrum, Terbiest"/>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3"/>
    <x v="53"/>
    <s v="Fiets"/>
    <x v="0"/>
    <n v="676"/>
    <s v="IN/000640"/>
    <s v="N722 : St. Truiden : aanleg fietspaden"/>
    <s v="Fietspad in de voorrang op de rotonde. Studie fietspaden Sint-Truiden tot Hasselt. Er worden bepaalde delen in voorrang genomen. Reeds in projectnota voorzien: vrijliggende fietspaden voorzien. Zit in fase 1 van het project"/>
    <s v="Structurele Ingreep"/>
    <s v="WL/INV/N722/1"/>
    <b v="0"/>
    <s v="Ingreep wordt niet opgevolgd in BOD"/>
    <s v="&lt;null&gt;"/>
    <s v="&lt;null&gt;"/>
    <s v="&lt;null&gt;"/>
    <s v="&lt;null&gt;"/>
    <s v="&lt;null&gt;"/>
    <x v="0"/>
    <s v="&lt;null&gt;"/>
    <s v="&lt;null&gt;"/>
    <s v="&lt;null&gt;"/>
    <s v="&lt;null&gt;"/>
    <n v="100"/>
    <s v="&lt;null&gt;"/>
    <s v="&lt;null&gt;"/>
    <s v="&lt;null&gt;"/>
    <s v="&lt;null&gt;"/>
    <m/>
    <m/>
    <m/>
    <m/>
  </r>
  <r>
    <x v="579"/>
    <x v="579"/>
    <s v="Verkeersveiligheid"/>
    <x v="1"/>
    <n v="676"/>
    <s v="IN/000640"/>
    <s v="N722 : St. Truiden : aanleg fietspaden"/>
    <s v="Fietspad in de voorrang op de rotonde. Studie fietspaden Sint-Truiden tot Hasselt. Er worden bepaalde delen in voorrang genomen. Reeds in projectnota voorzien: vrijliggende fietspaden voorzien. Zit in fase 1 van het project"/>
    <s v="Structurele Ingreep"/>
    <s v="WL/INV/N722/1"/>
    <b v="0"/>
    <s v="Ingreep wordt niet opgevolgd in BOD"/>
    <s v="&lt;null&gt;"/>
    <s v="&lt;null&gt;"/>
    <s v="&lt;null&gt;"/>
    <s v="&lt;null&gt;"/>
    <s v="&lt;null&gt;"/>
    <x v="0"/>
    <s v="&lt;null&gt;"/>
    <s v="&lt;null&gt;"/>
    <s v="&lt;null&gt;"/>
    <s v="&lt;null&gt;"/>
    <n v="0"/>
    <s v="&lt;null&gt;"/>
    <s v="&lt;null&gt;"/>
    <s v="&lt;null&gt;"/>
    <s v="&lt;null&gt;"/>
    <m/>
    <m/>
    <m/>
    <m/>
  </r>
  <r>
    <x v="580"/>
    <x v="580"/>
    <s v="Verkeersveiligheid"/>
    <x v="1"/>
    <n v="677"/>
    <s v="IN/000641"/>
    <s v="in Stabroek : A12 Ri. Brussel oprit 13 Stabroek ri knp Ant-Haven, A12 Richting Brussel afrit 13 Stabroek, Laageind"/>
    <s v="midden 2019 werden aanpassingen uitgevoerd aan markering, zichtbaarheid borden verbeterd (audit uitgevoerd) volgens politie: vrachtwagenschauffeurs  vergissen zich tussen afrit Stabroek en afrit naar R2 en rijden gewoon kruispûnt over. Bewegwijzering norm"/>
    <s v="Kleine Ingreep"/>
    <s v="&lt;null&gt;"/>
    <b v="0"/>
    <s v="Ingreep wordt niet opgevolgd in BOD"/>
    <s v="&lt;null&gt;"/>
    <s v="&lt;null&gt;"/>
    <s v="&lt;null&gt;"/>
    <s v="&lt;null&gt;"/>
    <s v="&lt;null&gt;"/>
    <x v="0"/>
    <s v="&lt;null&gt;"/>
    <s v="&lt;null&gt;"/>
    <s v="&lt;null&gt;"/>
    <s v="&lt;null&gt;"/>
    <n v="100"/>
    <s v="&lt;null&gt;"/>
    <s v="&lt;null&gt;"/>
    <s v="&lt;null&gt;"/>
    <s v="&lt;null&gt;"/>
    <m/>
    <m/>
    <m/>
    <m/>
  </r>
  <r>
    <x v="581"/>
    <x v="581"/>
    <s v="Verkeersveiligheid"/>
    <x v="1"/>
    <n v="678"/>
    <s v="IN/000642"/>
    <s v="Handhaving in Staden : Provinciebaan, 's Gravenstraat, Westrozebekestraat"/>
    <s v="TC lijst 2019"/>
    <s v="Kleine Ingreep"/>
    <s v="WWV/INV/N313/2"/>
    <b v="0"/>
    <s v="Ingreep wordt niet opgevolgd in BOD"/>
    <s v="&lt;null&gt;"/>
    <s v="&lt;null&gt;"/>
    <s v="&lt;null&gt;"/>
    <s v="&lt;null&gt;"/>
    <s v="&lt;null&gt;"/>
    <x v="0"/>
    <s v="&lt;null&gt;"/>
    <s v="&lt;null&gt;"/>
    <s v="&lt;null&gt;"/>
    <s v="&lt;null&gt;"/>
    <n v="100"/>
    <s v="&lt;null&gt;"/>
    <s v="&lt;null&gt;"/>
    <s v="&lt;null&gt;"/>
    <s v="&lt;null&gt;"/>
    <m/>
    <m/>
    <m/>
    <m/>
  </r>
  <r>
    <x v="582"/>
    <x v="582"/>
    <s v="Verkeersveiligheid"/>
    <x v="1"/>
    <n v="679"/>
    <s v="IN/000643"/>
    <s v="in Steenokkerzeel : Haachtsesteenweg, Tervuursesteenweg"/>
    <s v="FP omleggen langsheen de gewestweg (westelijke tak)"/>
    <s v="Kleine Ingreep"/>
    <s v="&lt;null&gt;"/>
    <b v="0"/>
    <s v="Ingreep wordt niet opgevolgd in BOD"/>
    <s v="&lt;null&gt;"/>
    <s v="&lt;null&gt;"/>
    <s v="&lt;null&gt;"/>
    <s v="&lt;null&gt;"/>
    <s v="&lt;null&gt;"/>
    <x v="0"/>
    <s v="&lt;null&gt;"/>
    <s v="&lt;null&gt;"/>
    <s v="&lt;null&gt;"/>
    <s v="&lt;null&gt;"/>
    <n v="100"/>
    <s v="&lt;null&gt;"/>
    <s v="&lt;null&gt;"/>
    <s v="&lt;null&gt;"/>
    <s v="&lt;null&gt;"/>
    <m/>
    <m/>
    <m/>
    <m/>
  </r>
  <r>
    <x v="583"/>
    <x v="583"/>
    <s v="Verkeersveiligheid"/>
    <x v="1"/>
    <n v="680"/>
    <s v="IN/000644"/>
    <s v="N16 Temse aanpassingen kruispunt Hoogkamerstraat"/>
    <s v="Aanpassing van de aansluiting van Hoogkamerstraat op N16. Deel van budget gev ptn gaat naar dit project"/>
    <s v="Structurele Ingreep"/>
    <s v="WOV/INV/N16/1"/>
    <b v="1"/>
    <s v="Ingreep wordt opgevolgd in BOD"/>
    <n v="9663"/>
    <s v="MDN/1504"/>
    <n v="99651"/>
    <n v="21057228"/>
    <s v="&lt;p&gt;6 locaties waar nieuwe verkeersregelaars worden geplaatst in het kader van de aanpak van gevaarlijke punten met relance-kredieten: Drongen (N466/Catriestraat), Gent (N60/Musschestraat), Gent (N70/N70a), St-Niklaas (R42/N451), Temse (N16/Hoogkamerstraat"/>
    <x v="8"/>
    <n v="6924"/>
    <s v="WO0637: Temse, N16/Hoogkamerstraat"/>
    <s v="&lt;p&gt;Lijst gevaarlijke punten&lt;/p&gt;"/>
    <s v="WOV/INV/N16/1"/>
    <n v="100"/>
    <n v="20550"/>
    <n v="0"/>
    <n v="0"/>
    <n v="20550"/>
    <n v="20550"/>
    <n v="0"/>
    <n v="0"/>
    <n v="20550"/>
  </r>
  <r>
    <x v="584"/>
    <x v="584"/>
    <s v="Verkeersveiligheid"/>
    <x v="1"/>
    <n v="681"/>
    <s v="IN/000645"/>
    <s v="in Temse : N16 met Doornstraat en Gasthuisstraat"/>
    <s v="lichtenregeling aangepast (nog 1 conflict) (2019)"/>
    <s v="Kleine Ingreep"/>
    <s v="&lt;null&gt;"/>
    <b v="0"/>
    <s v="Ingreep wordt niet opgevolgd in BOD"/>
    <s v="&lt;null&gt;"/>
    <s v="&lt;null&gt;"/>
    <s v="&lt;null&gt;"/>
    <s v="&lt;null&gt;"/>
    <s v="&lt;null&gt;"/>
    <x v="0"/>
    <s v="&lt;null&gt;"/>
    <s v="&lt;null&gt;"/>
    <s v="&lt;null&gt;"/>
    <s v="&lt;null&gt;"/>
    <n v="100"/>
    <s v="&lt;null&gt;"/>
    <s v="&lt;null&gt;"/>
    <s v="&lt;null&gt;"/>
    <s v="&lt;null&gt;"/>
    <m/>
    <m/>
    <m/>
    <m/>
  </r>
  <r>
    <x v="585"/>
    <x v="585"/>
    <s v="Verkeersveiligheid"/>
    <x v="1"/>
    <n v="682"/>
    <s v="IN/000646"/>
    <s v="Nieuw lichtengeregeld kruispunt ter vervanging van de aansluiting Galgeveldstraat."/>
    <s v="Uitbreiding aan industrieterrein gepland, gevraagd om bestaande in- en uitrit te sluiten, en een nieuwe ontsluiting te maken. wordt lichtengeregeld.\n- Aanleg nieuw kruispunt, met VRI\n-afsluiten Galgeveldstraat thv N37, voor gemotoriseerd verkeer"/>
    <s v="Kleine Ingreep"/>
    <s v="WWV/INV/N37/3"/>
    <b v="1"/>
    <s v="Ingreep wordt opgevolgd in BOD"/>
    <s v="&lt;null&gt;"/>
    <s v="&lt;null&gt;"/>
    <n v="148251"/>
    <n v="22041858"/>
    <s v="&lt;p&gt;Relance: Aanpassen of opstellen van verschillende verkeerslichteninstallaties in West-Vlaanderen.&amp;nbsp;&lt;/p&gt;"/>
    <x v="10"/>
    <n v="10237"/>
    <s v="IN/000646 Tielt N37 met Galgenveldstraat"/>
    <s v="&lt;p&gt;Tielt N37 Ruiseleedsesteenweg met Galgenveldstraat&lt;/p&gt;"/>
    <s v="WWV/INV/N37/3"/>
    <n v="100"/>
    <n v="103305.79"/>
    <n v="0"/>
    <n v="0"/>
    <n v="103305.79"/>
    <n v="103305.79"/>
    <n v="0"/>
    <n v="0"/>
    <n v="103305.79"/>
  </r>
  <r>
    <x v="585"/>
    <x v="585"/>
    <s v="Verkeersveiligheid"/>
    <x v="1"/>
    <n v="682"/>
    <s v="IN/000646"/>
    <s v="Nieuw lichtengeregeld kruispunt ter vervanging van de aansluiting Galgeveldstraat."/>
    <s v="Uitbreiding aan industrieterrein gepland, gevraagd om bestaande in- en uitrit te sluiten, en een nieuwe ontsluiting te maken. wordt lichtengeregeld.\n- Aanleg nieuw kruispunt, met VRI\n-afsluiten Galgeveldstraat thv N37, voor gemotoriseerd verkeer"/>
    <s v="Kleine Ingreep"/>
    <s v="WWV/INV/N37/3"/>
    <b v="1"/>
    <s v="Ingreep wordt opgevolgd in BOD"/>
    <s v="&lt;null&gt;"/>
    <s v="&lt;null&gt;"/>
    <n v="118201"/>
    <n v="21065772"/>
    <s v="&lt;p&gt;OF AWV/INV/2021/3 P3 3mh229 - gevaarlijke punten&lt;/p&gt;"/>
    <x v="13"/>
    <n v="8158"/>
    <s v="N37 Tielt nieuwe ontsluiting industriezone"/>
    <s v="&lt;null&gt;"/>
    <s v="WWV/INV/N37/3"/>
    <n v="100"/>
    <n v="388500"/>
    <n v="0"/>
    <n v="0"/>
    <n v="388500"/>
    <n v="388500"/>
    <n v="0"/>
    <n v="0"/>
    <n v="388500"/>
  </r>
  <r>
    <x v="585"/>
    <x v="585"/>
    <s v="Verkeersveiligheid"/>
    <x v="1"/>
    <n v="682"/>
    <s v="IN/000646"/>
    <s v="Nieuw lichtengeregeld kruispunt ter vervanging van de aansluiting Galgeveldstraat."/>
    <s v="Uitbreiding aan industrieterrein gepland, gevraagd om bestaande in- en uitrit te sluiten, en een nieuwe ontsluiting te maken. wordt lichtengeregeld.\n- Aanleg nieuw kruispunt, met VRI\n-afsluiten Galgeveldstraat thv N37, voor gemotoriseerd verkeer"/>
    <s v="Kleine Ingreep"/>
    <s v="WWV/INV/N37/3"/>
    <b v="1"/>
    <s v="Ingreep wordt opgevolgd in BOD"/>
    <s v="&lt;null&gt;"/>
    <s v="&lt;null&gt;"/>
    <n v="144801"/>
    <n v="22038799"/>
    <s v="&lt;p&gt;Tielt N37 Ruiseleedsesteenweg met de Galgenveldstraat., opstellen van wegverlichting ter hoogte van de nieuwe vri ikv Relance.&amp;nbsp;&lt;/p&gt;"/>
    <x v="13"/>
    <n v="9988"/>
    <s v="&lt;null&gt;"/>
    <s v="&lt;p&gt;Tielt N37 Ruiseleedsesteenweg met de Galgenveldstraat., opstellen van wegverlichting ter hoogte van de nieuwe vri ikv Relance.&amp;nbsp;&lt;/p&gt;"/>
    <s v="WWV/INV/N37/3"/>
    <n v="100"/>
    <n v="49586.78"/>
    <n v="0"/>
    <n v="0"/>
    <n v="49586.78"/>
    <n v="49586.78"/>
    <n v="0"/>
    <n v="0"/>
    <n v="49586.78"/>
  </r>
  <r>
    <x v="585"/>
    <x v="585"/>
    <s v="Verkeersveiligheid"/>
    <x v="1"/>
    <n v="683"/>
    <s v="IN/000647"/>
    <s v="Middeneiland aanleggen in Tielt : Galgenveldstraat, Ruiseleedsesteenweg"/>
    <s v="Uitbreiding aan industrieterrein gepland, gevraagd om bestaande in- en uitrit te sluiten, en een nieuwe ontsluiting te maken. wordt lichtengeregeld. Deze ingreep betreft de voorlopige QW ter hoogte van de te sluiten Galgeveldstraat.\n- rustpunt voor fiets"/>
    <s v="Kleine Ingreep"/>
    <s v="WWV/INV/N37/2"/>
    <b v="0"/>
    <s v="Ingreep wordt niet opgevolgd in BOD"/>
    <s v="&lt;null&gt;"/>
    <s v="&lt;null&gt;"/>
    <s v="&lt;null&gt;"/>
    <s v="&lt;null&gt;"/>
    <s v="&lt;null&gt;"/>
    <x v="0"/>
    <s v="&lt;null&gt;"/>
    <s v="&lt;null&gt;"/>
    <s v="&lt;null&gt;"/>
    <s v="&lt;null&gt;"/>
    <n v="100"/>
    <s v="&lt;null&gt;"/>
    <s v="&lt;null&gt;"/>
    <s v="&lt;null&gt;"/>
    <s v="&lt;null&gt;"/>
    <m/>
    <m/>
    <m/>
    <m/>
  </r>
  <r>
    <x v="586"/>
    <x v="586"/>
    <s v="Verkeersveiligheid"/>
    <x v="1"/>
    <n v="684"/>
    <s v="IN/000648"/>
    <s v="in Tielt : Wakkensesteenweg"/>
    <s v="uitbreiden signalisatie bocht en voorzien van ribbelstroken in nadering van de bocht. Eén van de 20 van 2018 trajectcontroles."/>
    <s v="Kleine Ingreep"/>
    <s v="&lt;null&gt;"/>
    <b v="0"/>
    <s v="Ingreep wordt niet opgevolgd in BOD"/>
    <s v="&lt;null&gt;"/>
    <s v="&lt;null&gt;"/>
    <s v="&lt;null&gt;"/>
    <s v="&lt;null&gt;"/>
    <s v="&lt;null&gt;"/>
    <x v="0"/>
    <s v="&lt;null&gt;"/>
    <s v="&lt;null&gt;"/>
    <s v="&lt;null&gt;"/>
    <s v="&lt;null&gt;"/>
    <n v="100"/>
    <s v="&lt;null&gt;"/>
    <s v="&lt;null&gt;"/>
    <s v="&lt;null&gt;"/>
    <s v="&lt;null&gt;"/>
    <m/>
    <m/>
    <m/>
    <m/>
  </r>
  <r>
    <x v="587"/>
    <x v="587"/>
    <s v="Verkeersveiligheid"/>
    <x v="1"/>
    <n v="685"/>
    <s v="IN/000649"/>
    <s v="in Tienen : Groot Overlaar, Westelijke Ring, Zuidelijke Ring"/>
    <s v="Aanpassen lichtenregeling (maximaal conflictvrij)"/>
    <s v="Kleine Ingreep"/>
    <s v="&lt;null&gt;"/>
    <b v="0"/>
    <s v="Ingreep wordt niet opgevolgd in BOD"/>
    <s v="&lt;null&gt;"/>
    <s v="&lt;null&gt;"/>
    <s v="&lt;null&gt;"/>
    <s v="&lt;null&gt;"/>
    <s v="&lt;null&gt;"/>
    <x v="0"/>
    <s v="&lt;null&gt;"/>
    <s v="&lt;null&gt;"/>
    <s v="&lt;null&gt;"/>
    <s v="&lt;null&gt;"/>
    <n v="100"/>
    <s v="&lt;null&gt;"/>
    <s v="&lt;null&gt;"/>
    <s v="&lt;null&gt;"/>
    <s v="&lt;null&gt;"/>
    <m/>
    <m/>
    <m/>
    <m/>
  </r>
  <r>
    <x v="588"/>
    <x v="588"/>
    <s v="Verkeersveiligheid"/>
    <x v="1"/>
    <n v="686"/>
    <s v="IN/000650"/>
    <s v="in Tongeren : Cottalaan, Koninksemsteenweg, Koninksemstraat, Sabinuslaan"/>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89"/>
    <x v="589"/>
    <s v="Verkeersveiligheid"/>
    <x v="1"/>
    <n v="687"/>
    <s v="IN/000651"/>
    <s v="VRI: aanpassen lichtenregeling in Tongeren : Eeuwfeestwal, Elisabethwal, Sint-Truidersteenweg"/>
    <s v="Aanpassen lichtenregeling + middeneilanden voor voetgangers zodat in 2 keer kan overgestoken worden  + voetgangersuitstulping"/>
    <s v="Kleine Ingreep"/>
    <s v="WL/INV/R72/2"/>
    <b v="0"/>
    <s v="Ingreep wordt niet opgevolgd in BOD"/>
    <s v="&lt;null&gt;"/>
    <s v="&lt;null&gt;"/>
    <s v="&lt;null&gt;"/>
    <s v="&lt;null&gt;"/>
    <s v="&lt;null&gt;"/>
    <x v="0"/>
    <s v="&lt;null&gt;"/>
    <s v="&lt;null&gt;"/>
    <s v="&lt;null&gt;"/>
    <s v="&lt;null&gt;"/>
    <n v="99"/>
    <s v="&lt;null&gt;"/>
    <s v="&lt;null&gt;"/>
    <s v="&lt;null&gt;"/>
    <s v="&lt;null&gt;"/>
    <m/>
    <m/>
    <m/>
    <m/>
  </r>
  <r>
    <x v="590"/>
    <x v="590"/>
    <s v="Verkeersveiligheid"/>
    <x v="4"/>
    <n v="687"/>
    <s v="IN/000651"/>
    <s v="VRI: aanpassen lichtenregeling in Tongeren : Eeuwfeestwal, Elisabethwal, Sint-Truidersteenweg"/>
    <s v="Aanpassen lichtenregeling + middeneilanden voor voetgangers zodat in 2 keer kan overgestoken worden  + voetgangersuitstulping"/>
    <s v="Kleine Ingreep"/>
    <s v="WL/INV/R72/2"/>
    <b v="0"/>
    <s v="Ingreep wordt niet opgevolgd in BOD"/>
    <s v="&lt;null&gt;"/>
    <s v="&lt;null&gt;"/>
    <s v="&lt;null&gt;"/>
    <s v="&lt;null&gt;"/>
    <s v="&lt;null&gt;"/>
    <x v="0"/>
    <s v="&lt;null&gt;"/>
    <s v="&lt;null&gt;"/>
    <s v="&lt;null&gt;"/>
    <s v="&lt;null&gt;"/>
    <n v="1"/>
    <s v="&lt;null&gt;"/>
    <s v="&lt;null&gt;"/>
    <s v="&lt;null&gt;"/>
    <s v="&lt;null&gt;"/>
    <m/>
    <m/>
    <m/>
    <m/>
  </r>
  <r>
    <x v="591"/>
    <x v="591"/>
    <s v="Verkeersveiligheid"/>
    <x v="1"/>
    <n v="688"/>
    <s v="IN/000652"/>
    <s v="in Tongeren : Achttiende - Oogstwal, Jaminéstraat, Leopoldwal, Maastrichterstraat, Stationslaan"/>
    <s v="Markeringen aanpassen"/>
    <s v="Kleine Ingreep"/>
    <s v="&lt;null&gt;"/>
    <b v="0"/>
    <s v="Ingreep wordt niet opgevolgd in BOD"/>
    <s v="&lt;null&gt;"/>
    <s v="&lt;null&gt;"/>
    <s v="&lt;null&gt;"/>
    <s v="&lt;null&gt;"/>
    <s v="&lt;null&gt;"/>
    <x v="0"/>
    <s v="&lt;null&gt;"/>
    <s v="&lt;null&gt;"/>
    <s v="&lt;null&gt;"/>
    <s v="&lt;null&gt;"/>
    <n v="100"/>
    <s v="&lt;null&gt;"/>
    <s v="&lt;null&gt;"/>
    <s v="&lt;null&gt;"/>
    <s v="&lt;null&gt;"/>
    <m/>
    <m/>
    <m/>
    <m/>
  </r>
  <r>
    <x v="592"/>
    <x v="592"/>
    <s v="Verkeersveiligheid"/>
    <x v="1"/>
    <n v="689"/>
    <s v="IN/000653"/>
    <s v="in Turnhout : Nassaulaan, Steenweg op Merksplas"/>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93"/>
    <x v="593"/>
    <s v="Verkeersveiligheid"/>
    <x v="1"/>
    <n v="690"/>
    <s v="IN/000654"/>
    <s v="in Turnhout : Kempenlaan, Parklaan, Steenweg op Gierle"/>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93"/>
    <x v="593"/>
    <s v="Verkeersveiligheid"/>
    <x v="1"/>
    <n v="691"/>
    <s v="IN/000655"/>
    <s v="in Turnhout : Kempenlaan, Parklaan, Steenweg op Gierle"/>
    <s v="De N140 wordt volledig heraangelegd en studie om VRI conflictvrij\ntiming afhankelijk van onteigeningen. (dus 2023 of 2024)"/>
    <s v="Structurele Ingreep"/>
    <s v="WA/INV/N140/2"/>
    <b v="0"/>
    <s v="Ingreep wordt niet opgevolgd in BOD"/>
    <s v="&lt;null&gt;"/>
    <s v="&lt;null&gt;"/>
    <s v="&lt;null&gt;"/>
    <s v="&lt;null&gt;"/>
    <s v="&lt;null&gt;"/>
    <x v="0"/>
    <s v="&lt;null&gt;"/>
    <s v="&lt;null&gt;"/>
    <s v="&lt;null&gt;"/>
    <s v="&lt;null&gt;"/>
    <n v="100"/>
    <s v="&lt;null&gt;"/>
    <s v="&lt;null&gt;"/>
    <s v="&lt;null&gt;"/>
    <s v="&lt;null&gt;"/>
    <m/>
    <m/>
    <m/>
    <m/>
  </r>
  <r>
    <x v="594"/>
    <x v="594"/>
    <s v="Verkeersveiligheid"/>
    <x v="1"/>
    <n v="692"/>
    <s v="IN/000656"/>
    <s v="in Turnhout : Graatakker, Parklaan, Steenweg op Zevendonk RELANCE21"/>
    <s v="weghalen voorlooppijl (gelijktijdig groen voor bestuurders en fietsers)"/>
    <s v="Kleine Ingreep"/>
    <s v="WA/INV/R13/3"/>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5950"/>
    <s v="(mva &amp; kuv) 152A3 R13-N19-Parklaan aanpassen + vetust &amp; 149A9 nieuwe installatie"/>
    <s v="&lt;p&gt;IN/000656&lt;/p&gt;"/>
    <s v="WA/INV/R13/3"/>
    <n v="50"/>
    <n v="243000"/>
    <n v="243000"/>
    <n v="0"/>
    <n v="0"/>
    <n v="121500"/>
    <n v="121500"/>
    <n v="0"/>
    <n v="0"/>
  </r>
  <r>
    <x v="595"/>
    <x v="595"/>
    <s v="Verkeersveiligheid"/>
    <x v="1"/>
    <n v="692"/>
    <s v="IN/000656"/>
    <s v="in Turnhout : Graatakker, Parklaan, Steenweg op Zevendonk RELANCE21"/>
    <s v="weghalen voorlooppijl (gelijktijdig groen voor bestuurders en fietsers)"/>
    <s v="Kleine Ingreep"/>
    <s v="WA/INV/R13/3"/>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5950"/>
    <s v="(mva &amp; kuv) 152A3 R13-N19-Parklaan aanpassen + vetust &amp; 149A9 nieuwe installatie"/>
    <s v="&lt;p&gt;IN/000656&lt;/p&gt;"/>
    <s v="WA/INV/R13/3"/>
    <n v="50"/>
    <n v="243000"/>
    <n v="243000"/>
    <n v="0"/>
    <n v="0"/>
    <n v="121500"/>
    <n v="121500"/>
    <n v="0"/>
    <n v="0"/>
  </r>
  <r>
    <x v="594"/>
    <x v="594"/>
    <s v="Verkeersveiligheid"/>
    <x v="1"/>
    <n v="693"/>
    <s v="IN/000657"/>
    <s v="in Turnhout : R013 x Graatakker, Parklaan, Steenweg op Zevendonk"/>
    <s v="Volledig conflictvrij + aanpassen lichtenregeling (+ 200 m verderop een nieuwe VRI op kruispunt met Carrefour)"/>
    <s v="Kleine Ingreep"/>
    <s v="&lt;null&gt;"/>
    <b v="0"/>
    <s v="Ingreep wordt niet opgevolgd in BOD"/>
    <s v="&lt;null&gt;"/>
    <s v="&lt;null&gt;"/>
    <s v="&lt;null&gt;"/>
    <s v="&lt;null&gt;"/>
    <s v="&lt;null&gt;"/>
    <x v="0"/>
    <s v="&lt;null&gt;"/>
    <s v="&lt;null&gt;"/>
    <s v="&lt;null&gt;"/>
    <s v="&lt;null&gt;"/>
    <n v="100"/>
    <s v="&lt;null&gt;"/>
    <s v="&lt;null&gt;"/>
    <s v="&lt;null&gt;"/>
    <s v="&lt;null&gt;"/>
    <m/>
    <m/>
    <m/>
    <m/>
  </r>
  <r>
    <x v="595"/>
    <x v="595"/>
    <s v="Verkeersveiligheid"/>
    <x v="1"/>
    <n v="693"/>
    <s v="IN/000657"/>
    <s v="in Turnhout : R013 x Graatakker, Parklaan, Steenweg op Zevendonk"/>
    <s v="Volledig conflictvrij + aanpassen lichtenregeling (+ 200 m verderop een nieuwe VRI op kruispunt met Carrefour)"/>
    <s v="Kleine Ingreep"/>
    <s v="&lt;null&gt;"/>
    <b v="0"/>
    <s v="Ingreep wordt niet opgevolgd in BOD"/>
    <s v="&lt;null&gt;"/>
    <s v="&lt;null&gt;"/>
    <s v="&lt;null&gt;"/>
    <s v="&lt;null&gt;"/>
    <s v="&lt;null&gt;"/>
    <x v="0"/>
    <s v="&lt;null&gt;"/>
    <s v="&lt;null&gt;"/>
    <s v="&lt;null&gt;"/>
    <s v="&lt;null&gt;"/>
    <n v="0"/>
    <s v="&lt;null&gt;"/>
    <s v="&lt;null&gt;"/>
    <s v="&lt;null&gt;"/>
    <s v="&lt;null&gt;"/>
    <m/>
    <m/>
    <m/>
    <m/>
  </r>
  <r>
    <x v="596"/>
    <x v="596"/>
    <s v="Verkeersveiligheid"/>
    <x v="1"/>
    <n v="694"/>
    <s v="IN/000658"/>
    <s v="in Turnhout : Kempenlaan, Nassaulaan, Steenweg op Antwerpen"/>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96"/>
    <x v="596"/>
    <s v="Verkeersveiligheid"/>
    <x v="1"/>
    <n v="695"/>
    <s v="IN/000659"/>
    <s v="X10/R13/22 (Kspt R13/N12 - Turnhout - Van Roey)"/>
    <s v="herinrichting. 2020 beginnen met onteigeningen. (geplande indienstname VRI 2023)"/>
    <s v="Structurele Ingreep"/>
    <s v="WA/INV/R013/3"/>
    <b v="0"/>
    <s v="Ingreep wordt niet opgevolgd in BOD"/>
    <s v="&lt;null&gt;"/>
    <s v="&lt;null&gt;"/>
    <s v="&lt;null&gt;"/>
    <s v="&lt;null&gt;"/>
    <s v="&lt;null&gt;"/>
    <x v="0"/>
    <s v="&lt;null&gt;"/>
    <s v="&lt;null&gt;"/>
    <s v="&lt;null&gt;"/>
    <s v="&lt;null&gt;"/>
    <n v="100"/>
    <s v="&lt;null&gt;"/>
    <s v="&lt;null&gt;"/>
    <s v="&lt;null&gt;"/>
    <s v="&lt;null&gt;"/>
    <m/>
    <m/>
    <m/>
    <m/>
  </r>
  <r>
    <x v="597"/>
    <x v="597"/>
    <s v="Verkeersveiligheid"/>
    <x v="1"/>
    <n v="696"/>
    <s v="IN/000660"/>
    <s v="VRI: aanpassen lichtenregeling in Turnhout : Steenweg op Diest, Tielendijk RELANCE21"/>
    <s v="Inrichten volgens actieplan + rekening houden met resultaten Vias"/>
    <s v="Kleine Ingreep"/>
    <s v="WA/INV/N19/10"/>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7312"/>
    <s v="NIV 236A4 (V017527) N19 - Tielendijk (schoolroutes)"/>
    <s v="&lt;p&gt;IN/000660&lt;/p&gt;"/>
    <s v="WA/INV/N19/10"/>
    <n v="100"/>
    <n v="200000"/>
    <n v="0"/>
    <n v="0"/>
    <n v="0"/>
    <n v="200000"/>
    <n v="0"/>
    <n v="0"/>
    <n v="0"/>
  </r>
  <r>
    <x v="598"/>
    <x v="598"/>
    <s v="Verkeersveiligheid"/>
    <x v="4"/>
    <n v="696"/>
    <s v="IN/000660"/>
    <s v="VRI: aanpassen lichtenregeling in Turnhout : Steenweg op Diest, Tielendijk RELANCE21"/>
    <s v="Inrichten volgens actieplan + rekening houden met resultaten Vias"/>
    <s v="Kleine Ingreep"/>
    <s v="WA/INV/N19/10"/>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7312"/>
    <s v="NIV 236A4 (V017527) N19 - Tielendijk (schoolroutes)"/>
    <s v="&lt;p&gt;IN/000660&lt;/p&gt;"/>
    <s v="WA/INV/N19/10"/>
    <n v="0"/>
    <n v="200000"/>
    <n v="0"/>
    <n v="0"/>
    <n v="0"/>
    <n v="0"/>
    <n v="0"/>
    <n v="0"/>
    <n v="0"/>
  </r>
  <r>
    <x v="595"/>
    <x v="595"/>
    <s v="Verkeersveiligheid"/>
    <x v="1"/>
    <n v="697"/>
    <s v="IN/000661"/>
    <s v="in Turnhout : Parklaan"/>
    <s v="nog niet gedefinieerd"/>
    <s v="Kleine Ingreep"/>
    <s v="&lt;null&gt;"/>
    <b v="0"/>
    <s v="Ingreep wordt niet opgevolgd in BOD"/>
    <s v="&lt;null&gt;"/>
    <s v="&lt;null&gt;"/>
    <s v="&lt;null&gt;"/>
    <s v="&lt;null&gt;"/>
    <s v="&lt;null&gt;"/>
    <x v="0"/>
    <s v="&lt;null&gt;"/>
    <s v="&lt;null&gt;"/>
    <s v="&lt;null&gt;"/>
    <s v="&lt;null&gt;"/>
    <n v="100"/>
    <s v="&lt;null&gt;"/>
    <s v="&lt;null&gt;"/>
    <s v="&lt;null&gt;"/>
    <s v="&lt;null&gt;"/>
    <m/>
    <m/>
    <m/>
    <m/>
  </r>
  <r>
    <x v="595"/>
    <x v="595"/>
    <s v="Verkeersveiligheid"/>
    <x v="1"/>
    <n v="698"/>
    <s v="IN/000662"/>
    <s v="mag weg - zit mee in IN/000657    in Turnhout : Parklaan"/>
    <s v="er wordt een aparte oprit voor de supermarkt voorzien, want nu maken voertugien een U-turn. zit samen in aanpassing in kruispunt (24624). realisatie kortetermijnsoplossingen via PCVmiddelen &gt; plaatsen VRI"/>
    <s v="Structurele Ingreep"/>
    <s v="&lt;null&gt;"/>
    <b v="0"/>
    <s v="Ingreep wordt niet opgevolgd in BOD"/>
    <s v="&lt;null&gt;"/>
    <s v="&lt;null&gt;"/>
    <s v="&lt;null&gt;"/>
    <s v="&lt;null&gt;"/>
    <s v="&lt;null&gt;"/>
    <x v="0"/>
    <s v="&lt;null&gt;"/>
    <s v="&lt;null&gt;"/>
    <s v="&lt;null&gt;"/>
    <s v="&lt;null&gt;"/>
    <n v="100"/>
    <s v="&lt;null&gt;"/>
    <s v="&lt;null&gt;"/>
    <s v="&lt;null&gt;"/>
    <s v="&lt;null&gt;"/>
    <m/>
    <m/>
    <m/>
    <m/>
  </r>
  <r>
    <x v="599"/>
    <x v="599"/>
    <s v="Verkeersveiligheid"/>
    <x v="1"/>
    <n v="699"/>
    <s v="IN/000663"/>
    <s v="in Turnhout : Noord-Brabantlaan, Parklaan, Steenweg op Mol, Steenweg op Turnhout"/>
    <s v="weghalen voorlooppijl (gelijktijdig groen voor bestuurders en fietsers)"/>
    <s v="Kleine Ingreep"/>
    <s v="&lt;null&gt;"/>
    <b v="0"/>
    <s v="Ingreep wordt niet opgevolgd in BOD"/>
    <s v="&lt;null&gt;"/>
    <s v="&lt;null&gt;"/>
    <s v="&lt;null&gt;"/>
    <s v="&lt;null&gt;"/>
    <s v="&lt;null&gt;"/>
    <x v="0"/>
    <s v="&lt;null&gt;"/>
    <s v="&lt;null&gt;"/>
    <s v="&lt;null&gt;"/>
    <s v="&lt;null&gt;"/>
    <n v="100"/>
    <s v="&lt;null&gt;"/>
    <s v="&lt;null&gt;"/>
    <s v="&lt;null&gt;"/>
    <s v="&lt;null&gt;"/>
    <m/>
    <m/>
    <m/>
    <m/>
  </r>
  <r>
    <x v="599"/>
    <x v="599"/>
    <s v="Verkeersveiligheid"/>
    <x v="1"/>
    <n v="700"/>
    <s v="IN/000664"/>
    <s v="Herinrichting R013 x N018"/>
    <s v="Studie Lopende: 2021\nuitvoering 2025"/>
    <s v="Structurele Ingreep"/>
    <s v="WA/INV/R013/2"/>
    <b v="0"/>
    <s v="Ingreep wordt niet opgevolgd in BOD"/>
    <s v="&lt;null&gt;"/>
    <s v="&lt;null&gt;"/>
    <s v="&lt;null&gt;"/>
    <s v="&lt;null&gt;"/>
    <s v="&lt;null&gt;"/>
    <x v="0"/>
    <s v="&lt;null&gt;"/>
    <s v="&lt;null&gt;"/>
    <s v="&lt;null&gt;"/>
    <s v="&lt;null&gt;"/>
    <n v="100"/>
    <s v="&lt;null&gt;"/>
    <s v="&lt;null&gt;"/>
    <s v="&lt;null&gt;"/>
    <s v="&lt;null&gt;"/>
    <m/>
    <m/>
    <m/>
    <m/>
  </r>
  <r>
    <x v="600"/>
    <x v="600"/>
    <s v="Verkeersveiligheid"/>
    <x v="1"/>
    <n v="701"/>
    <s v="IN/000665"/>
    <s v="in Turnhout : Everdongenlaan, Steenweg op Diest, Steenweg op Zevendonk"/>
    <s v="Aanpassing VRI. conflict rechtsaf en linksaf met fietsers en voetgangers uitgehaald."/>
    <s v="Kleine Ingreep"/>
    <s v="&lt;null&gt;"/>
    <b v="0"/>
    <s v="Ingreep wordt niet opgevolgd in BOD"/>
    <s v="&lt;null&gt;"/>
    <s v="&lt;null&gt;"/>
    <s v="&lt;null&gt;"/>
    <s v="&lt;null&gt;"/>
    <s v="&lt;null&gt;"/>
    <x v="0"/>
    <s v="&lt;null&gt;"/>
    <s v="&lt;null&gt;"/>
    <s v="&lt;null&gt;"/>
    <s v="&lt;null&gt;"/>
    <n v="100"/>
    <s v="&lt;null&gt;"/>
    <s v="&lt;null&gt;"/>
    <s v="&lt;null&gt;"/>
    <s v="&lt;null&gt;"/>
    <m/>
    <m/>
    <m/>
    <m/>
  </r>
  <r>
    <x v="601"/>
    <x v="601"/>
    <s v="Verkeersveiligheid"/>
    <x v="1"/>
    <n v="702"/>
    <s v="IN/000666"/>
    <s v="Horizontale signalisatie aanpassen in Veurne : N35 Richting Gavere (N60), N39 Richting Dunkerque(F), Nieuwpoortkeiweg, Statiestraat, Vaartstraat"/>
    <s v="aanpassingen markeringen op alle takken van de rotonde"/>
    <s v="Kleine Ingreep"/>
    <s v="WWV/INV/N35/4"/>
    <b v="1"/>
    <s v="Ingreep wordt opgevolgd in BOD"/>
    <s v="&lt;null&gt;"/>
    <s v="&lt;null&gt;"/>
    <n v="99551"/>
    <n v="21057590"/>
    <s v="&lt;p&gt;BV O30/D313/93 1M3D8J/20/21 3MH229 1ste jaar Leveren en aanbrengen van wegmarkeringen in district Ieper D313 bijkomende vastlegging&lt;/p&gt;"/>
    <x v="10"/>
    <n v="6904"/>
    <s v="&lt;null&gt;"/>
    <s v="&lt;p&gt;BV O30/D313/93 1M3D8J/20/21 3MH229 1ste jaar Leveren en aanbrengen van wegmarkeringen in district Ieper D313 bijkomende vastlegging&lt;/p&gt;"/>
    <s v="WWV/INV/N35/4"/>
    <n v="100"/>
    <n v="0"/>
    <n v="0"/>
    <n v="0"/>
    <n v="0"/>
    <n v="0"/>
    <n v="0"/>
    <n v="0"/>
    <n v="0"/>
  </r>
  <r>
    <x v="601"/>
    <x v="601"/>
    <s v="Verkeersveiligheid"/>
    <x v="1"/>
    <n v="702"/>
    <s v="IN/000666"/>
    <s v="Horizontale signalisatie aanpassen in Veurne : N35 Richting Gavere (N60), N39 Richting Dunkerque(F), Nieuwpoortkeiweg, Statiestraat, Vaartstraat"/>
    <s v="aanpassingen markeringen op alle takken van de rotonde"/>
    <s v="Kleine Ingreep"/>
    <s v="WWV/INV/N35/4"/>
    <b v="1"/>
    <s v="Ingreep wordt opgevolgd in BOD"/>
    <n v="10764"/>
    <s v="O30/D313/93"/>
    <n v="143201"/>
    <n v="21057590"/>
    <s v="&lt;p&gt;BV O30/D313/93 1M3D8J/20/21 3MH229 1ste jaar voorzien, 2e jaar uitgevoerd - Leveren en aanbrengen van wegmarkeringen in district Ieper D313 bijkomende vastlegging&lt;/p&gt;"/>
    <x v="10"/>
    <n v="9919"/>
    <s v="&lt;null&gt;"/>
    <s v="&lt;p&gt;BV O30/D313/93 1M3D8J/20/21 3MH229 1ste jaar Leveren en aanbrengen van wegmarkeringen in district Ieper D313 bijkomende vastlegging&lt;/p&gt;&lt;p&gt;&amp;nbsp;&lt;/p&gt;"/>
    <s v="WWV/INV/N35/4"/>
    <n v="100"/>
    <n v="12396.7"/>
    <n v="11901.905699999999"/>
    <n v="0"/>
    <n v="494.79430000000002"/>
    <n v="12396.7"/>
    <n v="11901.905699999999"/>
    <n v="0"/>
    <n v="494.79430000000002"/>
  </r>
  <r>
    <x v="602"/>
    <x v="602"/>
    <s v="Verkeersveiligheid"/>
    <x v="1"/>
    <n v="703"/>
    <s v="IN/000667"/>
    <s v="in Veurne : A18-E40 Richting Brugge"/>
    <s v="inzagen asfalt voor verbeterde waterafvoer"/>
    <s v="Kleine Ingreep"/>
    <s v="&lt;null&gt;"/>
    <b v="0"/>
    <s v="Ingreep wordt niet opgevolgd in BOD"/>
    <s v="&lt;null&gt;"/>
    <s v="&lt;null&gt;"/>
    <s v="&lt;null&gt;"/>
    <s v="&lt;null&gt;"/>
    <s v="&lt;null&gt;"/>
    <x v="0"/>
    <s v="&lt;null&gt;"/>
    <s v="&lt;null&gt;"/>
    <s v="&lt;null&gt;"/>
    <s v="&lt;null&gt;"/>
    <n v="100"/>
    <s v="&lt;null&gt;"/>
    <s v="&lt;null&gt;"/>
    <s v="&lt;null&gt;"/>
    <s v="&lt;null&gt;"/>
    <m/>
    <m/>
    <m/>
    <m/>
  </r>
  <r>
    <x v="603"/>
    <x v="603"/>
    <s v="Verkeersveiligheid"/>
    <x v="1"/>
    <n v="704"/>
    <s v="IN/000668"/>
    <s v="in Vilvoorde : Rubensstraat, Vlierkensstraat"/>
    <s v="Nieuwe lichten geplaatst. Aanpassing lichtenregeling moet nog gebeuren"/>
    <s v="Kleine Ingreep"/>
    <s v="&lt;null&gt;"/>
    <b v="0"/>
    <s v="Ingreep wordt niet opgevolgd in BOD"/>
    <s v="&lt;null&gt;"/>
    <s v="&lt;null&gt;"/>
    <s v="&lt;null&gt;"/>
    <s v="&lt;null&gt;"/>
    <s v="&lt;null&gt;"/>
    <x v="0"/>
    <s v="&lt;null&gt;"/>
    <s v="&lt;null&gt;"/>
    <s v="&lt;null&gt;"/>
    <s v="&lt;null&gt;"/>
    <n v="100"/>
    <s v="&lt;null&gt;"/>
    <s v="&lt;null&gt;"/>
    <s v="&lt;null&gt;"/>
    <s v="&lt;null&gt;"/>
    <m/>
    <m/>
    <m/>
    <m/>
  </r>
  <r>
    <x v="604"/>
    <x v="604"/>
    <s v="Verkeersveiligheid"/>
    <x v="1"/>
    <n v="705"/>
    <s v="IN/000669"/>
    <s v="in Vosselaar : Antwerpsesteenweg, Jagerslaan, Weigang"/>
    <s v="Aanpassing VRI (oa vonflictvrije linksaf)"/>
    <s v="Kleine Ingreep"/>
    <s v="&lt;null&gt;"/>
    <b v="0"/>
    <s v="Ingreep wordt niet opgevolgd in BOD"/>
    <s v="&lt;null&gt;"/>
    <s v="&lt;null&gt;"/>
    <s v="&lt;null&gt;"/>
    <s v="&lt;null&gt;"/>
    <s v="&lt;null&gt;"/>
    <x v="0"/>
    <s v="&lt;null&gt;"/>
    <s v="&lt;null&gt;"/>
    <s v="&lt;null&gt;"/>
    <s v="&lt;null&gt;"/>
    <n v="100"/>
    <s v="&lt;null&gt;"/>
    <s v="&lt;null&gt;"/>
    <s v="&lt;null&gt;"/>
    <s v="&lt;null&gt;"/>
    <m/>
    <m/>
    <m/>
    <m/>
  </r>
  <r>
    <x v="605"/>
    <x v="605"/>
    <s v="Verkeersveiligheid"/>
    <x v="1"/>
    <n v="706"/>
    <s v="IN/000670"/>
    <s v="in Waregem : Gentseweg, Posterijstraat, Vijfseweg"/>
    <s v="aanpassingen cyclus en kleine infrastructurele ingreep. Onder andere conflictvrij maken van de linksaf op de N43."/>
    <s v="Kleine Ingreep"/>
    <s v="&lt;null&gt;"/>
    <b v="0"/>
    <s v="Ingreep wordt niet opgevolgd in BOD"/>
    <s v="&lt;null&gt;"/>
    <s v="&lt;null&gt;"/>
    <s v="&lt;null&gt;"/>
    <s v="&lt;null&gt;"/>
    <s v="&lt;null&gt;"/>
    <x v="0"/>
    <s v="&lt;null&gt;"/>
    <s v="&lt;null&gt;"/>
    <s v="&lt;null&gt;"/>
    <s v="&lt;null&gt;"/>
    <n v="100"/>
    <s v="&lt;null&gt;"/>
    <s v="&lt;null&gt;"/>
    <s v="&lt;null&gt;"/>
    <s v="&lt;null&gt;"/>
    <m/>
    <m/>
    <m/>
    <m/>
  </r>
  <r>
    <x v="606"/>
    <x v="606"/>
    <s v="Verkeersveiligheid"/>
    <x v="1"/>
    <n v="707"/>
    <s v="IN/000671"/>
    <s v="Verlagen toegelaten snelheid in Wemmel : R0 Buitenring"/>
    <s v="Verlagen toegelaten snelheid"/>
    <s v="Kleine Ingreep"/>
    <s v="&lt;null&gt;"/>
    <b v="0"/>
    <s v="Ingreep wordt niet opgevolgd in BOD"/>
    <s v="&lt;null&gt;"/>
    <s v="&lt;null&gt;"/>
    <s v="&lt;null&gt;"/>
    <s v="&lt;null&gt;"/>
    <s v="&lt;null&gt;"/>
    <x v="0"/>
    <s v="&lt;null&gt;"/>
    <s v="&lt;null&gt;"/>
    <s v="&lt;null&gt;"/>
    <s v="&lt;null&gt;"/>
    <n v="100"/>
    <s v="&lt;null&gt;"/>
    <s v="&lt;null&gt;"/>
    <s v="&lt;null&gt;"/>
    <s v="&lt;null&gt;"/>
    <m/>
    <m/>
    <m/>
    <m/>
  </r>
  <r>
    <x v="606"/>
    <x v="606"/>
    <s v="Verkeersveiligheid"/>
    <x v="1"/>
    <n v="708"/>
    <s v="IN/000672"/>
    <s v="Verlagen toegelaten snelheid in Wemmel : R0 Buitenring"/>
    <s v="Herinrichting R0"/>
    <s v="Kleine Ingreep"/>
    <s v="&lt;null&gt;"/>
    <b v="0"/>
    <s v="Ingreep wordt niet opgevolgd in BOD"/>
    <s v="&lt;null&gt;"/>
    <s v="&lt;null&gt;"/>
    <s v="&lt;null&gt;"/>
    <s v="&lt;null&gt;"/>
    <s v="&lt;null&gt;"/>
    <x v="0"/>
    <s v="&lt;null&gt;"/>
    <s v="&lt;null&gt;"/>
    <s v="&lt;null&gt;"/>
    <s v="&lt;null&gt;"/>
    <n v="100"/>
    <s v="&lt;null&gt;"/>
    <s v="&lt;null&gt;"/>
    <s v="&lt;null&gt;"/>
    <s v="&lt;null&gt;"/>
    <m/>
    <m/>
    <m/>
    <m/>
  </r>
  <r>
    <x v="607"/>
    <x v="607"/>
    <s v="Verkeersveiligheid"/>
    <x v="1"/>
    <n v="709"/>
    <s v="IN/000673"/>
    <s v="Fietspad: aanpassen van ligging in Wemmel : de Limburg Stirumlaan, R0 Buitenring Oprit 8 (Wemmel), R0 Buitenring Uitrit 8 (Wemmel)"/>
    <s v="Fietspad verplaatsen (verdere aanpassingen beperkt)"/>
    <s v="Kleine Ingreep"/>
    <s v="&lt;null&gt;"/>
    <b v="0"/>
    <s v="Ingreep wordt niet opgevolgd in BOD"/>
    <s v="&lt;null&gt;"/>
    <s v="&lt;null&gt;"/>
    <s v="&lt;null&gt;"/>
    <s v="&lt;null&gt;"/>
    <s v="&lt;null&gt;"/>
    <x v="0"/>
    <s v="&lt;null&gt;"/>
    <s v="&lt;null&gt;"/>
    <s v="&lt;null&gt;"/>
    <s v="&lt;null&gt;"/>
    <n v="100"/>
    <s v="&lt;null&gt;"/>
    <s v="&lt;null&gt;"/>
    <s v="&lt;null&gt;"/>
    <s v="&lt;null&gt;"/>
    <m/>
    <m/>
    <m/>
    <m/>
  </r>
  <r>
    <x v="608"/>
    <x v="608"/>
    <s v="Verkeersveiligheid"/>
    <x v="1"/>
    <n v="710"/>
    <s v="IN/000674"/>
    <s v="Verlagen toegelaten snelheid in Wemmel : R0 Buitenring"/>
    <s v="Verlagen toegelaten snelheid"/>
    <s v="Kleine Ingreep"/>
    <s v="&lt;null&gt;"/>
    <b v="0"/>
    <s v="Ingreep wordt niet opgevolgd in BOD"/>
    <s v="&lt;null&gt;"/>
    <s v="&lt;null&gt;"/>
    <s v="&lt;null&gt;"/>
    <s v="&lt;null&gt;"/>
    <s v="&lt;null&gt;"/>
    <x v="0"/>
    <s v="&lt;null&gt;"/>
    <s v="&lt;null&gt;"/>
    <s v="&lt;null&gt;"/>
    <s v="&lt;null&gt;"/>
    <n v="100"/>
    <s v="&lt;null&gt;"/>
    <s v="&lt;null&gt;"/>
    <s v="&lt;null&gt;"/>
    <s v="&lt;null&gt;"/>
    <m/>
    <m/>
    <m/>
    <m/>
  </r>
  <r>
    <x v="608"/>
    <x v="608"/>
    <s v="Verkeersveiligheid"/>
    <x v="1"/>
    <n v="711"/>
    <s v="IN/000675"/>
    <s v="Verlagen toegelaten snelheid in Wemmel : R0 Buitenring"/>
    <s v="Herinrichting R0"/>
    <s v="Kleine Ingreep"/>
    <s v="&lt;null&gt;"/>
    <b v="0"/>
    <s v="Ingreep wordt niet opgevolgd in BOD"/>
    <s v="&lt;null&gt;"/>
    <s v="&lt;null&gt;"/>
    <s v="&lt;null&gt;"/>
    <s v="&lt;null&gt;"/>
    <s v="&lt;null&gt;"/>
    <x v="0"/>
    <s v="&lt;null&gt;"/>
    <s v="&lt;null&gt;"/>
    <s v="&lt;null&gt;"/>
    <s v="&lt;null&gt;"/>
    <n v="100"/>
    <s v="&lt;null&gt;"/>
    <s v="&lt;null&gt;"/>
    <s v="&lt;null&gt;"/>
    <s v="&lt;null&gt;"/>
    <m/>
    <m/>
    <m/>
    <m/>
  </r>
  <r>
    <x v="609"/>
    <x v="609"/>
    <s v="Verkeersveiligheid"/>
    <x v="1"/>
    <n v="712"/>
    <s v="IN/000676"/>
    <s v="Infra allerlei (oa brugvoegen vernieuwen, middenberm sluiten) in Westerlo : A13-E313 Richting Antwerpen"/>
    <s v="Brugvoegen werden vernieuwd (maart 2019)"/>
    <s v="Kleine Ingreep"/>
    <s v="WA/INV/A13/6"/>
    <b v="0"/>
    <s v="Ingreep wordt niet opgevolgd in BOD"/>
    <s v="&lt;null&gt;"/>
    <s v="&lt;null&gt;"/>
    <s v="&lt;null&gt;"/>
    <s v="&lt;null&gt;"/>
    <s v="&lt;null&gt;"/>
    <x v="0"/>
    <s v="&lt;null&gt;"/>
    <s v="&lt;null&gt;"/>
    <s v="&lt;null&gt;"/>
    <s v="&lt;null&gt;"/>
    <n v="100"/>
    <s v="&lt;null&gt;"/>
    <s v="&lt;null&gt;"/>
    <s v="&lt;null&gt;"/>
    <s v="&lt;null&gt;"/>
    <m/>
    <m/>
    <m/>
    <m/>
  </r>
  <r>
    <x v="610"/>
    <x v="610"/>
    <s v="Verkeersveiligheid"/>
    <x v="1"/>
    <n v="713"/>
    <s v="IN/000677"/>
    <s v="Gevaarlijk Punt: N42 Wetteren: middeneiland aanleggen"/>
    <s v="Er kan niet meer naar links worden afgeslagen (2020);\nOosterzelesteenweg thv Frunpark"/>
    <s v="Kleine Ingreep"/>
    <s v="&lt;null&gt;"/>
    <b v="0"/>
    <s v="Ingreep wordt niet opgevolgd in BOD"/>
    <s v="&lt;null&gt;"/>
    <s v="&lt;null&gt;"/>
    <s v="&lt;null&gt;"/>
    <s v="&lt;null&gt;"/>
    <s v="&lt;null&gt;"/>
    <x v="0"/>
    <s v="&lt;null&gt;"/>
    <s v="&lt;null&gt;"/>
    <s v="&lt;null&gt;"/>
    <s v="&lt;null&gt;"/>
    <n v="100"/>
    <s v="&lt;null&gt;"/>
    <s v="&lt;null&gt;"/>
    <s v="&lt;null&gt;"/>
    <s v="&lt;null&gt;"/>
    <m/>
    <m/>
    <m/>
    <m/>
  </r>
  <r>
    <x v="611"/>
    <x v="611"/>
    <s v="Verkeersveiligheid"/>
    <x v="1"/>
    <n v="714"/>
    <s v="IN/000678"/>
    <s v="VERWIJDEREN INBEGREPEN IN ANDERE INGREEP in Wetteren : N417 Zuidlaan met N462 Massemsesteenweg en Korte Massemsesteenweg"/>
    <s v="Ombouw VRI + aanpassingen rijstrook"/>
    <s v="Structurele Ingreep"/>
    <s v="&lt;null&gt;"/>
    <b v="0"/>
    <s v="Ingreep wordt niet opgevolgd in BOD"/>
    <s v="&lt;null&gt;"/>
    <s v="&lt;null&gt;"/>
    <s v="&lt;null&gt;"/>
    <s v="&lt;null&gt;"/>
    <s v="&lt;null&gt;"/>
    <x v="0"/>
    <s v="&lt;null&gt;"/>
    <s v="&lt;null&gt;"/>
    <s v="&lt;null&gt;"/>
    <s v="&lt;null&gt;"/>
    <n v="100"/>
    <s v="&lt;null&gt;"/>
    <s v="&lt;null&gt;"/>
    <s v="&lt;null&gt;"/>
    <s v="&lt;null&gt;"/>
    <m/>
    <m/>
    <m/>
    <m/>
  </r>
  <r>
    <x v="612"/>
    <x v="612"/>
    <s v="Verkeersveiligheid"/>
    <x v="1"/>
    <n v="715"/>
    <s v="IN/000679"/>
    <s v="in Wetteren : N9 Brusselsesteenweg met N42 Oosterzelesteenweg en N417 Zuidlaan"/>
    <s v="Heraanleg. Haalbaarheidsstudie"/>
    <s v="Structurele Ingreep"/>
    <s v="WOV/INV/N42/6"/>
    <b v="0"/>
    <s v="Ingreep wordt niet opgevolgd in BOD"/>
    <s v="&lt;null&gt;"/>
    <s v="&lt;null&gt;"/>
    <s v="&lt;null&gt;"/>
    <s v="&lt;null&gt;"/>
    <s v="&lt;null&gt;"/>
    <x v="0"/>
    <s v="&lt;null&gt;"/>
    <s v="&lt;null&gt;"/>
    <s v="&lt;null&gt;"/>
    <s v="&lt;null&gt;"/>
    <n v="100"/>
    <s v="&lt;null&gt;"/>
    <s v="&lt;null&gt;"/>
    <s v="&lt;null&gt;"/>
    <s v="&lt;null&gt;"/>
    <m/>
    <m/>
    <m/>
    <m/>
  </r>
  <r>
    <x v="613"/>
    <x v="613"/>
    <s v="Verkeersveiligheid"/>
    <x v="1"/>
    <n v="716"/>
    <s v="IN/000680"/>
    <s v="in Wetteren : N400 Felix Beernaertsplein met N407 Koningin Astridlaan, Nieuwstraat en Moerstraat. (Relance Raamcontract)"/>
    <s v="Voetpaden aanleggen"/>
    <s v="Kleine Ingreep"/>
    <s v="WOV/INV/N407/4"/>
    <b v="0"/>
    <s v="Ingreep wordt niet opgevolgd in BOD"/>
    <s v="&lt;null&gt;"/>
    <s v="&lt;null&gt;"/>
    <s v="&lt;null&gt;"/>
    <s v="&lt;null&gt;"/>
    <s v="&lt;null&gt;"/>
    <x v="0"/>
    <s v="&lt;null&gt;"/>
    <s v="&lt;null&gt;"/>
    <s v="&lt;null&gt;"/>
    <s v="&lt;null&gt;"/>
    <n v="100"/>
    <s v="&lt;null&gt;"/>
    <s v="&lt;null&gt;"/>
    <s v="&lt;null&gt;"/>
    <s v="&lt;null&gt;"/>
    <m/>
    <m/>
    <m/>
    <m/>
  </r>
  <r>
    <x v="614"/>
    <x v="614"/>
    <s v="Verkeersveiligheid"/>
    <x v="1"/>
    <n v="717"/>
    <s v="IN/000681"/>
    <s v="Gevaarlijk Punt: N9 Wetteren: aanpassen lichtenregeling + bijkomende aanpassingen infra"/>
    <s v="Ombouw VRI + infra;\nVRI: aanpassen lichtenregeling + bijkomende aanpassingen infra in Wetteren : N9 Brusselsesteenweg met N462 Keiberg en Massemsesteenweg. (Relance Raamcontract)"/>
    <s v="Kleine Ingreep"/>
    <s v="WOV/INV/N9/16"/>
    <b v="1"/>
    <s v="Ingreep wordt opgevolgd in BOD"/>
    <n v="9663"/>
    <s v="MDN/1504"/>
    <n v="99651"/>
    <n v="21057228"/>
    <s v="&lt;p&gt;6 locaties waar nieuwe verkeersregelaars worden geplaatst in het kader van de aanpak van gevaarlijke punten met relance-kredieten: Drongen (N466/Catriestraat), Gent (N60/Musschestraat), Gent (N70/N70a), St-Niklaas (R42/N451), Temse (N16/Hoogkamerstraat"/>
    <x v="8"/>
    <n v="6926"/>
    <s v="WO0312: Wetteren, N9/N462 Keiberg"/>
    <s v="&lt;p&gt;Lijst gevaarlijke punten&lt;/p&gt;"/>
    <s v="WOV/INV/N9/16"/>
    <n v="100"/>
    <n v="20900"/>
    <n v="13309.07"/>
    <n v="0"/>
    <n v="7590.93"/>
    <n v="20900"/>
    <n v="13309.07"/>
    <n v="0"/>
    <n v="7590.93"/>
  </r>
  <r>
    <x v="615"/>
    <x v="615"/>
    <s v="Fiets"/>
    <x v="0"/>
    <n v="718"/>
    <s v="IN/000682"/>
    <s v="in Wetteren : N417 Zuidlaan met Biezeweg"/>
    <s v="Heraanleg kruispunt door AWV, Biezeweg door gemeente. Maar onduidelijk wanneer weg wordt heraangelegd."/>
    <s v="Structurele Ingreep"/>
    <s v="WOV/INV/N417/1"/>
    <b v="0"/>
    <s v="Ingreep wordt niet opgevolgd in BOD"/>
    <s v="&lt;null&gt;"/>
    <s v="&lt;null&gt;"/>
    <s v="&lt;null&gt;"/>
    <s v="&lt;null&gt;"/>
    <s v="&lt;null&gt;"/>
    <x v="0"/>
    <s v="&lt;null&gt;"/>
    <s v="&lt;null&gt;"/>
    <s v="&lt;null&gt;"/>
    <s v="&lt;null&gt;"/>
    <n v="33.340000000000003"/>
    <s v="&lt;null&gt;"/>
    <s v="&lt;null&gt;"/>
    <s v="&lt;null&gt;"/>
    <s v="&lt;null&gt;"/>
    <m/>
    <m/>
    <m/>
    <m/>
  </r>
  <r>
    <x v="611"/>
    <x v="611"/>
    <s v="Verkeersveiligheid"/>
    <x v="1"/>
    <n v="718"/>
    <s v="IN/000682"/>
    <s v="in Wetteren : N417 Zuidlaan met Biezeweg"/>
    <s v="Heraanleg kruispunt door AWV, Biezeweg door gemeente. Maar onduidelijk wanneer weg wordt heraangelegd."/>
    <s v="Structurele Ingreep"/>
    <s v="WOV/INV/N417/1"/>
    <b v="0"/>
    <s v="Ingreep wordt niet opgevolgd in BOD"/>
    <s v="&lt;null&gt;"/>
    <s v="&lt;null&gt;"/>
    <s v="&lt;null&gt;"/>
    <s v="&lt;null&gt;"/>
    <s v="&lt;null&gt;"/>
    <x v="0"/>
    <s v="&lt;null&gt;"/>
    <s v="&lt;null&gt;"/>
    <s v="&lt;null&gt;"/>
    <s v="&lt;null&gt;"/>
    <n v="33.33"/>
    <s v="&lt;null&gt;"/>
    <s v="&lt;null&gt;"/>
    <s v="&lt;null&gt;"/>
    <s v="&lt;null&gt;"/>
    <m/>
    <m/>
    <m/>
    <m/>
  </r>
  <r>
    <x v="616"/>
    <x v="616"/>
    <s v="Verkeersveiligheid"/>
    <x v="1"/>
    <n v="718"/>
    <s v="IN/000682"/>
    <s v="in Wetteren : N417 Zuidlaan met Biezeweg"/>
    <s v="Heraanleg kruispunt door AWV, Biezeweg door gemeente. Maar onduidelijk wanneer weg wordt heraangelegd."/>
    <s v="Structurele Ingreep"/>
    <s v="WOV/INV/N417/1"/>
    <b v="0"/>
    <s v="Ingreep wordt niet opgevolgd in BOD"/>
    <s v="&lt;null&gt;"/>
    <s v="&lt;null&gt;"/>
    <s v="&lt;null&gt;"/>
    <s v="&lt;null&gt;"/>
    <s v="&lt;null&gt;"/>
    <x v="0"/>
    <s v="&lt;null&gt;"/>
    <s v="&lt;null&gt;"/>
    <s v="&lt;null&gt;"/>
    <s v="&lt;null&gt;"/>
    <n v="33.33"/>
    <s v="&lt;null&gt;"/>
    <s v="&lt;null&gt;"/>
    <s v="&lt;null&gt;"/>
    <s v="&lt;null&gt;"/>
    <m/>
    <m/>
    <m/>
    <m/>
  </r>
  <r>
    <x v="617"/>
    <x v="617"/>
    <s v="Verkeersveiligheid"/>
    <x v="1"/>
    <n v="719"/>
    <s v="IN/000683"/>
    <s v="in Wevelgem : A17 Richting Tournai Oprit 5, A17 Richting Tournai Uitrit 5, Kortrijkstraat"/>
    <s v="in Wevelgem : A17 Richting Tournai Oprit 5, A17 Richting Tournai Uitrit 5, Kortrijkstraat"/>
    <s v="Kleine Ingreep"/>
    <s v="WWV/INV/A17/4"/>
    <b v="1"/>
    <s v="Ingreep wordt opgevolgd in BOD"/>
    <s v="&lt;null&gt;"/>
    <s v="&lt;null&gt;"/>
    <n v="118201"/>
    <n v="21065772"/>
    <s v="&lt;p&gt;OF AWV/INV/2021/3 P3 3mh229 - gevaarlijke punten&lt;/p&gt;"/>
    <x v="10"/>
    <n v="8161"/>
    <s v="N8/A17 Wevelgem"/>
    <s v="&lt;null&gt;"/>
    <s v="WWV/INV/A17/4"/>
    <n v="100"/>
    <n v="41322"/>
    <n v="0"/>
    <n v="0"/>
    <n v="41322"/>
    <n v="41322"/>
    <n v="0"/>
    <n v="0"/>
    <n v="41322"/>
  </r>
  <r>
    <x v="617"/>
    <x v="617"/>
    <s v="Verkeersveiligheid"/>
    <x v="1"/>
    <n v="720"/>
    <s v="IN/000684"/>
    <s v="in Wevelgem : A17 Richting Tournai Oprit 5, A17 Richting Tournai Uitrit 5, Kortrijkstraat"/>
    <s v="zit in doorstromingsproject N8, rotonde met vrijliggende fietspaden en fietstunnel onder de op- en afrit."/>
    <s v="Kleine Ingreep"/>
    <s v="&lt;null&gt;"/>
    <b v="0"/>
    <s v="Ingreep wordt niet opgevolgd in BOD"/>
    <s v="&lt;null&gt;"/>
    <s v="&lt;null&gt;"/>
    <s v="&lt;null&gt;"/>
    <s v="&lt;null&gt;"/>
    <s v="&lt;null&gt;"/>
    <x v="0"/>
    <s v="&lt;null&gt;"/>
    <s v="&lt;null&gt;"/>
    <s v="&lt;null&gt;"/>
    <s v="&lt;null&gt;"/>
    <n v="100"/>
    <s v="&lt;null&gt;"/>
    <s v="&lt;null&gt;"/>
    <s v="&lt;null&gt;"/>
    <s v="&lt;null&gt;"/>
    <m/>
    <m/>
    <m/>
    <m/>
  </r>
  <r>
    <x v="618"/>
    <x v="618"/>
    <s v="Verkeersveiligheid"/>
    <x v="1"/>
    <n v="721"/>
    <s v="IN/000685"/>
    <s v="VRI: aanpassen lichtenregeling + bijkomende aanpassingen infra in Wijnegem : Houtlaan, 's Gravenwezelsteenweg RELANCE21"/>
    <s v="Aanpassen lichtenregeling + bypass wordt in lichten gestoken waarvoor een invoegstrook gemaakt wordt om gelijktijdig groen te krijgen met de gewestweg"/>
    <s v="Kleine Ingreep"/>
    <s v="WA/INV/N12/9"/>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5954"/>
    <s v="KUV 957A2 V015439 houtlaan (volledig vervangen vetust)"/>
    <s v="&lt;p&gt;IN/000685&lt;/p&gt;"/>
    <s v="WA/INV/N12/9"/>
    <n v="100"/>
    <n v="200000"/>
    <n v="0"/>
    <n v="0"/>
    <n v="0"/>
    <n v="200000"/>
    <n v="0"/>
    <n v="0"/>
    <n v="0"/>
  </r>
  <r>
    <x v="619"/>
    <x v="619"/>
    <s v="Verkeersveiligheid"/>
    <x v="1"/>
    <n v="722"/>
    <s v="IN/000686"/>
    <s v="in Wijnegem : Turnhoutsebaan (shopping)"/>
    <s v="Inrit is heringericht"/>
    <s v="Kleine Ingreep"/>
    <s v="&lt;null&gt;"/>
    <b v="0"/>
    <s v="Ingreep wordt niet opgevolgd in BOD"/>
    <s v="&lt;null&gt;"/>
    <s v="&lt;null&gt;"/>
    <s v="&lt;null&gt;"/>
    <s v="&lt;null&gt;"/>
    <s v="&lt;null&gt;"/>
    <x v="0"/>
    <s v="&lt;null&gt;"/>
    <s v="&lt;null&gt;"/>
    <s v="&lt;null&gt;"/>
    <s v="&lt;null&gt;"/>
    <n v="100"/>
    <s v="&lt;null&gt;"/>
    <s v="&lt;null&gt;"/>
    <s v="&lt;null&gt;"/>
    <s v="&lt;null&gt;"/>
    <m/>
    <m/>
    <m/>
    <m/>
  </r>
  <r>
    <x v="620"/>
    <x v="620"/>
    <s v="Verkeersveiligheid"/>
    <x v="1"/>
    <n v="723"/>
    <s v="IN/000687"/>
    <s v="in Wijnegem : Deurnesteenweg, Merksemsebaan"/>
    <s v="Meer conflictvrije lichtenregeling zal geïnstalleerd worden in 2019 (VLCC)"/>
    <s v="Kleine Ingreep"/>
    <s v="&lt;null&gt;"/>
    <b v="0"/>
    <s v="Ingreep wordt niet opgevolgd in BOD"/>
    <s v="&lt;null&gt;"/>
    <s v="&lt;null&gt;"/>
    <s v="&lt;null&gt;"/>
    <s v="&lt;null&gt;"/>
    <s v="&lt;null&gt;"/>
    <x v="0"/>
    <s v="&lt;null&gt;"/>
    <s v="&lt;null&gt;"/>
    <s v="&lt;null&gt;"/>
    <s v="&lt;null&gt;"/>
    <n v="100"/>
    <s v="&lt;null&gt;"/>
    <s v="&lt;null&gt;"/>
    <s v="&lt;null&gt;"/>
    <s v="&lt;null&gt;"/>
    <m/>
    <m/>
    <m/>
    <m/>
  </r>
  <r>
    <x v="620"/>
    <x v="620"/>
    <s v="Verkeersveiligheid"/>
    <x v="1"/>
    <n v="724"/>
    <s v="IN/000688"/>
    <s v="in Wijnegem : Deurnesteenweg, Merksemsebaan"/>
    <s v="Heraanleg kruispunt. Er wordt momenteel ook een nieuw kruispunt ernaast aangelegd (finaal af in 2023/2024)"/>
    <s v="Structurele Ingreep"/>
    <s v="WA/INV/N120/2"/>
    <b v="0"/>
    <s v="Ingreep wordt niet opgevolgd in BOD"/>
    <s v="&lt;null&gt;"/>
    <s v="&lt;null&gt;"/>
    <s v="&lt;null&gt;"/>
    <s v="&lt;null&gt;"/>
    <s v="&lt;null&gt;"/>
    <x v="0"/>
    <s v="&lt;null&gt;"/>
    <s v="&lt;null&gt;"/>
    <s v="&lt;null&gt;"/>
    <s v="&lt;null&gt;"/>
    <n v="100"/>
    <s v="&lt;null&gt;"/>
    <s v="&lt;null&gt;"/>
    <s v="&lt;null&gt;"/>
    <s v="&lt;null&gt;"/>
    <m/>
    <m/>
    <m/>
    <m/>
  </r>
  <r>
    <x v="621"/>
    <x v="621"/>
    <s v="Verkeersveiligheid"/>
    <x v="1"/>
    <n v="725"/>
    <s v="IN/000689"/>
    <s v="VRI: aanpassen lichtenregeling in Wommelgem : Autolei, Frans Beirenslaan, Herentalsebaan"/>
    <s v="Aanpassen lichtenregeling (momenteel problemen met galgpalen + fundering) (V015287)"/>
    <s v="Kleine Ingreep"/>
    <s v="WA/INV/R11/6"/>
    <b v="0"/>
    <s v="Ingreep wordt niet opgevolgd in BOD"/>
    <s v="&lt;null&gt;"/>
    <s v="&lt;null&gt;"/>
    <s v="&lt;null&gt;"/>
    <s v="&lt;null&gt;"/>
    <s v="&lt;null&gt;"/>
    <x v="0"/>
    <s v="&lt;null&gt;"/>
    <s v="&lt;null&gt;"/>
    <s v="&lt;null&gt;"/>
    <s v="&lt;null&gt;"/>
    <n v="100"/>
    <s v="&lt;null&gt;"/>
    <s v="&lt;null&gt;"/>
    <s v="&lt;null&gt;"/>
    <s v="&lt;null&gt;"/>
    <m/>
    <m/>
    <m/>
    <m/>
  </r>
  <r>
    <x v="622"/>
    <x v="622"/>
    <s v="Verkeersveiligheid"/>
    <x v="1"/>
    <n v="726"/>
    <s v="IN/000690"/>
    <s v="Groenbeheer in Zaventem : R0 Buitenring"/>
    <s v="Er worden bomen gekapt voorjaar 2020, vervolgens worden borden geplaatst (juni 2020 borden besteld)"/>
    <s v="Kleine Ingreep"/>
    <s v="WVB/INV/R0/10"/>
    <b v="0"/>
    <s v="Ingreep wordt niet opgevolgd in BOD"/>
    <s v="&lt;null&gt;"/>
    <s v="&lt;null&gt;"/>
    <s v="&lt;null&gt;"/>
    <s v="&lt;null&gt;"/>
    <s v="&lt;null&gt;"/>
    <x v="0"/>
    <s v="&lt;null&gt;"/>
    <s v="&lt;null&gt;"/>
    <s v="&lt;null&gt;"/>
    <s v="&lt;null&gt;"/>
    <n v="100"/>
    <s v="&lt;null&gt;"/>
    <s v="&lt;null&gt;"/>
    <s v="&lt;null&gt;"/>
    <s v="&lt;null&gt;"/>
    <m/>
    <m/>
    <m/>
    <m/>
  </r>
  <r>
    <x v="622"/>
    <x v="622"/>
    <s v="Verkeersveiligheid"/>
    <x v="1"/>
    <n v="727"/>
    <s v="IN/000691"/>
    <s v="Groenbeheer in Zaventem : R0 Buitenring (MAG WEG - DOOR DWV)"/>
    <s v="Herinrichting R0 door de Werkvenootschap"/>
    <s v="Structurele Ingreep"/>
    <s v="&lt;null&gt;"/>
    <b v="0"/>
    <s v="Ingreep wordt niet opgevolgd in BOD"/>
    <s v="&lt;null&gt;"/>
    <s v="&lt;null&gt;"/>
    <s v="&lt;null&gt;"/>
    <s v="&lt;null&gt;"/>
    <s v="&lt;null&gt;"/>
    <x v="0"/>
    <s v="&lt;null&gt;"/>
    <s v="&lt;null&gt;"/>
    <s v="&lt;null&gt;"/>
    <s v="&lt;null&gt;"/>
    <n v="100"/>
    <s v="&lt;null&gt;"/>
    <s v="&lt;null&gt;"/>
    <s v="&lt;null&gt;"/>
    <s v="&lt;null&gt;"/>
    <m/>
    <m/>
    <m/>
    <m/>
  </r>
  <r>
    <x v="623"/>
    <x v="623"/>
    <s v="Verkeersveiligheid"/>
    <x v="1"/>
    <n v="728"/>
    <s v="IN/000692"/>
    <s v="in Zaventem : Leuvensesteenweg, Woluwedal (MAG WEG - DOOR DWV)"/>
    <s v="werken herinrichting zijn lopende &gt; werkvenootschap"/>
    <s v="Structurele Ingreep"/>
    <s v="&lt;null&gt;"/>
    <b v="0"/>
    <s v="Ingreep wordt niet opgevolgd in BOD"/>
    <s v="&lt;null&gt;"/>
    <s v="&lt;null&gt;"/>
    <s v="&lt;null&gt;"/>
    <s v="&lt;null&gt;"/>
    <s v="&lt;null&gt;"/>
    <x v="0"/>
    <s v="&lt;null&gt;"/>
    <s v="&lt;null&gt;"/>
    <s v="&lt;null&gt;"/>
    <s v="&lt;null&gt;"/>
    <n v="100"/>
    <s v="&lt;null&gt;"/>
    <s v="&lt;null&gt;"/>
    <s v="&lt;null&gt;"/>
    <s v="&lt;null&gt;"/>
    <m/>
    <m/>
    <m/>
    <m/>
  </r>
  <r>
    <x v="624"/>
    <x v="624"/>
    <s v="Verkeersveiligheid"/>
    <x v="1"/>
    <n v="729"/>
    <s v="IN/000693"/>
    <s v="Horizontale signalisatie aanpassen in Zaventem : Mechelsesteenweg, Nieuwstraat, Walenhof"/>
    <s v="Horizontale markering aanpassen (parkeerstrook inkorten)\nverdere oplossing in kader van herinrichting plein door Zaventem\nverschuiven bushalte ri Nossegem"/>
    <s v="Kleine Ingreep"/>
    <s v="WVB/INV/NX/6"/>
    <b v="0"/>
    <s v="Ingreep wordt niet opgevolgd in BOD"/>
    <s v="&lt;null&gt;"/>
    <s v="&lt;null&gt;"/>
    <s v="&lt;null&gt;"/>
    <s v="&lt;null&gt;"/>
    <s v="&lt;null&gt;"/>
    <x v="0"/>
    <s v="&lt;null&gt;"/>
    <s v="&lt;null&gt;"/>
    <s v="&lt;null&gt;"/>
    <s v="&lt;null&gt;"/>
    <n v="100"/>
    <s v="&lt;null&gt;"/>
    <s v="&lt;null&gt;"/>
    <s v="&lt;null&gt;"/>
    <s v="&lt;null&gt;"/>
    <m/>
    <m/>
    <m/>
    <m/>
  </r>
  <r>
    <x v="625"/>
    <x v="625"/>
    <s v="Verkeersveiligheid"/>
    <x v="1"/>
    <n v="730"/>
    <s v="IN/000694"/>
    <s v="VRI: andere installatie (oa boogpalen, opschuiven drukknop, lichtengeregelde oversteek) in Zaventem : Hoge Wei, Leuvensesteenweg"/>
    <s v="Plaatsen van boogpalen, plastieken paaltjes naast afslagstrook, volgens actieplan"/>
    <s v="Kleine Ingreep"/>
    <s v="WVB/INV/N2/15"/>
    <b v="1"/>
    <s v="Ingreep wordt opgevolgd in BOD"/>
    <n v="9663"/>
    <s v="MDN/1504"/>
    <n v="56601"/>
    <n v="21043293"/>
    <s v="&lt;p&gt;algemene vastlegging investering: aanpassingen van verschillende VRI installaties&lt;/p&gt;"/>
    <x v="6"/>
    <n v="6669"/>
    <s v="033C4 - ZAVENTEM - Kruispunt N2 Leuvensesteenweg met Hoge Wei."/>
    <s v="&lt;null&gt;"/>
    <s v="WVB/INV/N2/15"/>
    <n v="100"/>
    <n v="7495.5"/>
    <n v="7495.5"/>
    <n v="0"/>
    <n v="0"/>
    <n v="7495.5"/>
    <n v="7495.5"/>
    <n v="0"/>
    <n v="0"/>
  </r>
  <r>
    <x v="626"/>
    <x v="626"/>
    <s v="Verkeersveiligheid"/>
    <x v="1"/>
    <n v="731"/>
    <s v="IN/000695"/>
    <s v="in Zaventem : R0 Buitenring"/>
    <s v="er werden vangrails geplaatst om de brug af te schermen"/>
    <s v="Kleine Ingreep"/>
    <s v="&lt;null&gt;"/>
    <b v="0"/>
    <s v="Ingreep wordt niet opgevolgd in BOD"/>
    <s v="&lt;null&gt;"/>
    <s v="&lt;null&gt;"/>
    <s v="&lt;null&gt;"/>
    <s v="&lt;null&gt;"/>
    <s v="&lt;null&gt;"/>
    <x v="0"/>
    <s v="&lt;null&gt;"/>
    <s v="&lt;null&gt;"/>
    <s v="&lt;null&gt;"/>
    <s v="&lt;null&gt;"/>
    <n v="100"/>
    <s v="&lt;null&gt;"/>
    <s v="&lt;null&gt;"/>
    <s v="&lt;null&gt;"/>
    <s v="&lt;null&gt;"/>
    <m/>
    <m/>
    <m/>
    <m/>
  </r>
  <r>
    <x v="626"/>
    <x v="626"/>
    <s v="Verkeersveiligheid"/>
    <x v="1"/>
    <n v="732"/>
    <s v="IN/000696"/>
    <s v="in Zaventem : R0 Buitenring (MAG WEG - DOOR DWV)"/>
    <s v="Herinrichting R0 door De Werkvennootschap"/>
    <s v="Structurele Ingreep"/>
    <s v="&lt;null&gt;"/>
    <b v="0"/>
    <s v="Ingreep wordt niet opgevolgd in BOD"/>
    <s v="&lt;null&gt;"/>
    <s v="&lt;null&gt;"/>
    <s v="&lt;null&gt;"/>
    <s v="&lt;null&gt;"/>
    <s v="&lt;null&gt;"/>
    <x v="0"/>
    <s v="&lt;null&gt;"/>
    <s v="&lt;null&gt;"/>
    <s v="&lt;null&gt;"/>
    <s v="&lt;null&gt;"/>
    <n v="100"/>
    <s v="&lt;null&gt;"/>
    <s v="&lt;null&gt;"/>
    <s v="&lt;null&gt;"/>
    <s v="&lt;null&gt;"/>
    <m/>
    <m/>
    <m/>
    <m/>
  </r>
  <r>
    <x v="627"/>
    <x v="627"/>
    <s v="Verkeersveiligheid"/>
    <x v="1"/>
    <n v="733"/>
    <s v="IN/000697"/>
    <s v="Verticale signalisatie aanpassen in Zaventem : R0 Buitenring"/>
    <s v="wit bord naar km 31.150 + splitsingsbaken plaatsen + rechts bord op portiek aanpassen + naderingsmarkeringen naar 150m verlengen. juni 2020: borden zijn besteld,  timing uitvoering onduidelijk"/>
    <s v="Kleine Ingreep"/>
    <s v="WVB/INV/R0/11"/>
    <b v="0"/>
    <s v="Ingreep wordt niet opgevolgd in BOD"/>
    <s v="&lt;null&gt;"/>
    <s v="&lt;null&gt;"/>
    <s v="&lt;null&gt;"/>
    <s v="&lt;null&gt;"/>
    <s v="&lt;null&gt;"/>
    <x v="0"/>
    <s v="&lt;null&gt;"/>
    <s v="&lt;null&gt;"/>
    <s v="&lt;null&gt;"/>
    <s v="&lt;null&gt;"/>
    <n v="100"/>
    <s v="&lt;null&gt;"/>
    <s v="&lt;null&gt;"/>
    <s v="&lt;null&gt;"/>
    <s v="&lt;null&gt;"/>
    <m/>
    <m/>
    <m/>
    <m/>
  </r>
  <r>
    <x v="627"/>
    <x v="627"/>
    <s v="Verkeersveiligheid"/>
    <x v="1"/>
    <n v="734"/>
    <s v="IN/000698"/>
    <s v="Verticale signalisatie aanpassen in Zaventem : R0 Buitenring (MAG WEG - DOOR DWV)"/>
    <s v="Herinrichting R0 door De Werkvennootschap"/>
    <s v="Structurele Ingreep"/>
    <s v="&lt;null&gt;"/>
    <b v="0"/>
    <s v="Ingreep wordt niet opgevolgd in BOD"/>
    <s v="&lt;null&gt;"/>
    <s v="&lt;null&gt;"/>
    <s v="&lt;null&gt;"/>
    <s v="&lt;null&gt;"/>
    <s v="&lt;null&gt;"/>
    <x v="0"/>
    <s v="&lt;null&gt;"/>
    <s v="&lt;null&gt;"/>
    <s v="&lt;null&gt;"/>
    <s v="&lt;null&gt;"/>
    <n v="100"/>
    <s v="&lt;null&gt;"/>
    <s v="&lt;null&gt;"/>
    <s v="&lt;null&gt;"/>
    <s v="&lt;null&gt;"/>
    <m/>
    <m/>
    <m/>
    <m/>
  </r>
  <r>
    <x v="628"/>
    <x v="628"/>
    <s v="Verkeersveiligheid"/>
    <x v="1"/>
    <n v="735"/>
    <s v="IN/000699"/>
    <s v="in Zaventem : Leuvensesteenweg, Mechelsesteenweg"/>
    <s v="nog niet gedefinieerd"/>
    <s v="Kleine Ingreep"/>
    <s v="WVB/INV/N227/8"/>
    <b v="1"/>
    <s v="Ingreep wordt opgevolgd in BOD"/>
    <n v="10166"/>
    <s v="MDN/59-4"/>
    <n v="104951"/>
    <n v="21064254"/>
    <s v="&lt;p&gt;Relance VRI - aanpak van gevaarlijke punten in de provincie Vlaams-Brabant 2022-2023.&lt;br&gt;&lt;br&gt;Budget voor aanpassingen aan de buiteninstallatie verkeerslichten op verkeerslichtengeregelde kruispunten die opgenomen zijn in de dynamische lijst gevaarlijke"/>
    <x v="4"/>
    <n v="9856"/>
    <s v="Installatie 090C3 - N2 Leuvensesteenweg - N227 Mechelsesteenweg - '4 Armen ' - ZAVENTEM"/>
    <s v="&lt;p&gt;Aanpassing volgens actieplan, maximaal conflictvrij&lt;/p&gt;"/>
    <s v="WVB/INV/N227/8"/>
    <n v="100"/>
    <n v="39880.14"/>
    <n v="0"/>
    <n v="0"/>
    <n v="0"/>
    <n v="39880.14"/>
    <n v="0"/>
    <n v="0"/>
    <n v="0"/>
  </r>
  <r>
    <x v="629"/>
    <x v="629"/>
    <s v="Verkeersveiligheid"/>
    <x v="1"/>
    <n v="736"/>
    <s v="IN/000700"/>
    <s v="in Zaventem : A3-E40 Richting Brussel"/>
    <s v="Rijstrooksignalisatie"/>
    <s v="Kleine Ingreep"/>
    <s v="WVB/INV/A3/16"/>
    <b v="1"/>
    <s v="Ingreep wordt opgevolgd in BOD"/>
    <s v="&lt;null&gt;"/>
    <s v="&lt;null&gt;"/>
    <n v="154801"/>
    <n v="22002094"/>
    <s v="&lt;p&gt;Aanleg van RSS'en en RVMS'en met bijhorende portieken en/of galgpalen op de E40/A3 Bertem-Sterrebeek-R0 richting Brussel&lt;/p&gt;"/>
    <x v="3"/>
    <n v="10682"/>
    <s v="&lt;null&gt;"/>
    <s v="&lt;p&gt;Aanleg van RSS'en en RVMS'en met bijhorende portieken en/of galgpalen op de E40/A3 Bertem-Sterrebeek-R0 richting Brussel&lt;/p&gt;"/>
    <s v="WVB/INV/A3/16"/>
    <n v="100"/>
    <n v="261587.63"/>
    <n v="0"/>
    <n v="0"/>
    <n v="261587.63"/>
    <n v="261587.63"/>
    <n v="0"/>
    <n v="0"/>
    <n v="261587.63"/>
  </r>
  <r>
    <x v="629"/>
    <x v="629"/>
    <s v="Verkeersveiligheid"/>
    <x v="1"/>
    <n v="736"/>
    <s v="IN/000700"/>
    <s v="in Zaventem : A3-E40 Richting Brussel"/>
    <s v="Rijstrooksignalisatie"/>
    <s v="Kleine Ingreep"/>
    <s v="WVB/INV/A3/16"/>
    <b v="1"/>
    <s v="Ingreep wordt opgevolgd in BOD"/>
    <s v="&lt;null&gt;"/>
    <s v="&lt;null&gt;"/>
    <n v="159551"/>
    <n v="22051992"/>
    <s v="&lt;p&gt;Camera's voor Dynamisch Verkeersmanagement E40 Bertem Sterrebeek ri Brussel - KP/000677&lt;/p&gt;"/>
    <x v="14"/>
    <n v="11057"/>
    <s v="&lt;null&gt;"/>
    <s v="&lt;p&gt;Camera's voor Dynamisch Verkeersmanagement E40 Bertem Sterrebeek ri Brussel - KP/000677&lt;/p&gt;"/>
    <s v="WVB/INV/A3/16"/>
    <n v="100"/>
    <n v="57851.24"/>
    <n v="0"/>
    <n v="0"/>
    <n v="57851.24"/>
    <n v="57851.24"/>
    <n v="0"/>
    <n v="0"/>
    <n v="57851.24"/>
  </r>
  <r>
    <x v="630"/>
    <x v="630"/>
    <s v="Verkeersveiligheid"/>
    <x v="1"/>
    <n v="737"/>
    <s v="IN/000701"/>
    <s v="in Zelzate : R4 Pres. J.F. Kennedylaan met Rijkswachtlaan en Akker"/>
    <s v="Aanpassing verkeerslichtenregeling (2019)"/>
    <s v="Kleine Ingreep"/>
    <s v="&lt;null&gt;"/>
    <b v="0"/>
    <s v="Ingreep wordt niet opgevolgd in BOD"/>
    <s v="&lt;null&gt;"/>
    <s v="&lt;null&gt;"/>
    <s v="&lt;null&gt;"/>
    <s v="&lt;null&gt;"/>
    <s v="&lt;null&gt;"/>
    <x v="0"/>
    <s v="&lt;null&gt;"/>
    <s v="&lt;null&gt;"/>
    <s v="&lt;null&gt;"/>
    <s v="&lt;null&gt;"/>
    <n v="100"/>
    <s v="&lt;null&gt;"/>
    <s v="&lt;null&gt;"/>
    <s v="&lt;null&gt;"/>
    <s v="&lt;null&gt;"/>
    <m/>
    <m/>
    <m/>
    <m/>
  </r>
  <r>
    <x v="630"/>
    <x v="630"/>
    <s v="Verkeersveiligheid"/>
    <x v="1"/>
    <n v="738"/>
    <s v="IN/000702"/>
    <s v="PPS R4WO   Zelzate : R4 Pres. J.F. Kennedylaan met Rijkswachtlaan en Akker"/>
    <s v="tunnel (PPS R4WO)"/>
    <s v="Structurele Ingreep"/>
    <s v="&lt;null&gt;"/>
    <b v="0"/>
    <s v="Ingreep wordt niet opgevolgd in BOD"/>
    <s v="&lt;null&gt;"/>
    <s v="&lt;null&gt;"/>
    <s v="&lt;null&gt;"/>
    <s v="&lt;null&gt;"/>
    <s v="&lt;null&gt;"/>
    <x v="0"/>
    <s v="&lt;null&gt;"/>
    <s v="&lt;null&gt;"/>
    <s v="&lt;null&gt;"/>
    <s v="&lt;null&gt;"/>
    <n v="100"/>
    <s v="&lt;null&gt;"/>
    <s v="&lt;null&gt;"/>
    <s v="&lt;null&gt;"/>
    <s v="&lt;null&gt;"/>
    <m/>
    <m/>
    <m/>
    <m/>
  </r>
  <r>
    <x v="631"/>
    <x v="631"/>
    <s v="Verkeersveiligheid"/>
    <x v="1"/>
    <n v="739"/>
    <s v="IN/000703"/>
    <s v="VRI: nieuwe installatie plaatsen in Zelzate : R4 Kanaalstraat met Vredekaai en Westkade"/>
    <s v="VRI plaatsen"/>
    <s v="Kleine Ingreep"/>
    <s v="WOV/INV/NX/1"/>
    <b v="0"/>
    <s v="Ingreep wordt niet opgevolgd in BOD"/>
    <s v="&lt;null&gt;"/>
    <s v="&lt;null&gt;"/>
    <s v="&lt;null&gt;"/>
    <s v="&lt;null&gt;"/>
    <s v="&lt;null&gt;"/>
    <x v="0"/>
    <s v="&lt;null&gt;"/>
    <s v="&lt;null&gt;"/>
    <s v="&lt;null&gt;"/>
    <s v="&lt;null&gt;"/>
    <n v="100"/>
    <s v="&lt;null&gt;"/>
    <s v="&lt;null&gt;"/>
    <s v="&lt;null&gt;"/>
    <s v="&lt;null&gt;"/>
    <m/>
    <m/>
    <m/>
    <m/>
  </r>
  <r>
    <x v="631"/>
    <x v="631"/>
    <s v="Verkeersveiligheid"/>
    <x v="1"/>
    <n v="740"/>
    <s v="IN/000704"/>
    <s v="VRI: nieuwe installatie plaatsen in Zelzate : R4 Kanaalstraat met Vredekaai en Westkade"/>
    <s v="complete heraanleg R4WO"/>
    <s v="Kleine Ingreep"/>
    <s v="&lt;null&gt;"/>
    <b v="0"/>
    <s v="Ingreep wordt niet opgevolgd in BOD"/>
    <s v="&lt;null&gt;"/>
    <s v="&lt;null&gt;"/>
    <s v="&lt;null&gt;"/>
    <s v="&lt;null&gt;"/>
    <s v="&lt;null&gt;"/>
    <x v="0"/>
    <s v="&lt;null&gt;"/>
    <s v="&lt;null&gt;"/>
    <s v="&lt;null&gt;"/>
    <s v="&lt;null&gt;"/>
    <n v="100"/>
    <s v="&lt;null&gt;"/>
    <s v="&lt;null&gt;"/>
    <s v="&lt;null&gt;"/>
    <s v="&lt;null&gt;"/>
    <m/>
    <m/>
    <m/>
    <m/>
  </r>
  <r>
    <x v="632"/>
    <x v="632"/>
    <s v="Verkeersveiligheid"/>
    <x v="1"/>
    <n v="741"/>
    <s v="IN/000705"/>
    <s v="in Zemst : Brusselsesteenweg, Damstraat, Guldenboomlaan, N1 Richting Antwerpen - Breda (Nl), Robert Schumanlaan"/>
    <s v="Fietsoversteek werd conflictvrij gemaakt (nav een dodelijk ongeval met fietser)"/>
    <s v="Kleine Ingreep"/>
    <s v="&lt;null&gt;"/>
    <b v="0"/>
    <s v="Ingreep wordt niet opgevolgd in BOD"/>
    <s v="&lt;null&gt;"/>
    <s v="&lt;null&gt;"/>
    <s v="&lt;null&gt;"/>
    <s v="&lt;null&gt;"/>
    <s v="&lt;null&gt;"/>
    <x v="0"/>
    <s v="&lt;null&gt;"/>
    <s v="&lt;null&gt;"/>
    <s v="&lt;null&gt;"/>
    <s v="&lt;null&gt;"/>
    <n v="100"/>
    <s v="&lt;null&gt;"/>
    <s v="&lt;null&gt;"/>
    <s v="&lt;null&gt;"/>
    <s v="&lt;null&gt;"/>
    <m/>
    <m/>
    <m/>
    <m/>
  </r>
  <r>
    <x v="633"/>
    <x v="633"/>
    <s v="Verkeersveiligheid"/>
    <x v="1"/>
    <n v="742"/>
    <s v="IN/000706"/>
    <s v="in Zonhoven : Beringersteenweg, Donkweg, Stationsstraat, Wijerstraat"/>
    <s v="Beveiliging kruispunt met veilige fietspaden en oversteekplaatsen"/>
    <s v="Kleine Ingreep"/>
    <s v="&lt;null&gt;"/>
    <b v="0"/>
    <s v="Ingreep wordt niet opgevolgd in BOD"/>
    <s v="&lt;null&gt;"/>
    <s v="&lt;null&gt;"/>
    <s v="&lt;null&gt;"/>
    <s v="&lt;null&gt;"/>
    <s v="&lt;null&gt;"/>
    <x v="0"/>
    <s v="&lt;null&gt;"/>
    <s v="&lt;null&gt;"/>
    <s v="&lt;null&gt;"/>
    <s v="&lt;null&gt;"/>
    <n v="100"/>
    <s v="&lt;null&gt;"/>
    <s v="&lt;null&gt;"/>
    <s v="&lt;null&gt;"/>
    <s v="&lt;null&gt;"/>
    <m/>
    <m/>
    <m/>
    <m/>
  </r>
  <r>
    <x v="634"/>
    <x v="634"/>
    <s v="Verkeersveiligheid"/>
    <x v="1"/>
    <n v="743"/>
    <s v="IN/000707"/>
    <s v="in Zottegem : N42 Europaweg met Buke"/>
    <s v="Aanpassen VRI volgens actieplan"/>
    <s v="Kleine Ingreep"/>
    <s v="&lt;null&gt;"/>
    <b v="0"/>
    <s v="Ingreep wordt niet opgevolgd in BOD"/>
    <s v="&lt;null&gt;"/>
    <s v="&lt;null&gt;"/>
    <s v="&lt;null&gt;"/>
    <s v="&lt;null&gt;"/>
    <s v="&lt;null&gt;"/>
    <x v="0"/>
    <s v="&lt;null&gt;"/>
    <s v="&lt;null&gt;"/>
    <s v="&lt;null&gt;"/>
    <s v="&lt;null&gt;"/>
    <n v="100"/>
    <s v="&lt;null&gt;"/>
    <s v="&lt;null&gt;"/>
    <s v="&lt;null&gt;"/>
    <s v="&lt;null&gt;"/>
    <m/>
    <m/>
    <m/>
    <m/>
  </r>
  <r>
    <x v="635"/>
    <x v="635"/>
    <s v="Verkeersveiligheid"/>
    <x v="1"/>
    <n v="744"/>
    <s v="IN/000708"/>
    <s v="in Zottegem : N46 Provinciebaan met Balegemstraat en Elenestraat"/>
    <s v="heraanleg kruispunt (in kader van heraanleg volledig wegvak)"/>
    <s v="Structurele Ingreep"/>
    <s v="WOV/INV/N46/1"/>
    <b v="0"/>
    <s v="Ingreep wordt niet opgevolgd in BOD"/>
    <s v="&lt;null&gt;"/>
    <s v="&lt;null&gt;"/>
    <s v="&lt;null&gt;"/>
    <s v="&lt;null&gt;"/>
    <s v="&lt;null&gt;"/>
    <x v="0"/>
    <s v="&lt;null&gt;"/>
    <s v="&lt;null&gt;"/>
    <s v="&lt;null&gt;"/>
    <s v="&lt;null&gt;"/>
    <n v="100"/>
    <s v="&lt;null&gt;"/>
    <s v="&lt;null&gt;"/>
    <s v="&lt;null&gt;"/>
    <s v="&lt;null&gt;"/>
    <m/>
    <m/>
    <m/>
    <m/>
  </r>
  <r>
    <x v="636"/>
    <x v="636"/>
    <s v="Verkeersveiligheid"/>
    <x v="1"/>
    <n v="745"/>
    <s v="IN/000709"/>
    <s v="in Zottegem : N42 Europaweg met Leenstraat"/>
    <s v="semi-conflictvrij (reeds aangepakt vooraleer bekend was dat dit een gevaarlijk punt is)"/>
    <s v="Kleine Ingreep"/>
    <s v="&lt;null&gt;"/>
    <b v="0"/>
    <s v="Ingreep wordt niet opgevolgd in BOD"/>
    <s v="&lt;null&gt;"/>
    <s v="&lt;null&gt;"/>
    <s v="&lt;null&gt;"/>
    <s v="&lt;null&gt;"/>
    <s v="&lt;null&gt;"/>
    <x v="0"/>
    <s v="&lt;null&gt;"/>
    <s v="&lt;null&gt;"/>
    <s v="&lt;null&gt;"/>
    <s v="&lt;null&gt;"/>
    <n v="100"/>
    <s v="&lt;null&gt;"/>
    <s v="&lt;null&gt;"/>
    <s v="&lt;null&gt;"/>
    <s v="&lt;null&gt;"/>
    <m/>
    <m/>
    <m/>
    <m/>
  </r>
  <r>
    <x v="637"/>
    <x v="637"/>
    <s v="Verkeersveiligheid"/>
    <x v="1"/>
    <n v="746"/>
    <s v="IN/000710"/>
    <s v="in Zottegem : N42 Europaweg met N46 Steenweg op Aalst"/>
    <s v="VRI ombouwen naar actieplan + in,frastructuur aangepast (vluchtheuvels aanpass). Niet volledig conflictvrij wegens onteigeningen"/>
    <s v="Kleine Ingreep"/>
    <s v="&lt;null&gt;"/>
    <b v="0"/>
    <s v="Ingreep wordt niet opgevolgd in BOD"/>
    <s v="&lt;null&gt;"/>
    <s v="&lt;null&gt;"/>
    <s v="&lt;null&gt;"/>
    <s v="&lt;null&gt;"/>
    <s v="&lt;null&gt;"/>
    <x v="0"/>
    <s v="&lt;null&gt;"/>
    <s v="&lt;null&gt;"/>
    <s v="&lt;null&gt;"/>
    <s v="&lt;null&gt;"/>
    <n v="100"/>
    <s v="&lt;null&gt;"/>
    <s v="&lt;null&gt;"/>
    <s v="&lt;null&gt;"/>
    <s v="&lt;null&gt;"/>
    <m/>
    <m/>
    <m/>
    <m/>
  </r>
  <r>
    <x v="638"/>
    <x v="638"/>
    <s v="Verkeersveiligheid"/>
    <x v="1"/>
    <n v="747"/>
    <s v="IN/000711"/>
    <s v="in Zuienkerke : Blankenbergse Steenweg, N371 Brugge (N9) - Blankenberge (N34), Statiesteenweg"/>
    <s v="uitvoering PCV op bushaltebestek, fietsroute verleggen, rustpunt bij oversteken (12/10/2020)"/>
    <s v="Kleine Ingreep"/>
    <s v="&lt;null&gt;"/>
    <b v="0"/>
    <s v="Ingreep wordt niet opgevolgd in BOD"/>
    <s v="&lt;null&gt;"/>
    <s v="&lt;null&gt;"/>
    <s v="&lt;null&gt;"/>
    <s v="&lt;null&gt;"/>
    <s v="&lt;null&gt;"/>
    <x v="0"/>
    <s v="&lt;null&gt;"/>
    <s v="&lt;null&gt;"/>
    <s v="&lt;null&gt;"/>
    <s v="&lt;null&gt;"/>
    <n v="100"/>
    <s v="&lt;null&gt;"/>
    <s v="&lt;null&gt;"/>
    <s v="&lt;null&gt;"/>
    <s v="&lt;null&gt;"/>
    <m/>
    <m/>
    <m/>
    <m/>
  </r>
  <r>
    <x v="639"/>
    <x v="639"/>
    <s v="Verkeersveiligheid"/>
    <x v="1"/>
    <n v="748"/>
    <s v="IN/000712"/>
    <s v="in Zulte : N43 Grote Steenweg met N459 Centrumstraat"/>
    <s v="herinrichting doortocht"/>
    <s v="Structurele Ingreep"/>
    <s v="WOV/INV/N43/2"/>
    <b v="0"/>
    <s v="Ingreep wordt niet opgevolgd in BOD"/>
    <s v="&lt;null&gt;"/>
    <s v="&lt;null&gt;"/>
    <s v="&lt;null&gt;"/>
    <s v="&lt;null&gt;"/>
    <s v="&lt;null&gt;"/>
    <x v="0"/>
    <s v="&lt;null&gt;"/>
    <s v="&lt;null&gt;"/>
    <s v="&lt;null&gt;"/>
    <s v="&lt;null&gt;"/>
    <n v="0"/>
    <s v="&lt;null&gt;"/>
    <s v="&lt;null&gt;"/>
    <s v="&lt;null&gt;"/>
    <s v="&lt;null&gt;"/>
    <m/>
    <m/>
    <m/>
    <m/>
  </r>
  <r>
    <x v="640"/>
    <x v="640"/>
    <s v="Verkeersveiligheid"/>
    <x v="1"/>
    <n v="748"/>
    <s v="IN/000712"/>
    <s v="in Zulte : N43 Grote Steenweg met N459 Centrumstraat"/>
    <s v="herinrichting doortocht"/>
    <s v="Structurele Ingreep"/>
    <s v="WOV/INV/N43/2"/>
    <b v="0"/>
    <s v="Ingreep wordt niet opgevolgd in BOD"/>
    <s v="&lt;null&gt;"/>
    <s v="&lt;null&gt;"/>
    <s v="&lt;null&gt;"/>
    <s v="&lt;null&gt;"/>
    <s v="&lt;null&gt;"/>
    <x v="0"/>
    <s v="&lt;null&gt;"/>
    <s v="&lt;null&gt;"/>
    <s v="&lt;null&gt;"/>
    <s v="&lt;null&gt;"/>
    <n v="0"/>
    <s v="&lt;null&gt;"/>
    <s v="&lt;null&gt;"/>
    <s v="&lt;null&gt;"/>
    <s v="&lt;null&gt;"/>
    <m/>
    <m/>
    <m/>
    <m/>
  </r>
  <r>
    <x v="641"/>
    <x v="641"/>
    <s v="Verkeersveiligheid"/>
    <x v="1"/>
    <n v="749"/>
    <s v="IN/000713"/>
    <s v="in Zwijndrecht : A14-E17 Richting Antwerpen"/>
    <s v="oosterweel. afgesloten in 2022"/>
    <s v="Structurele Ingreep"/>
    <s v="&lt;null&gt;"/>
    <b v="0"/>
    <s v="Ingreep wordt niet opgevolgd in BOD"/>
    <s v="&lt;null&gt;"/>
    <s v="&lt;null&gt;"/>
    <s v="&lt;null&gt;"/>
    <s v="&lt;null&gt;"/>
    <s v="&lt;null&gt;"/>
    <x v="0"/>
    <s v="&lt;null&gt;"/>
    <s v="&lt;null&gt;"/>
    <s v="&lt;null&gt;"/>
    <s v="&lt;null&gt;"/>
    <n v="100"/>
    <s v="&lt;null&gt;"/>
    <s v="&lt;null&gt;"/>
    <s v="&lt;null&gt;"/>
    <s v="&lt;null&gt;"/>
    <m/>
    <m/>
    <m/>
    <m/>
  </r>
  <r>
    <x v="642"/>
    <x v="642"/>
    <s v="Verkeersveiligheid"/>
    <x v="1"/>
    <n v="750"/>
    <s v="IN/000714"/>
    <s v="in Zwijndrecht : A11-E34 Richting Antwerpen, A14-E17 Richting Antwerpen Oprit 17, A14-E17 Richting Antwerpen Uitrit 17, Pastoor Coplaan, Zwijndrechtsestraat"/>
    <s v="oosterweel. afgesloten in 2022"/>
    <s v="Structurele Ingreep"/>
    <s v="&lt;null&gt;"/>
    <b v="0"/>
    <s v="Ingreep wordt niet opgevolgd in BOD"/>
    <s v="&lt;null&gt;"/>
    <s v="&lt;null&gt;"/>
    <s v="&lt;null&gt;"/>
    <s v="&lt;null&gt;"/>
    <s v="&lt;null&gt;"/>
    <x v="0"/>
    <s v="&lt;null&gt;"/>
    <s v="&lt;null&gt;"/>
    <s v="&lt;null&gt;"/>
    <s v="&lt;null&gt;"/>
    <n v="100"/>
    <s v="&lt;null&gt;"/>
    <s v="&lt;null&gt;"/>
    <s v="&lt;null&gt;"/>
    <s v="&lt;null&gt;"/>
    <m/>
    <m/>
    <m/>
    <m/>
  </r>
  <r>
    <x v="643"/>
    <x v="643"/>
    <s v="Verkeersveiligheid"/>
    <x v="1"/>
    <n v="752"/>
    <s v="IN/000715"/>
    <s v="Aanpassen VRI volgens actieplan"/>
    <s v="&lt;null&gt;"/>
    <s v="Kleine Ingreep"/>
    <s v="WL/INV/N78/30"/>
    <b v="0"/>
    <s v="Ingreep wordt niet opgevolgd in BOD"/>
    <s v="&lt;null&gt;"/>
    <s v="&lt;null&gt;"/>
    <s v="&lt;null&gt;"/>
    <s v="&lt;null&gt;"/>
    <s v="&lt;null&gt;"/>
    <x v="0"/>
    <s v="&lt;null&gt;"/>
    <s v="&lt;null&gt;"/>
    <s v="&lt;null&gt;"/>
    <s v="&lt;null&gt;"/>
    <n v="100"/>
    <s v="&lt;null&gt;"/>
    <s v="&lt;null&gt;"/>
    <s v="&lt;null&gt;"/>
    <s v="&lt;null&gt;"/>
    <m/>
    <m/>
    <m/>
    <m/>
  </r>
  <r>
    <x v="644"/>
    <x v="644"/>
    <s v="Verkeersveiligheid"/>
    <x v="1"/>
    <n v="753"/>
    <s v="IN/000716"/>
    <s v="Fietstunnel ter hoogte van Elfde Liniestraat"/>
    <s v="Fietstunnel ter hoogte van Elfde Liniestraat"/>
    <s v="Structurele Ingreep"/>
    <s v="WL/INV/R71/4"/>
    <b v="0"/>
    <s v="Ingreep wordt niet opgevolgd in BOD"/>
    <s v="&lt;null&gt;"/>
    <s v="&lt;null&gt;"/>
    <s v="&lt;null&gt;"/>
    <s v="&lt;null&gt;"/>
    <s v="&lt;null&gt;"/>
    <x v="0"/>
    <s v="&lt;null&gt;"/>
    <s v="&lt;null&gt;"/>
    <s v="&lt;null&gt;"/>
    <s v="&lt;null&gt;"/>
    <n v="50"/>
    <s v="&lt;null&gt;"/>
    <s v="&lt;null&gt;"/>
    <s v="&lt;null&gt;"/>
    <s v="&lt;null&gt;"/>
    <m/>
    <m/>
    <m/>
    <m/>
  </r>
  <r>
    <x v="645"/>
    <x v="645"/>
    <s v="Verkeersveiligheid"/>
    <x v="4"/>
    <n v="753"/>
    <s v="IN/000716"/>
    <s v="Fietstunnel ter hoogte van Elfde Liniestraat"/>
    <s v="Fietstunnel ter hoogte van Elfde Liniestraat"/>
    <s v="Structurele Ingreep"/>
    <s v="WL/INV/R71/4"/>
    <b v="0"/>
    <s v="Ingreep wordt niet opgevolgd in BOD"/>
    <s v="&lt;null&gt;"/>
    <s v="&lt;null&gt;"/>
    <s v="&lt;null&gt;"/>
    <s v="&lt;null&gt;"/>
    <s v="&lt;null&gt;"/>
    <x v="0"/>
    <s v="&lt;null&gt;"/>
    <s v="&lt;null&gt;"/>
    <s v="&lt;null&gt;"/>
    <s v="&lt;null&gt;"/>
    <n v="50"/>
    <s v="&lt;null&gt;"/>
    <s v="&lt;null&gt;"/>
    <s v="&lt;null&gt;"/>
    <s v="&lt;null&gt;"/>
    <m/>
    <m/>
    <m/>
    <m/>
  </r>
  <r>
    <x v="576"/>
    <x v="576"/>
    <s v="Verkeersveiligheid"/>
    <x v="1"/>
    <n v="754"/>
    <s v="IN/000717"/>
    <s v="N6 Bergensteenweg"/>
    <s v="&lt;null&gt;"/>
    <s v="Structurele Ingreep"/>
    <s v="WVB/INV/N6/1"/>
    <b v="1"/>
    <s v="Ingreep wordt opgevolgd in BOD"/>
    <n v="10528"/>
    <s v="VWT/CEW/2020/008-4"/>
    <n v="94601"/>
    <n v="21055806"/>
    <s v="&lt;p&gt;Aanvraag budget op verkeersveiligheidsfonds voor doortocht N6. Voorziene budget voor EW werken via het GIP op het investeringsbudget wegenis WVB.&amp;nbsp;&lt;/p&gt;"/>
    <x v="15"/>
    <n v="6733"/>
    <s v="&lt;null&gt;"/>
    <s v="&lt;p&gt;Aanvraag budget op verkeersveiligheidsfonds. Voorziene budget voor EW werken via het GIP op het investeringsbudget wegenis WVB.&amp;nbsp;&lt;/p&gt;"/>
    <s v="WVB/INV/N6/1"/>
    <n v="25"/>
    <n v="494283.81"/>
    <n v="0"/>
    <n v="0"/>
    <n v="0"/>
    <n v="123570.9525"/>
    <n v="0"/>
    <n v="0"/>
    <n v="0"/>
  </r>
  <r>
    <x v="576"/>
    <x v="576"/>
    <s v="Verkeersveiligheid"/>
    <x v="1"/>
    <n v="754"/>
    <s v="IN/000717"/>
    <s v="N6 Bergensteenweg"/>
    <s v="&lt;null&gt;"/>
    <s v="Structurele Ingreep"/>
    <s v="WVB/INV/N6/1"/>
    <b v="1"/>
    <s v="Ingreep wordt opgevolgd in BOD"/>
    <n v="10166"/>
    <s v="MDN/59-4"/>
    <n v="104951"/>
    <n v="21064254"/>
    <s v="&lt;p&gt;Relance VRI - aanpak van gevaarlijke punten in de provincie Vlaams-Brabant 2022-2023.&lt;br&gt;&lt;br&gt;Budget voor aanpassingen aan de buiteninstallatie verkeerslichten op verkeerslichtengeregelde kruispunten die opgenomen zijn in de dynamische lijst gevaarlijke"/>
    <x v="4"/>
    <n v="9853"/>
    <s v="Installatie 113C1 - N6 Bergensesteenweg x Ruisbroeksesteenweg - SINT-PIETERS-LEEUW"/>
    <s v="&lt;p&gt;Volledige heraanleg van gevaarlijk kruispunt tijdens herinrichting doortocht N6 Sint-Pieters-Leeuw&lt;/p&gt;"/>
    <s v="WVB/INV/N6/1"/>
    <n v="25"/>
    <n v="140000"/>
    <n v="0"/>
    <n v="0"/>
    <n v="2091.23"/>
    <n v="35000"/>
    <n v="0"/>
    <n v="0"/>
    <n v="522.8075"/>
  </r>
  <r>
    <x v="577"/>
    <x v="577"/>
    <s v="Verkeersveiligheid"/>
    <x v="1"/>
    <n v="754"/>
    <s v="IN/000717"/>
    <s v="N6 Bergensteenweg"/>
    <s v="&lt;null&gt;"/>
    <s v="Structurele Ingreep"/>
    <s v="WVB/INV/N6/1"/>
    <b v="1"/>
    <s v="Ingreep wordt opgevolgd in BOD"/>
    <n v="10166"/>
    <s v="MDN/59-4"/>
    <n v="104951"/>
    <n v="21064254"/>
    <s v="&lt;p&gt;Relance VRI - aanpak van gevaarlijke punten in de provincie Vlaams-Brabant 2022-2023.&lt;br&gt;&lt;br&gt;Budget voor aanpassingen aan de buiteninstallatie verkeerslichten op verkeerslichtengeregelde kruispunten die opgenomen zijn in de dynamische lijst gevaarlijke"/>
    <x v="15"/>
    <n v="9853"/>
    <s v="Installatie 113C1 - N6 Bergensesteenweg x Ruisbroeksesteenweg - SINT-PIETERS-LEEUW"/>
    <s v="&lt;p&gt;Volledige heraanleg van gevaarlijk kruispunt tijdens herinrichting doortocht N6 Sint-Pieters-Leeuw&lt;/p&gt;"/>
    <s v="WVB/INV/N6/1"/>
    <n v="25"/>
    <n v="140000"/>
    <n v="0"/>
    <n v="0"/>
    <n v="2091.23"/>
    <n v="35000"/>
    <n v="0"/>
    <n v="0"/>
    <n v="522.8075"/>
  </r>
  <r>
    <x v="577"/>
    <x v="577"/>
    <s v="Verkeersveiligheid"/>
    <x v="1"/>
    <n v="754"/>
    <s v="IN/000717"/>
    <s v="N6 Bergensteenweg"/>
    <s v="&lt;null&gt;"/>
    <s v="Structurele Ingreep"/>
    <s v="WVB/INV/N6/1"/>
    <b v="1"/>
    <s v="Ingreep wordt opgevolgd in BOD"/>
    <n v="10528"/>
    <s v="VWT/CEW/2020/008-4"/>
    <n v="94601"/>
    <n v="21055806"/>
    <s v="&lt;p&gt;Aanvraag budget op verkeersveiligheidsfonds voor doortocht N6. Voorziene budget voor EW werken via het GIP op het investeringsbudget wegenis WVB.&amp;nbsp;&lt;/p&gt;"/>
    <x v="4"/>
    <n v="6733"/>
    <s v="&lt;null&gt;"/>
    <s v="&lt;p&gt;Aanvraag budget op verkeersveiligheidsfonds. Voorziene budget voor EW werken via het GIP op het investeringsbudget wegenis WVB.&amp;nbsp;&lt;/p&gt;"/>
    <s v="WVB/INV/N6/1"/>
    <n v="25"/>
    <n v="494283.81"/>
    <n v="0"/>
    <n v="0"/>
    <n v="0"/>
    <n v="123570.9525"/>
    <n v="0"/>
    <n v="0"/>
    <n v="0"/>
  </r>
  <r>
    <x v="578"/>
    <x v="578"/>
    <s v="Verkeersveiligheid"/>
    <x v="1"/>
    <n v="754"/>
    <s v="IN/000717"/>
    <s v="N6 Bergensteenweg"/>
    <s v="&lt;null&gt;"/>
    <s v="Structurele Ingreep"/>
    <s v="WVB/INV/N6/1"/>
    <b v="1"/>
    <s v="Ingreep wordt opgevolgd in BOD"/>
    <n v="10166"/>
    <s v="MDN/59-4"/>
    <n v="104951"/>
    <n v="21064254"/>
    <s v="&lt;p&gt;Relance VRI - aanpak van gevaarlijke punten in de provincie Vlaams-Brabant 2022-2023.&lt;br&gt;&lt;br&gt;Budget voor aanpassingen aan de buiteninstallatie verkeerslichten op verkeerslichtengeregelde kruispunten die opgenomen zijn in de dynamische lijst gevaarlijke"/>
    <x v="15"/>
    <n v="9853"/>
    <s v="Installatie 113C1 - N6 Bergensesteenweg x Ruisbroeksesteenweg - SINT-PIETERS-LEEUW"/>
    <s v="&lt;p&gt;Volledige heraanleg van gevaarlijk kruispunt tijdens herinrichting doortocht N6 Sint-Pieters-Leeuw&lt;/p&gt;"/>
    <s v="WVB/INV/N6/1"/>
    <n v="25"/>
    <n v="140000"/>
    <n v="0"/>
    <n v="0"/>
    <n v="2091.23"/>
    <n v="35000"/>
    <n v="0"/>
    <n v="0"/>
    <n v="522.8075"/>
  </r>
  <r>
    <x v="578"/>
    <x v="578"/>
    <s v="Verkeersveiligheid"/>
    <x v="1"/>
    <n v="754"/>
    <s v="IN/000717"/>
    <s v="N6 Bergensteenweg"/>
    <s v="&lt;null&gt;"/>
    <s v="Structurele Ingreep"/>
    <s v="WVB/INV/N6/1"/>
    <b v="1"/>
    <s v="Ingreep wordt opgevolgd in BOD"/>
    <n v="10528"/>
    <s v="VWT/CEW/2020/008-4"/>
    <n v="94601"/>
    <n v="21055806"/>
    <s v="&lt;p&gt;Aanvraag budget op verkeersveiligheidsfonds voor doortocht N6. Voorziene budget voor EW werken via het GIP op het investeringsbudget wegenis WVB.&amp;nbsp;&lt;/p&gt;"/>
    <x v="4"/>
    <n v="6733"/>
    <s v="&lt;null&gt;"/>
    <s v="&lt;p&gt;Aanvraag budget op verkeersveiligheidsfonds. Voorziene budget voor EW werken via het GIP op het investeringsbudget wegenis WVB.&amp;nbsp;&lt;/p&gt;"/>
    <s v="WVB/INV/N6/1"/>
    <n v="25"/>
    <n v="494283.81"/>
    <n v="0"/>
    <n v="0"/>
    <n v="0"/>
    <n v="123570.9525"/>
    <n v="0"/>
    <n v="0"/>
    <n v="0"/>
  </r>
  <r>
    <x v="646"/>
    <x v="646"/>
    <s v="Verkeersveiligheid"/>
    <x v="1"/>
    <n v="754"/>
    <s v="IN/000717"/>
    <s v="N6 Bergensteenweg"/>
    <s v="&lt;null&gt;"/>
    <s v="Structurele Ingreep"/>
    <s v="WVB/INV/N6/1"/>
    <b v="1"/>
    <s v="Ingreep wordt opgevolgd in BOD"/>
    <n v="10528"/>
    <s v="VWT/CEW/2020/008-4"/>
    <n v="94601"/>
    <n v="21055806"/>
    <s v="&lt;p&gt;Aanvraag budget op verkeersveiligheidsfonds voor doortocht N6. Voorziene budget voor EW werken via het GIP op het investeringsbudget wegenis WVB.&amp;nbsp;&lt;/p&gt;"/>
    <x v="4"/>
    <n v="6733"/>
    <s v="&lt;null&gt;"/>
    <s v="&lt;p&gt;Aanvraag budget op verkeersveiligheidsfonds. Voorziene budget voor EW werken via het GIP op het investeringsbudget wegenis WVB.&amp;nbsp;&lt;/p&gt;"/>
    <s v="WVB/INV/N6/1"/>
    <n v="25"/>
    <n v="494283.81"/>
    <n v="0"/>
    <n v="0"/>
    <n v="0"/>
    <n v="123570.9525"/>
    <n v="0"/>
    <n v="0"/>
    <n v="0"/>
  </r>
  <r>
    <x v="646"/>
    <x v="646"/>
    <s v="Verkeersveiligheid"/>
    <x v="1"/>
    <n v="754"/>
    <s v="IN/000717"/>
    <s v="N6 Bergensteenweg"/>
    <s v="&lt;null&gt;"/>
    <s v="Structurele Ingreep"/>
    <s v="WVB/INV/N6/1"/>
    <b v="1"/>
    <s v="Ingreep wordt opgevolgd in BOD"/>
    <n v="10166"/>
    <s v="MDN/59-4"/>
    <n v="104951"/>
    <n v="21064254"/>
    <s v="&lt;p&gt;Relance VRI - aanpak van gevaarlijke punten in de provincie Vlaams-Brabant 2022-2023.&lt;br&gt;&lt;br&gt;Budget voor aanpassingen aan de buiteninstallatie verkeerslichten op verkeerslichtengeregelde kruispunten die opgenomen zijn in de dynamische lijst gevaarlijke"/>
    <x v="15"/>
    <n v="9853"/>
    <s v="Installatie 113C1 - N6 Bergensesteenweg x Ruisbroeksesteenweg - SINT-PIETERS-LEEUW"/>
    <s v="&lt;p&gt;Volledige heraanleg van gevaarlijk kruispunt tijdens herinrichting doortocht N6 Sint-Pieters-Leeuw&lt;/p&gt;"/>
    <s v="WVB/INV/N6/1"/>
    <n v="25"/>
    <n v="140000"/>
    <n v="0"/>
    <n v="0"/>
    <n v="2091.23"/>
    <n v="35000"/>
    <n v="0"/>
    <n v="0"/>
    <n v="522.8075"/>
  </r>
  <r>
    <x v="647"/>
    <x v="647"/>
    <s v="Verkeersveiligheid"/>
    <x v="1"/>
    <n v="755"/>
    <s v="IN/000718"/>
    <s v="Aanpassen VRI volgens actieplan"/>
    <s v="wachten op budget"/>
    <s v="Kleine Ingreep"/>
    <s v="WA/INV/N16/7"/>
    <b v="0"/>
    <s v="Ingreep wordt niet opgevolgd in BOD"/>
    <s v="&lt;null&gt;"/>
    <s v="&lt;null&gt;"/>
    <s v="&lt;null&gt;"/>
    <s v="&lt;null&gt;"/>
    <s v="&lt;null&gt;"/>
    <x v="0"/>
    <s v="&lt;null&gt;"/>
    <s v="&lt;null&gt;"/>
    <s v="&lt;null&gt;"/>
    <s v="&lt;null&gt;"/>
    <n v="100"/>
    <s v="&lt;null&gt;"/>
    <s v="&lt;null&gt;"/>
    <s v="&lt;null&gt;"/>
    <s v="&lt;null&gt;"/>
    <m/>
    <m/>
    <m/>
    <m/>
  </r>
  <r>
    <x v="648"/>
    <x v="648"/>
    <s v="Verkeersveiligheid"/>
    <x v="1"/>
    <n v="756"/>
    <s v="IN/000719"/>
    <s v="Actieplan VRI"/>
    <s v="Actieplan VRI"/>
    <s v="Kleine Ingreep"/>
    <s v="&lt;null&gt;"/>
    <b v="0"/>
    <s v="Ingreep wordt niet opgevolgd in BOD"/>
    <s v="&lt;null&gt;"/>
    <s v="&lt;null&gt;"/>
    <s v="&lt;null&gt;"/>
    <s v="&lt;null&gt;"/>
    <s v="&lt;null&gt;"/>
    <x v="0"/>
    <s v="&lt;null&gt;"/>
    <s v="&lt;null&gt;"/>
    <s v="&lt;null&gt;"/>
    <s v="&lt;null&gt;"/>
    <n v="100"/>
    <s v="&lt;null&gt;"/>
    <s v="&lt;null&gt;"/>
    <s v="&lt;null&gt;"/>
    <s v="&lt;null&gt;"/>
    <m/>
    <m/>
    <m/>
    <m/>
  </r>
  <r>
    <x v="523"/>
    <x v="523"/>
    <s v="Verkeersveiligheid"/>
    <x v="1"/>
    <n v="757"/>
    <s v="IN/000720"/>
    <s v="Herinrichting Vesten (met beperkte middelen)"/>
    <s v="Enkelrichting maken vesten (R12)"/>
    <s v="Structurele Ingreep"/>
    <s v="WA/INV/R12/1"/>
    <b v="1"/>
    <s v="Ingreep wordt opgevolgd in BOD"/>
    <n v="10264"/>
    <s v="VWT/CEW/2020/009-1"/>
    <n v="146451"/>
    <n v="22040866"/>
    <s v="&lt;p&gt;Verplaatsen van OV palen naar aanleiding van werken op de VESTEN in Mechelen&lt;/p&gt;"/>
    <x v="3"/>
    <n v="10103"/>
    <s v="&lt;null&gt;"/>
    <s v="&lt;p&gt;Verplaatsen van OV palen naar aanleiding van werken op de VESTEN in Mechelen&lt;/p&gt;"/>
    <s v="WA/INV/R12/1"/>
    <n v="20"/>
    <n v="14826.18"/>
    <n v="0"/>
    <n v="0"/>
    <n v="0"/>
    <n v="2965.2359999999999"/>
    <n v="0"/>
    <n v="0"/>
    <n v="0"/>
  </r>
  <r>
    <x v="524"/>
    <x v="524"/>
    <s v="Verkeersveiligheid"/>
    <x v="1"/>
    <n v="757"/>
    <s v="IN/000720"/>
    <s v="Herinrichting Vesten (met beperkte middelen)"/>
    <s v="Enkelrichting maken vesten (R12)"/>
    <s v="Structurele Ingreep"/>
    <s v="WA/INV/R12/1"/>
    <b v="1"/>
    <s v="Ingreep wordt opgevolgd in BOD"/>
    <n v="10264"/>
    <s v="VWT/CEW/2020/009-1"/>
    <n v="146451"/>
    <n v="22040866"/>
    <s v="&lt;p&gt;Verplaatsen van OV palen naar aanleiding van werken op de VESTEN in Mechelen&lt;/p&gt;"/>
    <x v="3"/>
    <n v="10103"/>
    <s v="&lt;null&gt;"/>
    <s v="&lt;p&gt;Verplaatsen van OV palen naar aanleiding van werken op de VESTEN in Mechelen&lt;/p&gt;"/>
    <s v="WA/INV/R12/1"/>
    <n v="16"/>
    <n v="14826.18"/>
    <n v="0"/>
    <n v="0"/>
    <n v="0"/>
    <n v="2372.1887999999999"/>
    <n v="0"/>
    <n v="0"/>
    <n v="0"/>
  </r>
  <r>
    <x v="526"/>
    <x v="526"/>
    <s v="Verkeersveiligheid"/>
    <x v="1"/>
    <n v="757"/>
    <s v="IN/000720"/>
    <s v="Herinrichting Vesten (met beperkte middelen)"/>
    <s v="Enkelrichting maken vesten (R12)"/>
    <s v="Structurele Ingreep"/>
    <s v="WA/INV/R12/1"/>
    <b v="1"/>
    <s v="Ingreep wordt opgevolgd in BOD"/>
    <n v="10264"/>
    <s v="VWT/CEW/2020/009-1"/>
    <n v="146451"/>
    <n v="22040866"/>
    <s v="&lt;p&gt;Verplaatsen van OV palen naar aanleiding van werken op de VESTEN in Mechelen&lt;/p&gt;"/>
    <x v="3"/>
    <n v="10103"/>
    <s v="&lt;null&gt;"/>
    <s v="&lt;p&gt;Verplaatsen van OV palen naar aanleiding van werken op de VESTEN in Mechelen&lt;/p&gt;"/>
    <s v="WA/INV/R12/1"/>
    <n v="16"/>
    <n v="14826.18"/>
    <n v="0"/>
    <n v="0"/>
    <n v="0"/>
    <n v="2372.1887999999999"/>
    <n v="0"/>
    <n v="0"/>
    <n v="0"/>
  </r>
  <r>
    <x v="527"/>
    <x v="527"/>
    <s v="Verkeersveiligheid"/>
    <x v="1"/>
    <n v="757"/>
    <s v="IN/000720"/>
    <s v="Herinrichting Vesten (met beperkte middelen)"/>
    <s v="Enkelrichting maken vesten (R12)"/>
    <s v="Structurele Ingreep"/>
    <s v="WA/INV/R12/1"/>
    <b v="1"/>
    <s v="Ingreep wordt opgevolgd in BOD"/>
    <n v="10264"/>
    <s v="VWT/CEW/2020/009-1"/>
    <n v="146451"/>
    <n v="22040866"/>
    <s v="&lt;p&gt;Verplaatsen van OV palen naar aanleiding van werken op de VESTEN in Mechelen&lt;/p&gt;"/>
    <x v="3"/>
    <n v="10103"/>
    <s v="&lt;null&gt;"/>
    <s v="&lt;p&gt;Verplaatsen van OV palen naar aanleiding van werken op de VESTEN in Mechelen&lt;/p&gt;"/>
    <s v="WA/INV/R12/1"/>
    <n v="16"/>
    <n v="14826.18"/>
    <n v="0"/>
    <n v="0"/>
    <n v="0"/>
    <n v="2372.1887999999999"/>
    <n v="0"/>
    <n v="0"/>
    <n v="0"/>
  </r>
  <r>
    <x v="528"/>
    <x v="528"/>
    <s v="Verkeersveiligheid"/>
    <x v="1"/>
    <n v="757"/>
    <s v="IN/000720"/>
    <s v="Herinrichting Vesten (met beperkte middelen)"/>
    <s v="Enkelrichting maken vesten (R12)"/>
    <s v="Structurele Ingreep"/>
    <s v="WA/INV/R12/1"/>
    <b v="1"/>
    <s v="Ingreep wordt opgevolgd in BOD"/>
    <n v="10264"/>
    <s v="VWT/CEW/2020/009-1"/>
    <n v="146451"/>
    <n v="22040866"/>
    <s v="&lt;p&gt;Verplaatsen van OV palen naar aanleiding van werken op de VESTEN in Mechelen&lt;/p&gt;"/>
    <x v="3"/>
    <n v="10103"/>
    <s v="&lt;null&gt;"/>
    <s v="&lt;p&gt;Verplaatsen van OV palen naar aanleiding van werken op de VESTEN in Mechelen&lt;/p&gt;"/>
    <s v="WA/INV/R12/1"/>
    <n v="16"/>
    <n v="14826.18"/>
    <n v="0"/>
    <n v="0"/>
    <n v="0"/>
    <n v="2372.1887999999999"/>
    <n v="0"/>
    <n v="0"/>
    <n v="0"/>
  </r>
  <r>
    <x v="649"/>
    <x v="649"/>
    <s v="Verkeersveiligheid"/>
    <x v="1"/>
    <n v="757"/>
    <s v="IN/000720"/>
    <s v="Herinrichting Vesten (met beperkte middelen)"/>
    <s v="Enkelrichting maken vesten (R12)"/>
    <s v="Structurele Ingreep"/>
    <s v="WA/INV/R12/1"/>
    <b v="1"/>
    <s v="Ingreep wordt opgevolgd in BOD"/>
    <n v="10264"/>
    <s v="VWT/CEW/2020/009-1"/>
    <n v="146451"/>
    <n v="22040866"/>
    <s v="&lt;p&gt;Verplaatsen van OV palen naar aanleiding van werken op de VESTEN in Mechelen&lt;/p&gt;"/>
    <x v="3"/>
    <n v="10103"/>
    <s v="&lt;null&gt;"/>
    <s v="&lt;p&gt;Verplaatsen van OV palen naar aanleiding van werken op de VESTEN in Mechelen&lt;/p&gt;"/>
    <s v="WA/INV/R12/1"/>
    <n v="16"/>
    <n v="14826.18"/>
    <n v="0"/>
    <n v="0"/>
    <n v="0"/>
    <n v="2372.1887999999999"/>
    <n v="0"/>
    <n v="0"/>
    <n v="0"/>
  </r>
  <r>
    <x v="650"/>
    <x v="650"/>
    <s v="Verkeersveiligheid"/>
    <x v="4"/>
    <n v="757"/>
    <s v="IN/000720"/>
    <s v="Herinrichting Vesten (met beperkte middelen)"/>
    <s v="Enkelrichting maken vesten (R12)"/>
    <s v="Structurele Ingreep"/>
    <s v="WA/INV/R12/1"/>
    <b v="1"/>
    <s v="Ingreep wordt opgevolgd in BOD"/>
    <n v="10264"/>
    <s v="VWT/CEW/2020/009-1"/>
    <n v="146451"/>
    <n v="22040866"/>
    <s v="&lt;p&gt;Verplaatsen van OV palen naar aanleiding van werken op de VESTEN in Mechelen&lt;/p&gt;"/>
    <x v="3"/>
    <n v="10103"/>
    <s v="&lt;null&gt;"/>
    <s v="&lt;p&gt;Verplaatsen van OV palen naar aanleiding van werken op de VESTEN in Mechelen&lt;/p&gt;"/>
    <s v="WA/INV/R12/1"/>
    <n v="0"/>
    <n v="14826.18"/>
    <n v="0"/>
    <n v="0"/>
    <n v="0"/>
    <n v="0"/>
    <n v="0"/>
    <n v="0"/>
    <n v="0"/>
  </r>
  <r>
    <x v="651"/>
    <x v="651"/>
    <s v="Verkeersveiligheid"/>
    <x v="4"/>
    <n v="757"/>
    <s v="IN/000720"/>
    <s v="Herinrichting Vesten (met beperkte middelen)"/>
    <s v="Enkelrichting maken vesten (R12)"/>
    <s v="Structurele Ingreep"/>
    <s v="WA/INV/R12/1"/>
    <b v="1"/>
    <s v="Ingreep wordt opgevolgd in BOD"/>
    <n v="10264"/>
    <s v="VWT/CEW/2020/009-1"/>
    <n v="146451"/>
    <n v="22040866"/>
    <s v="&lt;p&gt;Verplaatsen van OV palen naar aanleiding van werken op de VESTEN in Mechelen&lt;/p&gt;"/>
    <x v="3"/>
    <n v="10103"/>
    <s v="&lt;null&gt;"/>
    <s v="&lt;p&gt;Verplaatsen van OV palen naar aanleiding van werken op de VESTEN in Mechelen&lt;/p&gt;"/>
    <s v="WA/INV/R12/1"/>
    <n v="0"/>
    <n v="14826.18"/>
    <n v="0"/>
    <n v="0"/>
    <n v="0"/>
    <n v="0"/>
    <n v="0"/>
    <n v="0"/>
    <n v="0"/>
  </r>
  <r>
    <x v="652"/>
    <x v="652"/>
    <s v="Verkeersveiligheid"/>
    <x v="4"/>
    <n v="757"/>
    <s v="IN/000720"/>
    <s v="Herinrichting Vesten (met beperkte middelen)"/>
    <s v="Enkelrichting maken vesten (R12)"/>
    <s v="Structurele Ingreep"/>
    <s v="WA/INV/R12/1"/>
    <b v="1"/>
    <s v="Ingreep wordt opgevolgd in BOD"/>
    <n v="10264"/>
    <s v="VWT/CEW/2020/009-1"/>
    <n v="146451"/>
    <n v="22040866"/>
    <s v="&lt;p&gt;Verplaatsen van OV palen naar aanleiding van werken op de VESTEN in Mechelen&lt;/p&gt;"/>
    <x v="3"/>
    <n v="10103"/>
    <s v="&lt;null&gt;"/>
    <s v="&lt;p&gt;Verplaatsen van OV palen naar aanleiding van werken op de VESTEN in Mechelen&lt;/p&gt;"/>
    <s v="WA/INV/R12/1"/>
    <n v="0"/>
    <n v="14826.18"/>
    <n v="0"/>
    <n v="0"/>
    <n v="0"/>
    <n v="0"/>
    <n v="0"/>
    <n v="0"/>
    <n v="0"/>
  </r>
  <r>
    <x v="653"/>
    <x v="653"/>
    <s v="Verkeersveiligheid"/>
    <x v="4"/>
    <n v="757"/>
    <s v="IN/000720"/>
    <s v="Herinrichting Vesten (met beperkte middelen)"/>
    <s v="Enkelrichting maken vesten (R12)"/>
    <s v="Structurele Ingreep"/>
    <s v="WA/INV/R12/1"/>
    <b v="1"/>
    <s v="Ingreep wordt opgevolgd in BOD"/>
    <n v="10264"/>
    <s v="VWT/CEW/2020/009-1"/>
    <n v="146451"/>
    <n v="22040866"/>
    <s v="&lt;p&gt;Verplaatsen van OV palen naar aanleiding van werken op de VESTEN in Mechelen&lt;/p&gt;"/>
    <x v="3"/>
    <n v="10103"/>
    <s v="&lt;null&gt;"/>
    <s v="&lt;p&gt;Verplaatsen van OV palen naar aanleiding van werken op de VESTEN in Mechelen&lt;/p&gt;"/>
    <s v="WA/INV/R12/1"/>
    <n v="0"/>
    <n v="14826.18"/>
    <n v="0"/>
    <n v="0"/>
    <n v="0"/>
    <n v="0"/>
    <n v="0"/>
    <n v="0"/>
    <n v="0"/>
  </r>
  <r>
    <x v="654"/>
    <x v="654"/>
    <s v="Verkeersveiligheid"/>
    <x v="4"/>
    <n v="757"/>
    <s v="IN/000720"/>
    <s v="Herinrichting Vesten (met beperkte middelen)"/>
    <s v="Enkelrichting maken vesten (R12)"/>
    <s v="Structurele Ingreep"/>
    <s v="WA/INV/R12/1"/>
    <b v="1"/>
    <s v="Ingreep wordt opgevolgd in BOD"/>
    <n v="10264"/>
    <s v="VWT/CEW/2020/009-1"/>
    <n v="146451"/>
    <n v="22040866"/>
    <s v="&lt;p&gt;Verplaatsen van OV palen naar aanleiding van werken op de VESTEN in Mechelen&lt;/p&gt;"/>
    <x v="3"/>
    <n v="10103"/>
    <s v="&lt;null&gt;"/>
    <s v="&lt;p&gt;Verplaatsen van OV palen naar aanleiding van werken op de VESTEN in Mechelen&lt;/p&gt;"/>
    <s v="WA/INV/R12/1"/>
    <n v="0"/>
    <n v="14826.18"/>
    <n v="0"/>
    <n v="0"/>
    <n v="0"/>
    <n v="0"/>
    <n v="0"/>
    <n v="0"/>
    <n v="0"/>
  </r>
  <r>
    <x v="655"/>
    <x v="655"/>
    <s v="Verkeersveiligheid"/>
    <x v="1"/>
    <n v="758"/>
    <s v="IN/000721"/>
    <s v="studie herinrichting R014 x Pas KT"/>
    <s v="Studie voor KT herinrichting.\nEr volgt nog studie voor ingrijpendere oplossing (eventueel tunnel ed....)"/>
    <s v="Structurele Ingreep"/>
    <s v="WA/INV/N19/4"/>
    <b v="0"/>
    <s v="Ingreep wordt niet opgevolgd in BOD"/>
    <s v="&lt;null&gt;"/>
    <s v="&lt;null&gt;"/>
    <s v="&lt;null&gt;"/>
    <s v="&lt;null&gt;"/>
    <s v="&lt;null&gt;"/>
    <x v="0"/>
    <s v="&lt;null&gt;"/>
    <s v="&lt;null&gt;"/>
    <s v="&lt;null&gt;"/>
    <s v="&lt;null&gt;"/>
    <n v="100"/>
    <s v="&lt;null&gt;"/>
    <s v="&lt;null&gt;"/>
    <s v="&lt;null&gt;"/>
    <s v="&lt;null&gt;"/>
    <m/>
    <m/>
    <m/>
    <m/>
  </r>
  <r>
    <x v="656"/>
    <x v="656"/>
    <s v="Verkeersveiligheid"/>
    <x v="1"/>
    <n v="759"/>
    <s v="IN/000722"/>
    <s v="Afsluiten Zijstraat voor vrachtverkeer"/>
    <s v="PCV beslissing PCV 1326 (zitting 11/05/2016)\nLater volgt nog een module13 voor structurele oplossing."/>
    <s v="Kleine Ingreep"/>
    <s v="&lt;null&gt;"/>
    <b v="0"/>
    <s v="Ingreep wordt niet opgevolgd in BOD"/>
    <s v="&lt;null&gt;"/>
    <s v="&lt;null&gt;"/>
    <s v="&lt;null&gt;"/>
    <s v="&lt;null&gt;"/>
    <s v="&lt;null&gt;"/>
    <x v="0"/>
    <s v="&lt;null&gt;"/>
    <s v="&lt;null&gt;"/>
    <s v="&lt;null&gt;"/>
    <s v="&lt;null&gt;"/>
    <n v="100"/>
    <s v="&lt;null&gt;"/>
    <s v="&lt;null&gt;"/>
    <s v="&lt;null&gt;"/>
    <s v="&lt;null&gt;"/>
    <m/>
    <m/>
    <m/>
    <m/>
  </r>
  <r>
    <x v="657"/>
    <x v="657"/>
    <s v="Verkeersveiligheid"/>
    <x v="1"/>
    <n v="760"/>
    <s v="IN/000723"/>
    <s v="Studie N19 -  Complex 24 Turnhout-Centrum"/>
    <s v="Studie begin 2022 - uitvoering 2024"/>
    <s v="Structurele Ingreep"/>
    <s v="WA/INV/N019/2"/>
    <b v="0"/>
    <s v="Ingreep wordt niet opgevolgd in BOD"/>
    <s v="&lt;null&gt;"/>
    <s v="&lt;null&gt;"/>
    <s v="&lt;null&gt;"/>
    <s v="&lt;null&gt;"/>
    <s v="&lt;null&gt;"/>
    <x v="0"/>
    <s v="&lt;null&gt;"/>
    <s v="&lt;null&gt;"/>
    <s v="&lt;null&gt;"/>
    <s v="&lt;null&gt;"/>
    <n v="100"/>
    <s v="&lt;null&gt;"/>
    <s v="&lt;null&gt;"/>
    <s v="&lt;null&gt;"/>
    <s v="&lt;null&gt;"/>
    <m/>
    <m/>
    <m/>
    <m/>
  </r>
  <r>
    <x v="658"/>
    <x v="658"/>
    <s v="Verkeersveiligheid"/>
    <x v="1"/>
    <n v="761"/>
    <s v="IN/000724"/>
    <s v="Oversteekplaats"/>
    <s v="- Punctueleverlichting (Lichvisie E2)\n- Zichtbaarheid verbetere, parkeerplaatsen verwijderen"/>
    <s v="Kleine Ingreep"/>
    <s v="&lt;null&gt;"/>
    <b v="0"/>
    <s v="Ingreep wordt niet opgevolgd in BOD"/>
    <s v="&lt;null&gt;"/>
    <s v="&lt;null&gt;"/>
    <s v="&lt;null&gt;"/>
    <s v="&lt;null&gt;"/>
    <s v="&lt;null&gt;"/>
    <x v="0"/>
    <s v="&lt;null&gt;"/>
    <s v="&lt;null&gt;"/>
    <s v="&lt;null&gt;"/>
    <s v="&lt;null&gt;"/>
    <n v="100"/>
    <s v="&lt;null&gt;"/>
    <s v="&lt;null&gt;"/>
    <s v="&lt;null&gt;"/>
    <s v="&lt;null&gt;"/>
    <m/>
    <m/>
    <m/>
    <m/>
  </r>
  <r>
    <x v="659"/>
    <x v="659"/>
    <s v="Verkeersveiligheid"/>
    <x v="1"/>
    <n v="762"/>
    <s v="IN/000725"/>
    <s v="Studie Schoolomgeving door Gemeente Balen"/>
    <s v="Studie: 2022\nUitvoering: 2025"/>
    <s v="Structurele Ingreep"/>
    <s v="WA/INV/N018/4"/>
    <b v="0"/>
    <s v="Ingreep wordt niet opgevolgd in BOD"/>
    <s v="&lt;null&gt;"/>
    <s v="&lt;null&gt;"/>
    <s v="&lt;null&gt;"/>
    <s v="&lt;null&gt;"/>
    <s v="&lt;null&gt;"/>
    <x v="0"/>
    <s v="&lt;null&gt;"/>
    <s v="&lt;null&gt;"/>
    <s v="&lt;null&gt;"/>
    <s v="&lt;null&gt;"/>
    <n v="100"/>
    <s v="&lt;null&gt;"/>
    <s v="&lt;null&gt;"/>
    <s v="&lt;null&gt;"/>
    <s v="&lt;null&gt;"/>
    <m/>
    <m/>
    <m/>
    <m/>
  </r>
  <r>
    <x v="592"/>
    <x v="592"/>
    <s v="Verkeersveiligheid"/>
    <x v="1"/>
    <n v="763"/>
    <s v="IN/000726"/>
    <s v="Herinrichting Kruispunt R013 x N124"/>
    <s v="N124 anders aansluiten aan R13 (Voorrang)\nStudie: loopt 2021 (aan hold --&gt; gemeente onderzoek)\nUitvoering: nog niet gekend.\n"/>
    <s v="Structurele Ingreep"/>
    <s v="WA/INV/R013/4"/>
    <b v="0"/>
    <s v="Ingreep wordt niet opgevolgd in BOD"/>
    <s v="&lt;null&gt;"/>
    <s v="&lt;null&gt;"/>
    <s v="&lt;null&gt;"/>
    <s v="&lt;null&gt;"/>
    <s v="&lt;null&gt;"/>
    <x v="0"/>
    <s v="&lt;null&gt;"/>
    <s v="&lt;null&gt;"/>
    <s v="&lt;null&gt;"/>
    <s v="&lt;null&gt;"/>
    <n v="100"/>
    <s v="&lt;null&gt;"/>
    <s v="&lt;null&gt;"/>
    <s v="&lt;null&gt;"/>
    <s v="&lt;null&gt;"/>
    <m/>
    <m/>
    <m/>
    <m/>
  </r>
  <r>
    <x v="660"/>
    <x v="660"/>
    <s v="Verkeersveiligheid"/>
    <x v="1"/>
    <n v="764"/>
    <s v="IN/000727"/>
    <s v="Gent tijdelijke heraanleg Dampoort"/>
    <s v="Zie ProjectCenter"/>
    <s v="Structurele Ingreep"/>
    <s v="WOV/INV/R40/3"/>
    <b v="0"/>
    <s v="Ingreep wordt niet opgevolgd in BOD"/>
    <s v="&lt;null&gt;"/>
    <s v="&lt;null&gt;"/>
    <s v="&lt;null&gt;"/>
    <s v="&lt;null&gt;"/>
    <s v="&lt;null&gt;"/>
    <x v="0"/>
    <s v="&lt;null&gt;"/>
    <s v="&lt;null&gt;"/>
    <s v="&lt;null&gt;"/>
    <s v="&lt;null&gt;"/>
    <n v="100"/>
    <s v="&lt;null&gt;"/>
    <s v="&lt;null&gt;"/>
    <s v="&lt;null&gt;"/>
    <s v="&lt;null&gt;"/>
    <m/>
    <m/>
    <m/>
    <m/>
  </r>
  <r>
    <x v="661"/>
    <x v="661"/>
    <s v="Verkeersveiligheid"/>
    <x v="1"/>
    <n v="765"/>
    <s v="IN/000728"/>
    <s v="Gevaarlijk Punt: R40 Gent: plaatsen kegels rondom laadzone"/>
    <s v="Plaatsen kegels rondom laadzone (2020)"/>
    <s v="Kleine Ingreep"/>
    <s v="&lt;null&gt;"/>
    <b v="0"/>
    <s v="Ingreep wordt niet opgevolgd in BOD"/>
    <s v="&lt;null&gt;"/>
    <s v="&lt;null&gt;"/>
    <s v="&lt;null&gt;"/>
    <s v="&lt;null&gt;"/>
    <s v="&lt;null&gt;"/>
    <x v="0"/>
    <s v="&lt;null&gt;"/>
    <s v="&lt;null&gt;"/>
    <s v="&lt;null&gt;"/>
    <s v="&lt;null&gt;"/>
    <n v="100"/>
    <s v="&lt;null&gt;"/>
    <s v="&lt;null&gt;"/>
    <s v="&lt;null&gt;"/>
    <s v="&lt;null&gt;"/>
    <m/>
    <m/>
    <m/>
    <m/>
  </r>
  <r>
    <x v="662"/>
    <x v="662"/>
    <s v="Verkeersveiligheid"/>
    <x v="1"/>
    <n v="766"/>
    <s v="IN/000729"/>
    <s v="Gevaarlijk Punt: N414 Gent: aanleg bijkomende middeneilanden"/>
    <s v="Aanleg bijkomende middeneilanden (2020)"/>
    <s v="Kleine Ingreep"/>
    <s v="&lt;null&gt;"/>
    <b v="0"/>
    <s v="Ingreep wordt niet opgevolgd in BOD"/>
    <s v="&lt;null&gt;"/>
    <s v="&lt;null&gt;"/>
    <s v="&lt;null&gt;"/>
    <s v="&lt;null&gt;"/>
    <s v="&lt;null&gt;"/>
    <x v="0"/>
    <s v="&lt;null&gt;"/>
    <s v="&lt;null&gt;"/>
    <s v="&lt;null&gt;"/>
    <s v="&lt;null&gt;"/>
    <n v="100"/>
    <s v="&lt;null&gt;"/>
    <s v="&lt;null&gt;"/>
    <s v="&lt;null&gt;"/>
    <s v="&lt;null&gt;"/>
    <m/>
    <m/>
    <m/>
    <m/>
  </r>
  <r>
    <x v="545"/>
    <x v="545"/>
    <s v="Verkeersveiligheid"/>
    <x v="1"/>
    <n v="767"/>
    <s v="IN/000730"/>
    <s v="N50 - Brugge Steenbruggebrug"/>
    <s v="N50 - Brugge Steenbruggebrug - werken DVW"/>
    <s v="Structurele Ingreep"/>
    <s v="WWV/INV/N50/5"/>
    <b v="0"/>
    <s v="Ingreep wordt niet opgevolgd in BOD"/>
    <s v="&lt;null&gt;"/>
    <s v="&lt;null&gt;"/>
    <s v="&lt;null&gt;"/>
    <s v="&lt;null&gt;"/>
    <s v="&lt;null&gt;"/>
    <x v="0"/>
    <s v="&lt;null&gt;"/>
    <s v="&lt;null&gt;"/>
    <s v="&lt;null&gt;"/>
    <s v="&lt;null&gt;"/>
    <n v="50"/>
    <s v="&lt;null&gt;"/>
    <s v="&lt;null&gt;"/>
    <s v="&lt;null&gt;"/>
    <s v="&lt;null&gt;"/>
    <m/>
    <m/>
    <m/>
    <m/>
  </r>
  <r>
    <x v="663"/>
    <x v="663"/>
    <s v="Verkeersveiligheid"/>
    <x v="1"/>
    <n v="767"/>
    <s v="IN/000730"/>
    <s v="N50 - Brugge Steenbruggebrug"/>
    <s v="N50 - Brugge Steenbruggebrug - werken DVW"/>
    <s v="Structurele Ingreep"/>
    <s v="WWV/INV/N50/5"/>
    <b v="0"/>
    <s v="Ingreep wordt niet opgevolgd in BOD"/>
    <s v="&lt;null&gt;"/>
    <s v="&lt;null&gt;"/>
    <s v="&lt;null&gt;"/>
    <s v="&lt;null&gt;"/>
    <s v="&lt;null&gt;"/>
    <x v="0"/>
    <s v="&lt;null&gt;"/>
    <s v="&lt;null&gt;"/>
    <s v="&lt;null&gt;"/>
    <s v="&lt;null&gt;"/>
    <n v="50"/>
    <s v="&lt;null&gt;"/>
    <s v="&lt;null&gt;"/>
    <s v="&lt;null&gt;"/>
    <s v="&lt;null&gt;"/>
    <m/>
    <m/>
    <m/>
    <m/>
  </r>
  <r>
    <x v="664"/>
    <x v="664"/>
    <s v="Verkeersveiligheid"/>
    <x v="4"/>
    <n v="802"/>
    <s v="IN/000731"/>
    <s v="Horizontale signalisatie in Oudenburg op Hoogstraat"/>
    <s v="&lt;null&gt;"/>
    <s v="Kleine Ingreep"/>
    <s v="WWV/INV/N368/7"/>
    <b v="1"/>
    <s v="Ingreep wordt opgevolgd in BOD"/>
    <n v="10520"/>
    <s v="VWT/WU/2020/007.005"/>
    <n v="68451"/>
    <n v="21013956"/>
    <s v="&lt;p&gt;2021 Basisvastleggingen op 3MH210 - lijn 41280-2&lt;/p&gt;"/>
    <x v="6"/>
    <n v="6254"/>
    <s v="Oudenburg N368 kmp. 38,35 KS001"/>
    <s v="&lt;null&gt;"/>
    <s v="WWV/INV/N368/7"/>
    <n v="100"/>
    <n v="7500"/>
    <n v="0"/>
    <n v="0"/>
    <n v="2624.51"/>
    <n v="7500"/>
    <n v="0"/>
    <n v="0"/>
    <n v="2624.51"/>
  </r>
  <r>
    <x v="664"/>
    <x v="664"/>
    <s v="Verkeersveiligheid"/>
    <x v="4"/>
    <n v="802"/>
    <s v="IN/000731"/>
    <s v="Horizontale signalisatie in Oudenburg op Hoogstraat"/>
    <s v="&lt;null&gt;"/>
    <s v="Kleine Ingreep"/>
    <s v="WWV/INV/N368/7"/>
    <b v="1"/>
    <s v="Ingreep wordt opgevolgd in BOD"/>
    <n v="10520"/>
    <s v="VWT/WU/2020/007.005"/>
    <n v="138401"/>
    <n v="22024538"/>
    <s v="&lt;p&gt;Opstellen van diverse punctuele verlichtingen VVOP/VFOP die gelegen zijn op de schoolroutes ikv relance&lt;/p&gt;"/>
    <x v="3"/>
    <n v="9926"/>
    <s v="IN731 N368 Oudenburg"/>
    <s v="&lt;null&gt;"/>
    <s v="WWV/INV/N368/7"/>
    <n v="100"/>
    <n v="25000"/>
    <n v="0"/>
    <n v="0"/>
    <n v="126.71"/>
    <n v="25000"/>
    <n v="0"/>
    <n v="0"/>
    <n v="126.71"/>
  </r>
  <r>
    <x v="665"/>
    <x v="665"/>
    <s v="Verkeersveiligheid"/>
    <x v="4"/>
    <n v="803"/>
    <s v="IN/000732"/>
    <s v="Horizontale signalisatie in Oudenburg op Brugsesteenweg"/>
    <s v="&lt;null&gt;"/>
    <s v="Kleine Ingreep"/>
    <s v="WWV/INV/N367/10"/>
    <b v="1"/>
    <s v="Ingreep wordt opgevolgd in BOD"/>
    <n v="12024"/>
    <s v="AWV/INV/2021/3_P3"/>
    <n v="118401"/>
    <n v="21065771"/>
    <s v="&lt;p&gt;OF AWV/INV/2021/3 P3 3mh230 schoolroutes&lt;/p&gt;"/>
    <x v="9"/>
    <n v="8718"/>
    <s v="IN732 N367 Oudenburg"/>
    <s v="&lt;null&gt;"/>
    <s v="WWV/INV/N367/10"/>
    <n v="100"/>
    <n v="2361.15"/>
    <n v="0"/>
    <n v="0"/>
    <n v="0"/>
    <n v="2361.15"/>
    <n v="0"/>
    <n v="0"/>
    <n v="0"/>
  </r>
  <r>
    <x v="666"/>
    <x v="666"/>
    <s v="Verkeersveiligheid"/>
    <x v="4"/>
    <n v="804"/>
    <s v="IN/000733"/>
    <s v="Ingreep schoolroute in Wevelgem op Kruispunt Menenstraat - Heilige Theresiastraat"/>
    <s v="&lt;null&gt;"/>
    <s v="Kleine Ingreep"/>
    <s v="WWV/INV/N8/17"/>
    <b v="0"/>
    <s v="Ingreep wordt niet opgevolgd in BOD"/>
    <s v="&lt;null&gt;"/>
    <s v="&lt;null&gt;"/>
    <s v="&lt;null&gt;"/>
    <s v="&lt;null&gt;"/>
    <s v="&lt;null&gt;"/>
    <x v="0"/>
    <s v="&lt;null&gt;"/>
    <s v="&lt;null&gt;"/>
    <s v="&lt;null&gt;"/>
    <s v="&lt;null&gt;"/>
    <n v="100"/>
    <s v="&lt;null&gt;"/>
    <s v="&lt;null&gt;"/>
    <s v="&lt;null&gt;"/>
    <s v="&lt;null&gt;"/>
    <m/>
    <m/>
    <m/>
    <m/>
  </r>
  <r>
    <x v="667"/>
    <x v="667"/>
    <s v="Verkeersveiligheid"/>
    <x v="4"/>
    <n v="805"/>
    <s v="IN/000734"/>
    <s v="Ingreep schoolroute in Wevelgem op Kruispunt oprit A19-Koningin Fabiolastraat"/>
    <s v="&lt;null&gt;"/>
    <s v="Kleine Ingreep"/>
    <s v="&lt;null&gt;"/>
    <b v="0"/>
    <s v="Ingreep wordt niet opgevolgd in BOD"/>
    <s v="&lt;null&gt;"/>
    <s v="&lt;null&gt;"/>
    <s v="&lt;null&gt;"/>
    <s v="&lt;null&gt;"/>
    <s v="&lt;null&gt;"/>
    <x v="0"/>
    <s v="&lt;null&gt;"/>
    <s v="&lt;null&gt;"/>
    <s v="&lt;null&gt;"/>
    <s v="&lt;null&gt;"/>
    <n v="100"/>
    <s v="&lt;null&gt;"/>
    <s v="&lt;null&gt;"/>
    <s v="&lt;null&gt;"/>
    <s v="&lt;null&gt;"/>
    <m/>
    <m/>
    <m/>
    <m/>
  </r>
  <r>
    <x v="668"/>
    <x v="668"/>
    <s v="Verkeersveiligheid"/>
    <x v="4"/>
    <n v="806"/>
    <s v="IN/000735"/>
    <s v="Nieuwe FOP met punctuele verlichting"/>
    <s v="&lt;null&gt;"/>
    <s v="Kleine Ingreep"/>
    <s v="WL/INV/N716/2"/>
    <b v="1"/>
    <s v="Ingreep wordt opgevolgd in BOD"/>
    <s v="&lt;null&gt;"/>
    <s v="&lt;null&gt;"/>
    <n v="75601"/>
    <n v="18099789"/>
    <s v="&lt;p&gt;lev , aanbrengen en onderhouden van wegmarkeringen&amp;nbsp;&lt;/p&gt;"/>
    <x v="16"/>
    <n v="5713"/>
    <s v="ks008"/>
    <s v="&lt;p&gt;SCHOOLROUTES&lt;/p&gt;"/>
    <s v="WL/INV/N716/2"/>
    <n v="100"/>
    <n v="370"/>
    <n v="0"/>
    <n v="0"/>
    <n v="370"/>
    <n v="370"/>
    <n v="0"/>
    <n v="0"/>
    <n v="370"/>
  </r>
  <r>
    <x v="669"/>
    <x v="669"/>
    <s v="Verkeersveiligheid"/>
    <x v="4"/>
    <n v="807"/>
    <s v="IN/000736"/>
    <s v="VVOP"/>
    <s v="&lt;null&gt;"/>
    <s v="Kleine Ingreep"/>
    <s v="WL/INV/N78/19"/>
    <b v="0"/>
    <s v="Ingreep wordt niet opgevolgd in BOD"/>
    <s v="&lt;null&gt;"/>
    <s v="&lt;null&gt;"/>
    <s v="&lt;null&gt;"/>
    <s v="&lt;null&gt;"/>
    <s v="&lt;null&gt;"/>
    <x v="0"/>
    <s v="&lt;null&gt;"/>
    <s v="&lt;null&gt;"/>
    <s v="&lt;null&gt;"/>
    <s v="&lt;null&gt;"/>
    <n v="100"/>
    <s v="&lt;null&gt;"/>
    <s v="&lt;null&gt;"/>
    <s v="&lt;null&gt;"/>
    <s v="&lt;null&gt;"/>
    <m/>
    <m/>
    <m/>
    <m/>
  </r>
  <r>
    <x v="177"/>
    <x v="177"/>
    <s v="Verkeersveiligheid"/>
    <x v="4"/>
    <n v="808"/>
    <s v="IN/000737"/>
    <s v="Ingreep schoolroute in Dilsen-Stokkem op N742"/>
    <s v="&lt;null&gt;"/>
    <s v="Structurele Ingreep"/>
    <s v="&lt;null&gt;"/>
    <b v="0"/>
    <s v="Ingreep wordt niet opgevolgd in BOD"/>
    <s v="&lt;null&gt;"/>
    <s v="&lt;null&gt;"/>
    <s v="&lt;null&gt;"/>
    <s v="&lt;null&gt;"/>
    <s v="&lt;null&gt;"/>
    <x v="0"/>
    <s v="&lt;null&gt;"/>
    <s v="&lt;null&gt;"/>
    <s v="&lt;null&gt;"/>
    <s v="&lt;null&gt;"/>
    <n v="100"/>
    <s v="&lt;null&gt;"/>
    <s v="&lt;null&gt;"/>
    <s v="&lt;null&gt;"/>
    <s v="&lt;null&gt;"/>
    <m/>
    <m/>
    <m/>
    <m/>
  </r>
  <r>
    <x v="670"/>
    <x v="670"/>
    <s v="Verkeersveiligheid"/>
    <x v="4"/>
    <n v="809"/>
    <s v="IN/000738"/>
    <s v="fietsoversteek en stukje dubbelrichtingsfietspad"/>
    <s v="&lt;null&gt;"/>
    <s v="Kleine Ingreep"/>
    <s v="WL/INV/N78/20"/>
    <b v="1"/>
    <s v="Ingreep wordt opgevolgd in BOD"/>
    <n v="12817"/>
    <s v="AWV/INV/2021/3_P5"/>
    <n v="135951"/>
    <n v="22015560"/>
    <s v="&lt;p&gt;gevaarlijke punten, scholenroutes&lt;/p&gt;"/>
    <x v="14"/>
    <n v="9810"/>
    <s v="Dilsen-Stokkem_N78_KS023_29.237"/>
    <s v="&lt;null&gt;"/>
    <s v="WL/INV/N78/20"/>
    <n v="100"/>
    <n v="50000"/>
    <n v="0"/>
    <n v="0"/>
    <n v="15421.42"/>
    <n v="50000"/>
    <n v="0"/>
    <n v="0"/>
    <n v="15421.42"/>
  </r>
  <r>
    <x v="671"/>
    <x v="671"/>
    <s v="Verkeersveiligheid"/>
    <x v="4"/>
    <n v="810"/>
    <s v="IN/000739"/>
    <s v="Ingreep schoolroute in Kortemark op kruispunt Hoogledestraat x Staatsbaan"/>
    <s v="&lt;null&gt;"/>
    <s v="Kleine Ingreep"/>
    <s v="WWV/INV/N35/5"/>
    <b v="0"/>
    <s v="Ingreep wordt niet opgevolgd in BOD"/>
    <s v="&lt;null&gt;"/>
    <s v="&lt;null&gt;"/>
    <s v="&lt;null&gt;"/>
    <s v="&lt;null&gt;"/>
    <s v="&lt;null&gt;"/>
    <x v="0"/>
    <s v="&lt;null&gt;"/>
    <s v="&lt;null&gt;"/>
    <s v="&lt;null&gt;"/>
    <s v="&lt;null&gt;"/>
    <n v="100"/>
    <s v="&lt;null&gt;"/>
    <s v="&lt;null&gt;"/>
    <s v="&lt;null&gt;"/>
    <s v="&lt;null&gt;"/>
    <m/>
    <m/>
    <m/>
    <m/>
  </r>
  <r>
    <x v="672"/>
    <x v="672"/>
    <s v="Verkeersveiligheid"/>
    <x v="4"/>
    <n v="811"/>
    <s v="IN/000740"/>
    <s v="Contrastverlichting FOP"/>
    <s v="&lt;null&gt;"/>
    <s v="Kleine Ingreep"/>
    <s v="WL/INV/N716/3"/>
    <b v="0"/>
    <s v="Ingreep wordt niet opgevolgd in BOD"/>
    <s v="&lt;null&gt;"/>
    <s v="&lt;null&gt;"/>
    <s v="&lt;null&gt;"/>
    <s v="&lt;null&gt;"/>
    <s v="&lt;null&gt;"/>
    <x v="0"/>
    <s v="&lt;null&gt;"/>
    <s v="&lt;null&gt;"/>
    <s v="&lt;null&gt;"/>
    <s v="&lt;null&gt;"/>
    <n v="100"/>
    <s v="&lt;null&gt;"/>
    <s v="&lt;null&gt;"/>
    <s v="&lt;null&gt;"/>
    <s v="&lt;null&gt;"/>
    <m/>
    <m/>
    <m/>
    <m/>
  </r>
  <r>
    <x v="673"/>
    <x v="673"/>
    <s v="Verkeersveiligheid"/>
    <x v="4"/>
    <n v="812"/>
    <s v="IN/000741"/>
    <s v="Ingreep schoolroute in Oud-Heverlee op kruispunt Naamsesteenweg - Brainestraat - Duivenstraat"/>
    <s v="VOP, aanpassen voetpaden, punctuele verlichting"/>
    <s v="Kleine Ingreep"/>
    <s v="WVB/INV/N251/3"/>
    <b v="1"/>
    <s v="Ingreep wordt opgevolgd in BOD"/>
    <n v="10519"/>
    <s v="VWT/WU/2020/007.004"/>
    <n v="73751"/>
    <n v="22028153"/>
    <s v="&lt;p&gt;Vastlegging 1ste contractjaar - vastlegging 2: AANPASSEN&amp;amp;UITRUSTEN OVERSTEEKPLAATSEN VR ZWAKKE WEGGEBRUIKERS MET (PUNCTUELE) VERLICHTING&amp;amp;INGREPEN VAN BEPERKTE OMVANG - P4 WVB VVF 1STE JR&lt;/p&gt;"/>
    <x v="17"/>
    <n v="7499"/>
    <s v="Relance schoolroute VVOP N251x Brainestraat te Oud-Heverlee"/>
    <s v="&lt;null&gt;"/>
    <s v="WVB/INV/N251/3"/>
    <n v="100"/>
    <n v="33527.19"/>
    <n v="0"/>
    <n v="0"/>
    <n v="0"/>
    <n v="33527.19"/>
    <n v="0"/>
    <n v="0"/>
    <n v="0"/>
  </r>
  <r>
    <x v="674"/>
    <x v="674"/>
    <s v="Verkeersveiligheid"/>
    <x v="4"/>
    <n v="813"/>
    <s v="IN/000742"/>
    <s v="Ingreep schoolroute in Zoutleeuw op kruispunt Asbroekstraat - n3"/>
    <s v="&lt;null&gt;"/>
    <s v="Kleine Ingreep"/>
    <s v="WVB/INV/N3/8"/>
    <b v="0"/>
    <s v="Ingreep wordt niet opgevolgd in BOD"/>
    <s v="&lt;null&gt;"/>
    <s v="&lt;null&gt;"/>
    <s v="&lt;null&gt;"/>
    <s v="&lt;null&gt;"/>
    <s v="&lt;null&gt;"/>
    <x v="0"/>
    <s v="&lt;null&gt;"/>
    <s v="&lt;null&gt;"/>
    <s v="&lt;null&gt;"/>
    <s v="&lt;null&gt;"/>
    <n v="100"/>
    <s v="&lt;null&gt;"/>
    <s v="&lt;null&gt;"/>
    <s v="&lt;null&gt;"/>
    <s v="&lt;null&gt;"/>
    <m/>
    <m/>
    <m/>
    <m/>
  </r>
  <r>
    <x v="675"/>
    <x v="675"/>
    <s v="Verkeersveiligheid"/>
    <x v="4"/>
    <n v="814"/>
    <s v="IN/000743"/>
    <s v="Ingreep schoolroute in Pepingen op Kruispunt N28 met de Eikstraat"/>
    <s v="&lt;null&gt;"/>
    <s v="Kleine Ingreep"/>
    <s v="WVB/INV/N28/5"/>
    <b v="0"/>
    <s v="Ingreep wordt niet opgevolgd in BOD"/>
    <s v="&lt;null&gt;"/>
    <s v="&lt;null&gt;"/>
    <s v="&lt;null&gt;"/>
    <s v="&lt;null&gt;"/>
    <s v="&lt;null&gt;"/>
    <x v="0"/>
    <s v="&lt;null&gt;"/>
    <s v="&lt;null&gt;"/>
    <s v="&lt;null&gt;"/>
    <s v="&lt;null&gt;"/>
    <n v="100"/>
    <s v="&lt;null&gt;"/>
    <s v="&lt;null&gt;"/>
    <s v="&lt;null&gt;"/>
    <s v="&lt;null&gt;"/>
    <m/>
    <m/>
    <m/>
    <m/>
  </r>
  <r>
    <x v="676"/>
    <x v="676"/>
    <s v="Verkeersveiligheid"/>
    <x v="4"/>
    <n v="815"/>
    <s v="IN/000744"/>
    <s v="Ingreep schoolroute in Hove op hoek N1-Edegemsestraat"/>
    <s v="PCV dossier"/>
    <s v="Kleine Ingreep"/>
    <s v="&lt;null&gt;"/>
    <b v="0"/>
    <s v="Ingreep wordt niet opgevolgd in BOD"/>
    <s v="&lt;null&gt;"/>
    <s v="&lt;null&gt;"/>
    <s v="&lt;null&gt;"/>
    <s v="&lt;null&gt;"/>
    <s v="&lt;null&gt;"/>
    <x v="0"/>
    <s v="&lt;null&gt;"/>
    <s v="&lt;null&gt;"/>
    <s v="&lt;null&gt;"/>
    <s v="&lt;null&gt;"/>
    <n v="100"/>
    <s v="&lt;null&gt;"/>
    <s v="&lt;null&gt;"/>
    <s v="&lt;null&gt;"/>
    <s v="&lt;null&gt;"/>
    <m/>
    <m/>
    <m/>
    <m/>
  </r>
  <r>
    <x v="677"/>
    <x v="677"/>
    <s v="Verkeersveiligheid"/>
    <x v="4"/>
    <n v="816"/>
    <s v="IN/000745"/>
    <s v="Ingreep schoolroute in Puurs-Sint-Amands op N17 (Provinciale Baan) - Lippelo"/>
    <s v="&lt;null&gt;"/>
    <s v="Kleine Ingreep"/>
    <s v="WA/INV/N17/5"/>
    <b v="0"/>
    <s v="Ingreep wordt niet opgevolgd in BOD"/>
    <s v="&lt;null&gt;"/>
    <s v="&lt;null&gt;"/>
    <s v="&lt;null&gt;"/>
    <s v="&lt;null&gt;"/>
    <s v="&lt;null&gt;"/>
    <x v="0"/>
    <s v="&lt;null&gt;"/>
    <s v="&lt;null&gt;"/>
    <s v="&lt;null&gt;"/>
    <s v="&lt;null&gt;"/>
    <n v="100"/>
    <s v="&lt;null&gt;"/>
    <s v="&lt;null&gt;"/>
    <s v="&lt;null&gt;"/>
    <s v="&lt;null&gt;"/>
    <m/>
    <m/>
    <m/>
    <m/>
  </r>
  <r>
    <x v="678"/>
    <x v="678"/>
    <s v="Verkeersveiligheid"/>
    <x v="4"/>
    <n v="817"/>
    <s v="IN/000746"/>
    <s v="Ingreep schoolroute in Meise op Nieuwelaan/Bouchoutlaan"/>
    <s v="VVOP"/>
    <s v="Kleine Ingreep"/>
    <s v="WVB/INV/N277/4"/>
    <b v="1"/>
    <s v="Ingreep wordt opgevolgd in BOD"/>
    <n v="10519"/>
    <s v="VWT/WU/2020/007.004"/>
    <n v="76201"/>
    <n v="21013952"/>
    <s v="&lt;p&gt;Vastlegging 3 : Het aanpassen en uitrusten van oversteekplaatsen voor zwakke weggebruikers met (punctuele) verlichting en ingrepen van beperkte omvang&lt;/p&gt;"/>
    <x v="6"/>
    <n v="7501"/>
    <s v="Relance schoolroutes N277 x bouchoutlaan te Meise"/>
    <s v="&lt;null&gt;"/>
    <s v="WVB/INV/N277/4"/>
    <n v="100"/>
    <n v="26235.96"/>
    <n v="0"/>
    <n v="0"/>
    <n v="0"/>
    <n v="26235.96"/>
    <n v="0"/>
    <n v="0"/>
    <n v="0"/>
  </r>
  <r>
    <x v="679"/>
    <x v="679"/>
    <s v="Verkeersveiligheid"/>
    <x v="4"/>
    <n v="818"/>
    <s v="IN/000747"/>
    <s v="Ingreep schoolroute in Hooglede op Rotonde Sleihage"/>
    <s v="&lt;null&gt;"/>
    <s v="Kleine Ingreep"/>
    <s v="WWV/INV/N36/4"/>
    <b v="0"/>
    <s v="Ingreep wordt niet opgevolgd in BOD"/>
    <s v="&lt;null&gt;"/>
    <s v="&lt;null&gt;"/>
    <n v="118401"/>
    <n v="21065771"/>
    <s v="&lt;p&gt;OF AWV/INV/2021/3 P3 3mh230 schoolroutes&lt;/p&gt;"/>
    <x v="9"/>
    <n v="9340"/>
    <s v="IN747 Hooglede meerdere knelpunten"/>
    <s v="&lt;null&gt;"/>
    <s v="WWV/INV/N36/4"/>
    <n v="100"/>
    <n v="42000"/>
    <n v="0"/>
    <n v="0"/>
    <n v="42000"/>
    <n v="42000"/>
    <n v="0"/>
    <n v="0"/>
    <n v="42000"/>
  </r>
  <r>
    <x v="680"/>
    <x v="680"/>
    <s v="Verkeersveiligheid"/>
    <x v="4"/>
    <n v="819"/>
    <s v="IN/000748"/>
    <s v="Oversteekbaarheid kruispunt (PM studiebureau aan te stellen via MC3)"/>
    <s v="- Enkelrichtingsfietsoversteken met toeleidende fietspaden\n- verhoogd plateau"/>
    <s v="Kleine Ingreep"/>
    <s v="WL/INV/N777/2"/>
    <b v="0"/>
    <s v="Ingreep wordt niet opgevolgd in BOD"/>
    <s v="&lt;null&gt;"/>
    <s v="&lt;null&gt;"/>
    <s v="&lt;null&gt;"/>
    <s v="&lt;null&gt;"/>
    <s v="&lt;null&gt;"/>
    <x v="0"/>
    <s v="&lt;null&gt;"/>
    <s v="&lt;null&gt;"/>
    <s v="&lt;null&gt;"/>
    <s v="&lt;null&gt;"/>
    <n v="100"/>
    <s v="&lt;null&gt;"/>
    <s v="&lt;null&gt;"/>
    <s v="&lt;null&gt;"/>
    <s v="&lt;null&gt;"/>
    <m/>
    <m/>
    <m/>
    <m/>
  </r>
  <r>
    <x v="681"/>
    <x v="681"/>
    <s v="Verkeersveiligheid"/>
    <x v="4"/>
    <n v="820"/>
    <s v="IN/000749"/>
    <s v="Ingreep schoolroute in Wellen op Dorpsstraat einde fietspad"/>
    <s v="uitvoeren oversteek volgens resultaat studie Sweco"/>
    <s v="Kleine Ingreep"/>
    <s v="WL/INV/N754/6"/>
    <b v="1"/>
    <s v="Ingreep wordt opgevolgd in BOD"/>
    <n v="7513"/>
    <s v="O70/0/755-P4"/>
    <n v="80151"/>
    <n v="19002726"/>
    <s v="&lt;p&gt;OF O70/0/755 p4 3de jaar Zuid Limburg 1M3D8G/18/50 Lev en aanbrengen en onderhouden van wegmarkeringen in de provincie Limburg openbare procedure&lt;/p&gt;"/>
    <x v="18"/>
    <n v="5699"/>
    <s v="Schoolroute - KS049 - Wellen - Markering fietsers"/>
    <s v="&lt;null&gt;"/>
    <s v="WL/INV/N754/6"/>
    <n v="100"/>
    <n v="420"/>
    <n v="420"/>
    <n v="0"/>
    <n v="0"/>
    <n v="420"/>
    <n v="420"/>
    <n v="0"/>
    <n v="0"/>
  </r>
  <r>
    <x v="682"/>
    <x v="682"/>
    <s v="Verkeersveiligheid"/>
    <x v="4"/>
    <n v="821"/>
    <s v="IN/000750"/>
    <s v="Ingreep schoolroute in Knokke-Heist op Kruispunt N300 Heistlaan x Sasstraat"/>
    <s v="&lt;null&gt;"/>
    <s v="Kleine Ingreep"/>
    <s v="WWV/INV/N300/1"/>
    <b v="0"/>
    <s v="Ingreep wordt niet opgevolgd in BOD"/>
    <s v="&lt;null&gt;"/>
    <s v="&lt;null&gt;"/>
    <n v="118401"/>
    <n v="21065771"/>
    <s v="&lt;p&gt;OF AWV/INV/2021/3 P3 3mh230 schoolroutes&lt;/p&gt;"/>
    <x v="9"/>
    <n v="8269"/>
    <s v="IN750 N300 Ramskapelle Heistlaan"/>
    <s v="&lt;null&gt;"/>
    <s v="WWV/INV/N300/1"/>
    <n v="100"/>
    <n v="8265"/>
    <n v="0"/>
    <n v="0"/>
    <n v="8265"/>
    <n v="8265"/>
    <n v="0"/>
    <n v="0"/>
    <n v="8265"/>
  </r>
  <r>
    <x v="683"/>
    <x v="683"/>
    <s v="Verkeersveiligheid"/>
    <x v="4"/>
    <n v="822"/>
    <s v="IN/000751"/>
    <s v="Ingreep schoolroute in Knokke-Heist op Kruispunt N300 Heistlaan x Sasstraat"/>
    <s v="&lt;null&gt;"/>
    <s v="Kleine Ingreep"/>
    <s v="WWV/INV/N300/2"/>
    <b v="0"/>
    <s v="Ingreep wordt niet opgevolgd in BOD"/>
    <s v="&lt;null&gt;"/>
    <s v="&lt;null&gt;"/>
    <s v="&lt;null&gt;"/>
    <s v="&lt;null&gt;"/>
    <s v="&lt;null&gt;"/>
    <x v="0"/>
    <s v="&lt;null&gt;"/>
    <s v="&lt;null&gt;"/>
    <s v="&lt;null&gt;"/>
    <s v="&lt;null&gt;"/>
    <n v="100"/>
    <s v="&lt;null&gt;"/>
    <s v="&lt;null&gt;"/>
    <s v="&lt;null&gt;"/>
    <s v="&lt;null&gt;"/>
    <m/>
    <m/>
    <m/>
    <m/>
  </r>
  <r>
    <x v="684"/>
    <x v="684"/>
    <s v="Verkeersveiligheid"/>
    <x v="4"/>
    <n v="823"/>
    <s v="IN/000752"/>
    <s v="Ingreep schoolroute in Knokke-Heist op Kruispunt N300 Heistlaan x Moerstraat"/>
    <s v="&lt;null&gt;"/>
    <s v="Kleine Ingreep"/>
    <s v="WWV/INV/N300/3"/>
    <b v="0"/>
    <s v="Ingreep wordt niet opgevolgd in BOD"/>
    <s v="&lt;null&gt;"/>
    <s v="&lt;null&gt;"/>
    <n v="118401"/>
    <n v="21065771"/>
    <s v="&lt;p&gt;OF AWV/INV/2021/3 P3 3mh230 schoolroutes&lt;/p&gt;"/>
    <x v="9"/>
    <n v="8352"/>
    <s v="IN752 N300 Knokke Heistlaan Ramskapelle"/>
    <s v="&lt;null&gt;"/>
    <s v="WWV/INV/N300/3"/>
    <n v="100"/>
    <n v="62000"/>
    <n v="0"/>
    <n v="0"/>
    <n v="62000"/>
    <n v="62000"/>
    <n v="0"/>
    <n v="0"/>
    <n v="62000"/>
  </r>
  <r>
    <x v="685"/>
    <x v="685"/>
    <s v="Verkeersveiligheid"/>
    <x v="4"/>
    <n v="824"/>
    <s v="IN/000753"/>
    <s v="Ingreep schoolroute in Knokke-Heist op Kruispunt N34 Elizabetlaan x Arcadenlaan"/>
    <s v="Insnoeren Arcadelaan. Fietsgeleiding."/>
    <s v="Kleine Ingreep"/>
    <s v="WWV/INV/N34/16"/>
    <b v="0"/>
    <s v="Ingreep wordt niet opgevolgd in BOD"/>
    <s v="&lt;null&gt;"/>
    <s v="&lt;null&gt;"/>
    <s v="&lt;null&gt;"/>
    <s v="&lt;null&gt;"/>
    <s v="&lt;null&gt;"/>
    <x v="0"/>
    <s v="&lt;null&gt;"/>
    <s v="&lt;null&gt;"/>
    <s v="&lt;null&gt;"/>
    <s v="&lt;null&gt;"/>
    <n v="100"/>
    <s v="&lt;null&gt;"/>
    <s v="&lt;null&gt;"/>
    <s v="&lt;null&gt;"/>
    <s v="&lt;null&gt;"/>
    <m/>
    <m/>
    <m/>
    <m/>
  </r>
  <r>
    <x v="686"/>
    <x v="686"/>
    <s v="Verkeersveiligheid"/>
    <x v="4"/>
    <n v="825"/>
    <s v="IN/000754"/>
    <s v="oversteekbaarheid: omvang ingreep nog te bepalen"/>
    <s v="&lt;null&gt;"/>
    <s v="Kleine Ingreep"/>
    <s v="WL/INV/N715/8"/>
    <b v="0"/>
    <s v="Ingreep wordt niet opgevolgd in BOD"/>
    <s v="&lt;null&gt;"/>
    <s v="&lt;null&gt;"/>
    <s v="&lt;null&gt;"/>
    <s v="&lt;null&gt;"/>
    <s v="&lt;null&gt;"/>
    <x v="0"/>
    <s v="&lt;null&gt;"/>
    <s v="&lt;null&gt;"/>
    <s v="&lt;null&gt;"/>
    <s v="&lt;null&gt;"/>
    <n v="100"/>
    <s v="&lt;null&gt;"/>
    <s v="&lt;null&gt;"/>
    <s v="&lt;null&gt;"/>
    <s v="&lt;null&gt;"/>
    <m/>
    <m/>
    <m/>
    <m/>
  </r>
  <r>
    <x v="687"/>
    <x v="687"/>
    <s v="Verkeersveiligheid"/>
    <x v="4"/>
    <n v="826"/>
    <s v="IN/000755"/>
    <s v="Aanpassen 2 fietsopstelstroken (PM studiebureau aan te stellen via MC3)"/>
    <s v="Fietsopstelplaatsen verplaatsen; daardoor detectielusverplaatsen en dwarsprofiel aanpassen"/>
    <s v="Kleine Ingreep"/>
    <s v="WL/INV/N747/6"/>
    <b v="0"/>
    <s v="Ingreep wordt niet opgevolgd in BOD"/>
    <s v="&lt;null&gt;"/>
    <s v="&lt;null&gt;"/>
    <s v="&lt;null&gt;"/>
    <s v="&lt;null&gt;"/>
    <s v="&lt;null&gt;"/>
    <x v="0"/>
    <s v="&lt;null&gt;"/>
    <s v="&lt;null&gt;"/>
    <s v="&lt;null&gt;"/>
    <s v="&lt;null&gt;"/>
    <n v="100"/>
    <s v="&lt;null&gt;"/>
    <s v="&lt;null&gt;"/>
    <s v="&lt;null&gt;"/>
    <s v="&lt;null&gt;"/>
    <m/>
    <m/>
    <m/>
    <m/>
  </r>
  <r>
    <x v="688"/>
    <x v="688"/>
    <s v="Verkeersveiligheid"/>
    <x v="4"/>
    <n v="827"/>
    <s v="IN/000756"/>
    <s v="Ingreep schoolroute in Hechtel-Eksel op kruispunt Kerkstraat en Stationstraat"/>
    <s v="&lt;null&gt;"/>
    <s v="Kleine Ingreep"/>
    <s v="WL/INV/N747/4"/>
    <b v="1"/>
    <s v="Ingreep wordt opgevolgd in BOD"/>
    <n v="7217"/>
    <s v="O70/0/755-P2"/>
    <n v="75601"/>
    <n v="18099789"/>
    <s v="&lt;p&gt;lev , aanbrengen en onderhouden van wegmarkeringen&amp;nbsp;&lt;/p&gt;"/>
    <x v="16"/>
    <n v="5709"/>
    <s v="KS059"/>
    <s v="&lt;p&gt;SCHOOLROUTES&lt;/p&gt;"/>
    <s v="WL/INV/N747/4"/>
    <n v="100"/>
    <n v="230"/>
    <n v="230"/>
    <n v="0"/>
    <n v="0"/>
    <n v="230"/>
    <n v="230"/>
    <n v="0"/>
    <n v="0"/>
  </r>
  <r>
    <x v="689"/>
    <x v="689"/>
    <s v="Verkeersveiligheid"/>
    <x v="4"/>
    <n v="828"/>
    <s v="IN/000757"/>
    <s v="Ingreep schoolroute in Hechtel-Eksel op Groenstraat (tussen kruispunt Overpelterbaan en de Stationsstraat)"/>
    <s v="grijze fietssuggestiestroken in oker gezet"/>
    <s v="Kleine Ingreep"/>
    <s v="WL/INV/N747/5"/>
    <b v="1"/>
    <s v="Ingreep wordt opgevolgd in BOD"/>
    <n v="7217"/>
    <s v="O70/0/755-P2"/>
    <n v="75601"/>
    <n v="18099789"/>
    <s v="&lt;p&gt;lev , aanbrengen en onderhouden van wegmarkeringen&amp;nbsp;&lt;/p&gt;"/>
    <x v="16"/>
    <n v="5710"/>
    <s v="KS060"/>
    <s v="&lt;p&gt;SCHOOLROUTES&lt;/p&gt;"/>
    <s v="WL/INV/N747/5"/>
    <n v="100"/>
    <n v="18555"/>
    <n v="18555"/>
    <n v="0"/>
    <n v="0"/>
    <n v="18555"/>
    <n v="18555"/>
    <n v="0"/>
    <n v="0"/>
  </r>
  <r>
    <x v="690"/>
    <x v="690"/>
    <s v="Verkeersveiligheid"/>
    <x v="4"/>
    <n v="829"/>
    <s v="IN/000758"/>
    <s v="Ingreep schoolroute in Staden op N313 thv Vijverbosstraat"/>
    <s v="VVOP ter hoogte van nabijgelegen zebrapad.\nAsverschuiving met rustpunt."/>
    <s v="Kleine Ingreep"/>
    <s v="WWV/INV/N313/3"/>
    <b v="0"/>
    <s v="Ingreep wordt niet opgevolgd in BOD"/>
    <s v="&lt;null&gt;"/>
    <s v="&lt;null&gt;"/>
    <s v="&lt;null&gt;"/>
    <s v="&lt;null&gt;"/>
    <s v="&lt;null&gt;"/>
    <x v="0"/>
    <s v="&lt;null&gt;"/>
    <s v="&lt;null&gt;"/>
    <s v="&lt;null&gt;"/>
    <s v="&lt;null&gt;"/>
    <n v="100"/>
    <s v="&lt;null&gt;"/>
    <s v="&lt;null&gt;"/>
    <s v="&lt;null&gt;"/>
    <s v="&lt;null&gt;"/>
    <m/>
    <m/>
    <m/>
    <m/>
  </r>
  <r>
    <x v="691"/>
    <x v="691"/>
    <s v="Verkeersveiligheid"/>
    <x v="4"/>
    <n v="830"/>
    <s v="IN/000759"/>
    <s v="Ingreep schoolroute in Torhout op Toestand fietspaden Roeselaarseweg N32"/>
    <s v="voorstel vernieuwen fietspad nog niet weerhouden"/>
    <s v="Kleine Ingreep"/>
    <s v="&lt;null&gt;"/>
    <b v="0"/>
    <s v="Ingreep wordt niet opgevolgd in BOD"/>
    <s v="&lt;null&gt;"/>
    <s v="&lt;null&gt;"/>
    <s v="&lt;null&gt;"/>
    <s v="&lt;null&gt;"/>
    <s v="&lt;null&gt;"/>
    <x v="0"/>
    <s v="&lt;null&gt;"/>
    <s v="&lt;null&gt;"/>
    <s v="&lt;null&gt;"/>
    <s v="&lt;null&gt;"/>
    <n v="100"/>
    <s v="&lt;null&gt;"/>
    <s v="&lt;null&gt;"/>
    <s v="&lt;null&gt;"/>
    <s v="&lt;null&gt;"/>
    <m/>
    <m/>
    <m/>
    <m/>
  </r>
  <r>
    <x v="692"/>
    <x v="692"/>
    <s v="Verkeersveiligheid"/>
    <x v="4"/>
    <n v="831"/>
    <s v="IN/000760"/>
    <s v="Ingreep schoolroute in Westerlo op De Merodedreef N19 - Bistplein"/>
    <s v="&lt;null&gt;"/>
    <s v="Kleine Ingreep"/>
    <s v="WA/INV/N19/7"/>
    <b v="0"/>
    <s v="Ingreep wordt niet opgevolgd in BOD"/>
    <s v="&lt;null&gt;"/>
    <s v="&lt;null&gt;"/>
    <s v="&lt;null&gt;"/>
    <s v="&lt;null&gt;"/>
    <s v="&lt;null&gt;"/>
    <x v="0"/>
    <s v="&lt;null&gt;"/>
    <s v="&lt;null&gt;"/>
    <s v="&lt;null&gt;"/>
    <s v="&lt;null&gt;"/>
    <n v="100"/>
    <s v="&lt;null&gt;"/>
    <s v="&lt;null&gt;"/>
    <s v="&lt;null&gt;"/>
    <s v="&lt;null&gt;"/>
    <m/>
    <m/>
    <m/>
    <m/>
  </r>
  <r>
    <x v="693"/>
    <x v="693"/>
    <s v="Verkeersveiligheid"/>
    <x v="4"/>
    <n v="832"/>
    <s v="IN/000761"/>
    <s v="Ingreep schoolroute in Westerlo op kruising Zoerlering N152 - Stippelberg"/>
    <s v="Vier palen"/>
    <s v="Kleine Ingreep"/>
    <s v="&lt;null&gt;"/>
    <b v="0"/>
    <s v="Ingreep wordt niet opgevolgd in BOD"/>
    <s v="&lt;null&gt;"/>
    <s v="&lt;null&gt;"/>
    <s v="&lt;null&gt;"/>
    <s v="&lt;null&gt;"/>
    <s v="&lt;null&gt;"/>
    <x v="0"/>
    <s v="&lt;null&gt;"/>
    <s v="&lt;null&gt;"/>
    <s v="&lt;null&gt;"/>
    <s v="&lt;null&gt;"/>
    <n v="100"/>
    <s v="&lt;null&gt;"/>
    <s v="&lt;null&gt;"/>
    <s v="&lt;null&gt;"/>
    <s v="&lt;null&gt;"/>
    <m/>
    <m/>
    <m/>
    <m/>
  </r>
  <r>
    <x v="694"/>
    <x v="694"/>
    <s v="Verkeersveiligheid"/>
    <x v="4"/>
    <n v="833"/>
    <s v="IN/000762"/>
    <s v="Ingreep schoolroute in Westerlo op N19 - De Merodedreef"/>
    <s v="&lt;null&gt;"/>
    <s v="Kleine Ingreep"/>
    <s v="WA/INV/N19/8"/>
    <b v="0"/>
    <s v="Ingreep wordt niet opgevolgd in BOD"/>
    <s v="&lt;null&gt;"/>
    <s v="&lt;null&gt;"/>
    <s v="&lt;null&gt;"/>
    <s v="&lt;null&gt;"/>
    <s v="&lt;null&gt;"/>
    <x v="0"/>
    <s v="&lt;null&gt;"/>
    <s v="&lt;null&gt;"/>
    <s v="&lt;null&gt;"/>
    <s v="&lt;null&gt;"/>
    <n v="100"/>
    <s v="&lt;null&gt;"/>
    <s v="&lt;null&gt;"/>
    <s v="&lt;null&gt;"/>
    <s v="&lt;null&gt;"/>
    <m/>
    <m/>
    <m/>
    <m/>
  </r>
  <r>
    <x v="695"/>
    <x v="695"/>
    <s v="Verkeersveiligheid"/>
    <x v="4"/>
    <n v="834"/>
    <s v="IN/000763"/>
    <s v="Ingreep schoolroute in Westerlo op kruising N152 Olenseweg en Geneinde/Ter Voort"/>
    <s v="&lt;null&gt;"/>
    <s v="Kleine Ingreep"/>
    <s v="WA/INV/N152/4"/>
    <b v="0"/>
    <s v="Ingreep wordt niet opgevolgd in BOD"/>
    <s v="&lt;null&gt;"/>
    <s v="&lt;null&gt;"/>
    <s v="&lt;null&gt;"/>
    <s v="&lt;null&gt;"/>
    <s v="&lt;null&gt;"/>
    <x v="0"/>
    <s v="&lt;null&gt;"/>
    <s v="&lt;null&gt;"/>
    <s v="&lt;null&gt;"/>
    <s v="&lt;null&gt;"/>
    <n v="100"/>
    <s v="&lt;null&gt;"/>
    <s v="&lt;null&gt;"/>
    <s v="&lt;null&gt;"/>
    <s v="&lt;null&gt;"/>
    <m/>
    <m/>
    <m/>
    <m/>
  </r>
  <r>
    <x v="696"/>
    <x v="696"/>
    <s v="Verkeersveiligheid"/>
    <x v="4"/>
    <n v="835"/>
    <s v="IN/000764"/>
    <s v="Ingreep schoolroute in Kortessem op Fiets- en voetgangersoversteekplaats kruispunt Kerkplein en N76"/>
    <s v="&lt;null&gt;"/>
    <s v="Kleine Ingreep"/>
    <s v="WL/INV/N76/15"/>
    <b v="0"/>
    <s v="Ingreep wordt niet opgevolgd in BOD"/>
    <s v="&lt;null&gt;"/>
    <s v="&lt;null&gt;"/>
    <s v="&lt;null&gt;"/>
    <s v="&lt;null&gt;"/>
    <s v="&lt;null&gt;"/>
    <x v="0"/>
    <s v="&lt;null&gt;"/>
    <s v="&lt;null&gt;"/>
    <s v="&lt;null&gt;"/>
    <s v="&lt;null&gt;"/>
    <n v="100"/>
    <s v="&lt;null&gt;"/>
    <s v="&lt;null&gt;"/>
    <s v="&lt;null&gt;"/>
    <s v="&lt;null&gt;"/>
    <m/>
    <m/>
    <m/>
    <m/>
  </r>
  <r>
    <x v="18"/>
    <x v="18"/>
    <s v="&lt;null&gt;"/>
    <x v="3"/>
    <n v="836"/>
    <s v="IN/000765"/>
    <s v="Ingreep schoolroute in Bekkevoort op N2 tussen Schillkensberg/Robbesrodestraat en grens Tielt-Winge"/>
    <s v="&lt;null&gt;"/>
    <s v="Kleine Ingreep"/>
    <s v="&lt;null&gt;"/>
    <b v="0"/>
    <s v="Ingreep wordt niet opgevolgd in BOD"/>
    <s v="&lt;null&gt;"/>
    <s v="&lt;null&gt;"/>
    <s v="&lt;null&gt;"/>
    <s v="&lt;null&gt;"/>
    <s v="&lt;null&gt;"/>
    <x v="0"/>
    <s v="&lt;null&gt;"/>
    <s v="&lt;null&gt;"/>
    <s v="&lt;null&gt;"/>
    <s v="&lt;null&gt;"/>
    <s v="&lt;null&gt;"/>
    <s v="&lt;null&gt;"/>
    <s v="&lt;null&gt;"/>
    <s v="&lt;null&gt;"/>
    <s v="&lt;null&gt;"/>
    <m/>
    <m/>
    <m/>
    <m/>
  </r>
  <r>
    <x v="697"/>
    <x v="697"/>
    <s v="Verkeersveiligheid"/>
    <x v="4"/>
    <n v="837"/>
    <s v="IN/000766"/>
    <s v="Ingreep schoolroute in Torhout op Kruispunt Vredelaan / Molenstraat"/>
    <s v="&lt;null&gt;"/>
    <s v="Kleine Ingreep"/>
    <s v="WWV/INV/R34/2"/>
    <b v="0"/>
    <s v="Ingreep wordt niet opgevolgd in BOD"/>
    <s v="&lt;null&gt;"/>
    <s v="&lt;null&gt;"/>
    <s v="&lt;null&gt;"/>
    <s v="&lt;null&gt;"/>
    <s v="&lt;null&gt;"/>
    <x v="0"/>
    <s v="&lt;null&gt;"/>
    <s v="&lt;null&gt;"/>
    <s v="&lt;null&gt;"/>
    <s v="&lt;null&gt;"/>
    <n v="100"/>
    <s v="&lt;null&gt;"/>
    <s v="&lt;null&gt;"/>
    <s v="&lt;null&gt;"/>
    <s v="&lt;null&gt;"/>
    <m/>
    <m/>
    <m/>
    <m/>
  </r>
  <r>
    <x v="698"/>
    <x v="698"/>
    <s v="Verkeersveiligheid"/>
    <x v="4"/>
    <n v="838"/>
    <s v="IN/000767"/>
    <s v="Ingreep schoolroute in Torhout op Toestand fietspaden brug over E403 in Ruddervoordestraat (fietspad bovenop kunstwerk)"/>
    <s v="&lt;null&gt;"/>
    <s v="Kleine Ingreep"/>
    <s v="WWV/INV/A17/3"/>
    <b v="0"/>
    <s v="Ingreep wordt niet opgevolgd in BOD"/>
    <s v="&lt;null&gt;"/>
    <s v="&lt;null&gt;"/>
    <s v="&lt;null&gt;"/>
    <s v="&lt;null&gt;"/>
    <s v="&lt;null&gt;"/>
    <x v="0"/>
    <s v="&lt;null&gt;"/>
    <s v="&lt;null&gt;"/>
    <s v="&lt;null&gt;"/>
    <s v="&lt;null&gt;"/>
    <n v="100"/>
    <s v="&lt;null&gt;"/>
    <s v="&lt;null&gt;"/>
    <s v="&lt;null&gt;"/>
    <s v="&lt;null&gt;"/>
    <m/>
    <m/>
    <m/>
    <m/>
  </r>
  <r>
    <x v="699"/>
    <x v="699"/>
    <s v="Verkeersveiligheid"/>
    <x v="4"/>
    <n v="839"/>
    <s v="IN/000768"/>
    <s v="Ingreep schoolroute in Lier op N10 x Sander De Vosstraat"/>
    <s v="&lt;null&gt;"/>
    <s v="Kleine Ingreep"/>
    <s v="WA/INV/N10/11"/>
    <b v="0"/>
    <s v="Ingreep wordt niet opgevolgd in BOD"/>
    <s v="&lt;null&gt;"/>
    <s v="&lt;null&gt;"/>
    <s v="&lt;null&gt;"/>
    <s v="&lt;null&gt;"/>
    <s v="&lt;null&gt;"/>
    <x v="0"/>
    <s v="&lt;null&gt;"/>
    <s v="&lt;null&gt;"/>
    <s v="&lt;null&gt;"/>
    <s v="&lt;null&gt;"/>
    <n v="100"/>
    <s v="&lt;null&gt;"/>
    <s v="&lt;null&gt;"/>
    <s v="&lt;null&gt;"/>
    <s v="&lt;null&gt;"/>
    <m/>
    <m/>
    <m/>
    <m/>
  </r>
  <r>
    <x v="700"/>
    <x v="700"/>
    <s v="Verkeersveiligheid"/>
    <x v="4"/>
    <n v="840"/>
    <s v="IN/000769"/>
    <s v="Ingreep schoolroute in Lier op Middeneiland N10 (thv Sander De Vosstraat)"/>
    <s v="Fouten in markering weggewerkt"/>
    <s v="Kleine Ingreep"/>
    <s v="WA/INV/N10/12"/>
    <b v="0"/>
    <s v="Ingreep wordt niet opgevolgd in BOD"/>
    <s v="&lt;null&gt;"/>
    <s v="&lt;null&gt;"/>
    <s v="&lt;null&gt;"/>
    <s v="&lt;null&gt;"/>
    <s v="&lt;null&gt;"/>
    <x v="0"/>
    <s v="&lt;null&gt;"/>
    <s v="&lt;null&gt;"/>
    <s v="&lt;null&gt;"/>
    <s v="&lt;null&gt;"/>
    <n v="100"/>
    <s v="&lt;null&gt;"/>
    <s v="&lt;null&gt;"/>
    <s v="&lt;null&gt;"/>
    <s v="&lt;null&gt;"/>
    <m/>
    <m/>
    <m/>
    <m/>
  </r>
  <r>
    <x v="701"/>
    <x v="701"/>
    <s v="Verkeersveiligheid"/>
    <x v="4"/>
    <n v="841"/>
    <s v="IN/000770"/>
    <s v="Ingreep schoolroute in Ardooie op kruispunt N37/Wezestraat"/>
    <s v="beperkte ingrepen verlichting. Vraag naar VRI wordt opgenomen via PCV, na tellingen en simulatie."/>
    <s v="Kleine Ingreep"/>
    <s v="WWV/INV/N37/6"/>
    <b v="1"/>
    <s v="Ingreep wordt opgevolgd in BOD"/>
    <n v="10520"/>
    <s v="VWT/WU/2020/007.005"/>
    <n v="138401"/>
    <n v="22024538"/>
    <s v="&lt;p&gt;Opstellen van diverse punctuele verlichtingen VVOP/VFOP die gelegen zijn op de schoolroutes ikv relance&lt;/p&gt;"/>
    <x v="3"/>
    <n v="9927"/>
    <s v="IN770 N37 Wezenstraat"/>
    <s v="&lt;null&gt;"/>
    <s v="WWV/INV/N37/6"/>
    <n v="100"/>
    <n v="32000"/>
    <n v="0"/>
    <n v="0"/>
    <n v="1832.73"/>
    <n v="32000"/>
    <n v="0"/>
    <n v="0"/>
    <n v="1832.73"/>
  </r>
  <r>
    <x v="702"/>
    <x v="702"/>
    <s v="Verkeersveiligheid"/>
    <x v="4"/>
    <n v="842"/>
    <s v="IN/000771"/>
    <s v="Ingreep schoolroute in Ardooie op Fietspad Roeselaarsestraat tussen kruispunt R32/Roeselaarsestraat en de Tassche"/>
    <s v="Groot hoogteverschil tussen parkeerstrook en fietspad - Kasseien aantrekken naar het fietspad + fietspad plaatselijk herstellen"/>
    <s v="Kleine Ingreep"/>
    <s v="WWV/INV/N37/5"/>
    <b v="1"/>
    <s v="Ingreep wordt opgevolgd in BOD"/>
    <s v="&lt;null&gt;"/>
    <s v="&lt;null&gt;"/>
    <n v="118401"/>
    <n v="21065771"/>
    <s v="&lt;p&gt;OF AWV/INV/2021/3 P3 3mh230 schoolroutes&lt;/p&gt;"/>
    <x v="9"/>
    <n v="8353"/>
    <s v="IN 771 N37 Roeselaarsestraat Ardooie"/>
    <s v="&lt;null&gt;"/>
    <s v="WWV/INV/N37/5"/>
    <n v="100"/>
    <n v="82644"/>
    <n v="0"/>
    <n v="0"/>
    <n v="82644"/>
    <n v="82644"/>
    <n v="0"/>
    <n v="0"/>
    <n v="82644"/>
  </r>
  <r>
    <x v="703"/>
    <x v="703"/>
    <s v="Verkeersveiligheid"/>
    <x v="4"/>
    <n v="843"/>
    <s v="IN/000772"/>
    <s v="Ingreep schoolroute in Lier op R16 x Hagenbroeksesteenweg"/>
    <s v="&lt;null&gt;"/>
    <s v="Kleine Ingreep"/>
    <s v="&lt;null&gt;"/>
    <b v="0"/>
    <s v="Ingreep wordt niet opgevolgd in BOD"/>
    <s v="&lt;null&gt;"/>
    <s v="&lt;null&gt;"/>
    <s v="&lt;null&gt;"/>
    <s v="&lt;null&gt;"/>
    <s v="&lt;null&gt;"/>
    <x v="0"/>
    <s v="&lt;null&gt;"/>
    <s v="&lt;null&gt;"/>
    <s v="&lt;null&gt;"/>
    <s v="&lt;null&gt;"/>
    <n v="100"/>
    <s v="&lt;null&gt;"/>
    <s v="&lt;null&gt;"/>
    <s v="&lt;null&gt;"/>
    <s v="&lt;null&gt;"/>
    <m/>
    <m/>
    <m/>
    <m/>
  </r>
  <r>
    <x v="704"/>
    <x v="704"/>
    <s v="Verkeersveiligheid"/>
    <x v="4"/>
    <n v="844"/>
    <s v="IN/000773"/>
    <s v="Ingreep schoolroute in Meerhout op Beerstraat (N102) - kruispunt met Schoolstraat"/>
    <s v="&lt;null&gt;"/>
    <s v="Kleine Ingreep"/>
    <s v="WA/INV/N102/2"/>
    <b v="0"/>
    <s v="Ingreep wordt niet opgevolgd in BOD"/>
    <s v="&lt;null&gt;"/>
    <s v="&lt;null&gt;"/>
    <s v="&lt;null&gt;"/>
    <s v="&lt;null&gt;"/>
    <s v="&lt;null&gt;"/>
    <x v="0"/>
    <s v="&lt;null&gt;"/>
    <s v="&lt;null&gt;"/>
    <s v="&lt;null&gt;"/>
    <s v="&lt;null&gt;"/>
    <n v="100"/>
    <s v="&lt;null&gt;"/>
    <s v="&lt;null&gt;"/>
    <s v="&lt;null&gt;"/>
    <s v="&lt;null&gt;"/>
    <m/>
    <m/>
    <m/>
    <m/>
  </r>
  <r>
    <x v="705"/>
    <x v="705"/>
    <s v="Verkeersveiligheid"/>
    <x v="4"/>
    <n v="845"/>
    <s v="IN/000774"/>
    <s v="Ingreep schoolroute in Meerhout op Bevrijdingslaan (thv kruispunt met Baleman)"/>
    <s v="&lt;null&gt;"/>
    <s v="Kleine Ingreep"/>
    <s v="WA/INV/N102/3"/>
    <b v="0"/>
    <s v="Ingreep wordt niet opgevolgd in BOD"/>
    <s v="&lt;null&gt;"/>
    <s v="&lt;null&gt;"/>
    <s v="&lt;null&gt;"/>
    <s v="&lt;null&gt;"/>
    <s v="&lt;null&gt;"/>
    <x v="0"/>
    <s v="&lt;null&gt;"/>
    <s v="&lt;null&gt;"/>
    <s v="&lt;null&gt;"/>
    <s v="&lt;null&gt;"/>
    <n v="100"/>
    <s v="&lt;null&gt;"/>
    <s v="&lt;null&gt;"/>
    <s v="&lt;null&gt;"/>
    <s v="&lt;null&gt;"/>
    <m/>
    <m/>
    <m/>
    <m/>
  </r>
  <r>
    <x v="706"/>
    <x v="706"/>
    <s v="Verkeersveiligheid"/>
    <x v="4"/>
    <n v="846"/>
    <s v="IN/000775"/>
    <s v="Ingreep schoolroute in Oostkamp op Kortrijksestraat"/>
    <s v="VVOP, variabele zone 30, verkeersgeleider, markeringen."/>
    <s v="Kleine Ingreep"/>
    <s v="WWV/INV/N50/7"/>
    <b v="0"/>
    <s v="Ingreep wordt niet opgevolgd in BOD"/>
    <s v="&lt;null&gt;"/>
    <s v="&lt;null&gt;"/>
    <s v="&lt;null&gt;"/>
    <s v="&lt;null&gt;"/>
    <s v="&lt;null&gt;"/>
    <x v="0"/>
    <s v="&lt;null&gt;"/>
    <s v="&lt;null&gt;"/>
    <s v="&lt;null&gt;"/>
    <s v="&lt;null&gt;"/>
    <n v="100"/>
    <s v="&lt;null&gt;"/>
    <s v="&lt;null&gt;"/>
    <s v="&lt;null&gt;"/>
    <s v="&lt;null&gt;"/>
    <m/>
    <m/>
    <m/>
    <m/>
  </r>
  <r>
    <x v="707"/>
    <x v="707"/>
    <s v="Verkeersveiligheid"/>
    <x v="4"/>
    <n v="847"/>
    <s v="IN/000776"/>
    <s v="Ingreep schoolroute in Oostkamp op N50 - Albrecht Rodenbachstraat"/>
    <s v="&lt;null&gt;"/>
    <s v="Kleine Ingreep"/>
    <s v="WWV/INV/N50/8"/>
    <b v="0"/>
    <s v="Ingreep wordt niet opgevolgd in BOD"/>
    <s v="&lt;null&gt;"/>
    <s v="&lt;null&gt;"/>
    <n v="118401"/>
    <n v="21065771"/>
    <s v="&lt;p&gt;OF AWV/INV/2021/3 P3 3mh230 schoolroutes&lt;/p&gt;"/>
    <x v="9"/>
    <n v="8355"/>
    <s v="IN776 N50 Oostkamp Albrecht Rodenbachstraat"/>
    <s v="&lt;null&gt;"/>
    <s v="WWV/INV/N50/8"/>
    <n v="100"/>
    <n v="41322"/>
    <n v="0"/>
    <n v="0"/>
    <n v="41322"/>
    <n v="41322"/>
    <n v="0"/>
    <n v="0"/>
    <n v="41322"/>
  </r>
  <r>
    <x v="708"/>
    <x v="708"/>
    <s v="Verkeersveiligheid"/>
    <x v="4"/>
    <n v="848"/>
    <s v="IN/000777"/>
    <s v="Ingreep schoolroute in Alken op N754/Oude Baan"/>
    <s v="&lt;null&gt;"/>
    <s v="Kleine Ingreep"/>
    <s v="WL/INV/N754/8"/>
    <b v="1"/>
    <s v="Ingreep wordt opgevolgd in BOD"/>
    <n v="7513"/>
    <s v="O70/0/755-P4"/>
    <n v="80151"/>
    <n v="19002726"/>
    <s v="&lt;p&gt;OF O70/0/755 p4 3de jaar Zuid Limburg 1M3D8G/18/50 Lev en aanbrengen en onderhouden van wegmarkeringen in de provincie Limburg openbare procedure&lt;/p&gt;"/>
    <x v="18"/>
    <n v="6902"/>
    <s v="Schoolroute - KS111 - Alken - Rode slem 2"/>
    <s v="&lt;null&gt;"/>
    <s v="WL/INV/N754/8"/>
    <n v="100"/>
    <n v="540.6"/>
    <n v="540.6"/>
    <n v="0"/>
    <n v="0"/>
    <n v="540.6"/>
    <n v="540.6"/>
    <n v="0"/>
    <n v="0"/>
  </r>
  <r>
    <x v="709"/>
    <x v="709"/>
    <s v="Verkeersveiligheid"/>
    <x v="4"/>
    <n v="849"/>
    <s v="IN/000778"/>
    <s v="FOP met middengeleider (PM studiebureau aan te stellen via MC3)"/>
    <s v="- snelheidsverlaging &gt; 50 km/u in ruimere zone dan kruispunt\n- dubbelrichtingsfietsoversteek met middengeleider"/>
    <s v="Kleine Ingreep"/>
    <s v="WL/INV/N754/11"/>
    <b v="0"/>
    <s v="Ingreep wordt niet opgevolgd in BOD"/>
    <s v="&lt;null&gt;"/>
    <s v="&lt;null&gt;"/>
    <s v="&lt;null&gt;"/>
    <s v="&lt;null&gt;"/>
    <s v="&lt;null&gt;"/>
    <x v="0"/>
    <s v="&lt;null&gt;"/>
    <s v="&lt;null&gt;"/>
    <s v="&lt;null&gt;"/>
    <s v="&lt;null&gt;"/>
    <n v="100"/>
    <s v="&lt;null&gt;"/>
    <s v="&lt;null&gt;"/>
    <s v="&lt;null&gt;"/>
    <s v="&lt;null&gt;"/>
    <m/>
    <m/>
    <m/>
    <m/>
  </r>
  <r>
    <x v="710"/>
    <x v="710"/>
    <s v="Verkeersveiligheid"/>
    <x v="4"/>
    <n v="850"/>
    <s v="IN/000779"/>
    <s v="Ingreep schoolroute in Alken op N754 x Bosveldstraat"/>
    <s v="&lt;null&gt;"/>
    <s v="Kleine Ingreep"/>
    <s v="WL/INV/N754/7"/>
    <b v="1"/>
    <s v="Ingreep wordt opgevolgd in BOD"/>
    <s v="&lt;null&gt;"/>
    <s v="&lt;null&gt;"/>
    <s v="&lt;null&gt;"/>
    <s v="&lt;null&gt;"/>
    <s v="&lt;null&gt;"/>
    <x v="0"/>
    <s v="&lt;null&gt;"/>
    <s v="&lt;null&gt;"/>
    <s v="&lt;null&gt;"/>
    <s v="&lt;null&gt;"/>
    <n v="100"/>
    <s v="&lt;null&gt;"/>
    <s v="&lt;null&gt;"/>
    <s v="&lt;null&gt;"/>
    <s v="&lt;null&gt;"/>
    <m/>
    <m/>
    <m/>
    <m/>
  </r>
  <r>
    <x v="711"/>
    <x v="711"/>
    <s v="Verkeersveiligheid"/>
    <x v="4"/>
    <n v="851"/>
    <s v="IN/000780"/>
    <s v="Ingreep schoolroute in Alken op N754 x Parkstraat"/>
    <s v="bijkomende VOP te markeren"/>
    <s v="Kleine Ingreep"/>
    <s v="WL/INV/N754/4"/>
    <b v="1"/>
    <s v="Ingreep wordt opgevolgd in BOD"/>
    <s v="&lt;null&gt;"/>
    <s v="&lt;null&gt;"/>
    <s v="&lt;null&gt;"/>
    <s v="&lt;null&gt;"/>
    <s v="&lt;null&gt;"/>
    <x v="0"/>
    <s v="&lt;null&gt;"/>
    <s v="&lt;null&gt;"/>
    <s v="&lt;null&gt;"/>
    <s v="&lt;null&gt;"/>
    <n v="100"/>
    <s v="&lt;null&gt;"/>
    <s v="&lt;null&gt;"/>
    <s v="&lt;null&gt;"/>
    <s v="&lt;null&gt;"/>
    <m/>
    <m/>
    <m/>
    <m/>
  </r>
  <r>
    <x v="712"/>
    <x v="712"/>
    <s v="Verkeersveiligheid"/>
    <x v="4"/>
    <n v="852"/>
    <s v="IN/000781"/>
    <s v="Ingreep schoolroute in Alken op N754 Motstraat x Rode Kruisplein"/>
    <s v="bijkomende wegwijzer (centrum via trage verbinding)"/>
    <s v="Kleine Ingreep"/>
    <s v="WL/INV/N754/5"/>
    <b v="1"/>
    <s v="Ingreep wordt opgevolgd in BOD"/>
    <n v="6814"/>
    <s v="O70/0/748-P2"/>
    <n v="57951"/>
    <n v="20057802"/>
    <s v="&lt;p&gt;VL O70/0/748 perceel 2 1M3D8G/18/31 3de jaar Leveren en/of plaatsen van niet-inwendig verlichte verkeersborden (politieborden en bewegwijzering) langs de gewestwegen Perceel 2 district Zuid-Limburg verlenging&lt;/p&gt;"/>
    <x v="19"/>
    <n v="5701"/>
    <s v="Schoolroute - KS115 - Alken - Bordje fietsroute"/>
    <s v="&lt;null&gt;"/>
    <s v="WL/INV/N754/5"/>
    <n v="100"/>
    <n v="125"/>
    <n v="124.867"/>
    <n v="0"/>
    <n v="0.13300000000000001"/>
    <n v="125"/>
    <n v="124.867"/>
    <n v="0"/>
    <n v="0.13300000000000001"/>
  </r>
  <r>
    <x v="713"/>
    <x v="713"/>
    <s v="Verkeersveiligheid"/>
    <x v="4"/>
    <n v="853"/>
    <s v="IN/000782"/>
    <s v="halte toegankelijk inrichten en fietsinfra aanpassen (PM studiebureau aan te stellen MC3)"/>
    <m/>
    <s v="Kleine Ingreep"/>
    <s v="WL/INV/N79/7"/>
    <b v="0"/>
    <s v="Ingreep wordt niet opgevolgd in BOD"/>
    <s v="&lt;null&gt;"/>
    <s v="&lt;null&gt;"/>
    <s v="&lt;null&gt;"/>
    <s v="&lt;null&gt;"/>
    <s v="&lt;null&gt;"/>
    <x v="0"/>
    <s v="&lt;null&gt;"/>
    <s v="&lt;null&gt;"/>
    <s v="&lt;null&gt;"/>
    <s v="&lt;null&gt;"/>
    <n v="100"/>
    <s v="&lt;null&gt;"/>
    <s v="&lt;null&gt;"/>
    <s v="&lt;null&gt;"/>
    <s v="&lt;null&gt;"/>
    <m/>
    <m/>
    <m/>
    <m/>
  </r>
  <r>
    <x v="714"/>
    <x v="714"/>
    <s v="Verkeersveiligheid"/>
    <x v="4"/>
    <n v="854"/>
    <s v="IN/000783"/>
    <s v="Ingreep schoolroute in Tongeren op N614 x Wilstraat en N614 x Kraaibornstraat"/>
    <s v="&lt;null&gt;"/>
    <s v="Kleine Ingreep"/>
    <s v="WL/INV/N614/2"/>
    <b v="1"/>
    <s v="Ingreep wordt opgevolgd in BOD"/>
    <n v="5913"/>
    <s v="O70/0/730"/>
    <n v="76751"/>
    <s v="Bestek - Nog niet gekend in eDelta dd 2021 06 04"/>
    <s v="&lt;p&gt;VL O70/0/730 1M3D8G/17/33 4de jaar Groen- en netheidsonderhoud op de gewestwegen in de provincie Limburg district 719 Zuid-Limburg verlenging&lt;/p&gt;"/>
    <x v="0"/>
    <n v="5705"/>
    <s v="Schoolroute - KS132 - Tongeren - Verwijderen haagjes"/>
    <s v="&lt;null&gt;"/>
    <s v="WL/INV/N614/2"/>
    <n v="100"/>
    <n v="140"/>
    <n v="140"/>
    <n v="0"/>
    <n v="0"/>
    <n v="140"/>
    <n v="140"/>
    <n v="0"/>
    <n v="0"/>
  </r>
  <r>
    <x v="715"/>
    <x v="715"/>
    <s v="Verkeersveiligheid"/>
    <x v="4"/>
    <n v="855"/>
    <s v="IN/000784"/>
    <s v="Ingreep schoolroute in Tongeren op N614 x Wilstraat en N614 x Kraaibornstraat"/>
    <s v="&lt;null&gt;"/>
    <s v="Kleine Ingreep"/>
    <s v="WL/INV/N614/1"/>
    <b v="1"/>
    <s v="Ingreep wordt opgevolgd in BOD"/>
    <s v="&lt;null&gt;"/>
    <s v="&lt;null&gt;"/>
    <s v="&lt;null&gt;"/>
    <s v="&lt;null&gt;"/>
    <s v="&lt;null&gt;"/>
    <x v="0"/>
    <s v="&lt;null&gt;"/>
    <s v="&lt;null&gt;"/>
    <s v="&lt;null&gt;"/>
    <s v="&lt;null&gt;"/>
    <n v="100"/>
    <s v="&lt;null&gt;"/>
    <s v="&lt;null&gt;"/>
    <s v="&lt;null&gt;"/>
    <s v="&lt;null&gt;"/>
    <m/>
    <m/>
    <m/>
    <m/>
  </r>
  <r>
    <x v="716"/>
    <x v="716"/>
    <s v="Verkeersveiligheid"/>
    <x v="4"/>
    <n v="856"/>
    <s v="IN/000785"/>
    <s v="Aanpassen VOP met voetgangersuitstulping (PM studiebureau aan te stellen via MC3)"/>
    <s v="&lt;null&gt;"/>
    <s v="Kleine Ingreep"/>
    <s v="WL/INV/N730/14"/>
    <b v="0"/>
    <s v="Ingreep wordt niet opgevolgd in BOD"/>
    <s v="&lt;null&gt;"/>
    <s v="&lt;null&gt;"/>
    <s v="&lt;null&gt;"/>
    <s v="&lt;null&gt;"/>
    <s v="&lt;null&gt;"/>
    <x v="0"/>
    <s v="&lt;null&gt;"/>
    <s v="&lt;null&gt;"/>
    <s v="&lt;null&gt;"/>
    <s v="&lt;null&gt;"/>
    <n v="100"/>
    <s v="&lt;null&gt;"/>
    <s v="&lt;null&gt;"/>
    <s v="&lt;null&gt;"/>
    <s v="&lt;null&gt;"/>
    <m/>
    <m/>
    <m/>
    <m/>
  </r>
  <r>
    <x v="717"/>
    <x v="717"/>
    <s v="Verkeersveiligheid"/>
    <x v="4"/>
    <n v="857"/>
    <s v="IN/000786"/>
    <s v="Ingreep schoolroute in Zuienkerke op De  schoolomgeving (schoolroute) t.h.v. de gemeentelijk basisschool gelegen te Zuienkerke langs de gewestweg de Nieuwe Steenweg (N326)"/>
    <s v="&lt;null&gt;"/>
    <s v="Kleine Ingreep"/>
    <s v="WWV/INV/N326/2"/>
    <b v="0"/>
    <s v="Ingreep wordt niet opgevolgd in BOD"/>
    <s v="&lt;null&gt;"/>
    <s v="&lt;null&gt;"/>
    <s v="&lt;null&gt;"/>
    <s v="&lt;null&gt;"/>
    <s v="&lt;null&gt;"/>
    <x v="0"/>
    <s v="&lt;null&gt;"/>
    <s v="&lt;null&gt;"/>
    <s v="&lt;null&gt;"/>
    <s v="&lt;null&gt;"/>
    <n v="100"/>
    <s v="&lt;null&gt;"/>
    <s v="&lt;null&gt;"/>
    <s v="&lt;null&gt;"/>
    <s v="&lt;null&gt;"/>
    <m/>
    <m/>
    <m/>
    <m/>
  </r>
  <r>
    <x v="718"/>
    <x v="718"/>
    <s v="Verkeersveiligheid"/>
    <x v="4"/>
    <n v="858"/>
    <s v="IN/000787"/>
    <s v="Ingreep schoolroute in Begijnendijk op Oversteek N10 met veldstraat"/>
    <s v="Aanbrengen van middeneiland"/>
    <s v="Kleine Ingreep"/>
    <s v="WVB/INV/N10/3"/>
    <b v="0"/>
    <s v="Ingreep wordt niet opgevolgd in BOD"/>
    <s v="&lt;null&gt;"/>
    <s v="&lt;null&gt;"/>
    <s v="&lt;null&gt;"/>
    <s v="&lt;null&gt;"/>
    <s v="&lt;null&gt;"/>
    <x v="0"/>
    <s v="&lt;null&gt;"/>
    <s v="&lt;null&gt;"/>
    <s v="&lt;null&gt;"/>
    <s v="&lt;null&gt;"/>
    <n v="100"/>
    <s v="&lt;null&gt;"/>
    <s v="&lt;null&gt;"/>
    <s v="&lt;null&gt;"/>
    <s v="&lt;null&gt;"/>
    <m/>
    <m/>
    <m/>
    <m/>
  </r>
  <r>
    <x v="719"/>
    <x v="719"/>
    <s v="Verkeersveiligheid"/>
    <x v="4"/>
    <n v="859"/>
    <s v="IN/000788"/>
    <s v="Ingreep schoolroute in Beernem op Zebrapad Sint-Andreaslaan (N368) ter hoogte van Kleuterweelde"/>
    <s v="VVOP"/>
    <s v="Kleine Ingreep"/>
    <s v="WWV/INV/N368/9"/>
    <b v="1"/>
    <s v="Ingreep wordt opgevolgd in BOD"/>
    <n v="10520"/>
    <s v="VWT/WU/2020/007.005"/>
    <n v="68451"/>
    <n v="21013956"/>
    <s v="&lt;p&gt;2021 Basisvastleggingen op 3MH210 - lijn 41280-2&lt;/p&gt;"/>
    <x v="6"/>
    <n v="7281"/>
    <s v="VVOP N368 kmp. 6,025 Beernem - KS142"/>
    <s v="&lt;p&gt;IN/000788 - KP/000894 - KS142&lt;/p&gt;"/>
    <s v="WWV/INV/N368/9"/>
    <n v="100"/>
    <n v="25000"/>
    <n v="0"/>
    <n v="0"/>
    <n v="19368.2"/>
    <n v="25000"/>
    <n v="0"/>
    <n v="0"/>
    <n v="19368.2"/>
  </r>
  <r>
    <x v="720"/>
    <x v="720"/>
    <s v="Verkeersveiligheid"/>
    <x v="4"/>
    <n v="860"/>
    <s v="IN/000789"/>
    <s v="Ingreep schoolroute in Beernem op Knesselarestraat (N337) tussen Beernemstraat en Oudezakstraat"/>
    <s v="fietslogo's"/>
    <s v="Kleine Ingreep"/>
    <s v="WWV/INV/N337/4"/>
    <b v="1"/>
    <s v="Ingreep wordt opgevolgd in BOD"/>
    <n v="10520"/>
    <s v="VWT/WU/2020/007.005"/>
    <n v="122051"/>
    <n v="22016255"/>
    <s v="&lt;p&gt;Beernem - N337 - Knesselarestraat t.h.v. kmp. 8,65 - Voorzien van punctuele verlichting op de oversteekplaats t.h.v. basisschool De Notelaar.&lt;/p&gt;&lt;p&gt;KP/000895 - KS143 - Programmanummer 41762-1/4.&lt;/p&gt;"/>
    <x v="3"/>
    <n v="8387"/>
    <s v="&lt;null&gt;"/>
    <s v="&lt;p&gt;Beernem - N337 - Knesselarestraat t.h.v. kmp. 8,65 - Voorzien van punctuele verlichting op de oversteekplaats t.h.v. basisschool De Notelaar.&lt;/p&gt;&lt;p&gt;KP/000895 - KS143 - Programmanummer 41762-1/4.&lt;/p&gt;"/>
    <s v="WWV/INV/N337/4"/>
    <n v="100"/>
    <n v="20688.57"/>
    <n v="0"/>
    <n v="0"/>
    <n v="15813.08"/>
    <n v="20688.57"/>
    <n v="0"/>
    <n v="0"/>
    <n v="15813.08"/>
  </r>
  <r>
    <x v="720"/>
    <x v="720"/>
    <s v="Verkeersveiligheid"/>
    <x v="4"/>
    <n v="860"/>
    <s v="IN/000789"/>
    <s v="Ingreep schoolroute in Beernem op Knesselarestraat (N337) tussen Beernemstraat en Oudezakstraat"/>
    <s v="fietslogo's"/>
    <s v="Kleine Ingreep"/>
    <s v="WWV/INV/N337/4"/>
    <b v="1"/>
    <s v="Ingreep wordt opgevolgd in BOD"/>
    <n v="12024"/>
    <s v="AWV/INV/2021/3_P3"/>
    <n v="118401"/>
    <n v="21065771"/>
    <s v="&lt;p&gt;OF AWV/INV/2021/3 P3 3mh230 schoolroutes&lt;/p&gt;"/>
    <x v="9"/>
    <n v="8356"/>
    <s v="IN 789 N337 Beernem Knesselarestraat"/>
    <s v="&lt;null&gt;"/>
    <s v="WWV/INV/N337/4"/>
    <n v="100"/>
    <n v="4960"/>
    <n v="0"/>
    <n v="511.30655999999999"/>
    <n v="4448.69344"/>
    <n v="4960"/>
    <n v="0"/>
    <n v="511.30655999999999"/>
    <n v="4448.69344"/>
  </r>
  <r>
    <x v="721"/>
    <x v="721"/>
    <s v="Verkeersveiligheid"/>
    <x v="4"/>
    <n v="861"/>
    <s v="IN/000790"/>
    <s v="Ingreep schoolroute in Zwijndrecht op N70 Dorp oost Dorp West Zwijndrecht (pioriteit 1)"/>
    <s v="&lt;null&gt;"/>
    <s v="Kleine Ingreep"/>
    <s v="WA/INV/N70/2"/>
    <b v="0"/>
    <s v="Ingreep wordt niet opgevolgd in BOD"/>
    <s v="&lt;null&gt;"/>
    <s v="&lt;null&gt;"/>
    <s v="&lt;null&gt;"/>
    <s v="&lt;null&gt;"/>
    <s v="&lt;null&gt;"/>
    <x v="0"/>
    <s v="&lt;null&gt;"/>
    <s v="&lt;null&gt;"/>
    <s v="&lt;null&gt;"/>
    <s v="&lt;null&gt;"/>
    <n v="100"/>
    <s v="&lt;null&gt;"/>
    <s v="&lt;null&gt;"/>
    <s v="&lt;null&gt;"/>
    <s v="&lt;null&gt;"/>
    <m/>
    <m/>
    <m/>
    <m/>
  </r>
  <r>
    <x v="722"/>
    <x v="722"/>
    <s v="Verkeersveiligheid"/>
    <x v="4"/>
    <n v="862"/>
    <s v="IN/000791"/>
    <s v="Ingreep schoolroute in Zwijndrecht op N419 (Krijgsbaan) kruispunt met Melselestraat Zwijndrecht(prioriteit 2)"/>
    <s v="PCV dossier\nKS147 wordt geschrapt, KS145 opgewaardeerd"/>
    <s v="Kleine Ingreep"/>
    <s v="&lt;null&gt;"/>
    <b v="0"/>
    <s v="Ingreep wordt niet opgevolgd in BOD"/>
    <s v="&lt;null&gt;"/>
    <s v="&lt;null&gt;"/>
    <s v="&lt;null&gt;"/>
    <s v="&lt;null&gt;"/>
    <s v="&lt;null&gt;"/>
    <x v="0"/>
    <s v="&lt;null&gt;"/>
    <s v="&lt;null&gt;"/>
    <s v="&lt;null&gt;"/>
    <s v="&lt;null&gt;"/>
    <n v="50"/>
    <s v="&lt;null&gt;"/>
    <s v="&lt;null&gt;"/>
    <s v="&lt;null&gt;"/>
    <s v="&lt;null&gt;"/>
    <m/>
    <m/>
    <m/>
    <m/>
  </r>
  <r>
    <x v="723"/>
    <x v="723"/>
    <s v="Verkeersveiligheid"/>
    <x v="4"/>
    <n v="862"/>
    <s v="IN/000791"/>
    <s v="Ingreep schoolroute in Zwijndrecht op N419 (Krijgsbaan) kruispunt met Melselestraat Zwijndrecht(prioriteit 2)"/>
    <s v="PCV dossier\nKS147 wordt geschrapt, KS145 opgewaardeerd"/>
    <s v="Kleine Ingreep"/>
    <s v="&lt;null&gt;"/>
    <b v="0"/>
    <s v="Ingreep wordt niet opgevolgd in BOD"/>
    <s v="&lt;null&gt;"/>
    <s v="&lt;null&gt;"/>
    <s v="&lt;null&gt;"/>
    <s v="&lt;null&gt;"/>
    <s v="&lt;null&gt;"/>
    <x v="0"/>
    <s v="&lt;null&gt;"/>
    <s v="&lt;null&gt;"/>
    <s v="&lt;null&gt;"/>
    <s v="&lt;null&gt;"/>
    <n v="50"/>
    <s v="&lt;null&gt;"/>
    <s v="&lt;null&gt;"/>
    <s v="&lt;null&gt;"/>
    <s v="&lt;null&gt;"/>
    <m/>
    <m/>
    <m/>
    <m/>
  </r>
  <r>
    <x v="724"/>
    <x v="724"/>
    <s v="Verkeersveiligheid"/>
    <x v="4"/>
    <n v="863"/>
    <s v="IN/000792"/>
    <s v="Ingreep schoolroute in Zonhoven op Kruispunt N74 met de Donkweg"/>
    <s v="&lt;null&gt;"/>
    <s v="Structurele Ingreep"/>
    <s v="&lt;null&gt;"/>
    <b v="0"/>
    <s v="Ingreep wordt niet opgevolgd in BOD"/>
    <s v="&lt;null&gt;"/>
    <s v="&lt;null&gt;"/>
    <s v="&lt;null&gt;"/>
    <s v="&lt;null&gt;"/>
    <s v="&lt;null&gt;"/>
    <x v="0"/>
    <s v="&lt;null&gt;"/>
    <s v="&lt;null&gt;"/>
    <s v="&lt;null&gt;"/>
    <s v="&lt;null&gt;"/>
    <n v="100"/>
    <s v="&lt;null&gt;"/>
    <s v="&lt;null&gt;"/>
    <s v="&lt;null&gt;"/>
    <s v="&lt;null&gt;"/>
    <m/>
    <m/>
    <m/>
    <m/>
  </r>
  <r>
    <x v="725"/>
    <x v="725"/>
    <s v="Verkeersveiligheid"/>
    <x v="4"/>
    <n v="864"/>
    <s v="IN/000793"/>
    <s v="Aanpassen fietsinfrastructuur (PM Jan Nijsen Sweco)"/>
    <s v="&lt;null&gt;"/>
    <s v="Kleine Ingreep"/>
    <s v="WL/INV/N29/3"/>
    <b v="1"/>
    <s v="Ingreep wordt opgevolgd in BOD"/>
    <n v="12817"/>
    <s v="AWV/INV/2021/3_P5"/>
    <n v="135951"/>
    <n v="22015560"/>
    <s v="&lt;p&gt;gevaarlijke punten, scholenroutes&lt;/p&gt;"/>
    <x v="14"/>
    <n v="9359"/>
    <s v="Beringen_N29_KS_84.000"/>
    <s v="&lt;null&gt;"/>
    <s v="WL/INV/N29/3"/>
    <n v="100"/>
    <n v="50000"/>
    <n v="0"/>
    <n v="0"/>
    <n v="28349"/>
    <n v="50000"/>
    <n v="0"/>
    <n v="0"/>
    <n v="28349"/>
  </r>
  <r>
    <x v="726"/>
    <x v="726"/>
    <s v="Verkeersveiligheid"/>
    <x v="4"/>
    <n v="865"/>
    <s v="IN/000794"/>
    <s v="Ingreep schoolroute in Beringen op Diestersesteenweg x Schaffensesteenweg"/>
    <s v="paaltjes"/>
    <s v="Kleine Ingreep"/>
    <s v="WL/INV/N29/2"/>
    <b v="1"/>
    <s v="Ingreep wordt opgevolgd in BOD"/>
    <n v="6813"/>
    <s v="O70/0/748-P1"/>
    <n v="57501"/>
    <n v="20057801"/>
    <s v="&lt;p&gt;Lev en/of pl van niet-inwendig verlichte verkeersborden (politieborden en bewegwijzering) langs gewestwegen Perceel 1: district West-Limburg verlenging&lt;/p&gt;"/>
    <x v="20"/>
    <n v="5716"/>
    <s v="KS152"/>
    <s v="&lt;p&gt;SCHOOLROUTES&lt;/p&gt;"/>
    <s v="WL/INV/N29/2"/>
    <n v="100"/>
    <n v="140"/>
    <n v="139.5"/>
    <n v="0"/>
    <n v="0.5"/>
    <n v="140"/>
    <n v="139.5"/>
    <n v="0"/>
    <n v="0.5"/>
  </r>
  <r>
    <x v="727"/>
    <x v="727"/>
    <s v="Verkeersveiligheid"/>
    <x v="4"/>
    <n v="866"/>
    <s v="IN/000795"/>
    <s v="Oversteekbaarheid verbeteren"/>
    <s v="Knip Wijerstraat\nVOP verplaatsen, verbreden, punctueel verlichten\nOmegabeugels dichten voor betere looplijn naar VOP\n"/>
    <s v="Kleine Ingreep"/>
    <s v="WL/INV/N29/5"/>
    <b v="0"/>
    <s v="Ingreep wordt niet opgevolgd in BOD"/>
    <s v="&lt;null&gt;"/>
    <s v="&lt;null&gt;"/>
    <s v="&lt;null&gt;"/>
    <s v="&lt;null&gt;"/>
    <s v="&lt;null&gt;"/>
    <x v="0"/>
    <s v="&lt;null&gt;"/>
    <s v="&lt;null&gt;"/>
    <s v="&lt;null&gt;"/>
    <s v="&lt;null&gt;"/>
    <n v="100"/>
    <s v="&lt;null&gt;"/>
    <s v="&lt;null&gt;"/>
    <s v="&lt;null&gt;"/>
    <s v="&lt;null&gt;"/>
    <m/>
    <m/>
    <m/>
    <m/>
  </r>
  <r>
    <x v="728"/>
    <x v="728"/>
    <s v="Verkeersveiligheid"/>
    <x v="4"/>
    <n v="867"/>
    <s v="IN/000796"/>
    <s v="Ingreep schoolroute in Wezembeek-Oppem op Mechelsesteenweg thv Koningsstraatje"/>
    <s v="VVOP met aanpassing wegenis"/>
    <s v="Kleine Ingreep"/>
    <s v="WVB/INV/N227/4"/>
    <b v="1"/>
    <s v="Ingreep wordt opgevolgd in BOD"/>
    <n v="10519"/>
    <s v="VWT/WU/2020/007.004"/>
    <n v="76201"/>
    <n v="21013952"/>
    <s v="&lt;p&gt;Vastlegging 3 : Het aanpassen en uitrusten van oversteekplaatsen voor zwakke weggebruikers met (punctuele) verlichting en ingrepen van beperkte omvang&lt;/p&gt;"/>
    <x v="6"/>
    <n v="7507"/>
    <s v="Relance schoolroutes VVOP te N227 x koningsstraatje in Wezembeek-Oppem"/>
    <s v="&lt;null&gt;"/>
    <s v="WVB/INV/N227/4"/>
    <n v="100"/>
    <n v="47841.84"/>
    <n v="0"/>
    <n v="0"/>
    <n v="0"/>
    <n v="47841.84"/>
    <n v="0"/>
    <n v="0"/>
    <n v="0"/>
  </r>
  <r>
    <x v="729"/>
    <x v="729"/>
    <s v="Verkeersveiligheid"/>
    <x v="4"/>
    <n v="868"/>
    <s v="IN/000797"/>
    <s v="Ingreep schoolroute in Lommel op N712 Werkplaatsen x Martinus Van Gurplaan"/>
    <s v="&lt;null&gt;"/>
    <s v="Kleine Ingreep"/>
    <s v="WL/INV/N712/4"/>
    <b v="1"/>
    <s v="Ingreep wordt opgevolgd in BOD"/>
    <n v="6363"/>
    <s v="O70/0/739"/>
    <n v="52751"/>
    <n v="20031689"/>
    <s v="&lt;p&gt;groen- en netheidsonderhoud district West&amp;nbsp;&lt;/p&gt;"/>
    <x v="20"/>
    <n v="5715"/>
    <s v="KS157"/>
    <s v="&lt;p&gt;SCHOOLROUTES&lt;/p&gt;"/>
    <s v="WL/INV/N712/4"/>
    <n v="100"/>
    <n v="1450"/>
    <n v="998"/>
    <n v="0"/>
    <n v="452"/>
    <n v="1450"/>
    <n v="998"/>
    <n v="0"/>
    <n v="452"/>
  </r>
  <r>
    <x v="730"/>
    <x v="730"/>
    <s v="Verkeersveiligheid"/>
    <x v="4"/>
    <n v="869"/>
    <s v="IN/000798"/>
    <s v="Ingreep schoolroute in Lommel op N712 x N769"/>
    <s v="&lt;null&gt;"/>
    <s v="Kleine Ingreep"/>
    <s v="WL/INV/N712/8"/>
    <b v="0"/>
    <s v="Ingreep wordt niet opgevolgd in BOD"/>
    <s v="&lt;null&gt;"/>
    <s v="&lt;null&gt;"/>
    <s v="&lt;null&gt;"/>
    <s v="&lt;null&gt;"/>
    <s v="&lt;null&gt;"/>
    <x v="0"/>
    <s v="&lt;null&gt;"/>
    <s v="&lt;null&gt;"/>
    <s v="&lt;null&gt;"/>
    <s v="&lt;null&gt;"/>
    <n v="100"/>
    <s v="&lt;null&gt;"/>
    <s v="&lt;null&gt;"/>
    <s v="&lt;null&gt;"/>
    <s v="&lt;null&gt;"/>
    <m/>
    <m/>
    <m/>
    <m/>
  </r>
  <r>
    <x v="731"/>
    <x v="731"/>
    <s v="Verkeersveiligheid"/>
    <x v="4"/>
    <n v="870"/>
    <s v="IN/000799"/>
    <s v="Blokkenmarkering aanbrengen"/>
    <s v="blokkenmarkering aanbrengen + punctuele verlichting"/>
    <s v="Kleine Ingreep"/>
    <s v="WL/INV/N746/3"/>
    <b v="1"/>
    <s v="Ingreep wordt opgevolgd in BOD"/>
    <n v="7217"/>
    <s v="O70/0/755-P2"/>
    <n v="75601"/>
    <n v="18099789"/>
    <s v="&lt;p&gt;lev , aanbrengen en onderhouden van wegmarkeringen&amp;nbsp;&lt;/p&gt;"/>
    <x v="20"/>
    <n v="5714"/>
    <s v="KS169"/>
    <s v="&lt;p&gt;SCHOOLROUTES&lt;/p&gt;"/>
    <s v="WL/INV/N746/3"/>
    <n v="100"/>
    <n v="175"/>
    <n v="175"/>
    <n v="0"/>
    <n v="0"/>
    <n v="175"/>
    <n v="175"/>
    <n v="0"/>
    <n v="0"/>
  </r>
  <r>
    <x v="731"/>
    <x v="731"/>
    <s v="Verkeersveiligheid"/>
    <x v="4"/>
    <n v="870"/>
    <s v="IN/000799"/>
    <s v="Blokkenmarkering aanbrengen"/>
    <s v="blokkenmarkering aanbrengen + punctuele verlichting"/>
    <s v="Kleine Ingreep"/>
    <s v="WL/INV/N746/3"/>
    <b v="1"/>
    <s v="Ingreep wordt opgevolgd in BOD"/>
    <n v="6813"/>
    <s v="O70/0/748-P1"/>
    <n v="57501"/>
    <n v="20057801"/>
    <s v="&lt;p&gt;Lev en/of pl van niet-inwendig verlichte verkeersborden (politieborden en bewegwijzering) langs gewestwegen Perceel 1: district West-Limburg verlenging&lt;/p&gt;"/>
    <x v="16"/>
    <n v="5720"/>
    <s v="KS169"/>
    <s v="&lt;p&gt;SCHOOLROUTES&lt;/p&gt;"/>
    <s v="WL/INV/N746/3"/>
    <n v="100"/>
    <n v="527"/>
    <n v="527"/>
    <n v="0"/>
    <n v="0"/>
    <n v="527"/>
    <n v="527"/>
    <n v="0"/>
    <n v="0"/>
  </r>
  <r>
    <x v="732"/>
    <x v="732"/>
    <s v="Verkeersveiligheid"/>
    <x v="4"/>
    <n v="871"/>
    <s v="IN/000800"/>
    <s v="Ingreep schoolroute in Lommel op N746 x Gelderhorsten"/>
    <s v="stukje fietspad herstellen/effenen"/>
    <s v="Kleine Ingreep"/>
    <s v="WL/INV/N746/1"/>
    <b v="1"/>
    <s v="Ingreep wordt opgevolgd in BOD"/>
    <n v="10716"/>
    <s v="WL/INV/2021/1"/>
    <n v="75151"/>
    <n v="21016031"/>
    <s v="&lt;p&gt;Vastlegging WL/INV/2021/1&lt;/p&gt;"/>
    <x v="2"/>
    <n v="5779"/>
    <s v="KS170"/>
    <s v="&lt;p&gt;uitvoering in opdracht Hasselt schoolroutes&amp;nbsp;&lt;/p&gt;"/>
    <s v="WL/INV/N746/1"/>
    <n v="100"/>
    <n v="5320"/>
    <n v="4959.3999999999996"/>
    <n v="0"/>
    <n v="360.6"/>
    <n v="5320"/>
    <n v="4959.3999999999996"/>
    <n v="0"/>
    <n v="360.6"/>
  </r>
  <r>
    <x v="732"/>
    <x v="732"/>
    <s v="Verkeersveiligheid"/>
    <x v="4"/>
    <n v="871"/>
    <s v="IN/000800"/>
    <s v="Ingreep schoolroute in Lommel op N746 x Gelderhorsten"/>
    <s v="stukje fietspad herstellen/effenen"/>
    <s v="Kleine Ingreep"/>
    <s v="WL/INV/N746/1"/>
    <b v="1"/>
    <s v="Ingreep wordt opgevolgd in BOD"/>
    <s v="&lt;null&gt;"/>
    <s v="&lt;null&gt;"/>
    <n v="75601"/>
    <n v="18099789"/>
    <s v="&lt;p&gt;lev , aanbrengen en onderhouden van wegmarkeringen&amp;nbsp;&lt;/p&gt;"/>
    <x v="16"/>
    <n v="5712"/>
    <s v="KS170"/>
    <s v="&lt;p&gt;SCHOOLROUTES&lt;/p&gt;"/>
    <s v="WL/INV/N746/1"/>
    <n v="100"/>
    <n v="1215"/>
    <n v="0"/>
    <n v="0"/>
    <n v="1215"/>
    <n v="1215"/>
    <n v="0"/>
    <n v="0"/>
    <n v="1215"/>
  </r>
  <r>
    <x v="733"/>
    <x v="733"/>
    <s v="Verkeersveiligheid"/>
    <x v="4"/>
    <n v="872"/>
    <s v="IN/000801"/>
    <s v="Ingreep schoolroute in Lommel op N712 x Koning Leopoldlaan thv Texaco"/>
    <s v="herstelling fietspad en extra VOP"/>
    <s v="Kleine Ingreep"/>
    <s v="WL/INV/N712/6"/>
    <b v="1"/>
    <s v="Ingreep wordt opgevolgd in BOD"/>
    <n v="10716"/>
    <s v="WL/INV/2021/1"/>
    <n v="75151"/>
    <n v="21016031"/>
    <s v="&lt;p&gt;Vastlegging WL/INV/2021/1&lt;/p&gt;"/>
    <x v="2"/>
    <n v="5780"/>
    <s v="KS171"/>
    <s v="&lt;p&gt;aanpassingen schoolroutes&amp;nbsp;&lt;/p&gt;"/>
    <s v="WL/INV/N712/6"/>
    <n v="100"/>
    <n v="12700"/>
    <n v="9276.6"/>
    <n v="0"/>
    <n v="3423.4"/>
    <n v="12700"/>
    <n v="9276.6"/>
    <n v="0"/>
    <n v="3423.4"/>
  </r>
  <r>
    <x v="733"/>
    <x v="733"/>
    <s v="Verkeersveiligheid"/>
    <x v="4"/>
    <n v="872"/>
    <s v="IN/000801"/>
    <s v="Ingreep schoolroute in Lommel op N712 x Koning Leopoldlaan thv Texaco"/>
    <s v="herstelling fietspad en extra VOP"/>
    <s v="Kleine Ingreep"/>
    <s v="WL/INV/N712/6"/>
    <b v="1"/>
    <s v="Ingreep wordt opgevolgd in BOD"/>
    <s v="&lt;null&gt;"/>
    <s v="&lt;null&gt;"/>
    <n v="57501"/>
    <n v="20057801"/>
    <s v="&lt;p&gt;Lev en/of pl van niet-inwendig verlichte verkeersborden (politieborden en bewegwijzering) langs gewestwegen Perceel 1: district West-Limburg verlenging&lt;/p&gt;"/>
    <x v="20"/>
    <n v="5718"/>
    <s v="KS171"/>
    <s v="&lt;p&gt;SCHOOLROUTES&lt;/p&gt;"/>
    <s v="WL/INV/N712/6"/>
    <n v="100"/>
    <n v="370"/>
    <n v="0"/>
    <n v="0"/>
    <n v="370"/>
    <n v="370"/>
    <n v="0"/>
    <n v="0"/>
    <n v="370"/>
  </r>
  <r>
    <x v="734"/>
    <x v="734"/>
    <s v="Verkeersveiligheid"/>
    <x v="4"/>
    <n v="873"/>
    <s v="IN/000802"/>
    <s v="Nieuwe VOP (PM Jordy Weckx Sweco)"/>
    <m/>
    <s v="Kleine Ingreep"/>
    <s v="WL/INV/N712/9"/>
    <b v="1"/>
    <s v="Ingreep wordt opgevolgd in BOD"/>
    <n v="12817"/>
    <s v="AWV/INV/2021/3_P5"/>
    <n v="135951"/>
    <n v="22015560"/>
    <s v="&lt;p&gt;gevaarlijke punten, scholenroutes&lt;/p&gt;"/>
    <x v="14"/>
    <n v="9812"/>
    <s v="Lommel_N712_KS172_8.329"/>
    <s v="&lt;null&gt;"/>
    <s v="WL/INV/N712/9"/>
    <n v="100"/>
    <n v="50000"/>
    <n v="0"/>
    <n v="0"/>
    <n v="44445.7"/>
    <n v="50000"/>
    <n v="0"/>
    <n v="0"/>
    <n v="44445.7"/>
  </r>
  <r>
    <x v="735"/>
    <x v="735"/>
    <s v="Verkeersveiligheid"/>
    <x v="4"/>
    <n v="874"/>
    <s v="IN/000803"/>
    <s v="Ingreep schoolroute in Lommel op N712 Molsekiezel x Sterstraat"/>
    <s v="snelheidsverlaging &gt; 50 (samen met KS 175)"/>
    <s v="Kleine Ingreep"/>
    <s v="WL/INV/N712/5"/>
    <b v="1"/>
    <s v="Ingreep wordt opgevolgd in BOD"/>
    <n v="6813"/>
    <s v="O70/0/748-P1"/>
    <n v="57501"/>
    <n v="20057801"/>
    <s v="&lt;p&gt;Lev en/of pl van niet-inwendig verlichte verkeersborden (politieborden en bewegwijzering) langs gewestwegen Perceel 1: district West-Limburg verlenging&lt;/p&gt;"/>
    <x v="20"/>
    <n v="5717"/>
    <s v="KS175 en KS174"/>
    <s v="&lt;p&gt;SCHOOLROUTES&lt;/p&gt;"/>
    <s v="WL/INV/N712/5"/>
    <n v="100"/>
    <n v="830"/>
    <n v="830"/>
    <n v="0"/>
    <n v="0"/>
    <n v="830"/>
    <n v="830"/>
    <n v="0"/>
    <n v="0"/>
  </r>
  <r>
    <x v="735"/>
    <x v="735"/>
    <s v="Verkeersveiligheid"/>
    <x v="4"/>
    <n v="874"/>
    <s v="IN/000803"/>
    <s v="Ingreep schoolroute in Lommel op N712 Molsekiezel x Sterstraat"/>
    <s v="snelheidsverlaging &gt; 50 (samen met KS 175)"/>
    <s v="Kleine Ingreep"/>
    <s v="WL/INV/N712/5"/>
    <b v="1"/>
    <s v="Ingreep wordt opgevolgd in BOD"/>
    <n v="6813"/>
    <s v="O70/0/748-P1"/>
    <n v="57501"/>
    <n v="20057801"/>
    <s v="&lt;p&gt;Lev en/of pl van niet-inwendig verlichte verkeersborden (politieborden en bewegwijzering) langs gewestwegen Perceel 1: district West-Limburg verlenging&lt;/p&gt;"/>
    <x v="20"/>
    <n v="5717"/>
    <s v="KS175 en KS174"/>
    <s v="&lt;p&gt;SCHOOLROUTES&lt;/p&gt;"/>
    <s v="WL/INV/N712/5"/>
    <n v="100"/>
    <n v="830"/>
    <n v="830"/>
    <n v="0"/>
    <n v="0"/>
    <n v="830"/>
    <n v="830"/>
    <n v="0"/>
    <n v="0"/>
  </r>
  <r>
    <x v="736"/>
    <x v="736"/>
    <s v="Verkeersveiligheid"/>
    <x v="4"/>
    <n v="875"/>
    <s v="IN/000804"/>
    <s v="Ingreep schoolroute in Lommel op N712 Molsekiezel x Wijerken"/>
    <s v="snelheidsverlaging &gt; 50"/>
    <s v="Kleine Ingreep"/>
    <s v="WL/INV/N712/5"/>
    <b v="1"/>
    <s v="Ingreep wordt opgevolgd in BOD"/>
    <n v="6813"/>
    <s v="O70/0/748-P1"/>
    <n v="57501"/>
    <n v="20057801"/>
    <s v="&lt;p&gt;Lev en/of pl van niet-inwendig verlichte verkeersborden (politieborden en bewegwijzering) langs gewestwegen Perceel 1: district West-Limburg verlenging&lt;/p&gt;"/>
    <x v="20"/>
    <n v="5717"/>
    <s v="KS175 en KS174"/>
    <s v="&lt;p&gt;SCHOOLROUTES&lt;/p&gt;"/>
    <s v="WL/INV/N712/5"/>
    <n v="100"/>
    <n v="830"/>
    <n v="830"/>
    <n v="0"/>
    <n v="0"/>
    <n v="830"/>
    <n v="830"/>
    <n v="0"/>
    <n v="0"/>
  </r>
  <r>
    <x v="736"/>
    <x v="736"/>
    <s v="Verkeersveiligheid"/>
    <x v="4"/>
    <n v="875"/>
    <s v="IN/000804"/>
    <s v="Ingreep schoolroute in Lommel op N712 Molsekiezel x Wijerken"/>
    <s v="snelheidsverlaging &gt; 50"/>
    <s v="Kleine Ingreep"/>
    <s v="WL/INV/N712/5"/>
    <b v="1"/>
    <s v="Ingreep wordt opgevolgd in BOD"/>
    <n v="6813"/>
    <s v="O70/0/748-P1"/>
    <n v="57501"/>
    <n v="20057801"/>
    <s v="&lt;p&gt;Lev en/of pl van niet-inwendig verlichte verkeersborden (politieborden en bewegwijzering) langs gewestwegen Perceel 1: district West-Limburg verlenging&lt;/p&gt;"/>
    <x v="20"/>
    <n v="5717"/>
    <s v="KS175 en KS174"/>
    <s v="&lt;p&gt;SCHOOLROUTES&lt;/p&gt;"/>
    <s v="WL/INV/N712/5"/>
    <n v="100"/>
    <n v="830"/>
    <n v="830"/>
    <n v="0"/>
    <n v="0"/>
    <n v="830"/>
    <n v="830"/>
    <n v="0"/>
    <n v="0"/>
  </r>
  <r>
    <x v="737"/>
    <x v="737"/>
    <s v="Verkeersveiligheid"/>
    <x v="4"/>
    <n v="876"/>
    <s v="IN/000805"/>
    <s v="Aangepaste markeringen"/>
    <s v="volle aslijn in aanloop naar het kruispunt (beide richtingen)."/>
    <s v="Kleine Ingreep"/>
    <s v="WL/INV/N627/1"/>
    <b v="0"/>
    <s v="Ingreep wordt niet opgevolgd in BOD"/>
    <s v="&lt;null&gt;"/>
    <s v="&lt;null&gt;"/>
    <s v="&lt;null&gt;"/>
    <s v="&lt;null&gt;"/>
    <s v="&lt;null&gt;"/>
    <x v="0"/>
    <s v="&lt;null&gt;"/>
    <s v="&lt;null&gt;"/>
    <s v="&lt;null&gt;"/>
    <s v="&lt;null&gt;"/>
    <n v="100"/>
    <s v="&lt;null&gt;"/>
    <s v="&lt;null&gt;"/>
    <s v="&lt;null&gt;"/>
    <s v="&lt;null&gt;"/>
    <m/>
    <m/>
    <m/>
    <m/>
  </r>
  <r>
    <x v="738"/>
    <x v="738"/>
    <s v="Verkeersveiligheid"/>
    <x v="4"/>
    <n v="877"/>
    <s v="IN/000806"/>
    <s v="nieuwe VRI + verlagen snelheid"/>
    <m/>
    <s v="Kleine Ingreep"/>
    <s v="WL/INV/N746/13"/>
    <b v="0"/>
    <s v="Ingreep wordt niet opgevolgd in BOD"/>
    <s v="&lt;null&gt;"/>
    <s v="&lt;null&gt;"/>
    <s v="&lt;null&gt;"/>
    <s v="&lt;null&gt;"/>
    <s v="&lt;null&gt;"/>
    <x v="0"/>
    <s v="&lt;null&gt;"/>
    <s v="&lt;null&gt;"/>
    <s v="&lt;null&gt;"/>
    <s v="&lt;null&gt;"/>
    <n v="100"/>
    <s v="&lt;null&gt;"/>
    <s v="&lt;null&gt;"/>
    <s v="&lt;null&gt;"/>
    <s v="&lt;null&gt;"/>
    <m/>
    <m/>
    <m/>
    <m/>
  </r>
  <r>
    <x v="739"/>
    <x v="739"/>
    <s v="Verkeersveiligheid"/>
    <x v="4"/>
    <n v="878"/>
    <s v="IN/000807"/>
    <s v="Ingreep schoolroute in Voeren op Kruising N648-Plankerweg-De Plank"/>
    <s v="&lt;null&gt;"/>
    <s v="Kleine Ingreep"/>
    <s v="WL/INV/N648/3"/>
    <b v="1"/>
    <s v="Ingreep wordt opgevolgd in BOD"/>
    <s v="&lt;null&gt;"/>
    <s v="&lt;null&gt;"/>
    <n v="57951"/>
    <n v="20057802"/>
    <s v="&lt;p&gt;VL O70/0/748 perceel 2 1M3D8G/18/31 3de jaar Leveren en/of plaatsen van niet-inwendig verlichte verkeersborden (politieborden en bewegwijzering) langs de gewestwegen Perceel 2 district Zuid-Limburg verlenging&lt;/p&gt;"/>
    <x v="19"/>
    <n v="5702"/>
    <s v="Schoolroute - KS182 - Voeren - Snelheidsbeperking 50km/h"/>
    <s v="&lt;null&gt;"/>
    <s v="WL/INV/N648/3"/>
    <n v="100"/>
    <n v="840"/>
    <n v="0"/>
    <n v="0"/>
    <n v="840"/>
    <n v="840"/>
    <n v="0"/>
    <n v="0"/>
    <n v="840"/>
  </r>
  <r>
    <x v="740"/>
    <x v="740"/>
    <s v="Verkeersveiligheid"/>
    <x v="4"/>
    <n v="879"/>
    <s v="IN/000808"/>
    <s v="Ingreep schoolroute in Kampenhout op N26 Leuvensesteenweg"/>
    <s v="&lt;null&gt;"/>
    <s v="Kleine Ingreep"/>
    <s v="WVB/INV/N26/9"/>
    <b v="1"/>
    <s v="Ingreep wordt opgevolgd in BOD"/>
    <n v="10519"/>
    <s v="VWT/WU/2020/007.004"/>
    <n v="73751"/>
    <n v="22028153"/>
    <s v="&lt;p&gt;Vastlegging 1ste contractjaar - vastlegging 2: AANPASSEN&amp;amp;UITRUSTEN OVERSTEEKPLAATSEN VR ZWAKKE WEGGEBRUIKERS MET (PUNCTUELE) VERLICHTING&amp;amp;INGREPEN VAN BEPERKTE OMVANG - P4 WVB VVF 1STE JR&lt;/p&gt;"/>
    <x v="17"/>
    <n v="7500"/>
    <s v="Relance schoolroute: VVOP in N26x Aarschotsebaan te Kampenhout"/>
    <s v="&lt;null&gt;"/>
    <s v="WVB/INV/N26/9"/>
    <n v="100"/>
    <n v="21995.14"/>
    <n v="0"/>
    <n v="0"/>
    <n v="0"/>
    <n v="21995.14"/>
    <n v="0"/>
    <n v="0"/>
    <n v="0"/>
  </r>
  <r>
    <x v="741"/>
    <x v="741"/>
    <s v="Verkeersveiligheid"/>
    <x v="4"/>
    <n v="880"/>
    <s v="IN/000809"/>
    <s v="Ingreep schoolroute in Sint-Katelijne-Waver op Conforme fietspaden voorzien op N14 en N15a + Veiligheid kruispunt Albertstraat x N14 + Veiligheid kruispunt Ijzerenveld x N15a"/>
    <s v="Heraanleg kruisput + VRI + Toeganelijkehaltes"/>
    <s v="Kleine Ingreep"/>
    <s v="WA/INV/N14/9"/>
    <b v="0"/>
    <s v="Ingreep wordt niet opgevolgd in BOD"/>
    <s v="&lt;null&gt;"/>
    <s v="&lt;null&gt;"/>
    <s v="&lt;null&gt;"/>
    <s v="&lt;null&gt;"/>
    <s v="&lt;null&gt;"/>
    <x v="0"/>
    <s v="&lt;null&gt;"/>
    <s v="&lt;null&gt;"/>
    <s v="&lt;null&gt;"/>
    <s v="&lt;null&gt;"/>
    <n v="100"/>
    <s v="&lt;null&gt;"/>
    <s v="&lt;null&gt;"/>
    <s v="&lt;null&gt;"/>
    <s v="&lt;null&gt;"/>
    <m/>
    <m/>
    <m/>
    <m/>
  </r>
  <r>
    <x v="742"/>
    <x v="742"/>
    <s v="Verkeersveiligheid"/>
    <x v="4"/>
    <n v="881"/>
    <s v="IN/000810"/>
    <s v="Ingreep schoolroute in Sint-Katelijne-Waver op Conforme fietspaden voorzien op N14 en N15a + Veiligheid kruispunt Albertstraat x N14 + Veiligheid kruispunt Ijzerenveld x N15a"/>
    <s v="PCV AN313"/>
    <s v="Kleine Ingreep"/>
    <s v="&lt;null&gt;"/>
    <b v="0"/>
    <s v="Ingreep wordt niet opgevolgd in BOD"/>
    <s v="&lt;null&gt;"/>
    <s v="&lt;null&gt;"/>
    <s v="&lt;null&gt;"/>
    <s v="&lt;null&gt;"/>
    <s v="&lt;null&gt;"/>
    <x v="0"/>
    <s v="&lt;null&gt;"/>
    <s v="&lt;null&gt;"/>
    <s v="&lt;null&gt;"/>
    <s v="&lt;null&gt;"/>
    <n v="50"/>
    <s v="&lt;null&gt;"/>
    <s v="&lt;null&gt;"/>
    <s v="&lt;null&gt;"/>
    <s v="&lt;null&gt;"/>
    <m/>
    <m/>
    <m/>
    <m/>
  </r>
  <r>
    <x v="743"/>
    <x v="743"/>
    <s v="Verkeersveiligheid"/>
    <x v="4"/>
    <n v="881"/>
    <s v="IN/000810"/>
    <s v="Ingreep schoolroute in Sint-Katelijne-Waver op Conforme fietspaden voorzien op N14 en N15a + Veiligheid kruispunt Albertstraat x N14 + Veiligheid kruispunt Ijzerenveld x N15a"/>
    <s v="PCV AN313"/>
    <s v="Kleine Ingreep"/>
    <s v="&lt;null&gt;"/>
    <b v="0"/>
    <s v="Ingreep wordt niet opgevolgd in BOD"/>
    <s v="&lt;null&gt;"/>
    <s v="&lt;null&gt;"/>
    <s v="&lt;null&gt;"/>
    <s v="&lt;null&gt;"/>
    <s v="&lt;null&gt;"/>
    <x v="0"/>
    <s v="&lt;null&gt;"/>
    <s v="&lt;null&gt;"/>
    <s v="&lt;null&gt;"/>
    <s v="&lt;null&gt;"/>
    <n v="50"/>
    <s v="&lt;null&gt;"/>
    <s v="&lt;null&gt;"/>
    <s v="&lt;null&gt;"/>
    <s v="&lt;null&gt;"/>
    <m/>
    <m/>
    <m/>
    <m/>
  </r>
  <r>
    <x v="744"/>
    <x v="744"/>
    <s v="Verkeersveiligheid"/>
    <x v="4"/>
    <n v="882"/>
    <s v="IN/000811"/>
    <s v="Trajectcontrole in Bocholt op Hamonterweg N76 t.h.v. basisschool 'de Boomhut'"/>
    <s v="Trajectcontrole: geen actie nodig; gemeente gaat zelf installeren onder GAS5"/>
    <s v="Kleine Ingreep"/>
    <s v="WL/INV/N76/22"/>
    <b v="0"/>
    <s v="Ingreep wordt niet opgevolgd in BOD"/>
    <s v="&lt;null&gt;"/>
    <s v="&lt;null&gt;"/>
    <s v="&lt;null&gt;"/>
    <s v="&lt;null&gt;"/>
    <s v="&lt;null&gt;"/>
    <x v="0"/>
    <s v="&lt;null&gt;"/>
    <s v="&lt;null&gt;"/>
    <s v="&lt;null&gt;"/>
    <s v="&lt;null&gt;"/>
    <n v="100"/>
    <s v="&lt;null&gt;"/>
    <s v="&lt;null&gt;"/>
    <s v="&lt;null&gt;"/>
    <s v="&lt;null&gt;"/>
    <m/>
    <m/>
    <m/>
    <m/>
  </r>
  <r>
    <x v="745"/>
    <x v="745"/>
    <s v="Verkeersveiligheid"/>
    <x v="4"/>
    <n v="883"/>
    <s v="IN/000812"/>
    <s v="Ingreep schoolroute in Nijlen op Kruispunt Smoutmolendreef - N13 - Oude Bevelsesteenweg"/>
    <s v="&lt;null&gt;"/>
    <s v="Kleine Ingreep"/>
    <s v="WA/INV/N13/9"/>
    <b v="0"/>
    <s v="Ingreep wordt niet opgevolgd in BOD"/>
    <s v="&lt;null&gt;"/>
    <s v="&lt;null&gt;"/>
    <s v="&lt;null&gt;"/>
    <s v="&lt;null&gt;"/>
    <s v="&lt;null&gt;"/>
    <x v="0"/>
    <s v="&lt;null&gt;"/>
    <s v="&lt;null&gt;"/>
    <s v="&lt;null&gt;"/>
    <s v="&lt;null&gt;"/>
    <n v="100"/>
    <s v="&lt;null&gt;"/>
    <s v="&lt;null&gt;"/>
    <s v="&lt;null&gt;"/>
    <s v="&lt;null&gt;"/>
    <m/>
    <m/>
    <m/>
    <m/>
  </r>
  <r>
    <x v="746"/>
    <x v="746"/>
    <s v="Verkeersveiligheid"/>
    <x v="4"/>
    <n v="884"/>
    <s v="IN/000813"/>
    <s v="Ingreep schoolroute in Nijlen op Kruispunt De Hollekens - N13 - Voetweg"/>
    <s v="&lt;null&gt;"/>
    <s v="Kleine Ingreep"/>
    <s v="WA/INV/N13/10"/>
    <b v="0"/>
    <s v="Ingreep wordt niet opgevolgd in BOD"/>
    <s v="&lt;null&gt;"/>
    <s v="&lt;null&gt;"/>
    <s v="&lt;null&gt;"/>
    <s v="&lt;null&gt;"/>
    <s v="&lt;null&gt;"/>
    <x v="0"/>
    <s v="&lt;null&gt;"/>
    <s v="&lt;null&gt;"/>
    <s v="&lt;null&gt;"/>
    <s v="&lt;null&gt;"/>
    <n v="100"/>
    <s v="&lt;null&gt;"/>
    <s v="&lt;null&gt;"/>
    <s v="&lt;null&gt;"/>
    <s v="&lt;null&gt;"/>
    <m/>
    <m/>
    <m/>
    <m/>
  </r>
  <r>
    <x v="747"/>
    <x v="747"/>
    <s v="Verkeersveiligheid"/>
    <x v="4"/>
    <n v="885"/>
    <s v="IN/000814"/>
    <s v="Ingreep schoolroute in Nijlen op Kruispunt N13 - Ophoven - doorsteek Azalealaan"/>
    <s v="&lt;null&gt;"/>
    <s v="Kleine Ingreep"/>
    <s v="WA/INV/N13/8"/>
    <b v="0"/>
    <s v="Ingreep wordt niet opgevolgd in BOD"/>
    <s v="&lt;null&gt;"/>
    <s v="&lt;null&gt;"/>
    <s v="&lt;null&gt;"/>
    <s v="&lt;null&gt;"/>
    <s v="&lt;null&gt;"/>
    <x v="0"/>
    <s v="&lt;null&gt;"/>
    <s v="&lt;null&gt;"/>
    <s v="&lt;null&gt;"/>
    <s v="&lt;null&gt;"/>
    <n v="100"/>
    <s v="&lt;null&gt;"/>
    <s v="&lt;null&gt;"/>
    <s v="&lt;null&gt;"/>
    <s v="&lt;null&gt;"/>
    <m/>
    <m/>
    <m/>
    <m/>
  </r>
  <r>
    <x v="748"/>
    <x v="748"/>
    <s v="Verkeersveiligheid"/>
    <x v="4"/>
    <n v="886"/>
    <s v="IN/000815"/>
    <s v="Ingreep schoolroute in Nijlen op Kruispunt G. Gezellestraat - N13 - Molenstraat"/>
    <s v="&lt;null&gt;"/>
    <s v="Kleine Ingreep"/>
    <s v="WA/INV/N13/11"/>
    <b v="0"/>
    <s v="Ingreep wordt niet opgevolgd in BOD"/>
    <s v="&lt;null&gt;"/>
    <s v="&lt;null&gt;"/>
    <s v="&lt;null&gt;"/>
    <s v="&lt;null&gt;"/>
    <s v="&lt;null&gt;"/>
    <x v="0"/>
    <s v="&lt;null&gt;"/>
    <s v="&lt;null&gt;"/>
    <s v="&lt;null&gt;"/>
    <s v="&lt;null&gt;"/>
    <n v="100"/>
    <s v="&lt;null&gt;"/>
    <s v="&lt;null&gt;"/>
    <s v="&lt;null&gt;"/>
    <s v="&lt;null&gt;"/>
    <m/>
    <m/>
    <m/>
    <m/>
  </r>
  <r>
    <x v="749"/>
    <x v="749"/>
    <s v="Verkeersveiligheid"/>
    <x v="4"/>
    <n v="887"/>
    <s v="IN/000816"/>
    <s v="Ingreep schoolroute in Nijlen op Kruispunt N13 - Elsendonkstraat"/>
    <s v="&lt;null&gt;"/>
    <s v="Kleine Ingreep"/>
    <s v="WA/INV/N13/12"/>
    <b v="0"/>
    <s v="Ingreep wordt niet opgevolgd in BOD"/>
    <s v="&lt;null&gt;"/>
    <s v="&lt;null&gt;"/>
    <s v="&lt;null&gt;"/>
    <s v="&lt;null&gt;"/>
    <s v="&lt;null&gt;"/>
    <x v="0"/>
    <s v="&lt;null&gt;"/>
    <s v="&lt;null&gt;"/>
    <s v="&lt;null&gt;"/>
    <s v="&lt;null&gt;"/>
    <n v="100"/>
    <s v="&lt;null&gt;"/>
    <s v="&lt;null&gt;"/>
    <s v="&lt;null&gt;"/>
    <s v="&lt;null&gt;"/>
    <m/>
    <m/>
    <m/>
    <m/>
  </r>
  <r>
    <x v="750"/>
    <x v="750"/>
    <s v="Verkeersveiligheid"/>
    <x v="4"/>
    <n v="888"/>
    <s v="IN/000817"/>
    <s v="Ingreep schoolroute in Nijlen op Segment N13 tussen Elsendonkstraat en Klokkenlaan"/>
    <s v="&lt;null&gt;"/>
    <s v="Kleine Ingreep"/>
    <s v="WA/INV/N13/13"/>
    <b v="0"/>
    <s v="Ingreep wordt niet opgevolgd in BOD"/>
    <s v="&lt;null&gt;"/>
    <s v="&lt;null&gt;"/>
    <s v="&lt;null&gt;"/>
    <s v="&lt;null&gt;"/>
    <s v="&lt;null&gt;"/>
    <x v="0"/>
    <s v="&lt;null&gt;"/>
    <s v="&lt;null&gt;"/>
    <s v="&lt;null&gt;"/>
    <s v="&lt;null&gt;"/>
    <n v="100"/>
    <s v="&lt;null&gt;"/>
    <s v="&lt;null&gt;"/>
    <s v="&lt;null&gt;"/>
    <s v="&lt;null&gt;"/>
    <m/>
    <m/>
    <m/>
    <m/>
  </r>
  <r>
    <x v="751"/>
    <x v="751"/>
    <s v="Verkeersveiligheid"/>
    <x v="4"/>
    <n v="889"/>
    <s v="IN/000818"/>
    <s v="Ingreep schoolroute in Nijlen op Kruispunt Klokkenlaan - N13"/>
    <s v="&lt;null&gt;"/>
    <s v="Kleine Ingreep"/>
    <s v="&lt;null&gt;"/>
    <b v="0"/>
    <s v="Ingreep wordt niet opgevolgd in BOD"/>
    <s v="&lt;null&gt;"/>
    <s v="&lt;null&gt;"/>
    <s v="&lt;null&gt;"/>
    <s v="&lt;null&gt;"/>
    <s v="&lt;null&gt;"/>
    <x v="0"/>
    <s v="&lt;null&gt;"/>
    <s v="&lt;null&gt;"/>
    <s v="&lt;null&gt;"/>
    <s v="&lt;null&gt;"/>
    <n v="100"/>
    <s v="&lt;null&gt;"/>
    <s v="&lt;null&gt;"/>
    <s v="&lt;null&gt;"/>
    <s v="&lt;null&gt;"/>
    <m/>
    <m/>
    <m/>
    <m/>
  </r>
  <r>
    <x v="752"/>
    <x v="752"/>
    <s v="Verkeersveiligheid"/>
    <x v="4"/>
    <n v="890"/>
    <s v="IN/000819"/>
    <s v="Ingreep schoolroute in Nijlen op Kruispunt N13 - N116 - Nonnenstraat - Kerkstraat"/>
    <s v="&lt;null&gt;"/>
    <s v="Kleine Ingreep"/>
    <s v="&lt;null&gt;"/>
    <b v="0"/>
    <s v="Ingreep wordt niet opgevolgd in BOD"/>
    <s v="&lt;null&gt;"/>
    <s v="&lt;null&gt;"/>
    <s v="&lt;null&gt;"/>
    <s v="&lt;null&gt;"/>
    <s v="&lt;null&gt;"/>
    <x v="0"/>
    <s v="&lt;null&gt;"/>
    <s v="&lt;null&gt;"/>
    <s v="&lt;null&gt;"/>
    <s v="&lt;null&gt;"/>
    <n v="34"/>
    <s v="&lt;null&gt;"/>
    <s v="&lt;null&gt;"/>
    <s v="&lt;null&gt;"/>
    <s v="&lt;null&gt;"/>
    <m/>
    <m/>
    <m/>
    <m/>
  </r>
  <r>
    <x v="753"/>
    <x v="753"/>
    <s v="Verkeersveiligheid"/>
    <x v="4"/>
    <n v="890"/>
    <s v="IN/000819"/>
    <s v="Ingreep schoolroute in Nijlen op Kruispunt N13 - N116 - Nonnenstraat - Kerkstraat"/>
    <s v="&lt;null&gt;"/>
    <s v="Kleine Ingreep"/>
    <s v="&lt;null&gt;"/>
    <b v="0"/>
    <s v="Ingreep wordt niet opgevolgd in BOD"/>
    <s v="&lt;null&gt;"/>
    <s v="&lt;null&gt;"/>
    <s v="&lt;null&gt;"/>
    <s v="&lt;null&gt;"/>
    <s v="&lt;null&gt;"/>
    <x v="0"/>
    <s v="&lt;null&gt;"/>
    <s v="&lt;null&gt;"/>
    <s v="&lt;null&gt;"/>
    <s v="&lt;null&gt;"/>
    <n v="33"/>
    <s v="&lt;null&gt;"/>
    <s v="&lt;null&gt;"/>
    <s v="&lt;null&gt;"/>
    <s v="&lt;null&gt;"/>
    <m/>
    <m/>
    <m/>
    <m/>
  </r>
  <r>
    <x v="754"/>
    <x v="754"/>
    <s v="Verkeersveiligheid"/>
    <x v="4"/>
    <n v="890"/>
    <s v="IN/000819"/>
    <s v="Ingreep schoolroute in Nijlen op Kruispunt N13 - N116 - Nonnenstraat - Kerkstraat"/>
    <s v="&lt;null&gt;"/>
    <s v="Kleine Ingreep"/>
    <s v="&lt;null&gt;"/>
    <b v="0"/>
    <s v="Ingreep wordt niet opgevolgd in BOD"/>
    <s v="&lt;null&gt;"/>
    <s v="&lt;null&gt;"/>
    <s v="&lt;null&gt;"/>
    <s v="&lt;null&gt;"/>
    <s v="&lt;null&gt;"/>
    <x v="0"/>
    <s v="&lt;null&gt;"/>
    <s v="&lt;null&gt;"/>
    <s v="&lt;null&gt;"/>
    <s v="&lt;null&gt;"/>
    <n v="33"/>
    <s v="&lt;null&gt;"/>
    <s v="&lt;null&gt;"/>
    <s v="&lt;null&gt;"/>
    <s v="&lt;null&gt;"/>
    <m/>
    <m/>
    <m/>
    <m/>
  </r>
  <r>
    <x v="755"/>
    <x v="755"/>
    <s v="Verkeersveiligheid"/>
    <x v="4"/>
    <n v="891"/>
    <s v="IN/000820"/>
    <s v="Ingreep schoolroute in Nijlen op Kessel-Dorp thv huisnummer 61"/>
    <s v="&lt;null&gt;"/>
    <s v="Kleine Ingreep"/>
    <s v="WA/INV/N13/14"/>
    <b v="0"/>
    <s v="Ingreep wordt niet opgevolgd in BOD"/>
    <s v="&lt;null&gt;"/>
    <s v="&lt;null&gt;"/>
    <s v="&lt;null&gt;"/>
    <s v="&lt;null&gt;"/>
    <s v="&lt;null&gt;"/>
    <x v="0"/>
    <s v="&lt;null&gt;"/>
    <s v="&lt;null&gt;"/>
    <s v="&lt;null&gt;"/>
    <s v="&lt;null&gt;"/>
    <n v="100"/>
    <s v="&lt;null&gt;"/>
    <s v="&lt;null&gt;"/>
    <s v="&lt;null&gt;"/>
    <s v="&lt;null&gt;"/>
    <m/>
    <m/>
    <m/>
    <m/>
  </r>
  <r>
    <x v="756"/>
    <x v="756"/>
    <s v="Verkeersveiligheid"/>
    <x v="4"/>
    <n v="892"/>
    <s v="IN/000821"/>
    <s v="FOP met middengeleider (PM  studiebureau aan te stellen)"/>
    <s v="Fietsoversteek met middengeleider en aanleg noodzakelijke stukjes dubbelrichtingsfietspad + VFOP"/>
    <s v="Kleine Ingreep"/>
    <s v="WL/INV/N717/5"/>
    <b v="1"/>
    <s v="Ingreep wordt opgevolgd in BOD"/>
    <n v="11574"/>
    <s v="WL/INV/2021/8_P1"/>
    <n v="110351"/>
    <n v="21067062"/>
    <s v="&lt;p&gt;werken van APK in district West&lt;/p&gt;"/>
    <x v="2"/>
    <n v="7479"/>
    <s v="Lummen: N717 oversteek op schoolroute (uitvoering)"/>
    <s v="&lt;null&gt;"/>
    <s v="WL/INV/N717/5"/>
    <n v="100"/>
    <n v="125934"/>
    <n v="0"/>
    <n v="0"/>
    <n v="125528.52"/>
    <n v="125934"/>
    <n v="0"/>
    <n v="0"/>
    <n v="125528.52"/>
  </r>
  <r>
    <x v="757"/>
    <x v="757"/>
    <s v="Verkeersveiligheid"/>
    <x v="4"/>
    <n v="893"/>
    <s v="IN/000822"/>
    <s v="Ingreep schoolroute in Lummen op kruispunt N717 - Geneikenstraat"/>
    <s v="punctuele verlichting"/>
    <s v="Kleine Ingreep"/>
    <s v="WL/INV/N717/8"/>
    <b v="0"/>
    <s v="Ingreep wordt niet opgevolgd in BOD"/>
    <s v="&lt;null&gt;"/>
    <s v="&lt;null&gt;"/>
    <s v="&lt;null&gt;"/>
    <s v="&lt;null&gt;"/>
    <s v="&lt;null&gt;"/>
    <x v="0"/>
    <s v="&lt;null&gt;"/>
    <s v="&lt;null&gt;"/>
    <s v="&lt;null&gt;"/>
    <s v="&lt;null&gt;"/>
    <n v="100"/>
    <s v="&lt;null&gt;"/>
    <s v="&lt;null&gt;"/>
    <s v="&lt;null&gt;"/>
    <s v="&lt;null&gt;"/>
    <m/>
    <m/>
    <m/>
    <m/>
  </r>
  <r>
    <x v="758"/>
    <x v="758"/>
    <s v="Verkeersveiligheid"/>
    <x v="4"/>
    <n v="894"/>
    <s v="IN/000823"/>
    <s v="Ingreep schoolroute in Boortmeerbeek op Kruispunt N267 x F8"/>
    <s v="&lt;null&gt;"/>
    <s v="Kleine Ingreep"/>
    <s v="WVB/INV/N267/3"/>
    <b v="0"/>
    <s v="Ingreep wordt niet opgevolgd in BOD"/>
    <s v="&lt;null&gt;"/>
    <s v="&lt;null&gt;"/>
    <s v="&lt;null&gt;"/>
    <s v="&lt;null&gt;"/>
    <s v="&lt;null&gt;"/>
    <x v="0"/>
    <s v="&lt;null&gt;"/>
    <s v="&lt;null&gt;"/>
    <s v="&lt;null&gt;"/>
    <s v="&lt;null&gt;"/>
    <n v="100"/>
    <s v="&lt;null&gt;"/>
    <s v="&lt;null&gt;"/>
    <s v="&lt;null&gt;"/>
    <s v="&lt;null&gt;"/>
    <m/>
    <m/>
    <m/>
    <m/>
  </r>
  <r>
    <x v="759"/>
    <x v="759"/>
    <s v="Verkeersveiligheid"/>
    <x v="4"/>
    <n v="894"/>
    <s v="IN/000823"/>
    <s v="Ingreep schoolroute in Boortmeerbeek op Kruispunt N267 x F8"/>
    <s v="&lt;null&gt;"/>
    <s v="Kleine Ingreep"/>
    <s v="WVB/INV/N267/3"/>
    <b v="0"/>
    <s v="Ingreep wordt niet opgevolgd in BOD"/>
    <s v="&lt;null&gt;"/>
    <s v="&lt;null&gt;"/>
    <s v="&lt;null&gt;"/>
    <s v="&lt;null&gt;"/>
    <s v="&lt;null&gt;"/>
    <x v="0"/>
    <s v="&lt;null&gt;"/>
    <s v="&lt;null&gt;"/>
    <s v="&lt;null&gt;"/>
    <s v="&lt;null&gt;"/>
    <n v="0"/>
    <s v="&lt;null&gt;"/>
    <s v="&lt;null&gt;"/>
    <s v="&lt;null&gt;"/>
    <s v="&lt;null&gt;"/>
    <m/>
    <m/>
    <m/>
    <m/>
  </r>
  <r>
    <x v="760"/>
    <x v="760"/>
    <s v="Verkeersveiligheid"/>
    <x v="4"/>
    <n v="895"/>
    <s v="IN/000824"/>
    <s v="Ingreep schoolroute in Boortmeerbeek op Oversteekplaats N267 x Goorweg"/>
    <s v="&lt;null&gt;"/>
    <s v="Kleine Ingreep"/>
    <s v="WVB/INV/N267/5"/>
    <b v="0"/>
    <s v="Ingreep wordt niet opgevolgd in BOD"/>
    <s v="&lt;null&gt;"/>
    <s v="&lt;null&gt;"/>
    <n v="113351"/>
    <n v="21064994"/>
    <s v="&lt;p&gt;relance schoolroutes&lt;/p&gt;"/>
    <x v="9"/>
    <n v="10268"/>
    <s v="IN/000824 N267 Boortmeerbeek x Goorweg"/>
    <s v="&lt;null&gt;"/>
    <s v="WVB/INV/N267/5"/>
    <n v="100"/>
    <n v="20000"/>
    <n v="0"/>
    <n v="0"/>
    <n v="20000"/>
    <n v="20000"/>
    <n v="0"/>
    <n v="0"/>
    <n v="20000"/>
  </r>
  <r>
    <x v="18"/>
    <x v="18"/>
    <s v="&lt;null&gt;"/>
    <x v="3"/>
    <n v="896"/>
    <s v="IN/000825"/>
    <s v="Ingreep schoolroute in Boortmeerbeek op Kruispunt N267 x Terlindenlaan"/>
    <s v="&lt;null&gt;"/>
    <s v="Kleine Ingreep"/>
    <s v="WVB/INV/NX/4"/>
    <b v="0"/>
    <s v="Ingreep wordt niet opgevolgd in BOD"/>
    <s v="&lt;null&gt;"/>
    <s v="&lt;null&gt;"/>
    <s v="&lt;null&gt;"/>
    <s v="&lt;null&gt;"/>
    <s v="&lt;null&gt;"/>
    <x v="0"/>
    <s v="&lt;null&gt;"/>
    <s v="&lt;null&gt;"/>
    <s v="&lt;null&gt;"/>
    <s v="&lt;null&gt;"/>
    <s v="&lt;null&gt;"/>
    <s v="&lt;null&gt;"/>
    <s v="&lt;null&gt;"/>
    <s v="&lt;null&gt;"/>
    <s v="&lt;null&gt;"/>
    <m/>
    <m/>
    <m/>
    <m/>
  </r>
  <r>
    <x v="761"/>
    <x v="761"/>
    <s v="Verkeersveiligheid"/>
    <x v="4"/>
    <n v="897"/>
    <s v="IN/000826"/>
    <s v="Ingreep schoolroute in Boortmeerbeek op N26 x Kwaenijkstraat"/>
    <s v="Korte afslagstrook in belijning"/>
    <s v="Kleine Ingreep"/>
    <s v="&lt;null&gt;"/>
    <b v="0"/>
    <s v="Ingreep wordt niet opgevolgd in BOD"/>
    <s v="&lt;null&gt;"/>
    <s v="&lt;null&gt;"/>
    <s v="&lt;null&gt;"/>
    <s v="&lt;null&gt;"/>
    <s v="&lt;null&gt;"/>
    <x v="0"/>
    <s v="&lt;null&gt;"/>
    <s v="&lt;null&gt;"/>
    <s v="&lt;null&gt;"/>
    <s v="&lt;null&gt;"/>
    <n v="100"/>
    <s v="&lt;null&gt;"/>
    <s v="&lt;null&gt;"/>
    <s v="&lt;null&gt;"/>
    <s v="&lt;null&gt;"/>
    <m/>
    <m/>
    <m/>
    <m/>
  </r>
  <r>
    <x v="762"/>
    <x v="762"/>
    <s v="Verkeersveiligheid"/>
    <x v="4"/>
    <n v="898"/>
    <s v="IN/000827"/>
    <s v="Ingreep schoolroute in Boortmeerbeek op N26 x Bieststraat"/>
    <s v="&lt;null&gt;"/>
    <s v="Kleine Ingreep"/>
    <s v="WVB/INV/N26/10"/>
    <b v="0"/>
    <s v="Ingreep wordt niet opgevolgd in BOD"/>
    <s v="&lt;null&gt;"/>
    <s v="&lt;null&gt;"/>
    <s v="&lt;null&gt;"/>
    <s v="&lt;null&gt;"/>
    <s v="&lt;null&gt;"/>
    <x v="0"/>
    <s v="&lt;null&gt;"/>
    <s v="&lt;null&gt;"/>
    <s v="&lt;null&gt;"/>
    <s v="&lt;null&gt;"/>
    <n v="100"/>
    <s v="&lt;null&gt;"/>
    <s v="&lt;null&gt;"/>
    <s v="&lt;null&gt;"/>
    <s v="&lt;null&gt;"/>
    <m/>
    <m/>
    <m/>
    <m/>
  </r>
  <r>
    <x v="763"/>
    <x v="763"/>
    <s v="Verkeersveiligheid"/>
    <x v="4"/>
    <n v="899"/>
    <s v="IN/000828"/>
    <s v="Ingreep schoolroute in Boortmeerbeek op N26 x Bieststraat"/>
    <s v="&lt;null&gt;"/>
    <s v="Kleine Ingreep"/>
    <s v="WVB/INV/N26/11"/>
    <b v="0"/>
    <s v="Ingreep wordt niet opgevolgd in BOD"/>
    <s v="&lt;null&gt;"/>
    <s v="&lt;null&gt;"/>
    <s v="&lt;null&gt;"/>
    <s v="&lt;null&gt;"/>
    <s v="&lt;null&gt;"/>
    <x v="0"/>
    <s v="&lt;null&gt;"/>
    <s v="&lt;null&gt;"/>
    <s v="&lt;null&gt;"/>
    <s v="&lt;null&gt;"/>
    <n v="100"/>
    <s v="&lt;null&gt;"/>
    <s v="&lt;null&gt;"/>
    <s v="&lt;null&gt;"/>
    <s v="&lt;null&gt;"/>
    <m/>
    <m/>
    <m/>
    <m/>
  </r>
  <r>
    <x v="18"/>
    <x v="18"/>
    <s v="&lt;null&gt;"/>
    <x v="3"/>
    <n v="900"/>
    <s v="IN/000829"/>
    <s v="Ingreep schoolroute in Boortmeerbeek op N26 x Audenhovenlaan"/>
    <s v="&lt;null&gt;"/>
    <s v="Kleine Ingreep"/>
    <s v="WVB/INV/N26/12"/>
    <b v="0"/>
    <s v="Ingreep wordt niet opgevolgd in BOD"/>
    <s v="&lt;null&gt;"/>
    <s v="&lt;null&gt;"/>
    <s v="&lt;null&gt;"/>
    <s v="&lt;null&gt;"/>
    <s v="&lt;null&gt;"/>
    <x v="0"/>
    <s v="&lt;null&gt;"/>
    <s v="&lt;null&gt;"/>
    <s v="&lt;null&gt;"/>
    <s v="&lt;null&gt;"/>
    <s v="&lt;null&gt;"/>
    <s v="&lt;null&gt;"/>
    <s v="&lt;null&gt;"/>
    <s v="&lt;null&gt;"/>
    <s v="&lt;null&gt;"/>
    <m/>
    <m/>
    <m/>
    <m/>
  </r>
  <r>
    <x v="764"/>
    <x v="764"/>
    <s v="Verkeersveiligheid"/>
    <x v="4"/>
    <n v="901"/>
    <s v="IN/000830"/>
    <s v="Ingreep schoolroute in Boortmeerbeek op N26 oversteek Molenbeek"/>
    <s v="recht of schuin oversteken afhankelijk van ontwikkelaar of niet"/>
    <s v="Kleine Ingreep"/>
    <s v="WVB/INV/N26/13"/>
    <b v="0"/>
    <s v="Ingreep wordt niet opgevolgd in BOD"/>
    <s v="&lt;null&gt;"/>
    <s v="&lt;null&gt;"/>
    <s v="&lt;null&gt;"/>
    <s v="&lt;null&gt;"/>
    <s v="&lt;null&gt;"/>
    <x v="0"/>
    <s v="&lt;null&gt;"/>
    <s v="&lt;null&gt;"/>
    <s v="&lt;null&gt;"/>
    <s v="&lt;null&gt;"/>
    <n v="100"/>
    <s v="&lt;null&gt;"/>
    <s v="&lt;null&gt;"/>
    <s v="&lt;null&gt;"/>
    <s v="&lt;null&gt;"/>
    <m/>
    <m/>
    <m/>
    <m/>
  </r>
  <r>
    <x v="765"/>
    <x v="765"/>
    <s v="Verkeersveiligheid"/>
    <x v="4"/>
    <n v="902"/>
    <s v="IN/000831"/>
    <s v="Ingreep schoolroute in Boortmeerbeek op N26 x Beringstraat"/>
    <s v="&lt;null&gt;"/>
    <s v="Kleine Ingreep"/>
    <s v="WVB/INV/N26/18"/>
    <b v="0"/>
    <s v="Ingreep wordt niet opgevolgd in BOD"/>
    <s v="&lt;null&gt;"/>
    <s v="&lt;null&gt;"/>
    <s v="&lt;null&gt;"/>
    <s v="&lt;null&gt;"/>
    <s v="&lt;null&gt;"/>
    <x v="0"/>
    <s v="&lt;null&gt;"/>
    <s v="&lt;null&gt;"/>
    <s v="&lt;null&gt;"/>
    <s v="&lt;null&gt;"/>
    <n v="100"/>
    <s v="&lt;null&gt;"/>
    <s v="&lt;null&gt;"/>
    <s v="&lt;null&gt;"/>
    <s v="&lt;null&gt;"/>
    <m/>
    <m/>
    <m/>
    <m/>
  </r>
  <r>
    <x v="766"/>
    <x v="766"/>
    <s v="Verkeersveiligheid"/>
    <x v="4"/>
    <n v="903"/>
    <s v="IN/000832"/>
    <s v="Ingreep schoolroute in Boortmeerbeek op N26 x Laarstraat"/>
    <s v="&lt;null&gt;"/>
    <s v="Kleine Ingreep"/>
    <s v="WVB/INV/N26/14"/>
    <b v="0"/>
    <s v="Ingreep wordt niet opgevolgd in BOD"/>
    <s v="&lt;null&gt;"/>
    <s v="&lt;null&gt;"/>
    <s v="&lt;null&gt;"/>
    <s v="&lt;null&gt;"/>
    <s v="&lt;null&gt;"/>
    <x v="0"/>
    <s v="&lt;null&gt;"/>
    <s v="&lt;null&gt;"/>
    <s v="&lt;null&gt;"/>
    <s v="&lt;null&gt;"/>
    <n v="100"/>
    <s v="&lt;null&gt;"/>
    <s v="&lt;null&gt;"/>
    <s v="&lt;null&gt;"/>
    <s v="&lt;null&gt;"/>
    <m/>
    <m/>
    <m/>
    <m/>
  </r>
  <r>
    <x v="767"/>
    <x v="767"/>
    <s v="Verkeersveiligheid"/>
    <x v="4"/>
    <n v="904"/>
    <s v="IN/000833"/>
    <s v="Ingreep schoolroute in Oudsbergen op N76 aansluiting met gemeentewegen"/>
    <s v="&lt;null&gt;"/>
    <s v="Kleine Ingreep"/>
    <s v="WL/INV/N76/13"/>
    <b v="1"/>
    <s v="Ingreep wordt opgevolgd in BOD"/>
    <n v="10114"/>
    <s v="X70/0/359"/>
    <n v="83801"/>
    <n v="21034138"/>
    <s v="&lt;p&gt;Extra vastlegging voor uitvoering items scholenroutes Oudsbergen&lt;/p&gt;"/>
    <x v="9"/>
    <n v="5694"/>
    <s v="Scholenroute_Oudsbergen_KS224_N76"/>
    <s v="&lt;null&gt;"/>
    <s v="WL/INV/N76/13"/>
    <n v="100"/>
    <n v="26047.39"/>
    <n v="26047.387599999998"/>
    <n v="0"/>
    <n v="2.3999999999999998E-3"/>
    <n v="26047.39"/>
    <n v="26047.387599999998"/>
    <n v="0"/>
    <n v="2.3999999999999998E-3"/>
  </r>
  <r>
    <x v="768"/>
    <x v="768"/>
    <s v="Verkeersveiligheid"/>
    <x v="4"/>
    <n v="905"/>
    <s v="IN/000834"/>
    <s v="Ingreep schoolroute in Oudsbergen op N719: aansluiting met gemeentewegen"/>
    <s v="&lt;null&gt;"/>
    <s v="Kleine Ingreep"/>
    <s v="WL/INV/N719/4"/>
    <b v="1"/>
    <s v="Ingreep wordt opgevolgd in BOD"/>
    <n v="10114"/>
    <s v="X70/0/359"/>
    <n v="83801"/>
    <n v="21034138"/>
    <s v="&lt;p&gt;Extra vastlegging voor uitvoering items scholenroutes Oudsbergen&lt;/p&gt;"/>
    <x v="9"/>
    <n v="5693"/>
    <s v="Scholenroute_Oudsbergen_KS225_N719"/>
    <s v="&lt;null&gt;"/>
    <s v="WL/INV/N719/4"/>
    <n v="100"/>
    <n v="25087.27"/>
    <n v="25087.272199999999"/>
    <n v="-2.2000000000000001E-3"/>
    <n v="0"/>
    <n v="25087.27"/>
    <n v="25087.272199999999"/>
    <n v="-2.2000000000000001E-3"/>
    <n v="0"/>
  </r>
  <r>
    <x v="769"/>
    <x v="769"/>
    <s v="Verkeersveiligheid"/>
    <x v="4"/>
    <n v="906"/>
    <s v="IN/000835"/>
    <s v="Ingreep schoolroute in Oudsbergen op N730: aansluiting met gemeentewegen"/>
    <m/>
    <s v="Kleine Ingreep"/>
    <s v="WL/INV/N730/11"/>
    <b v="1"/>
    <s v="Ingreep wordt opgevolgd in BOD"/>
    <n v="10114"/>
    <s v="X70/0/359"/>
    <n v="83801"/>
    <n v="21034138"/>
    <s v="&lt;p&gt;Extra vastlegging voor uitvoering items scholenroutes Oudsbergen&lt;/p&gt;"/>
    <x v="9"/>
    <n v="5695"/>
    <s v="Scholenroute_Oudsbergen_KS226_N730"/>
    <s v="&lt;null&gt;"/>
    <s v="WL/INV/N730/11"/>
    <n v="100"/>
    <n v="32999.17"/>
    <n v="32999.169800000003"/>
    <n v="0"/>
    <n v="2.0000000000000001E-4"/>
    <n v="32999.17"/>
    <n v="32999.169800000003"/>
    <n v="0"/>
    <n v="2.0000000000000001E-4"/>
  </r>
  <r>
    <x v="770"/>
    <x v="770"/>
    <s v="Verkeersveiligheid"/>
    <x v="4"/>
    <n v="907"/>
    <s v="IN/000836"/>
    <s v="Ingreep schoolroute in Oudsbergen op N771: aansluiting met gemeentewegen"/>
    <s v="&lt;null&gt;"/>
    <s v="Kleine Ingreep"/>
    <s v="WL/INV/N771/3"/>
    <b v="1"/>
    <s v="Ingreep wordt opgevolgd in BOD"/>
    <n v="10114"/>
    <s v="X70/0/359"/>
    <n v="83801"/>
    <n v="21034138"/>
    <s v="&lt;p&gt;Extra vastlegging voor uitvoering items scholenroutes Oudsbergen&lt;/p&gt;"/>
    <x v="9"/>
    <n v="5696"/>
    <s v="Scholenroute_Oudsbergen_KS227_N771"/>
    <s v="&lt;null&gt;"/>
    <s v="WL/INV/N771/3"/>
    <n v="100"/>
    <n v="15866.17"/>
    <n v="15700.052299999999"/>
    <n v="0"/>
    <n v="166.11770000000001"/>
    <n v="15866.17"/>
    <n v="15700.052299999999"/>
    <n v="0"/>
    <n v="166.11770000000001"/>
  </r>
  <r>
    <x v="771"/>
    <x v="771"/>
    <s v="Verkeersveiligheid"/>
    <x v="4"/>
    <n v="908"/>
    <s v="IN/000837"/>
    <s v="Wegnemen VOP en aanpassen andere VOP"/>
    <s v="&lt;null&gt;"/>
    <s v="Kleine Ingreep"/>
    <s v="WL/INV/N730/15"/>
    <b v="1"/>
    <s v="Ingreep wordt opgevolgd in BOD"/>
    <n v="12817"/>
    <s v="AWV/INV/2021/3_P5"/>
    <n v="135951"/>
    <n v="22015560"/>
    <s v="&lt;p&gt;gevaarlijke punten, scholenroutes&lt;/p&gt;"/>
    <x v="14"/>
    <n v="9814"/>
    <s v="Oudsbergen_N730_KS228_31.716"/>
    <s v="&lt;null&gt;"/>
    <s v="WL/INV/N730/15"/>
    <n v="100"/>
    <n v="50000"/>
    <n v="0"/>
    <n v="0"/>
    <n v="30727.33"/>
    <n v="50000"/>
    <n v="0"/>
    <n v="0"/>
    <n v="30727.33"/>
  </r>
  <r>
    <x v="772"/>
    <x v="772"/>
    <s v="Verkeersveiligheid"/>
    <x v="4"/>
    <n v="909"/>
    <s v="IN/000838"/>
    <s v="Ingreep schoolroute in Mol op Donk: oversteek Warande"/>
    <s v="&lt;null&gt;"/>
    <s v="Kleine Ingreep"/>
    <s v="WA/INV/N18/9"/>
    <b v="1"/>
    <s v="Ingreep wordt opgevolgd in BOD"/>
    <n v="12666"/>
    <s v="AWV/INV/2021/3_P1"/>
    <n v="130251"/>
    <n v="21064977"/>
    <s v="&lt;p&gt;schoolroutes (vastlegging 2021)&lt;/p&gt;"/>
    <x v="9"/>
    <n v="10616"/>
    <s v="N018 Mol Donk oversteek Warande"/>
    <s v="&lt;null&gt;"/>
    <s v="WA/INV/N18/9"/>
    <n v="100"/>
    <n v="5491"/>
    <n v="0"/>
    <n v="5491"/>
    <n v="0"/>
    <n v="5491"/>
    <n v="0"/>
    <n v="5491"/>
    <n v="0"/>
  </r>
  <r>
    <x v="773"/>
    <x v="773"/>
    <s v="Verkeersveiligheid"/>
    <x v="4"/>
    <n v="910"/>
    <s v="IN/000839"/>
    <s v="Ingreep schoolroute in Mol op Turnhoutsebaan ter hoogte va nr. 20"/>
    <s v="&lt;null&gt;"/>
    <s v="Kleine Ingreep"/>
    <s v="WA/INV/N18/7"/>
    <b v="0"/>
    <s v="Ingreep wordt niet opgevolgd in BOD"/>
    <s v="&lt;null&gt;"/>
    <s v="&lt;null&gt;"/>
    <s v="&lt;null&gt;"/>
    <s v="&lt;null&gt;"/>
    <s v="&lt;null&gt;"/>
    <x v="0"/>
    <s v="&lt;null&gt;"/>
    <s v="&lt;null&gt;"/>
    <s v="&lt;null&gt;"/>
    <s v="&lt;null&gt;"/>
    <n v="100"/>
    <s v="&lt;null&gt;"/>
    <s v="&lt;null&gt;"/>
    <s v="&lt;null&gt;"/>
    <s v="&lt;null&gt;"/>
    <m/>
    <m/>
    <m/>
    <m/>
  </r>
  <r>
    <x v="774"/>
    <x v="774"/>
    <s v="Verkeersveiligheid"/>
    <x v="4"/>
    <n v="911"/>
    <s v="IN/000840"/>
    <s v="Ingreep schoolroute in Mol op Ginderbuiten"/>
    <s v="&lt;null&gt;"/>
    <s v="Kleine Ingreep"/>
    <s v="WA/INV/N103/2"/>
    <b v="0"/>
    <s v="Ingreep wordt niet opgevolgd in BOD"/>
    <s v="&lt;null&gt;"/>
    <s v="&lt;null&gt;"/>
    <s v="&lt;null&gt;"/>
    <s v="&lt;null&gt;"/>
    <s v="&lt;null&gt;"/>
    <x v="0"/>
    <s v="&lt;null&gt;"/>
    <s v="&lt;null&gt;"/>
    <s v="&lt;null&gt;"/>
    <s v="&lt;null&gt;"/>
    <n v="100"/>
    <s v="&lt;null&gt;"/>
    <s v="&lt;null&gt;"/>
    <s v="&lt;null&gt;"/>
    <s v="&lt;null&gt;"/>
    <m/>
    <m/>
    <m/>
    <m/>
  </r>
  <r>
    <x v="775"/>
    <x v="775"/>
    <s v="Verkeersveiligheid"/>
    <x v="4"/>
    <n v="912"/>
    <s v="IN/000841"/>
    <s v="Ingreep schoolroute in Mol op Kiezelweg"/>
    <s v="&lt;null&gt;"/>
    <s v="Kleine Ingreep"/>
    <s v="WA/INV/N712/1"/>
    <b v="0"/>
    <s v="Ingreep wordt niet opgevolgd in BOD"/>
    <s v="&lt;null&gt;"/>
    <s v="&lt;null&gt;"/>
    <s v="&lt;null&gt;"/>
    <s v="&lt;null&gt;"/>
    <s v="&lt;null&gt;"/>
    <x v="0"/>
    <s v="&lt;null&gt;"/>
    <s v="&lt;null&gt;"/>
    <s v="&lt;null&gt;"/>
    <s v="&lt;null&gt;"/>
    <n v="100"/>
    <s v="&lt;null&gt;"/>
    <s v="&lt;null&gt;"/>
    <s v="&lt;null&gt;"/>
    <s v="&lt;null&gt;"/>
    <m/>
    <m/>
    <m/>
    <m/>
  </r>
  <r>
    <x v="776"/>
    <x v="776"/>
    <s v="Verkeersveiligheid"/>
    <x v="4"/>
    <n v="913"/>
    <s v="IN/000842"/>
    <s v="Aanpassen fietspad/plantvak (PM Jan Nijsen Sweco)"/>
    <s v="&lt;null&gt;"/>
    <s v="Kleine Ingreep"/>
    <s v="WL/INV/N730/21"/>
    <b v="1"/>
    <s v="Ingreep wordt opgevolgd in BOD"/>
    <n v="12817"/>
    <s v="AWV/INV/2021/3_P5"/>
    <n v="135951"/>
    <n v="22015560"/>
    <s v="&lt;p&gt;gevaarlijke punten, scholenroutes&lt;/p&gt;"/>
    <x v="14"/>
    <n v="9358"/>
    <s v="Oudsbergen_N730_KS236_31.850"/>
    <s v="&lt;null&gt;"/>
    <s v="WL/INV/N730/21"/>
    <n v="100"/>
    <n v="3100"/>
    <n v="0"/>
    <n v="0"/>
    <n v="0"/>
    <n v="3100"/>
    <n v="0"/>
    <n v="0"/>
    <n v="0"/>
  </r>
  <r>
    <x v="777"/>
    <x v="777"/>
    <s v="Verkeersveiligheid"/>
    <x v="4"/>
    <n v="914"/>
    <s v="IN/000843"/>
    <s v="Inpassen VOP's zijstraat (PM Jan Nijsen Sweco)"/>
    <s v="&lt;null&gt;"/>
    <s v="Kleine Ingreep"/>
    <s v="WL/INV/N730/16"/>
    <b v="1"/>
    <s v="Ingreep wordt opgevolgd in BOD"/>
    <n v="12817"/>
    <s v="AWV/INV/2021/3_P5"/>
    <n v="135951"/>
    <n v="22015560"/>
    <s v="&lt;p&gt;gevaarlijke punten, scholenroutes&lt;/p&gt;"/>
    <x v="14"/>
    <n v="9362"/>
    <s v="Oudsbergen_N730_KS239_37.050"/>
    <s v="&lt;null&gt;"/>
    <s v="WL/INV/N730/16"/>
    <n v="100"/>
    <n v="50000"/>
    <n v="0"/>
    <n v="0"/>
    <n v="31398.83"/>
    <n v="50000"/>
    <n v="0"/>
    <n v="0"/>
    <n v="31398.83"/>
  </r>
  <r>
    <x v="778"/>
    <x v="778"/>
    <s v="Verkeersveiligheid"/>
    <x v="4"/>
    <n v="915"/>
    <s v="IN/000844"/>
    <s v="Aanpassen fietsoversteekplaatsen (PM Jan Nijsen Sweco)"/>
    <s v="opstelruimte verbeteren"/>
    <s v="Kleine Ingreep"/>
    <s v="WL/INV/N730/17"/>
    <b v="1"/>
    <s v="Ingreep wordt opgevolgd in BOD"/>
    <s v="&lt;null&gt;"/>
    <s v="&lt;null&gt;"/>
    <n v="135951"/>
    <n v="22015560"/>
    <s v="&lt;p&gt;gevaarlijke punten, scholenroutes&lt;/p&gt;"/>
    <x v="14"/>
    <n v="9364"/>
    <s v="Bree_N730_KS242_39.550"/>
    <s v="&lt;null&gt;"/>
    <s v="WL/INV/N730/17"/>
    <n v="100"/>
    <n v="50000"/>
    <n v="0"/>
    <n v="0"/>
    <n v="50000"/>
    <n v="50000"/>
    <n v="0"/>
    <n v="0"/>
    <n v="50000"/>
  </r>
  <r>
    <x v="779"/>
    <x v="779"/>
    <s v="Verkeersveiligheid"/>
    <x v="4"/>
    <n v="916"/>
    <s v="IN/000845"/>
    <s v="Aanpassen oversteekvoorzieningen"/>
    <s v="toevoegen VOP's thv beide kruispunten"/>
    <s v="Kleine Ingreep"/>
    <s v="WL/INV/N771/4"/>
    <b v="1"/>
    <s v="Ingreep wordt opgevolgd in BOD"/>
    <n v="12817"/>
    <s v="AWV/INV/2021/3_P5"/>
    <n v="135951"/>
    <n v="22015560"/>
    <s v="&lt;p&gt;gevaarlijke punten, scholenroutes&lt;/p&gt;"/>
    <x v="14"/>
    <n v="9815"/>
    <s v="Oudsbergen_N771_KS243_10.590"/>
    <s v="&lt;null&gt;"/>
    <s v="WL/INV/N771/4"/>
    <n v="100"/>
    <n v="50000"/>
    <n v="0"/>
    <n v="0"/>
    <n v="28713.66"/>
    <n v="50000"/>
    <n v="0"/>
    <n v="0"/>
    <n v="28713.66"/>
  </r>
  <r>
    <x v="780"/>
    <x v="780"/>
    <s v="Verkeersveiligheid"/>
    <x v="4"/>
    <n v="917"/>
    <s v="IN/000846"/>
    <s v="Ingreep schoolroute in Oudsbergen op N76-Hoogstraat - Kiëstraat"/>
    <s v="extra VOP"/>
    <s v="Kleine Ingreep"/>
    <s v="WL/INV/N76/14"/>
    <b v="1"/>
    <s v="Ingreep wordt opgevolgd in BOD"/>
    <n v="7216"/>
    <s v="O70/0/755-P1"/>
    <n v="67251"/>
    <s v="onbekend_2021"/>
    <s v="&lt;p&gt;4de jaar&lt;/p&gt;"/>
    <x v="0"/>
    <n v="5514"/>
    <s v="Scholenroute"/>
    <s v="&lt;p&gt;voor koppeling AID nummer&lt;/p&gt;"/>
    <s v="WL/INV/N76/14"/>
    <n v="100"/>
    <n v="679.88"/>
    <n v="679.88"/>
    <n v="0"/>
    <n v="0"/>
    <n v="679.88"/>
    <n v="679.88"/>
    <n v="0"/>
    <n v="0"/>
  </r>
  <r>
    <x v="781"/>
    <x v="781"/>
    <s v="Verkeersveiligheid"/>
    <x v="4"/>
    <n v="918"/>
    <s v="IN/000847"/>
    <s v="Ingreep schoolroute in Oudsbergen op N76-Weg naar Zwartberg - Dampstraat"/>
    <s v="&lt;null&gt;"/>
    <s v="Kleine Ingreep"/>
    <s v="WL/INV/N76/23"/>
    <b v="0"/>
    <s v="Ingreep wordt niet opgevolgd in BOD"/>
    <s v="&lt;null&gt;"/>
    <s v="&lt;null&gt;"/>
    <s v="&lt;null&gt;"/>
    <s v="&lt;null&gt;"/>
    <s v="&lt;null&gt;"/>
    <x v="0"/>
    <s v="&lt;null&gt;"/>
    <s v="&lt;null&gt;"/>
    <s v="&lt;null&gt;"/>
    <s v="&lt;null&gt;"/>
    <n v="100"/>
    <s v="&lt;null&gt;"/>
    <s v="&lt;null&gt;"/>
    <s v="&lt;null&gt;"/>
    <s v="&lt;null&gt;"/>
    <m/>
    <m/>
    <m/>
    <m/>
  </r>
  <r>
    <x v="782"/>
    <x v="782"/>
    <s v="Verkeersveiligheid"/>
    <x v="4"/>
    <n v="919"/>
    <s v="IN/000848"/>
    <s v="Ingreep schoolroute in Koksijde op Dorpsstraat tussen Declerckstraat en Toekomstlaan"/>
    <s v="&lt;null&gt;"/>
    <s v="Kleine Ingreep"/>
    <s v="WWV/INV/N396/3"/>
    <b v="0"/>
    <s v="Ingreep wordt niet opgevolgd in BOD"/>
    <s v="&lt;null&gt;"/>
    <s v="&lt;null&gt;"/>
    <n v="118401"/>
    <n v="21065771"/>
    <s v="&lt;p&gt;OF AWV/INV/2021/3 P3 3mh230 schoolroutes&lt;/p&gt;"/>
    <x v="9"/>
    <n v="8719"/>
    <s v="IN848 N396 Dorpsstraat Koksijde"/>
    <s v="&lt;null&gt;"/>
    <s v="WWV/INV/N396/3"/>
    <n v="100"/>
    <n v="1000"/>
    <n v="0"/>
    <n v="0"/>
    <n v="1000"/>
    <n v="1000"/>
    <n v="0"/>
    <n v="0"/>
    <n v="1000"/>
  </r>
  <r>
    <x v="783"/>
    <x v="783"/>
    <s v="Verkeersveiligheid"/>
    <x v="4"/>
    <n v="920"/>
    <s v="IN/000849"/>
    <s v="Ingreep schoolroute in Olen op 2/ kruispunt N152 - Boerenkrijglaan"/>
    <s v="&lt;null&gt;"/>
    <s v="Kleine Ingreep"/>
    <s v="&lt;null&gt;"/>
    <b v="0"/>
    <s v="Ingreep wordt niet opgevolgd in BOD"/>
    <s v="&lt;null&gt;"/>
    <s v="&lt;null&gt;"/>
    <s v="&lt;null&gt;"/>
    <s v="&lt;null&gt;"/>
    <s v="&lt;null&gt;"/>
    <x v="0"/>
    <s v="&lt;null&gt;"/>
    <s v="&lt;null&gt;"/>
    <s v="&lt;null&gt;"/>
    <s v="&lt;null&gt;"/>
    <n v="100"/>
    <s v="&lt;null&gt;"/>
    <s v="&lt;null&gt;"/>
    <s v="&lt;null&gt;"/>
    <s v="&lt;null&gt;"/>
    <m/>
    <m/>
    <m/>
    <m/>
  </r>
  <r>
    <x v="784"/>
    <x v="784"/>
    <s v="Verkeersveiligheid"/>
    <x v="4"/>
    <n v="921"/>
    <s v="IN/000850"/>
    <s v="Ingreep schoolroute in Arendonk op Kruispunt N139 Wampenberg-Hokken-Kapelstraat"/>
    <s v="&lt;null&gt;"/>
    <s v="Kleine Ingreep"/>
    <s v="WA/INV/N139/5"/>
    <b v="0"/>
    <s v="Ingreep wordt niet opgevolgd in BOD"/>
    <s v="&lt;null&gt;"/>
    <s v="&lt;null&gt;"/>
    <s v="&lt;null&gt;"/>
    <s v="&lt;null&gt;"/>
    <s v="&lt;null&gt;"/>
    <x v="0"/>
    <s v="&lt;null&gt;"/>
    <s v="&lt;null&gt;"/>
    <s v="&lt;null&gt;"/>
    <s v="&lt;null&gt;"/>
    <n v="100"/>
    <s v="&lt;null&gt;"/>
    <s v="&lt;null&gt;"/>
    <s v="&lt;null&gt;"/>
    <s v="&lt;null&gt;"/>
    <m/>
    <m/>
    <m/>
    <m/>
  </r>
  <r>
    <x v="785"/>
    <x v="785"/>
    <s v="Verkeersveiligheid"/>
    <x v="4"/>
    <n v="922"/>
    <s v="IN/000851"/>
    <s v="Ingreep schoolroute in Galmaarden op N272 ter hoogte van kruispunt Kapellestraat met Watermolenstraat (achterkant school)"/>
    <s v="&lt;null&gt;"/>
    <s v="Kleine Ingreep"/>
    <s v="WVB/INV/N272/3"/>
    <b v="0"/>
    <s v="Ingreep wordt niet opgevolgd in BOD"/>
    <s v="&lt;null&gt;"/>
    <s v="&lt;null&gt;"/>
    <s v="&lt;null&gt;"/>
    <s v="&lt;null&gt;"/>
    <s v="&lt;null&gt;"/>
    <x v="0"/>
    <s v="&lt;null&gt;"/>
    <s v="&lt;null&gt;"/>
    <s v="&lt;null&gt;"/>
    <s v="&lt;null&gt;"/>
    <n v="100"/>
    <s v="&lt;null&gt;"/>
    <s v="&lt;null&gt;"/>
    <s v="&lt;null&gt;"/>
    <s v="&lt;null&gt;"/>
    <m/>
    <m/>
    <m/>
    <m/>
  </r>
  <r>
    <x v="786"/>
    <x v="786"/>
    <s v="Verkeersveiligheid"/>
    <x v="4"/>
    <n v="923"/>
    <s v="IN/000852"/>
    <s v="Ingreep schoolroute in Galmaarden op kruispunt Kapellestraat-Marktplein met Hoogstraat."/>
    <s v="zone 30 aan Marktplein"/>
    <s v="Kleine Ingreep"/>
    <s v="WVB/INV/N272/4"/>
    <b v="0"/>
    <s v="Ingreep wordt niet opgevolgd in BOD"/>
    <s v="&lt;null&gt;"/>
    <s v="&lt;null&gt;"/>
    <s v="&lt;null&gt;"/>
    <s v="&lt;null&gt;"/>
    <s v="&lt;null&gt;"/>
    <x v="0"/>
    <s v="&lt;null&gt;"/>
    <s v="&lt;null&gt;"/>
    <s v="&lt;null&gt;"/>
    <s v="&lt;null&gt;"/>
    <n v="100"/>
    <s v="&lt;null&gt;"/>
    <s v="&lt;null&gt;"/>
    <s v="&lt;null&gt;"/>
    <s v="&lt;null&gt;"/>
    <m/>
    <m/>
    <m/>
    <m/>
  </r>
  <r>
    <x v="787"/>
    <x v="787"/>
    <s v="Verkeersveiligheid"/>
    <x v="4"/>
    <n v="924"/>
    <s v="IN/000853"/>
    <s v="Ingreep schoolroute in Hulshout op Stationsstraat 28"/>
    <s v="&lt;null&gt;"/>
    <s v="Kleine Ingreep"/>
    <s v="WA/INV/N15/6"/>
    <b v="0"/>
    <s v="Ingreep wordt niet opgevolgd in BOD"/>
    <s v="&lt;null&gt;"/>
    <s v="&lt;null&gt;"/>
    <s v="&lt;null&gt;"/>
    <s v="&lt;null&gt;"/>
    <s v="&lt;null&gt;"/>
    <x v="0"/>
    <s v="&lt;null&gt;"/>
    <s v="&lt;null&gt;"/>
    <s v="&lt;null&gt;"/>
    <s v="&lt;null&gt;"/>
    <n v="100"/>
    <s v="&lt;null&gt;"/>
    <s v="&lt;null&gt;"/>
    <s v="&lt;null&gt;"/>
    <s v="&lt;null&gt;"/>
    <m/>
    <m/>
    <m/>
    <m/>
  </r>
  <r>
    <x v="788"/>
    <x v="788"/>
    <s v="Verkeersveiligheid"/>
    <x v="4"/>
    <n v="925"/>
    <s v="IN/000854"/>
    <s v="Ingreep schoolroute in Kalmthout op N133 - Nieuwmoer-Dorp"/>
    <s v="Gemeente maakt aanvullend reglement op voor zone 30. Fietssuggestiestroken zijn heel moeilijk te markeren op klinkers. Thermoplasten brokkelen af. Verf vergaat snel waardoor dit zeer onderhoudsintensief is."/>
    <s v="Kleine Ingreep"/>
    <s v="WA/INV/N133/7"/>
    <b v="0"/>
    <s v="Ingreep wordt niet opgevolgd in BOD"/>
    <s v="&lt;null&gt;"/>
    <s v="&lt;null&gt;"/>
    <s v="&lt;null&gt;"/>
    <s v="&lt;null&gt;"/>
    <s v="&lt;null&gt;"/>
    <x v="0"/>
    <s v="&lt;null&gt;"/>
    <s v="&lt;null&gt;"/>
    <s v="&lt;null&gt;"/>
    <s v="&lt;null&gt;"/>
    <n v="100"/>
    <s v="&lt;null&gt;"/>
    <s v="&lt;null&gt;"/>
    <s v="&lt;null&gt;"/>
    <s v="&lt;null&gt;"/>
    <m/>
    <m/>
    <m/>
    <m/>
  </r>
  <r>
    <x v="789"/>
    <x v="789"/>
    <s v="Verkeersveiligheid"/>
    <x v="4"/>
    <n v="926"/>
    <s v="IN/000855"/>
    <s v="MAG WEG Ingreep schoolroute in Kalmthout op N122 - Kapellensteenweg tussen Kijkuitstraat en Vogelenzangstraat"/>
    <s v="&lt;null&gt;"/>
    <s v="Structurele Ingreep"/>
    <s v="&lt;null&gt;"/>
    <b v="0"/>
    <s v="Ingreep wordt niet opgevolgd in BOD"/>
    <s v="&lt;null&gt;"/>
    <s v="&lt;null&gt;"/>
    <s v="&lt;null&gt;"/>
    <s v="&lt;null&gt;"/>
    <s v="&lt;null&gt;"/>
    <x v="0"/>
    <s v="&lt;null&gt;"/>
    <s v="&lt;null&gt;"/>
    <s v="&lt;null&gt;"/>
    <s v="&lt;null&gt;"/>
    <n v="100"/>
    <s v="&lt;null&gt;"/>
    <s v="&lt;null&gt;"/>
    <s v="&lt;null&gt;"/>
    <s v="&lt;null&gt;"/>
    <m/>
    <m/>
    <m/>
    <m/>
  </r>
  <r>
    <x v="790"/>
    <x v="790"/>
    <s v="Verkeersveiligheid"/>
    <x v="4"/>
    <n v="927"/>
    <s v="IN/000856"/>
    <s v="Gevleugeld zebrapad in Zemst op oversteekplaats N1 ter hoogte van Beekstraat"/>
    <s v="&lt;null&gt;"/>
    <s v="Kleine Ingreep"/>
    <s v="WVB/INV/N1/3"/>
    <b v="0"/>
    <s v="Ingreep wordt niet opgevolgd in BOD"/>
    <n v="10519"/>
    <s v="VWT/WU/2020/007.004"/>
    <n v="76201"/>
    <n v="21013952"/>
    <s v="&lt;p&gt;Vastlegging 3 : Het aanpassen en uitrusten van oversteekplaatsen voor zwakke weggebruikers met (punctuele) verlichting en ingrepen van beperkte omvang&lt;/p&gt;"/>
    <x v="6"/>
    <n v="7503"/>
    <s v="Relance schoolroutes VVOP in N1 x Beekstraat te Zemst"/>
    <s v="&lt;null&gt;"/>
    <s v="WVB/INV/N1/3"/>
    <n v="100"/>
    <n v="24494.38"/>
    <n v="0"/>
    <n v="0"/>
    <n v="0"/>
    <n v="24494.38"/>
    <n v="0"/>
    <n v="0"/>
    <n v="0"/>
  </r>
  <r>
    <x v="791"/>
    <x v="791"/>
    <s v="Verkeersveiligheid"/>
    <x v="4"/>
    <n v="928"/>
    <s v="IN/000857"/>
    <s v="Ingreep schoolroute in Zemst op N1 tussen Leopoldstraat en Kloosterstraat"/>
    <s v="Vernieuwen oversteekvoorzieningen en bushaltes + plaatsen VVOP"/>
    <s v="Kleine Ingreep"/>
    <s v="WVB/INV/N1/4"/>
    <b v="0"/>
    <s v="Ingreep wordt niet opgevolgd in BOD"/>
    <s v="&lt;null&gt;"/>
    <s v="&lt;null&gt;"/>
    <s v="&lt;null&gt;"/>
    <s v="&lt;null&gt;"/>
    <s v="&lt;null&gt;"/>
    <x v="0"/>
    <s v="&lt;null&gt;"/>
    <s v="&lt;null&gt;"/>
    <s v="&lt;null&gt;"/>
    <s v="&lt;null&gt;"/>
    <n v="100"/>
    <s v="&lt;null&gt;"/>
    <s v="&lt;null&gt;"/>
    <s v="&lt;null&gt;"/>
    <s v="&lt;null&gt;"/>
    <m/>
    <m/>
    <m/>
    <m/>
  </r>
  <r>
    <x v="792"/>
    <x v="792"/>
    <s v="Verkeersveiligheid"/>
    <x v="4"/>
    <n v="929"/>
    <s v="IN/000858"/>
    <s v="Ingreep schoolroute in Zemst op N227 Hofstade, aan kruispunt de Tilbourgstraat"/>
    <s v="&lt;null&gt;"/>
    <s v="Kleine Ingreep"/>
    <s v="WVB/INV/N227/3"/>
    <b v="1"/>
    <s v="Ingreep wordt opgevolgd in BOD"/>
    <n v="10519"/>
    <s v="VWT/WU/2020/007.004"/>
    <n v="76201"/>
    <n v="21013952"/>
    <s v="&lt;p&gt;Vastlegging 3 : Het aanpassen en uitrusten van oversteekplaatsen voor zwakke weggebruikers met (punctuele) verlichting en ingrepen van beperkte omvang&lt;/p&gt;"/>
    <x v="6"/>
    <n v="7504"/>
    <s v="Relance schoolroutes VVOP in N227 x Tilbourgstraat te Zemst"/>
    <s v="&lt;null&gt;"/>
    <s v="WVB/INV/N227/3"/>
    <n v="100"/>
    <n v="24494.38"/>
    <n v="0"/>
    <n v="0"/>
    <n v="0"/>
    <n v="24494.38"/>
    <n v="0"/>
    <n v="0"/>
    <n v="0"/>
  </r>
  <r>
    <x v="793"/>
    <x v="793"/>
    <s v="Verkeersveiligheid"/>
    <x v="4"/>
    <n v="930"/>
    <s v="IN/000859"/>
    <s v="Markeren regenboogzebrapad"/>
    <s v="\n"/>
    <s v="Kleine Ingreep"/>
    <s v="WL/INV/N719/5"/>
    <b v="1"/>
    <s v="Ingreep wordt opgevolgd in BOD"/>
    <n v="7217"/>
    <s v="O70/0/755-P2"/>
    <n v="75601"/>
    <n v="18099789"/>
    <s v="&lt;p&gt;lev , aanbrengen en onderhouden van wegmarkeringen&amp;nbsp;&lt;/p&gt;"/>
    <x v="16"/>
    <n v="5711"/>
    <s v="KS282"/>
    <s v="&lt;p&gt;SCHOOLROUTES&lt;/p&gt;"/>
    <s v="WL/INV/N719/5"/>
    <n v="100"/>
    <n v="3565"/>
    <n v="3565"/>
    <n v="0"/>
    <n v="0"/>
    <n v="3565"/>
    <n v="3565"/>
    <n v="0"/>
    <n v="0"/>
  </r>
  <r>
    <x v="794"/>
    <x v="794"/>
    <s v="Verkeersveiligheid"/>
    <x v="4"/>
    <n v="931"/>
    <s v="IN/000860"/>
    <s v="Ingreep schoolroute in Tienen op N223 - Aarschotsesteenweg 638, Vissenaken vlak voor schoolpoort"/>
    <s v="VVOP indien niet op kruispunt?"/>
    <s v="Kleine Ingreep"/>
    <s v="WVB/INV/N223/4"/>
    <b v="0"/>
    <s v="Ingreep wordt niet opgevolgd in BOD"/>
    <n v="10519"/>
    <s v="VWT/WU/2020/007.004"/>
    <n v="76201"/>
    <n v="21013952"/>
    <s v="&lt;p&gt;Vastlegging 3 : Het aanpassen en uitrusten van oversteekplaatsen voor zwakke weggebruikers met (punctuele) verlichting en ingrepen van beperkte omvang&lt;/p&gt;"/>
    <x v="6"/>
    <n v="7506"/>
    <s v="Relance schoolroute VVOP in N223 x Kumtichstraat te Tienen"/>
    <s v="&lt;null&gt;"/>
    <s v="WVB/INV/N223/4"/>
    <n v="100"/>
    <n v="47841.84"/>
    <n v="0"/>
    <n v="0"/>
    <n v="0"/>
    <n v="47841.84"/>
    <n v="0"/>
    <n v="0"/>
    <n v="0"/>
  </r>
  <r>
    <x v="795"/>
    <x v="795"/>
    <s v="Stimuleren Combimobiliteit"/>
    <x v="2"/>
    <n v="931"/>
    <s v="IN/000860"/>
    <s v="Ingreep schoolroute in Tienen op N223 - Aarschotsesteenweg 638, Vissenaken vlak voor schoolpoort"/>
    <s v="VVOP indien niet op kruispunt?"/>
    <s v="Kleine Ingreep"/>
    <s v="WVB/INV/N223/4"/>
    <b v="0"/>
    <s v="Ingreep wordt niet opgevolgd in BOD"/>
    <n v="10519"/>
    <s v="VWT/WU/2020/007.004"/>
    <n v="76201"/>
    <n v="21013952"/>
    <s v="&lt;p&gt;Vastlegging 3 : Het aanpassen en uitrusten van oversteekplaatsen voor zwakke weggebruikers met (punctuele) verlichting en ingrepen van beperkte omvang&lt;/p&gt;"/>
    <x v="6"/>
    <n v="7506"/>
    <s v="Relance schoolroute VVOP in N223 x Kumtichstraat te Tienen"/>
    <s v="&lt;null&gt;"/>
    <s v="WVB/INV/N223/4"/>
    <n v="0"/>
    <n v="47841.84"/>
    <n v="0"/>
    <n v="0"/>
    <n v="0"/>
    <n v="0"/>
    <n v="0"/>
    <n v="0"/>
    <n v="0"/>
  </r>
  <r>
    <x v="796"/>
    <x v="796"/>
    <s v="Verkeersveiligheid"/>
    <x v="4"/>
    <n v="932"/>
    <s v="IN/000861"/>
    <s v="Horizontale signalisatie in Tienen op Kruispunt Hannuitsesteenweg met Potstraat"/>
    <s v="VVOP voorzien + thermoplast markering &quot;SCHOOL&quot;"/>
    <s v="Kleine Ingreep"/>
    <s v="WVB/INV/N64/2"/>
    <b v="1"/>
    <s v="Ingreep wordt opgevolgd in BOD"/>
    <n v="10519"/>
    <s v="VWT/WU/2020/007.004"/>
    <n v="73751"/>
    <n v="22028153"/>
    <s v="&lt;p&gt;Vastlegging 1ste contractjaar - vastlegging 2: AANPASSEN&amp;amp;UITRUSTEN OVERSTEEKPLAATSEN VR ZWAKKE WEGGEBRUIKERS MET (PUNCTUELE) VERLICHTING&amp;amp;INGREPEN VAN BEPERKTE OMVANG - P4 WVB VVF 1STE JR&lt;/p&gt;"/>
    <x v="17"/>
    <n v="7498"/>
    <s v="Relance schoolroute N64 x Oude weg -Tienen"/>
    <s v="&lt;null&gt;"/>
    <s v="WVB/INV/N64/2"/>
    <n v="100"/>
    <n v="20367.03"/>
    <n v="0"/>
    <n v="0"/>
    <n v="0"/>
    <n v="20367.03"/>
    <n v="0"/>
    <n v="0"/>
    <n v="0"/>
  </r>
  <r>
    <x v="797"/>
    <x v="797"/>
    <s v="Verkeersveiligheid"/>
    <x v="4"/>
    <n v="933"/>
    <s v="IN/000862"/>
    <s v="Ingreep schoolroute in Kortrijk op N323b Condedreef"/>
    <s v="&lt;null&gt;"/>
    <s v="Kleine Ingreep"/>
    <s v="WWV/INV/N323/1"/>
    <b v="0"/>
    <s v="Ingreep wordt niet opgevolgd in BOD"/>
    <n v="12024"/>
    <s v="AWV/INV/2021/3_P3"/>
    <n v="118401"/>
    <n v="21065771"/>
    <s v="&lt;p&gt;OF AWV/INV/2021/3 P3 3mh230 schoolroutes&lt;/p&gt;"/>
    <x v="9"/>
    <n v="8357"/>
    <s v="IN862 Condédreef N323 Kortrijk"/>
    <s v="&lt;null&gt;"/>
    <s v="WWV/INV/N323/1"/>
    <n v="100"/>
    <n v="32037"/>
    <n v="0"/>
    <n v="0"/>
    <n v="0.82"/>
    <n v="32037"/>
    <n v="0"/>
    <n v="0"/>
    <n v="0.82"/>
  </r>
  <r>
    <x v="798"/>
    <x v="798"/>
    <s v="Verkeersveiligheid"/>
    <x v="4"/>
    <n v="934"/>
    <s v="IN/000863"/>
    <s v="Aanleg missing link fietspad (PM Jan Nijsen Sweco)"/>
    <s v="klein stukje extra fietspad (= vandaag een olifantenpad door de berm) om fietspad Kasteletsingel te verbinden met fietsroute richting school"/>
    <s v="Kleine Ingreep"/>
    <s v="WL/INV/N72/16"/>
    <b v="1"/>
    <s v="Ingreep wordt opgevolgd in BOD"/>
    <n v="12817"/>
    <s v="AWV/INV/2021/3_P5"/>
    <n v="135951"/>
    <n v="22015560"/>
    <s v="&lt;p&gt;gevaarlijke punten, scholenroutes&lt;/p&gt;"/>
    <x v="14"/>
    <n v="9356"/>
    <s v="Beringen_N72_KS299_14.735"/>
    <s v="&lt;null&gt;"/>
    <s v="WL/INV/N72/16"/>
    <n v="100"/>
    <n v="50000"/>
    <n v="0"/>
    <n v="4138.5783000000001"/>
    <n v="45861.421699999999"/>
    <n v="50000"/>
    <n v="0"/>
    <n v="4138.5783000000001"/>
    <n v="45861.421699999999"/>
  </r>
  <r>
    <x v="799"/>
    <x v="799"/>
    <s v="Verkeersveiligheid"/>
    <x v="4"/>
    <n v="935"/>
    <s v="IN/000864"/>
    <s v="Ingreep schoolroute in Kortrijk op N50 Brugse Poort"/>
    <s v="&lt;null&gt;"/>
    <s v="Kleine Ingreep"/>
    <s v="WWV/INV/N50/13"/>
    <b v="1"/>
    <s v="Ingreep wordt opgevolgd in BOD"/>
    <s v="&lt;null&gt;"/>
    <s v="&lt;null&gt;"/>
    <n v="118401"/>
    <n v="21065771"/>
    <s v="&lt;p&gt;OF AWV/INV/2021/3 P3 3mh230 schoolroutes&lt;/p&gt;"/>
    <x v="9"/>
    <n v="9343"/>
    <s v="IN 864 N50 Brugse Poort Kortrijk"/>
    <s v="&lt;null&gt;"/>
    <s v="WWV/INV/N50/13"/>
    <n v="100"/>
    <n v="42000"/>
    <n v="0"/>
    <n v="0"/>
    <n v="42000"/>
    <n v="42000"/>
    <n v="0"/>
    <n v="0"/>
    <n v="42000"/>
  </r>
  <r>
    <x v="800"/>
    <x v="800"/>
    <s v="Verkeersveiligheid"/>
    <x v="4"/>
    <n v="936"/>
    <s v="IN/000865"/>
    <s v="Ingreep schoolroute in Kortrijk op N50 - Elleboogstraat - Schaapsdreef"/>
    <s v="&lt;null&gt;"/>
    <s v="Kleine Ingreep"/>
    <s v="WWV/INV/N50/12"/>
    <b v="1"/>
    <s v="Ingreep wordt opgevolgd in BOD"/>
    <s v="&lt;null&gt;"/>
    <s v="&lt;null&gt;"/>
    <n v="118401"/>
    <n v="21065771"/>
    <s v="&lt;p&gt;OF AWV/INV/2021/3 P3 3mh230 schoolroutes&lt;/p&gt;"/>
    <x v="9"/>
    <n v="9344"/>
    <s v="IN 865 N50 Schaapsdreef"/>
    <s v="&lt;null&gt;"/>
    <s v="WWV/INV/N50/12"/>
    <n v="100"/>
    <n v="55000"/>
    <n v="0"/>
    <n v="0"/>
    <n v="55000"/>
    <n v="55000"/>
    <n v="0"/>
    <n v="0"/>
    <n v="55000"/>
  </r>
  <r>
    <x v="801"/>
    <x v="801"/>
    <s v="Verkeersveiligheid"/>
    <x v="4"/>
    <n v="937"/>
    <s v="IN/000866"/>
    <s v="Ingreep schoolroute in Kortrijk op N8 - Oudenaardsesteenweg - Zwevegemsepoort rotonde"/>
    <s v="&lt;null&gt;"/>
    <s v="Kleine Ingreep"/>
    <s v="WWV/INV/N8/18"/>
    <b v="1"/>
    <s v="Ingreep wordt opgevolgd in BOD"/>
    <n v="12024"/>
    <s v="AWV/INV/2021/3_P3"/>
    <n v="118401"/>
    <n v="21065771"/>
    <s v="&lt;p&gt;OF AWV/INV/2021/3 P3 3mh230 schoolroutes&lt;/p&gt;"/>
    <x v="9"/>
    <n v="8358"/>
    <s v="IN866 N8 Kortrijk"/>
    <s v="&lt;null&gt;"/>
    <s v="WWV/INV/N8/18"/>
    <n v="100"/>
    <n v="5806"/>
    <n v="0"/>
    <n v="0"/>
    <n v="0"/>
    <n v="5806"/>
    <n v="0"/>
    <n v="0"/>
    <n v="0"/>
  </r>
  <r>
    <x v="802"/>
    <x v="802"/>
    <s v="Verkeersveiligheid"/>
    <x v="4"/>
    <n v="938"/>
    <s v="IN/000867"/>
    <s v="Herinrichting FOP's met middengeleider (PM studiebureau aan te stellen via MC3)"/>
    <s v="Opheffen afslagstroken; twee FOP's met middengeleider"/>
    <s v="Kleine Ingreep"/>
    <s v="WL/INV/N745/2"/>
    <b v="0"/>
    <s v="Ingreep wordt niet opgevolgd in BOD"/>
    <s v="&lt;null&gt;"/>
    <s v="&lt;null&gt;"/>
    <s v="&lt;null&gt;"/>
    <s v="&lt;null&gt;"/>
    <s v="&lt;null&gt;"/>
    <x v="0"/>
    <s v="&lt;null&gt;"/>
    <s v="&lt;null&gt;"/>
    <s v="&lt;null&gt;"/>
    <s v="&lt;null&gt;"/>
    <n v="100"/>
    <s v="&lt;null&gt;"/>
    <s v="&lt;null&gt;"/>
    <s v="&lt;null&gt;"/>
    <s v="&lt;null&gt;"/>
    <m/>
    <m/>
    <m/>
    <m/>
  </r>
  <r>
    <x v="803"/>
    <x v="803"/>
    <s v="Verkeersveiligheid"/>
    <x v="4"/>
    <n v="939"/>
    <s v="IN/000868"/>
    <s v="Punctuele verlichting VOP"/>
    <m/>
    <s v="Kleine Ingreep"/>
    <s v="WL/INV/N671/3"/>
    <b v="0"/>
    <s v="Ingreep wordt niet opgevolgd in BOD"/>
    <s v="&lt;null&gt;"/>
    <s v="&lt;null&gt;"/>
    <s v="&lt;null&gt;"/>
    <s v="&lt;null&gt;"/>
    <s v="&lt;null&gt;"/>
    <x v="0"/>
    <s v="&lt;null&gt;"/>
    <s v="&lt;null&gt;"/>
    <s v="&lt;null&gt;"/>
    <s v="&lt;null&gt;"/>
    <n v="100"/>
    <s v="&lt;null&gt;"/>
    <s v="&lt;null&gt;"/>
    <s v="&lt;null&gt;"/>
    <s v="&lt;null&gt;"/>
    <m/>
    <m/>
    <m/>
    <m/>
  </r>
  <r>
    <x v="804"/>
    <x v="804"/>
    <s v="Verkeersveiligheid"/>
    <x v="4"/>
    <n v="940"/>
    <s v="IN/000869"/>
    <s v="Punctuele verlichting VOP"/>
    <m/>
    <s v="Kleine Ingreep"/>
    <s v="WL/INV/N78/21"/>
    <b v="0"/>
    <s v="Ingreep wordt niet opgevolgd in BOD"/>
    <s v="&lt;null&gt;"/>
    <s v="&lt;null&gt;"/>
    <s v="&lt;null&gt;"/>
    <s v="&lt;null&gt;"/>
    <s v="&lt;null&gt;"/>
    <x v="0"/>
    <s v="&lt;null&gt;"/>
    <s v="&lt;null&gt;"/>
    <s v="&lt;null&gt;"/>
    <s v="&lt;null&gt;"/>
    <n v="100"/>
    <s v="&lt;null&gt;"/>
    <s v="&lt;null&gt;"/>
    <s v="&lt;null&gt;"/>
    <s v="&lt;null&gt;"/>
    <m/>
    <m/>
    <m/>
    <m/>
  </r>
  <r>
    <x v="805"/>
    <x v="805"/>
    <s v="Verkeersveiligheid"/>
    <x v="4"/>
    <n v="941"/>
    <s v="IN/000870"/>
    <s v="Punctuele verlichting VOP"/>
    <s v="&lt;null&gt;"/>
    <s v="Kleine Ingreep"/>
    <s v="WL/INV/N671/1"/>
    <b v="0"/>
    <s v="Ingreep wordt niet opgevolgd in BOD"/>
    <s v="&lt;null&gt;"/>
    <s v="&lt;null&gt;"/>
    <s v="&lt;null&gt;"/>
    <s v="&lt;null&gt;"/>
    <s v="&lt;null&gt;"/>
    <x v="0"/>
    <s v="&lt;null&gt;"/>
    <s v="&lt;null&gt;"/>
    <s v="&lt;null&gt;"/>
    <s v="&lt;null&gt;"/>
    <n v="100"/>
    <s v="&lt;null&gt;"/>
    <s v="&lt;null&gt;"/>
    <s v="&lt;null&gt;"/>
    <s v="&lt;null&gt;"/>
    <m/>
    <m/>
    <m/>
    <m/>
  </r>
  <r>
    <x v="806"/>
    <x v="806"/>
    <s v="Verkeersveiligheid"/>
    <x v="4"/>
    <n v="942"/>
    <s v="IN/000871"/>
    <s v="Ingreep schoolroute in Kortrijk op N8 tussen complex oost en Q8 rotonde"/>
    <s v="Wordt meegenomen in uitvoering met IN/001323"/>
    <s v="Kleine Ingreep"/>
    <s v="&lt;null&gt;"/>
    <b v="0"/>
    <s v="Ingreep wordt niet opgevolgd in BOD"/>
    <s v="&lt;null&gt;"/>
    <s v="&lt;null&gt;"/>
    <s v="&lt;null&gt;"/>
    <s v="&lt;null&gt;"/>
    <s v="&lt;null&gt;"/>
    <x v="0"/>
    <s v="&lt;null&gt;"/>
    <s v="&lt;null&gt;"/>
    <s v="&lt;null&gt;"/>
    <s v="&lt;null&gt;"/>
    <n v="100"/>
    <s v="&lt;null&gt;"/>
    <s v="&lt;null&gt;"/>
    <s v="&lt;null&gt;"/>
    <s v="&lt;null&gt;"/>
    <m/>
    <m/>
    <m/>
    <m/>
  </r>
  <r>
    <x v="807"/>
    <x v="807"/>
    <s v="Verkeersveiligheid"/>
    <x v="4"/>
    <n v="943"/>
    <s v="IN/000872"/>
    <s v="Fietslogoverbindingsmarkeringen als quick win"/>
    <s v="&lt;null&gt;"/>
    <s v="Kleine Ingreep"/>
    <s v="WA/INV/NX/3"/>
    <b v="0"/>
    <s v="Ingreep wordt niet opgevolgd in BOD"/>
    <s v="&lt;null&gt;"/>
    <s v="&lt;null&gt;"/>
    <s v="&lt;null&gt;"/>
    <s v="&lt;null&gt;"/>
    <s v="&lt;null&gt;"/>
    <x v="0"/>
    <s v="&lt;null&gt;"/>
    <s v="&lt;null&gt;"/>
    <s v="&lt;null&gt;"/>
    <s v="&lt;null&gt;"/>
    <n v="100"/>
    <s v="&lt;null&gt;"/>
    <s v="&lt;null&gt;"/>
    <s v="&lt;null&gt;"/>
    <s v="&lt;null&gt;"/>
    <m/>
    <m/>
    <m/>
    <m/>
  </r>
  <r>
    <x v="808"/>
    <x v="808"/>
    <s v="Verkeersveiligheid"/>
    <x v="4"/>
    <n v="944"/>
    <s v="IN/000873"/>
    <s v="Ingreep schoolroute in Mechelen op N1 thv Galgestraat"/>
    <s v="Doortrekken dubbelrichtingsfietspad tot aan galgestraat"/>
    <s v="Kleine Ingreep"/>
    <s v="WA/INV/N1/16"/>
    <b v="0"/>
    <s v="Ingreep wordt niet opgevolgd in BOD"/>
    <s v="&lt;null&gt;"/>
    <s v="&lt;null&gt;"/>
    <s v="&lt;null&gt;"/>
    <s v="&lt;null&gt;"/>
    <s v="&lt;null&gt;"/>
    <x v="0"/>
    <s v="&lt;null&gt;"/>
    <s v="&lt;null&gt;"/>
    <s v="&lt;null&gt;"/>
    <s v="&lt;null&gt;"/>
    <n v="100"/>
    <s v="&lt;null&gt;"/>
    <s v="&lt;null&gt;"/>
    <s v="&lt;null&gt;"/>
    <s v="&lt;null&gt;"/>
    <m/>
    <m/>
    <m/>
    <m/>
  </r>
  <r>
    <x v="809"/>
    <x v="809"/>
    <s v="Verkeersveiligheid"/>
    <x v="4"/>
    <n v="945"/>
    <s v="IN/000874"/>
    <s v="Ingreep schoolroute in Mechelen op N1 thv Oude Antwerpsebaan"/>
    <s v="&lt;null&gt;"/>
    <s v="Kleine Ingreep"/>
    <s v="WA/INV/N1/17"/>
    <b v="0"/>
    <s v="Ingreep wordt niet opgevolgd in BOD"/>
    <s v="&lt;null&gt;"/>
    <s v="&lt;null&gt;"/>
    <s v="&lt;null&gt;"/>
    <s v="&lt;null&gt;"/>
    <s v="&lt;null&gt;"/>
    <x v="0"/>
    <s v="&lt;null&gt;"/>
    <s v="&lt;null&gt;"/>
    <s v="&lt;null&gt;"/>
    <s v="&lt;null&gt;"/>
    <n v="100"/>
    <s v="&lt;null&gt;"/>
    <s v="&lt;null&gt;"/>
    <s v="&lt;null&gt;"/>
    <s v="&lt;null&gt;"/>
    <m/>
    <m/>
    <m/>
    <m/>
  </r>
  <r>
    <x v="810"/>
    <x v="810"/>
    <s v="Verkeersveiligheid"/>
    <x v="4"/>
    <n v="946"/>
    <s v="IN/000875"/>
    <s v="Ingreep Schoolroute in Mechelen op N26 Leuvensesteenweg x Stationsberg"/>
    <s v="&lt;null&gt;"/>
    <s v="Kleine Ingreep"/>
    <s v="WA/INV/N26/6"/>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10034"/>
    <s v="762A7 (V016613) Leuvensesteenweg"/>
    <s v="&lt;p&gt;KP/001034&lt;/p&gt;"/>
    <s v="WA/INV/N26/6"/>
    <n v="100"/>
    <n v="50000"/>
    <n v="0"/>
    <n v="0"/>
    <n v="0"/>
    <n v="50000"/>
    <n v="0"/>
    <n v="0"/>
    <n v="0"/>
  </r>
  <r>
    <x v="811"/>
    <x v="811"/>
    <s v="Verkeersveiligheid"/>
    <x v="4"/>
    <n v="947"/>
    <s v="IN/000876"/>
    <s v="Ingreep schoolroute in Mechelen op N109 x Battelbrug en Gentsesteenweg"/>
    <s v="VVOP\n+ markering VVOP\n"/>
    <s v="Kleine Ingreep"/>
    <s v="WA/INV/N109/2"/>
    <b v="0"/>
    <s v="Ingreep wordt niet opgevolgd in BOD"/>
    <s v="&lt;null&gt;"/>
    <s v="&lt;null&gt;"/>
    <s v="&lt;null&gt;"/>
    <s v="&lt;null&gt;"/>
    <s v="&lt;null&gt;"/>
    <x v="0"/>
    <s v="&lt;null&gt;"/>
    <s v="&lt;null&gt;"/>
    <s v="&lt;null&gt;"/>
    <s v="&lt;null&gt;"/>
    <n v="100"/>
    <s v="&lt;null&gt;"/>
    <s v="&lt;null&gt;"/>
    <s v="&lt;null&gt;"/>
    <s v="&lt;null&gt;"/>
    <m/>
    <m/>
    <m/>
    <m/>
  </r>
  <r>
    <x v="650"/>
    <x v="650"/>
    <s v="Verkeersveiligheid"/>
    <x v="4"/>
    <n v="948"/>
    <s v="IN/000877"/>
    <s v="MAG WEG Ingreep schoolroute in Mechelen op R12 x N1 Hendrik Consciencestraat"/>
    <s v="&lt;null&gt;"/>
    <s v="Structurele Ingreep"/>
    <s v="&lt;null&gt;"/>
    <b v="0"/>
    <s v="Ingreep wordt niet opgevolgd in BOD"/>
    <s v="&lt;null&gt;"/>
    <s v="&lt;null&gt;"/>
    <s v="&lt;null&gt;"/>
    <s v="&lt;null&gt;"/>
    <s v="&lt;null&gt;"/>
    <x v="0"/>
    <s v="&lt;null&gt;"/>
    <s v="&lt;null&gt;"/>
    <s v="&lt;null&gt;"/>
    <s v="&lt;null&gt;"/>
    <n v="100"/>
    <s v="&lt;null&gt;"/>
    <s v="&lt;null&gt;"/>
    <s v="&lt;null&gt;"/>
    <s v="&lt;null&gt;"/>
    <m/>
    <m/>
    <m/>
    <m/>
  </r>
  <r>
    <x v="651"/>
    <x v="651"/>
    <s v="Verkeersveiligheid"/>
    <x v="4"/>
    <n v="949"/>
    <s v="IN/000878"/>
    <s v="MAG WEG Ingreep schoolroute in Mechelen op R12 x Mgr. Van Nuffelstraat"/>
    <s v="&lt;null&gt;"/>
    <s v="Structurele Ingreep"/>
    <s v="&lt;null&gt;"/>
    <b v="0"/>
    <s v="Ingreep wordt niet opgevolgd in BOD"/>
    <s v="&lt;null&gt;"/>
    <s v="&lt;null&gt;"/>
    <s v="&lt;null&gt;"/>
    <s v="&lt;null&gt;"/>
    <s v="&lt;null&gt;"/>
    <x v="0"/>
    <s v="&lt;null&gt;"/>
    <s v="&lt;null&gt;"/>
    <s v="&lt;null&gt;"/>
    <s v="&lt;null&gt;"/>
    <n v="100"/>
    <s v="&lt;null&gt;"/>
    <s v="&lt;null&gt;"/>
    <s v="&lt;null&gt;"/>
    <s v="&lt;null&gt;"/>
    <m/>
    <m/>
    <m/>
    <m/>
  </r>
  <r>
    <x v="652"/>
    <x v="652"/>
    <s v="Verkeersveiligheid"/>
    <x v="4"/>
    <n v="950"/>
    <s v="IN/000879"/>
    <s v="MAG WEG Ingreep schoolroute in Mechelen op R12 Olivetenvest"/>
    <s v="&lt;null&gt;"/>
    <s v="Structurele Ingreep"/>
    <s v="&lt;null&gt;"/>
    <b v="0"/>
    <s v="Ingreep wordt niet opgevolgd in BOD"/>
    <s v="&lt;null&gt;"/>
    <s v="&lt;null&gt;"/>
    <s v="&lt;null&gt;"/>
    <s v="&lt;null&gt;"/>
    <s v="&lt;null&gt;"/>
    <x v="0"/>
    <s v="&lt;null&gt;"/>
    <s v="&lt;null&gt;"/>
    <s v="&lt;null&gt;"/>
    <s v="&lt;null&gt;"/>
    <n v="100"/>
    <s v="&lt;null&gt;"/>
    <s v="&lt;null&gt;"/>
    <s v="&lt;null&gt;"/>
    <s v="&lt;null&gt;"/>
    <m/>
    <m/>
    <m/>
    <m/>
  </r>
  <r>
    <x v="812"/>
    <x v="812"/>
    <s v="Verkeersveiligheid"/>
    <x v="4"/>
    <n v="951"/>
    <s v="IN/000880"/>
    <s v="Ingreep schoolroute in Zandhoven op Liersebaan tussen het kruispunt met de Herentalsebaan en het kruispunt met de Nijlensesteenweg"/>
    <s v="&lt;null&gt;"/>
    <s v="Kleine Ingreep"/>
    <s v="WA/INV/N14/10"/>
    <b v="0"/>
    <s v="Ingreep wordt niet opgevolgd in BOD"/>
    <s v="&lt;null&gt;"/>
    <s v="&lt;null&gt;"/>
    <s v="&lt;null&gt;"/>
    <s v="&lt;null&gt;"/>
    <s v="&lt;null&gt;"/>
    <x v="0"/>
    <s v="&lt;null&gt;"/>
    <s v="&lt;null&gt;"/>
    <s v="&lt;null&gt;"/>
    <s v="&lt;null&gt;"/>
    <n v="100"/>
    <s v="&lt;null&gt;"/>
    <s v="&lt;null&gt;"/>
    <s v="&lt;null&gt;"/>
    <s v="&lt;null&gt;"/>
    <m/>
    <m/>
    <m/>
    <m/>
  </r>
  <r>
    <x v="813"/>
    <x v="813"/>
    <s v="Verkeersveiligheid"/>
    <x v="4"/>
    <n v="952"/>
    <s v="IN/000881"/>
    <s v="Ingreep schoolroute in Huldenberg op Voetpad tussen parking AWV en kerk Loonbeek"/>
    <s v="QW1: signalisatie met borden en F49 borden met bi-flashes\nQW2: markeren van verdrijvingsvlak"/>
    <s v="Kleine Ingreep"/>
    <s v="WVB/INV/N253/6"/>
    <b v="0"/>
    <s v="Ingreep wordt niet opgevolgd in BOD"/>
    <s v="&lt;null&gt;"/>
    <s v="&lt;null&gt;"/>
    <s v="&lt;null&gt;"/>
    <s v="&lt;null&gt;"/>
    <s v="&lt;null&gt;"/>
    <x v="0"/>
    <s v="&lt;null&gt;"/>
    <s v="&lt;null&gt;"/>
    <s v="&lt;null&gt;"/>
    <s v="&lt;null&gt;"/>
    <n v="100"/>
    <s v="&lt;null&gt;"/>
    <s v="&lt;null&gt;"/>
    <s v="&lt;null&gt;"/>
    <s v="&lt;null&gt;"/>
    <m/>
    <m/>
    <m/>
    <m/>
  </r>
  <r>
    <x v="175"/>
    <x v="175"/>
    <s v="Verkeersveiligheid"/>
    <x v="4"/>
    <n v="953"/>
    <s v="IN/000882"/>
    <s v="Ingreep schoolroute in Malle op Fietspad langsheen de N12 - gedeelte tussen Nijverheidsstraat en ingang school Marisstella (bij uitbreiding tot Oostmalle Dorp)"/>
    <s v="&lt;null&gt;"/>
    <s v="Kleine Ingreep"/>
    <s v="WA/INV/N12/12"/>
    <b v="0"/>
    <s v="Ingreep wordt niet opgevolgd in BOD"/>
    <s v="&lt;null&gt;"/>
    <s v="&lt;null&gt;"/>
    <s v="&lt;null&gt;"/>
    <s v="&lt;null&gt;"/>
    <s v="&lt;null&gt;"/>
    <x v="0"/>
    <s v="&lt;null&gt;"/>
    <s v="&lt;null&gt;"/>
    <s v="&lt;null&gt;"/>
    <s v="&lt;null&gt;"/>
    <n v="100"/>
    <s v="&lt;null&gt;"/>
    <s v="&lt;null&gt;"/>
    <s v="&lt;null&gt;"/>
    <s v="&lt;null&gt;"/>
    <m/>
    <m/>
    <m/>
    <m/>
  </r>
  <r>
    <x v="814"/>
    <x v="814"/>
    <s v="Verkeersveiligheid"/>
    <x v="4"/>
    <n v="954"/>
    <s v="IN/000883"/>
    <s v="Ingreep schoolroute in De Panne op Veurnestraat N35"/>
    <s v="&lt;null&gt;"/>
    <s v="Kleine Ingreep"/>
    <s v="WWV/INV/N35/6"/>
    <b v="1"/>
    <s v="Ingreep wordt opgevolgd in BOD"/>
    <s v="&lt;null&gt;"/>
    <s v="&lt;null&gt;"/>
    <n v="118401"/>
    <n v="21065771"/>
    <s v="&lt;p&gt;OF AWV/INV/2021/3 P3 3mh230 schoolroutes&lt;/p&gt;"/>
    <x v="9"/>
    <n v="8359"/>
    <s v="IN 883 N35 De Panne"/>
    <s v="&lt;null&gt;"/>
    <s v="WWV/INV/N35/6"/>
    <n v="100"/>
    <n v="8265"/>
    <n v="0"/>
    <n v="0"/>
    <n v="8265"/>
    <n v="8265"/>
    <n v="0"/>
    <n v="0"/>
    <n v="8265"/>
  </r>
  <r>
    <x v="815"/>
    <x v="815"/>
    <s v="Verkeersveiligheid"/>
    <x v="4"/>
    <n v="955"/>
    <s v="IN/000884"/>
    <s v="Ingreep schoolroute in De Panne op fietssuggestiestroken Koninklijke Baan"/>
    <s v="&lt;null&gt;"/>
    <s v="Kleine Ingreep"/>
    <s v="WWV/INV/N34/9"/>
    <b v="0"/>
    <s v="Ingreep wordt niet opgevolgd in BOD"/>
    <s v="&lt;null&gt;"/>
    <s v="&lt;null&gt;"/>
    <s v="&lt;null&gt;"/>
    <s v="&lt;null&gt;"/>
    <s v="&lt;null&gt;"/>
    <x v="0"/>
    <s v="&lt;null&gt;"/>
    <s v="&lt;null&gt;"/>
    <s v="&lt;null&gt;"/>
    <s v="&lt;null&gt;"/>
    <n v="100"/>
    <s v="&lt;null&gt;"/>
    <s v="&lt;null&gt;"/>
    <s v="&lt;null&gt;"/>
    <s v="&lt;null&gt;"/>
    <m/>
    <m/>
    <m/>
    <m/>
  </r>
  <r>
    <x v="47"/>
    <x v="47"/>
    <s v="Verkeersveiligheid"/>
    <x v="4"/>
    <n v="956"/>
    <s v="IN/000885"/>
    <s v="Ingreep schoolroute in Grobbendonk op Lierse steenweg ter hoogte van nr. 40"/>
    <s v="&lt;null&gt;"/>
    <s v="Structurele Ingreep"/>
    <s v="&lt;null&gt;"/>
    <b v="0"/>
    <s v="Ingreep wordt niet opgevolgd in BOD"/>
    <s v="&lt;null&gt;"/>
    <s v="&lt;null&gt;"/>
    <s v="&lt;null&gt;"/>
    <s v="&lt;null&gt;"/>
    <s v="&lt;null&gt;"/>
    <x v="0"/>
    <s v="&lt;null&gt;"/>
    <s v="&lt;null&gt;"/>
    <s v="&lt;null&gt;"/>
    <s v="&lt;null&gt;"/>
    <n v="100"/>
    <s v="&lt;null&gt;"/>
    <s v="&lt;null&gt;"/>
    <s v="&lt;null&gt;"/>
    <s v="&lt;null&gt;"/>
    <m/>
    <m/>
    <m/>
    <m/>
  </r>
  <r>
    <x v="48"/>
    <x v="48"/>
    <s v="Verkeersveiligheid"/>
    <x v="4"/>
    <n v="957"/>
    <s v="IN/000886"/>
    <s v="Ingreep schoolroute in Grobbendonk op Herentalse steenweg thv kruispunt Nieuwendijk"/>
    <s v="&lt;null&gt;"/>
    <s v="Kleine Ingreep"/>
    <s v="WA/INV/N13/15"/>
    <b v="0"/>
    <s v="Ingreep wordt niet opgevolgd in BOD"/>
    <s v="&lt;null&gt;"/>
    <s v="&lt;null&gt;"/>
    <s v="&lt;null&gt;"/>
    <s v="&lt;null&gt;"/>
    <s v="&lt;null&gt;"/>
    <x v="0"/>
    <s v="&lt;null&gt;"/>
    <s v="&lt;null&gt;"/>
    <s v="&lt;null&gt;"/>
    <s v="&lt;null&gt;"/>
    <n v="100"/>
    <s v="&lt;null&gt;"/>
    <s v="&lt;null&gt;"/>
    <s v="&lt;null&gt;"/>
    <s v="&lt;null&gt;"/>
    <m/>
    <m/>
    <m/>
    <m/>
  </r>
  <r>
    <x v="816"/>
    <x v="816"/>
    <s v="Verkeersveiligheid"/>
    <x v="4"/>
    <n v="958"/>
    <s v="IN/000887"/>
    <s v="Ingreep schoolroute in Scherpenheuvel-Zichem op Turnhoutsebaan x P. Brissacstraat"/>
    <s v="&lt;null&gt;"/>
    <s v="Kleine Ingreep"/>
    <s v="WVB/INV/N127/1"/>
    <b v="0"/>
    <s v="Ingreep wordt niet opgevolgd in BOD"/>
    <s v="&lt;null&gt;"/>
    <s v="&lt;null&gt;"/>
    <s v="&lt;null&gt;"/>
    <s v="&lt;null&gt;"/>
    <s v="&lt;null&gt;"/>
    <x v="0"/>
    <s v="&lt;null&gt;"/>
    <s v="&lt;null&gt;"/>
    <s v="&lt;null&gt;"/>
    <s v="&lt;null&gt;"/>
    <n v="100"/>
    <s v="&lt;null&gt;"/>
    <s v="&lt;null&gt;"/>
    <s v="&lt;null&gt;"/>
    <s v="&lt;null&gt;"/>
    <m/>
    <m/>
    <m/>
    <m/>
  </r>
  <r>
    <x v="817"/>
    <x v="817"/>
    <s v="Verkeersveiligheid"/>
    <x v="4"/>
    <n v="959"/>
    <s v="IN/000888"/>
    <s v="versmallen rijstroken - afschermen voetgangers (PM studiebureau aan te stellen via MC3)"/>
    <s v="- versmallen rijweg\n- (al dan niet met snelheidsverlaging naar 50 km/u = nog op te starten)\n- voetpad scheiden van fietspad met omegabeugels (hiertoe inname landbouwperceel nodig"/>
    <s v="Kleine Ingreep"/>
    <s v="WL/INV/N79/8"/>
    <b v="0"/>
    <s v="Ingreep wordt niet opgevolgd in BOD"/>
    <s v="&lt;null&gt;"/>
    <s v="&lt;null&gt;"/>
    <s v="&lt;null&gt;"/>
    <s v="&lt;null&gt;"/>
    <s v="&lt;null&gt;"/>
    <x v="0"/>
    <s v="&lt;null&gt;"/>
    <s v="&lt;null&gt;"/>
    <s v="&lt;null&gt;"/>
    <s v="&lt;null&gt;"/>
    <n v="100"/>
    <s v="&lt;null&gt;"/>
    <s v="&lt;null&gt;"/>
    <s v="&lt;null&gt;"/>
    <s v="&lt;null&gt;"/>
    <m/>
    <m/>
    <m/>
    <m/>
  </r>
  <r>
    <x v="818"/>
    <x v="818"/>
    <s v="Verkeersveiligheid"/>
    <x v="4"/>
    <n v="960"/>
    <s v="IN/000889"/>
    <s v="Ingreep schoolroute in Brugge op Station Zeebrugge -&gt; Meeuwenstraat Zeebrugge"/>
    <s v="Wandelroute verduidelijken en beveiligen. Oversteken beveiligen."/>
    <s v="Kleine Ingreep"/>
    <s v="WWV/INV/N34/10"/>
    <b v="1"/>
    <s v="Ingreep wordt opgevolgd in BOD"/>
    <n v="12024"/>
    <s v="AWV/INV/2021/3_P3"/>
    <n v="118401"/>
    <n v="21065771"/>
    <s v="&lt;p&gt;OF AWV/INV/2021/3 P3 3mh230 schoolroutes&lt;/p&gt;"/>
    <x v="9"/>
    <n v="9345"/>
    <s v="IN 889 N34 Isabellalaan Brugge"/>
    <s v="&lt;null&gt;"/>
    <s v="WWV/INV/N34/10"/>
    <n v="100"/>
    <n v="79664.33"/>
    <n v="0"/>
    <n v="0"/>
    <n v="0"/>
    <n v="79664.33"/>
    <n v="0"/>
    <n v="0"/>
    <n v="0"/>
  </r>
  <r>
    <x v="819"/>
    <x v="819"/>
    <s v="Verkeersveiligheid"/>
    <x v="4"/>
    <n v="961"/>
    <s v="IN/000890"/>
    <s v="Ingreep schoolroute in Sint-Truiden op •"/>
    <s v="Hasp-O stadsrand, (Tuinbouwschool), Diestersteenweg"/>
    <s v="&lt;null&gt;"/>
    <s v="Kleine Ingreep"/>
    <s v="WL/INV/N716/4"/>
    <b v="0"/>
    <s v="Ingreep wordt niet opgevolgd in BOD"/>
    <s v="&lt;null&gt;"/>
    <s v="&lt;null&gt;"/>
    <s v="&lt;null&gt;"/>
    <s v="&lt;null&gt;"/>
    <x v="0"/>
    <s v="&lt;null&gt;"/>
    <s v="&lt;null&gt;"/>
    <s v="&lt;null&gt;"/>
    <s v="&lt;null&gt;"/>
    <s v="&lt;null&gt;"/>
    <n v="100"/>
    <s v="&lt;null&gt;"/>
    <s v="&lt;null&gt;"/>
    <s v="&lt;null&gt;"/>
    <m/>
    <m/>
    <m/>
    <m/>
  </r>
  <r>
    <x v="820"/>
    <x v="820"/>
    <s v="Verkeersveiligheid"/>
    <x v="4"/>
    <n v="962"/>
    <s v="IN/000891"/>
    <s v="Ingreep schoolroute in Herselt op Blauberg 1"/>
    <s v="&lt;null&gt;"/>
    <s v="Kleine Ingreep"/>
    <s v="WA/INV/N212/2"/>
    <b v="0"/>
    <s v="Ingreep wordt niet opgevolgd in BOD"/>
    <s v="&lt;null&gt;"/>
    <s v="&lt;null&gt;"/>
    <s v="&lt;null&gt;"/>
    <s v="&lt;null&gt;"/>
    <s v="&lt;null&gt;"/>
    <x v="0"/>
    <s v="&lt;null&gt;"/>
    <s v="&lt;null&gt;"/>
    <s v="&lt;null&gt;"/>
    <s v="&lt;null&gt;"/>
    <n v="100"/>
    <s v="&lt;null&gt;"/>
    <s v="&lt;null&gt;"/>
    <s v="&lt;null&gt;"/>
    <s v="&lt;null&gt;"/>
    <m/>
    <m/>
    <m/>
    <m/>
  </r>
  <r>
    <x v="821"/>
    <x v="821"/>
    <s v="Verkeersveiligheid"/>
    <x v="4"/>
    <n v="963"/>
    <s v="IN/000892"/>
    <s v="Ingreep schoolroute in Balen op prioriteit 1: oversteek N18(Molsesteenweg) ter hoogte kruispunt Boekweitstr- Kolfstraat"/>
    <s v="&lt;null&gt;"/>
    <s v="Kleine Ingreep"/>
    <s v="WA/INV/N18/10"/>
    <b v="0"/>
    <s v="Ingreep wordt niet opgevolgd in BOD"/>
    <s v="&lt;null&gt;"/>
    <s v="&lt;null&gt;"/>
    <s v="&lt;null&gt;"/>
    <s v="&lt;null&gt;"/>
    <s v="&lt;null&gt;"/>
    <x v="0"/>
    <s v="&lt;null&gt;"/>
    <s v="&lt;null&gt;"/>
    <s v="&lt;null&gt;"/>
    <s v="&lt;null&gt;"/>
    <n v="100"/>
    <s v="&lt;null&gt;"/>
    <s v="&lt;null&gt;"/>
    <s v="&lt;null&gt;"/>
    <s v="&lt;null&gt;"/>
    <m/>
    <m/>
    <m/>
    <m/>
  </r>
  <r>
    <x v="822"/>
    <x v="822"/>
    <s v="Verkeersveiligheid"/>
    <x v="4"/>
    <n v="964"/>
    <s v="IN/000893"/>
    <s v="Ingreep schoolroute in Balen op prioriteit 2. oversteek N18 (Schoor)ter hoogte van Sinterveld"/>
    <s v="&lt;null&gt;"/>
    <s v="Kleine Ingreep"/>
    <s v="WA/INV/N18/11"/>
    <b v="0"/>
    <s v="Ingreep wordt niet opgevolgd in BOD"/>
    <s v="&lt;null&gt;"/>
    <s v="&lt;null&gt;"/>
    <s v="&lt;null&gt;"/>
    <s v="&lt;null&gt;"/>
    <s v="&lt;null&gt;"/>
    <x v="0"/>
    <s v="&lt;null&gt;"/>
    <s v="&lt;null&gt;"/>
    <s v="&lt;null&gt;"/>
    <s v="&lt;null&gt;"/>
    <n v="100"/>
    <s v="&lt;null&gt;"/>
    <s v="&lt;null&gt;"/>
    <s v="&lt;null&gt;"/>
    <s v="&lt;null&gt;"/>
    <m/>
    <m/>
    <m/>
    <m/>
  </r>
  <r>
    <x v="823"/>
    <x v="823"/>
    <s v="Verkeersveiligheid"/>
    <x v="4"/>
    <n v="965"/>
    <s v="IN/000894"/>
    <s v="herinrichten kruispunt met 2 FOP's"/>
    <m/>
    <s v="Kleine Ingreep"/>
    <s v="WL/INV/N77/2"/>
    <b v="1"/>
    <s v="Ingreep wordt opgevolgd in BOD"/>
    <n v="12817"/>
    <s v="AWV/INV/2021/3_P5"/>
    <n v="135951"/>
    <n v="22015560"/>
    <s v="&lt;p&gt;gevaarlijke punten, scholenroutes&lt;/p&gt;"/>
    <x v="14"/>
    <n v="9816"/>
    <s v="Zutendaal_N77_KS398_6.455"/>
    <s v="&lt;null&gt;"/>
    <s v="WL/INV/N77/2"/>
    <n v="100"/>
    <n v="50000"/>
    <n v="0"/>
    <n v="0"/>
    <n v="22860.639999999999"/>
    <n v="50000"/>
    <n v="0"/>
    <n v="0"/>
    <n v="22860.639999999999"/>
  </r>
  <r>
    <x v="824"/>
    <x v="824"/>
    <s v="Verkeersveiligheid"/>
    <x v="4"/>
    <n v="966"/>
    <s v="IN/000895"/>
    <s v="Ingreep schoolroute in Hoogstraten op Kruispunt John Lijsenstraat - Hoogeind Meer"/>
    <s v="&lt;null&gt;"/>
    <s v="Kleine Ingreep"/>
    <s v="WA/INV/N146/2"/>
    <b v="0"/>
    <s v="Ingreep wordt niet opgevolgd in BOD"/>
    <s v="&lt;null&gt;"/>
    <s v="&lt;null&gt;"/>
    <s v="&lt;null&gt;"/>
    <s v="&lt;null&gt;"/>
    <s v="&lt;null&gt;"/>
    <x v="0"/>
    <s v="&lt;null&gt;"/>
    <s v="&lt;null&gt;"/>
    <s v="&lt;null&gt;"/>
    <s v="&lt;null&gt;"/>
    <n v="100"/>
    <s v="&lt;null&gt;"/>
    <s v="&lt;null&gt;"/>
    <s v="&lt;null&gt;"/>
    <s v="&lt;null&gt;"/>
    <m/>
    <m/>
    <m/>
    <m/>
  </r>
  <r>
    <x v="825"/>
    <x v="825"/>
    <s v="Verkeersveiligheid"/>
    <x v="4"/>
    <n v="967"/>
    <s v="IN/000896"/>
    <s v="Ingreep schoolroute in Hoogstraten op Kruispunt Meerdorp - Meerleseweg"/>
    <s v="&lt;null&gt;"/>
    <s v="Kleine Ingreep"/>
    <s v="WA/INV/N146/3"/>
    <b v="0"/>
    <s v="Ingreep wordt niet opgevolgd in BOD"/>
    <s v="&lt;null&gt;"/>
    <s v="&lt;null&gt;"/>
    <s v="&lt;null&gt;"/>
    <s v="&lt;null&gt;"/>
    <s v="&lt;null&gt;"/>
    <x v="0"/>
    <s v="&lt;null&gt;"/>
    <s v="&lt;null&gt;"/>
    <s v="&lt;null&gt;"/>
    <s v="&lt;null&gt;"/>
    <n v="100"/>
    <s v="&lt;null&gt;"/>
    <s v="&lt;null&gt;"/>
    <s v="&lt;null&gt;"/>
    <s v="&lt;null&gt;"/>
    <m/>
    <m/>
    <m/>
    <m/>
  </r>
  <r>
    <x v="826"/>
    <x v="826"/>
    <s v="Verkeersveiligheid"/>
    <x v="4"/>
    <n v="968"/>
    <s v="IN/000897"/>
    <s v="Ingreep schoolroute in Hoogstraten op Kruispunt Loenhoutseweg - Heuvelstraat"/>
    <s v="&lt;null&gt;"/>
    <s v="Kleine Ingreep"/>
    <s v="&lt;null&gt;"/>
    <b v="0"/>
    <s v="Ingreep wordt niet opgevolgd in BOD"/>
    <s v="&lt;null&gt;"/>
    <s v="&lt;null&gt;"/>
    <s v="&lt;null&gt;"/>
    <s v="&lt;null&gt;"/>
    <s v="&lt;null&gt;"/>
    <x v="0"/>
    <s v="&lt;null&gt;"/>
    <s v="&lt;null&gt;"/>
    <s v="&lt;null&gt;"/>
    <s v="&lt;null&gt;"/>
    <n v="100"/>
    <s v="&lt;null&gt;"/>
    <s v="&lt;null&gt;"/>
    <s v="&lt;null&gt;"/>
    <s v="&lt;null&gt;"/>
    <m/>
    <m/>
    <m/>
    <m/>
  </r>
  <r>
    <x v="827"/>
    <x v="827"/>
    <s v="Verkeersveiligheid"/>
    <x v="4"/>
    <n v="969"/>
    <s v="IN/000898"/>
    <s v="Ingreep schoolroute in Heers op Nieuwe Steenweg 20, 3870 Heers"/>
    <s v="regenboogzebrapad ipv bestaand zebrapad"/>
    <s v="Kleine Ingreep"/>
    <s v="WL/INV/N784/1"/>
    <b v="1"/>
    <s v="Ingreep wordt opgevolgd in BOD"/>
    <n v="7513"/>
    <s v="O70/0/755-P4"/>
    <n v="80151"/>
    <n v="19002726"/>
    <s v="&lt;p&gt;OF O70/0/755 p4 3de jaar Zuid Limburg 1M3D8G/18/50 Lev en aanbrengen en onderhouden van wegmarkeringen in de provincie Limburg openbare procedure&lt;/p&gt;"/>
    <x v="18"/>
    <n v="5698"/>
    <s v="Schoolroute - KS415 - Heers - Regenboogzebrapad"/>
    <s v="&lt;null&gt;"/>
    <s v="WL/INV/N784/1"/>
    <n v="100"/>
    <n v="4200"/>
    <n v="3692.5"/>
    <n v="0"/>
    <n v="507.5"/>
    <n v="4200"/>
    <n v="3692.5"/>
    <n v="0"/>
    <n v="507.5"/>
  </r>
  <r>
    <x v="828"/>
    <x v="828"/>
    <s v="Verkeersveiligheid"/>
    <x v="4"/>
    <n v="970"/>
    <s v="IN/000899"/>
    <s v="Ingreep schoolroute in Heers op Kruispunt Ridderstraat - Nieuwe Steenweg"/>
    <s v="- accentueren VOP met wegdekreflectoren\n- evaluatie na 6 maanden (bedrijfszekerheid; financieel; kwalitatief naar tevredenheid verkeersdeelnemers)"/>
    <s v="Kleine Ingreep"/>
    <s v="WL/INV/N784/2"/>
    <b v="0"/>
    <s v="Ingreep wordt niet opgevolgd in BOD"/>
    <s v="&lt;null&gt;"/>
    <s v="&lt;null&gt;"/>
    <s v="&lt;null&gt;"/>
    <s v="&lt;null&gt;"/>
    <s v="&lt;null&gt;"/>
    <x v="0"/>
    <s v="&lt;null&gt;"/>
    <s v="&lt;null&gt;"/>
    <s v="&lt;null&gt;"/>
    <s v="&lt;null&gt;"/>
    <n v="100"/>
    <s v="&lt;null&gt;"/>
    <s v="&lt;null&gt;"/>
    <s v="&lt;null&gt;"/>
    <s v="&lt;null&gt;"/>
    <m/>
    <m/>
    <m/>
    <m/>
  </r>
  <r>
    <x v="829"/>
    <x v="829"/>
    <s v="Verkeersveiligheid"/>
    <x v="4"/>
    <n v="971"/>
    <s v="IN/000900"/>
    <s v="Ingreep schoolroute (PM studiebureau aan te stellen via MC3)"/>
    <s v="Bestaande oversteekplaats voorzien van middengeleider"/>
    <s v="Kleine Ingreep"/>
    <s v="WL/INV/N141/9"/>
    <b v="0"/>
    <s v="Ingreep wordt niet opgevolgd in BOD"/>
    <s v="&lt;null&gt;"/>
    <s v="&lt;null&gt;"/>
    <s v="&lt;null&gt;"/>
    <s v="&lt;null&gt;"/>
    <s v="&lt;null&gt;"/>
    <x v="0"/>
    <s v="&lt;null&gt;"/>
    <s v="&lt;null&gt;"/>
    <s v="&lt;null&gt;"/>
    <s v="&lt;null&gt;"/>
    <n v="100"/>
    <s v="&lt;null&gt;"/>
    <s v="&lt;null&gt;"/>
    <s v="&lt;null&gt;"/>
    <s v="&lt;null&gt;"/>
    <m/>
    <m/>
    <m/>
    <m/>
  </r>
  <r>
    <x v="830"/>
    <x v="830"/>
    <s v="Verkeersveiligheid"/>
    <x v="4"/>
    <n v="972"/>
    <s v="IN/000901"/>
    <s v="Ingreep schoolroute in Wervik op As Geluwesesteenweg (N311) Speldenstraat (N515) Komenstraat"/>
    <s v="FSS Speldenstraat, fietslogo's Geluwestraat-Geluwesteenweg, rugdekking."/>
    <s v="Kleine Ingreep"/>
    <s v="WWV/INV/N515/1"/>
    <b v="1"/>
    <s v="Ingreep wordt opgevolgd in BOD"/>
    <n v="12024"/>
    <s v="AWV/INV/2021/3_P3"/>
    <n v="118401"/>
    <n v="21065771"/>
    <s v="&lt;p&gt;OF AWV/INV/2021/3 P3 3mh230 schoolroutes&lt;/p&gt;"/>
    <x v="9"/>
    <n v="8720"/>
    <s v="IN901 N515 Wervik"/>
    <s v="&lt;null&gt;"/>
    <s v="WWV/INV/N515/1"/>
    <n v="100"/>
    <n v="94432"/>
    <n v="0"/>
    <n v="16489.233700000001"/>
    <n v="2112.9322000000002"/>
    <n v="94432"/>
    <n v="0"/>
    <n v="16489.233700000001"/>
    <n v="2112.9322000000002"/>
  </r>
  <r>
    <x v="831"/>
    <x v="831"/>
    <s v="Verkeersveiligheid"/>
    <x v="4"/>
    <n v="973"/>
    <s v="IN/000902"/>
    <s v="Ingreep schoolroute in Leuven op Sint-Jansberg (Deel ten noorden van Koning Boudewijnlaan en nr. 146)"/>
    <s v="Uitbreken fietspad in betonstraatstenen en opnieuw aanleggen in asfalt"/>
    <s v="Kleine Ingreep"/>
    <s v="WVB/INV/N253/7"/>
    <b v="1"/>
    <s v="Ingreep wordt opgevolgd in BOD"/>
    <n v="11865"/>
    <s v="AWV/INV/2021/3_P2"/>
    <n v="113351"/>
    <n v="21064994"/>
    <s v="&lt;p&gt;relance schoolroutes&lt;/p&gt;"/>
    <x v="9"/>
    <n v="9081"/>
    <s v="IN/000902 N253 Leuven Sint-Jansbergsesteenweg"/>
    <s v="&lt;null&gt;"/>
    <s v="WVB/INV/N253/7"/>
    <n v="100"/>
    <n v="40000"/>
    <n v="0"/>
    <n v="0"/>
    <n v="10010.76"/>
    <n v="40000"/>
    <n v="0"/>
    <n v="0"/>
    <n v="10010.76"/>
  </r>
  <r>
    <x v="832"/>
    <x v="832"/>
    <s v="Verkeersveiligheid"/>
    <x v="4"/>
    <n v="974"/>
    <s v="IN/000903"/>
    <s v="Ingreep schoolroute in Leuven op Brusselsepoort"/>
    <s v="&lt;null&gt;"/>
    <s v="Kleine Ingreep"/>
    <s v="&lt;null&gt;"/>
    <b v="0"/>
    <s v="Ingreep wordt niet opgevolgd in BOD"/>
    <s v="&lt;null&gt;"/>
    <s v="&lt;null&gt;"/>
    <s v="&lt;null&gt;"/>
    <s v="&lt;null&gt;"/>
    <s v="&lt;null&gt;"/>
    <x v="0"/>
    <s v="&lt;null&gt;"/>
    <s v="&lt;null&gt;"/>
    <s v="&lt;null&gt;"/>
    <s v="&lt;null&gt;"/>
    <n v="100"/>
    <s v="&lt;null&gt;"/>
    <s v="&lt;null&gt;"/>
    <s v="&lt;null&gt;"/>
    <s v="&lt;null&gt;"/>
    <m/>
    <m/>
    <m/>
    <m/>
  </r>
  <r>
    <x v="833"/>
    <x v="833"/>
    <s v="Verkeersveiligheid"/>
    <x v="4"/>
    <n v="975"/>
    <s v="IN/000904"/>
    <s v="Ingreep schoolroute in Anzegem op Diverse locaties -zie toelichting en voorstel oplossing."/>
    <s v="&lt;null&gt;"/>
    <s v="Kleine Ingreep"/>
    <s v="WWV/INV/N382/7"/>
    <b v="1"/>
    <s v="Ingreep wordt opgevolgd in BOD"/>
    <n v="10520"/>
    <s v="VWT/WU/2020/007.005"/>
    <n v="138401"/>
    <n v="22024538"/>
    <s v="&lt;p&gt;Opstellen van diverse punctuele verlichtingen VVOP/VFOP die gelegen zijn op de schoolroutes ikv relance&lt;/p&gt;"/>
    <x v="9"/>
    <n v="9944"/>
    <s v="VVOP's N382 t.h.v. kmp. 3,205 en kmp. 3,416 - Anzegem"/>
    <s v="&lt;p&gt;KP/001087 - IN/000904 - KS435&lt;/p&gt;"/>
    <s v="WWV/INV/N382/7"/>
    <n v="100"/>
    <n v="46500"/>
    <n v="0"/>
    <n v="0"/>
    <n v="20.8"/>
    <n v="46500"/>
    <n v="0"/>
    <n v="0"/>
    <n v="20.8"/>
  </r>
  <r>
    <x v="833"/>
    <x v="833"/>
    <s v="Verkeersveiligheid"/>
    <x v="4"/>
    <n v="975"/>
    <s v="IN/000904"/>
    <s v="Ingreep schoolroute in Anzegem op Diverse locaties -zie toelichting en voorstel oplossing."/>
    <s v="&lt;null&gt;"/>
    <s v="Kleine Ingreep"/>
    <s v="WWV/INV/N382/7"/>
    <b v="1"/>
    <s v="Ingreep wordt opgevolgd in BOD"/>
    <n v="12024"/>
    <s v="AWV/INV/2021/3_P3"/>
    <n v="118401"/>
    <n v="21065771"/>
    <s v="&lt;p&gt;OF AWV/INV/2021/3 P3 3mh230 schoolroutes&lt;/p&gt;"/>
    <x v="3"/>
    <n v="8705"/>
    <s v="IN 904 N382 Anzegem"/>
    <s v="&lt;null&gt;"/>
    <s v="WWV/INV/N382/7"/>
    <n v="100"/>
    <n v="93.32"/>
    <n v="0"/>
    <n v="0"/>
    <n v="0"/>
    <n v="93.32"/>
    <n v="0"/>
    <n v="0"/>
    <n v="0"/>
  </r>
  <r>
    <x v="834"/>
    <x v="834"/>
    <s v="Verkeersveiligheid"/>
    <x v="4"/>
    <n v="976"/>
    <s v="IN/000905"/>
    <s v="Ingreep schoolroute in Hamont-Achel op N76 oversteekplaats t.h.v. Inkensven"/>
    <s v="aanbrengen VOP"/>
    <s v="Kleine Ingreep"/>
    <s v="WL/INV/N76/24"/>
    <b v="1"/>
    <s v="Ingreep wordt opgevolgd in BOD"/>
    <n v="12817"/>
    <s v="AWV/INV/2021/3_P5"/>
    <n v="135951"/>
    <n v="22015560"/>
    <s v="&lt;p&gt;gevaarlijke punten, scholenroutes&lt;/p&gt;"/>
    <x v="14"/>
    <n v="9360"/>
    <s v="Hamont-Achel_N76_KS436_57.600"/>
    <s v="&lt;null&gt;"/>
    <s v="WL/INV/N76/24"/>
    <n v="100"/>
    <n v="800"/>
    <n v="0"/>
    <n v="743.31839000000002"/>
    <n v="56.681609999999999"/>
    <n v="800"/>
    <n v="0"/>
    <n v="743.31839000000002"/>
    <n v="56.681609999999999"/>
  </r>
  <r>
    <x v="835"/>
    <x v="835"/>
    <s v="Verkeersveiligheid"/>
    <x v="4"/>
    <n v="977"/>
    <s v="IN/000906"/>
    <s v="VVOP"/>
    <s v="&lt;null&gt;"/>
    <s v="Kleine Ingreep"/>
    <s v="WL/INV/N73/20"/>
    <b v="0"/>
    <s v="Ingreep wordt niet opgevolgd in BOD"/>
    <s v="&lt;null&gt;"/>
    <s v="&lt;null&gt;"/>
    <s v="&lt;null&gt;"/>
    <s v="&lt;null&gt;"/>
    <s v="&lt;null&gt;"/>
    <x v="0"/>
    <s v="&lt;null&gt;"/>
    <s v="&lt;null&gt;"/>
    <s v="&lt;null&gt;"/>
    <s v="&lt;null&gt;"/>
    <n v="100"/>
    <s v="&lt;null&gt;"/>
    <s v="&lt;null&gt;"/>
    <s v="&lt;null&gt;"/>
    <s v="&lt;null&gt;"/>
    <m/>
    <m/>
    <m/>
    <m/>
  </r>
  <r>
    <x v="836"/>
    <x v="836"/>
    <s v="Verkeersveiligheid"/>
    <x v="4"/>
    <n v="978"/>
    <s v="IN/000907"/>
    <s v="Nieuwe VOP (PM Sweco Jan Nijsen)"/>
    <s v="&lt;null&gt;"/>
    <s v="Kleine Ingreep"/>
    <s v="WL/INV/N748/5"/>
    <b v="1"/>
    <s v="Ingreep wordt opgevolgd in BOD"/>
    <s v="&lt;null&gt;"/>
    <s v="&lt;null&gt;"/>
    <n v="135951"/>
    <n v="22015560"/>
    <s v="&lt;p&gt;gevaarlijke punten, scholenroutes&lt;/p&gt;"/>
    <x v="14"/>
    <n v="9366"/>
    <s v="Hamont-Achel_N748_KS438_15.100"/>
    <s v="&lt;null&gt;"/>
    <s v="WL/INV/N748/5"/>
    <n v="100"/>
    <n v="50000"/>
    <n v="0"/>
    <n v="0"/>
    <n v="50000"/>
    <n v="50000"/>
    <n v="0"/>
    <n v="0"/>
    <n v="50000"/>
  </r>
  <r>
    <x v="837"/>
    <x v="837"/>
    <s v="Verkeersveiligheid"/>
    <x v="4"/>
    <n v="979"/>
    <s v="IN/000908"/>
    <s v="FOP (PM studiebureau aan te stellen via MC3)"/>
    <s v="fietsoversteekvoorziening met fietslogoverbinding"/>
    <s v="Kleine Ingreep"/>
    <s v="WL/INV/N71/9"/>
    <b v="0"/>
    <s v="Ingreep wordt niet opgevolgd in BOD"/>
    <s v="&lt;null&gt;"/>
    <s v="&lt;null&gt;"/>
    <s v="&lt;null&gt;"/>
    <s v="&lt;null&gt;"/>
    <s v="&lt;null&gt;"/>
    <x v="0"/>
    <s v="&lt;null&gt;"/>
    <s v="&lt;null&gt;"/>
    <s v="&lt;null&gt;"/>
    <s v="&lt;null&gt;"/>
    <n v="100"/>
    <s v="&lt;null&gt;"/>
    <s v="&lt;null&gt;"/>
    <s v="&lt;null&gt;"/>
    <s v="&lt;null&gt;"/>
    <m/>
    <m/>
    <m/>
    <m/>
  </r>
  <r>
    <x v="838"/>
    <x v="838"/>
    <s v="Verkeersveiligheid"/>
    <x v="4"/>
    <n v="980"/>
    <s v="IN/000909"/>
    <s v="Ingreep schoolroute in Herent op kruispunt Diependaalweg met N2 Brusselsesteenweg"/>
    <s v="&lt;null&gt;"/>
    <s v="Kleine Ingreep"/>
    <s v="WVB/INV/N2/17"/>
    <b v="0"/>
    <s v="Ingreep wordt niet opgevolgd in BOD"/>
    <s v="&lt;null&gt;"/>
    <s v="&lt;null&gt;"/>
    <s v="&lt;null&gt;"/>
    <s v="&lt;null&gt;"/>
    <s v="&lt;null&gt;"/>
    <x v="0"/>
    <s v="&lt;null&gt;"/>
    <s v="&lt;null&gt;"/>
    <s v="&lt;null&gt;"/>
    <s v="&lt;null&gt;"/>
    <n v="100"/>
    <s v="&lt;null&gt;"/>
    <s v="&lt;null&gt;"/>
    <s v="&lt;null&gt;"/>
    <s v="&lt;null&gt;"/>
    <m/>
    <m/>
    <m/>
    <m/>
  </r>
  <r>
    <x v="18"/>
    <x v="18"/>
    <s v="&lt;null&gt;"/>
    <x v="3"/>
    <n v="981"/>
    <s v="IN/000910"/>
    <s v="Ingreep schoolroute in Herent op N26 (Leuven-Mechelen)"/>
    <s v="&lt;null&gt;"/>
    <s v="Kleine Ingreep"/>
    <s v="&lt;null&gt;"/>
    <b v="0"/>
    <s v="Ingreep wordt niet opgevolgd in BOD"/>
    <s v="&lt;null&gt;"/>
    <s v="&lt;null&gt;"/>
    <s v="&lt;null&gt;"/>
    <s v="&lt;null&gt;"/>
    <s v="&lt;null&gt;"/>
    <x v="0"/>
    <s v="&lt;null&gt;"/>
    <s v="&lt;null&gt;"/>
    <s v="&lt;null&gt;"/>
    <s v="&lt;null&gt;"/>
    <s v="&lt;null&gt;"/>
    <s v="&lt;null&gt;"/>
    <s v="&lt;null&gt;"/>
    <s v="&lt;null&gt;"/>
    <s v="&lt;null&gt;"/>
    <m/>
    <m/>
    <m/>
    <m/>
  </r>
  <r>
    <x v="839"/>
    <x v="839"/>
    <s v="Verkeersveiligheid"/>
    <x v="4"/>
    <n v="982"/>
    <s v="IN/000911"/>
    <s v="VVOP"/>
    <s v="&lt;null&gt;"/>
    <s v="Kleine Ingreep"/>
    <s v="WL/INV/N73/24"/>
    <b v="0"/>
    <s v="Ingreep wordt niet opgevolgd in BOD"/>
    <s v="&lt;null&gt;"/>
    <s v="&lt;null&gt;"/>
    <s v="&lt;null&gt;"/>
    <s v="&lt;null&gt;"/>
    <s v="&lt;null&gt;"/>
    <x v="0"/>
    <s v="&lt;null&gt;"/>
    <s v="&lt;null&gt;"/>
    <s v="&lt;null&gt;"/>
    <s v="&lt;null&gt;"/>
    <n v="100"/>
    <s v="&lt;null&gt;"/>
    <s v="&lt;null&gt;"/>
    <s v="&lt;null&gt;"/>
    <s v="&lt;null&gt;"/>
    <m/>
    <m/>
    <m/>
    <m/>
  </r>
  <r>
    <x v="840"/>
    <x v="840"/>
    <s v="Verkeersveiligheid"/>
    <x v="4"/>
    <n v="983"/>
    <s v="IN/000912"/>
    <s v="Ingreep schoolroute in Brecht op N115, oversteekplaats thv Canadalaan"/>
    <s v="Plaatsing VFOP - VVOP"/>
    <s v="Kleine Ingreep"/>
    <s v="WA/INV/N115/6"/>
    <b v="0"/>
    <s v="Ingreep wordt niet opgevolgd in BOD"/>
    <s v="&lt;null&gt;"/>
    <s v="&lt;null&gt;"/>
    <s v="&lt;null&gt;"/>
    <s v="&lt;null&gt;"/>
    <s v="&lt;null&gt;"/>
    <x v="0"/>
    <s v="&lt;null&gt;"/>
    <s v="&lt;null&gt;"/>
    <s v="&lt;null&gt;"/>
    <s v="&lt;null&gt;"/>
    <n v="100"/>
    <s v="&lt;null&gt;"/>
    <s v="&lt;null&gt;"/>
    <s v="&lt;null&gt;"/>
    <s v="&lt;null&gt;"/>
    <m/>
    <m/>
    <m/>
    <m/>
  </r>
  <r>
    <x v="841"/>
    <x v="841"/>
    <s v="Verkeersveiligheid"/>
    <x v="4"/>
    <n v="984"/>
    <s v="IN/000913"/>
    <s v="Aanpassingen thv schoolpoort de Heppening (PM studiebureau aan te stellen via MC3)"/>
    <s v="dichten middenberm en oversteek in fietslogoverbinding toevoegen"/>
    <s v="Kleine Ingreep"/>
    <s v="WL/INV/N72/17"/>
    <b v="0"/>
    <s v="Ingreep wordt niet opgevolgd in BOD"/>
    <s v="&lt;null&gt;"/>
    <s v="&lt;null&gt;"/>
    <s v="&lt;null&gt;"/>
    <s v="&lt;null&gt;"/>
    <s v="&lt;null&gt;"/>
    <x v="0"/>
    <s v="&lt;null&gt;"/>
    <s v="&lt;null&gt;"/>
    <s v="&lt;null&gt;"/>
    <s v="&lt;null&gt;"/>
    <n v="100"/>
    <s v="&lt;null&gt;"/>
    <s v="&lt;null&gt;"/>
    <s v="&lt;null&gt;"/>
    <s v="&lt;null&gt;"/>
    <m/>
    <m/>
    <m/>
    <m/>
  </r>
  <r>
    <x v="842"/>
    <x v="842"/>
    <s v="Verkeersveiligheid"/>
    <x v="4"/>
    <n v="985"/>
    <s v="IN/000914"/>
    <s v="Horizontale signalisatie in Brecht op Oversteek Venusstraat kp Molenstraat"/>
    <s v="&lt;null&gt;"/>
    <s v="Kleine Ingreep"/>
    <s v="WA/INV/N133/8"/>
    <b v="0"/>
    <s v="Ingreep wordt niet opgevolgd in BOD"/>
    <s v="&lt;null&gt;"/>
    <s v="&lt;null&gt;"/>
    <s v="&lt;null&gt;"/>
    <s v="&lt;null&gt;"/>
    <s v="&lt;null&gt;"/>
    <x v="0"/>
    <s v="&lt;null&gt;"/>
    <s v="&lt;null&gt;"/>
    <s v="&lt;null&gt;"/>
    <s v="&lt;null&gt;"/>
    <n v="100"/>
    <s v="&lt;null&gt;"/>
    <s v="&lt;null&gt;"/>
    <s v="&lt;null&gt;"/>
    <s v="&lt;null&gt;"/>
    <m/>
    <m/>
    <m/>
    <m/>
  </r>
  <r>
    <x v="843"/>
    <x v="843"/>
    <s v="Verkeersveiligheid"/>
    <x v="4"/>
    <n v="986"/>
    <s v="IN/000915"/>
    <s v="Ingreep Hoppinpunt/schoolroutes."/>
    <s v="Dit wordt verder uitgewerkt binnen traject van de Hoppinpunten:\n- Hoppinpunt aanleggen\n- middengeleider\n- punctuele verlichting"/>
    <s v="Kleine Ingreep"/>
    <s v="WL/INV/N746/5"/>
    <b v="0"/>
    <s v="Ingreep wordt niet opgevolgd in BOD"/>
    <s v="&lt;null&gt;"/>
    <s v="&lt;null&gt;"/>
    <s v="&lt;null&gt;"/>
    <s v="&lt;null&gt;"/>
    <s v="&lt;null&gt;"/>
    <x v="0"/>
    <s v="&lt;null&gt;"/>
    <s v="&lt;null&gt;"/>
    <s v="&lt;null&gt;"/>
    <s v="&lt;null&gt;"/>
    <n v="100"/>
    <s v="&lt;null&gt;"/>
    <s v="&lt;null&gt;"/>
    <s v="&lt;null&gt;"/>
    <s v="&lt;null&gt;"/>
    <m/>
    <m/>
    <m/>
    <m/>
  </r>
  <r>
    <x v="148"/>
    <x v="148"/>
    <s v="Verkeersveiligheid"/>
    <x v="4"/>
    <n v="987"/>
    <s v="IN/000916"/>
    <s v="Ingreep schoolroute in Herentals op In volgorde van prioriteit: 1) Kruispunt Herenthoutseweg – Ringlaan"/>
    <s v="&lt;null&gt;"/>
    <s v="Structurele Ingreep"/>
    <s v="&lt;null&gt;"/>
    <b v="0"/>
    <s v="Ingreep wordt niet opgevolgd in BOD"/>
    <s v="&lt;null&gt;"/>
    <s v="&lt;null&gt;"/>
    <s v="&lt;null&gt;"/>
    <s v="&lt;null&gt;"/>
    <s v="&lt;null&gt;"/>
    <x v="0"/>
    <s v="&lt;null&gt;"/>
    <s v="&lt;null&gt;"/>
    <s v="&lt;null&gt;"/>
    <s v="&lt;null&gt;"/>
    <n v="100"/>
    <s v="&lt;null&gt;"/>
    <s v="&lt;null&gt;"/>
    <s v="&lt;null&gt;"/>
    <s v="&lt;null&gt;"/>
    <m/>
    <m/>
    <m/>
    <m/>
  </r>
  <r>
    <x v="844"/>
    <x v="844"/>
    <s v="Verkeersveiligheid"/>
    <x v="4"/>
    <n v="988"/>
    <s v="IN/000917"/>
    <s v="Ingreep schoolroute in Herentals op In volgorde van prioriteit: 2) Ovonde Ringlaan (kruising met Poederleeseweg, Lichtaartseweg en Nederrij)"/>
    <s v="&lt;null&gt;"/>
    <s v="Kleine Ingreep"/>
    <s v="WA/INV/N153/12"/>
    <b v="0"/>
    <s v="Ingreep wordt niet opgevolgd in BOD"/>
    <s v="&lt;null&gt;"/>
    <s v="&lt;null&gt;"/>
    <s v="&lt;null&gt;"/>
    <s v="&lt;null&gt;"/>
    <s v="&lt;null&gt;"/>
    <x v="0"/>
    <s v="&lt;null&gt;"/>
    <s v="&lt;null&gt;"/>
    <s v="&lt;null&gt;"/>
    <s v="&lt;null&gt;"/>
    <n v="100"/>
    <s v="&lt;null&gt;"/>
    <s v="&lt;null&gt;"/>
    <s v="&lt;null&gt;"/>
    <s v="&lt;null&gt;"/>
    <m/>
    <m/>
    <m/>
    <m/>
  </r>
  <r>
    <x v="845"/>
    <x v="845"/>
    <s v="Verkeersveiligheid"/>
    <x v="4"/>
    <n v="989"/>
    <s v="IN/000918"/>
    <s v="Ingreep schoolroute in Herentals op In volgorde van prioriteit: 10) Kruispunt Poederleeseweg met Olympiadelaan"/>
    <s v="Ontruimingstijd/V-plan aanpassen"/>
    <s v="Kleine Ingreep"/>
    <s v="WA/INV/N153/13"/>
    <b v="0"/>
    <s v="Ingreep wordt niet opgevolgd in BOD"/>
    <s v="&lt;null&gt;"/>
    <s v="&lt;null&gt;"/>
    <s v="&lt;null&gt;"/>
    <s v="&lt;null&gt;"/>
    <s v="&lt;null&gt;"/>
    <x v="0"/>
    <s v="&lt;null&gt;"/>
    <s v="&lt;null&gt;"/>
    <s v="&lt;null&gt;"/>
    <s v="&lt;null&gt;"/>
    <n v="100"/>
    <s v="&lt;null&gt;"/>
    <s v="&lt;null&gt;"/>
    <s v="&lt;null&gt;"/>
    <s v="&lt;null&gt;"/>
    <m/>
    <m/>
    <m/>
    <m/>
  </r>
  <r>
    <x v="846"/>
    <x v="846"/>
    <s v="Verkeersveiligheid"/>
    <x v="4"/>
    <n v="990"/>
    <s v="IN/000919"/>
    <s v="Ingreep schoolroute in Tervuren op Kruispunt Tervurenlaan - Oppemstraat"/>
    <s v="Frietzak signalisatie"/>
    <s v="Kleine Ingreep"/>
    <s v="WVB/INV/NX/1"/>
    <b v="0"/>
    <s v="Ingreep wordt niet opgevolgd in BOD"/>
    <s v="&lt;null&gt;"/>
    <s v="&lt;null&gt;"/>
    <s v="&lt;null&gt;"/>
    <s v="&lt;null&gt;"/>
    <s v="&lt;null&gt;"/>
    <x v="0"/>
    <s v="&lt;null&gt;"/>
    <s v="&lt;null&gt;"/>
    <s v="&lt;null&gt;"/>
    <s v="&lt;null&gt;"/>
    <n v="100"/>
    <s v="&lt;null&gt;"/>
    <s v="&lt;null&gt;"/>
    <s v="&lt;null&gt;"/>
    <s v="&lt;null&gt;"/>
    <m/>
    <m/>
    <m/>
    <m/>
  </r>
  <r>
    <x v="847"/>
    <x v="847"/>
    <s v="Verkeersveiligheid"/>
    <x v="1"/>
    <n v="991"/>
    <s v="IN/000920"/>
    <s v="Ingreep schoolroute in Tervuren op Oversteek N3 ter hoogte van Soetemanslaan"/>
    <s v="&lt;null&gt;"/>
    <s v="Kleine Ingreep"/>
    <s v="WVB/INV/N3/9"/>
    <b v="0"/>
    <s v="Ingreep wordt niet opgevolgd in BOD"/>
    <s v="&lt;null&gt;"/>
    <s v="&lt;null&gt;"/>
    <s v="&lt;null&gt;"/>
    <s v="&lt;null&gt;"/>
    <s v="&lt;null&gt;"/>
    <x v="0"/>
    <s v="&lt;null&gt;"/>
    <s v="&lt;null&gt;"/>
    <s v="&lt;null&gt;"/>
    <s v="&lt;null&gt;"/>
    <n v="50"/>
    <s v="&lt;null&gt;"/>
    <s v="&lt;null&gt;"/>
    <s v="&lt;null&gt;"/>
    <s v="&lt;null&gt;"/>
    <m/>
    <m/>
    <m/>
    <m/>
  </r>
  <r>
    <x v="848"/>
    <x v="848"/>
    <s v="Verkeersveiligheid"/>
    <x v="4"/>
    <n v="991"/>
    <s v="IN/000920"/>
    <s v="Ingreep schoolroute in Tervuren op Oversteek N3 ter hoogte van Soetemanslaan"/>
    <s v="&lt;null&gt;"/>
    <s v="Kleine Ingreep"/>
    <s v="WVB/INV/N3/9"/>
    <b v="0"/>
    <s v="Ingreep wordt niet opgevolgd in BOD"/>
    <s v="&lt;null&gt;"/>
    <s v="&lt;null&gt;"/>
    <s v="&lt;null&gt;"/>
    <s v="&lt;null&gt;"/>
    <s v="&lt;null&gt;"/>
    <x v="0"/>
    <s v="&lt;null&gt;"/>
    <s v="&lt;null&gt;"/>
    <s v="&lt;null&gt;"/>
    <s v="&lt;null&gt;"/>
    <n v="50"/>
    <s v="&lt;null&gt;"/>
    <s v="&lt;null&gt;"/>
    <s v="&lt;null&gt;"/>
    <s v="&lt;null&gt;"/>
    <m/>
    <m/>
    <m/>
    <m/>
  </r>
  <r>
    <x v="849"/>
    <x v="849"/>
    <s v="Verkeersveiligheid"/>
    <x v="4"/>
    <n v="992"/>
    <s v="IN/000921"/>
    <s v="Punctuele verlichting VOP thv Rijkelstraat (+ wegnemen biflash)"/>
    <s v="&lt;null&gt;"/>
    <s v="Kleine Ingreep"/>
    <s v="WL/INV/N729/10"/>
    <b v="0"/>
    <s v="Ingreep wordt niet opgevolgd in BOD"/>
    <s v="&lt;null&gt;"/>
    <s v="&lt;null&gt;"/>
    <s v="&lt;null&gt;"/>
    <s v="&lt;null&gt;"/>
    <s v="&lt;null&gt;"/>
    <x v="0"/>
    <s v="&lt;null&gt;"/>
    <s v="&lt;null&gt;"/>
    <s v="&lt;null&gt;"/>
    <s v="&lt;null&gt;"/>
    <n v="100"/>
    <s v="&lt;null&gt;"/>
    <s v="&lt;null&gt;"/>
    <s v="&lt;null&gt;"/>
    <s v="&lt;null&gt;"/>
    <m/>
    <m/>
    <m/>
    <m/>
  </r>
  <r>
    <x v="850"/>
    <x v="850"/>
    <s v="Verkeersveiligheid"/>
    <x v="4"/>
    <n v="993"/>
    <s v="IN/000922"/>
    <s v="oversteekvoorziening met middengeleider én extra verlichting (PM studiebureau aan te stellen MC3)"/>
    <s v="akkoord obv studie Sweco (oversteekvoorziening met middengeleider én extra verlichting)"/>
    <s v="Kleine Ingreep"/>
    <s v="WL/INV/N758/3"/>
    <b v="0"/>
    <s v="Ingreep wordt niet opgevolgd in BOD"/>
    <s v="&lt;null&gt;"/>
    <s v="&lt;null&gt;"/>
    <s v="&lt;null&gt;"/>
    <s v="&lt;null&gt;"/>
    <s v="&lt;null&gt;"/>
    <x v="0"/>
    <s v="&lt;null&gt;"/>
    <s v="&lt;null&gt;"/>
    <s v="&lt;null&gt;"/>
    <s v="&lt;null&gt;"/>
    <n v="100"/>
    <s v="&lt;null&gt;"/>
    <s v="&lt;null&gt;"/>
    <s v="&lt;null&gt;"/>
    <s v="&lt;null&gt;"/>
    <m/>
    <m/>
    <m/>
    <m/>
  </r>
  <r>
    <x v="851"/>
    <x v="851"/>
    <s v="Verkeersveiligheid"/>
    <x v="4"/>
    <n v="994"/>
    <s v="IN/000923"/>
    <s v="FOP + dubbelrichtingsfietspad (PM studiebureau aan te stellen MC3)"/>
    <s v="Dubbelrichtingsfietsoversteek, stukje dubbelrichtingsfietspad in Sevensstraat, fietssuggestiestroken of logo's bij kruispunt"/>
    <s v="Kleine Ingreep"/>
    <s v="WL/INV/N762/3"/>
    <b v="0"/>
    <s v="Ingreep wordt niet opgevolgd in BOD"/>
    <s v="&lt;null&gt;"/>
    <s v="&lt;null&gt;"/>
    <s v="&lt;null&gt;"/>
    <s v="&lt;null&gt;"/>
    <s v="&lt;null&gt;"/>
    <x v="0"/>
    <s v="&lt;null&gt;"/>
    <s v="&lt;null&gt;"/>
    <s v="&lt;null&gt;"/>
    <s v="&lt;null&gt;"/>
    <n v="100"/>
    <s v="&lt;null&gt;"/>
    <s v="&lt;null&gt;"/>
    <s v="&lt;null&gt;"/>
    <s v="&lt;null&gt;"/>
    <m/>
    <m/>
    <m/>
    <m/>
  </r>
  <r>
    <x v="852"/>
    <x v="852"/>
    <s v="Verkeersveiligheid"/>
    <x v="4"/>
    <n v="995"/>
    <s v="IN/000924"/>
    <s v="Ingreep schoolroute in Veurne op N8 - Sint Idesbaldusstraat ter hoogte van station Koksijde"/>
    <s v="&lt;null&gt;"/>
    <s v="Kleine Ingreep"/>
    <s v="WWV/INV/N8/19"/>
    <b v="0"/>
    <s v="Ingreep wordt niet opgevolgd in BOD"/>
    <s v="&lt;null&gt;"/>
    <s v="&lt;null&gt;"/>
    <s v="&lt;null&gt;"/>
    <s v="&lt;null&gt;"/>
    <s v="&lt;null&gt;"/>
    <x v="0"/>
    <s v="&lt;null&gt;"/>
    <s v="&lt;null&gt;"/>
    <s v="&lt;null&gt;"/>
    <s v="&lt;null&gt;"/>
    <n v="100"/>
    <s v="&lt;null&gt;"/>
    <s v="&lt;null&gt;"/>
    <s v="&lt;null&gt;"/>
    <s v="&lt;null&gt;"/>
    <m/>
    <m/>
    <m/>
    <m/>
  </r>
  <r>
    <x v="853"/>
    <x v="853"/>
    <s v="Verkeersveiligheid"/>
    <x v="4"/>
    <n v="996"/>
    <s v="IN/000925"/>
    <s v="Ingreep schoolroute in Diepenbeek op Oversteekplaats over de N2 - Vrij basisonderwijs Paleis en BKO centrum"/>
    <s v="&lt;null&gt;"/>
    <s v="Kleine Ingreep"/>
    <s v="WL/INV/N2/11"/>
    <b v="1"/>
    <s v="Ingreep wordt opgevolgd in BOD"/>
    <n v="7215"/>
    <s v="O70/0/755-P3"/>
    <n v="71551"/>
    <n v="20069325"/>
    <s v="&lt;p&gt;Leveren, aanbrengen en onderhouden van wegmarkeringen (zowel verfmarkeringen als thermoplastische markeringen) in de provincie Limburg - Perceel 3: District Centraal-Limburg&lt;/p&gt;&lt;p&gt;&amp;nbsp;&lt;/p&gt;"/>
    <x v="20"/>
    <n v="5525"/>
    <s v="KS497 Diepenbeek regenboogzebrapad"/>
    <s v="&lt;p&gt;schoolroutes&lt;/p&gt;"/>
    <s v="WL/INV/N2/11"/>
    <n v="100"/>
    <n v="1226.7"/>
    <n v="1084.8"/>
    <n v="0"/>
    <n v="141.9"/>
    <n v="1226.7"/>
    <n v="1084.8"/>
    <n v="0"/>
    <n v="141.9"/>
  </r>
  <r>
    <x v="854"/>
    <x v="854"/>
    <s v="Verkeersveiligheid"/>
    <x v="4"/>
    <n v="997"/>
    <s v="IN/000926"/>
    <s v="Ingreep schoolroute in Brasschaat op N11 Kapelsesteenweg ter hoogte van Sint Michielscollege"/>
    <s v="&lt;null&gt;"/>
    <s v="Kleine Ingreep"/>
    <s v="WA/INV/N11/3"/>
    <b v="0"/>
    <s v="Ingreep wordt niet opgevolgd in BOD"/>
    <s v="&lt;null&gt;"/>
    <s v="&lt;null&gt;"/>
    <s v="&lt;null&gt;"/>
    <s v="&lt;null&gt;"/>
    <s v="&lt;null&gt;"/>
    <x v="0"/>
    <s v="&lt;null&gt;"/>
    <s v="&lt;null&gt;"/>
    <s v="&lt;null&gt;"/>
    <s v="&lt;null&gt;"/>
    <n v="100"/>
    <s v="&lt;null&gt;"/>
    <s v="&lt;null&gt;"/>
    <s v="&lt;null&gt;"/>
    <s v="&lt;null&gt;"/>
    <m/>
    <m/>
    <m/>
    <m/>
  </r>
  <r>
    <x v="49"/>
    <x v="49"/>
    <s v="Verkeersveiligheid"/>
    <x v="4"/>
    <n v="998"/>
    <s v="IN/000927"/>
    <s v="mag weg - is vervat in andere ingreep - Ingreep schoolroute in Herenthout op kruising N13 met Staionlei Bouwel (Grobbendonk)"/>
    <s v="&lt;null&gt;"/>
    <s v="Structurele Ingreep"/>
    <s v="&lt;null&gt;"/>
    <b v="0"/>
    <s v="Ingreep wordt niet opgevolgd in BOD"/>
    <s v="&lt;null&gt;"/>
    <s v="&lt;null&gt;"/>
    <s v="&lt;null&gt;"/>
    <s v="&lt;null&gt;"/>
    <s v="&lt;null&gt;"/>
    <x v="0"/>
    <s v="&lt;null&gt;"/>
    <s v="&lt;null&gt;"/>
    <s v="&lt;null&gt;"/>
    <s v="&lt;null&gt;"/>
    <n v="100"/>
    <s v="&lt;null&gt;"/>
    <s v="&lt;null&gt;"/>
    <s v="&lt;null&gt;"/>
    <s v="&lt;null&gt;"/>
    <m/>
    <m/>
    <m/>
    <m/>
  </r>
  <r>
    <x v="855"/>
    <x v="855"/>
    <s v="Verkeersveiligheid"/>
    <x v="4"/>
    <n v="999"/>
    <s v="IN/000928"/>
    <s v="Ingreep schoolroute in Kapellen op Ertbrandstraat tussen Partizanenstraat en Vincent Mercierplein"/>
    <s v="&lt;null&gt;"/>
    <s v="Kleine Ingreep"/>
    <s v="WA/INV/N11/4"/>
    <b v="0"/>
    <s v="Ingreep wordt niet opgevolgd in BOD"/>
    <s v="&lt;null&gt;"/>
    <s v="&lt;null&gt;"/>
    <s v="&lt;null&gt;"/>
    <s v="&lt;null&gt;"/>
    <s v="&lt;null&gt;"/>
    <x v="0"/>
    <s v="&lt;null&gt;"/>
    <s v="&lt;null&gt;"/>
    <s v="&lt;null&gt;"/>
    <s v="&lt;null&gt;"/>
    <n v="100"/>
    <s v="&lt;null&gt;"/>
    <s v="&lt;null&gt;"/>
    <s v="&lt;null&gt;"/>
    <s v="&lt;null&gt;"/>
    <m/>
    <m/>
    <m/>
    <m/>
  </r>
  <r>
    <x v="856"/>
    <x v="856"/>
    <s v="Verkeersveiligheid"/>
    <x v="4"/>
    <n v="1000"/>
    <s v="IN/000929"/>
    <s v="Ingreep schoolroute in Kapellen op Kapelsestraat - De Masten"/>
    <s v="&lt;null&gt;"/>
    <s v="Kleine Ingreep"/>
    <s v="&lt;null&gt;"/>
    <b v="0"/>
    <s v="Ingreep wordt niet opgevolgd in BOD"/>
    <s v="&lt;null&gt;"/>
    <s v="&lt;null&gt;"/>
    <s v="&lt;null&gt;"/>
    <s v="&lt;null&gt;"/>
    <s v="&lt;null&gt;"/>
    <x v="0"/>
    <s v="&lt;null&gt;"/>
    <s v="&lt;null&gt;"/>
    <s v="&lt;null&gt;"/>
    <s v="&lt;null&gt;"/>
    <n v="100"/>
    <s v="&lt;null&gt;"/>
    <s v="&lt;null&gt;"/>
    <s v="&lt;null&gt;"/>
    <s v="&lt;null&gt;"/>
    <m/>
    <m/>
    <m/>
    <m/>
  </r>
  <r>
    <x v="857"/>
    <x v="857"/>
    <s v="Verkeersveiligheid"/>
    <x v="4"/>
    <n v="1001"/>
    <s v="IN/000930"/>
    <s v="Ingreep schoolroute in Roeselare op Kruispunt Meensesteenweg - Kerklaan"/>
    <s v="&lt;null&gt;"/>
    <s v="Kleine Ingreep"/>
    <s v="WWV/INV/N32/7"/>
    <b v="0"/>
    <s v="Ingreep wordt niet opgevolgd in BOD"/>
    <s v="&lt;null&gt;"/>
    <s v="&lt;null&gt;"/>
    <s v="&lt;null&gt;"/>
    <s v="&lt;null&gt;"/>
    <s v="&lt;null&gt;"/>
    <x v="0"/>
    <s v="&lt;null&gt;"/>
    <s v="&lt;null&gt;"/>
    <s v="&lt;null&gt;"/>
    <s v="&lt;null&gt;"/>
    <n v="100"/>
    <s v="&lt;null&gt;"/>
    <s v="&lt;null&gt;"/>
    <s v="&lt;null&gt;"/>
    <s v="&lt;null&gt;"/>
    <m/>
    <m/>
    <m/>
    <m/>
  </r>
  <r>
    <x v="858"/>
    <x v="858"/>
    <s v="Verkeersveiligheid"/>
    <x v="4"/>
    <n v="1002"/>
    <s v="IN/000931"/>
    <s v="Ingreep schoolroute in Brasschaat op Kruispunt N11 Kapelsesteenweg x Acacialei"/>
    <s v="&lt;null&gt;"/>
    <s v="Kleine Ingreep"/>
    <s v="&lt;null&gt;"/>
    <b v="0"/>
    <s v="Ingreep wordt niet opgevolgd in BOD"/>
    <s v="&lt;null&gt;"/>
    <s v="&lt;null&gt;"/>
    <s v="&lt;null&gt;"/>
    <s v="&lt;null&gt;"/>
    <s v="&lt;null&gt;"/>
    <x v="0"/>
    <s v="&lt;null&gt;"/>
    <s v="&lt;null&gt;"/>
    <s v="&lt;null&gt;"/>
    <s v="&lt;null&gt;"/>
    <n v="100"/>
    <s v="&lt;null&gt;"/>
    <s v="&lt;null&gt;"/>
    <s v="&lt;null&gt;"/>
    <s v="&lt;null&gt;"/>
    <m/>
    <m/>
    <m/>
    <m/>
  </r>
  <r>
    <x v="859"/>
    <x v="859"/>
    <s v="Verkeersveiligheid"/>
    <x v="4"/>
    <n v="1003"/>
    <s v="IN/000932"/>
    <s v="Ingreep schoolroute in Brasschaat op Kruispunt N11 Kapelsesteenweg x Kastanjelei"/>
    <s v="&lt;null&gt;"/>
    <s v="Kleine Ingreep"/>
    <s v="&lt;null&gt;"/>
    <b v="0"/>
    <s v="Ingreep wordt niet opgevolgd in BOD"/>
    <s v="&lt;null&gt;"/>
    <s v="&lt;null&gt;"/>
    <s v="&lt;null&gt;"/>
    <s v="&lt;null&gt;"/>
    <s v="&lt;null&gt;"/>
    <x v="0"/>
    <s v="&lt;null&gt;"/>
    <s v="&lt;null&gt;"/>
    <s v="&lt;null&gt;"/>
    <s v="&lt;null&gt;"/>
    <n v="100"/>
    <s v="&lt;null&gt;"/>
    <s v="&lt;null&gt;"/>
    <s v="&lt;null&gt;"/>
    <s v="&lt;null&gt;"/>
    <m/>
    <m/>
    <m/>
    <m/>
  </r>
  <r>
    <x v="860"/>
    <x v="860"/>
    <s v="Verkeersveiligheid"/>
    <x v="4"/>
    <n v="1004"/>
    <s v="IN/000933"/>
    <s v="Horizontale signalisatie in Kapellen op Kapelsestraat - Irishof en kruispunt Streepstraat"/>
    <s v="&lt;null&gt;"/>
    <s v="Kleine Ingreep"/>
    <s v="WA/INV/N11/5"/>
    <b v="0"/>
    <s v="Ingreep wordt niet opgevolgd in BOD"/>
    <s v="&lt;null&gt;"/>
    <s v="&lt;null&gt;"/>
    <s v="&lt;null&gt;"/>
    <s v="&lt;null&gt;"/>
    <s v="&lt;null&gt;"/>
    <x v="0"/>
    <s v="&lt;null&gt;"/>
    <s v="&lt;null&gt;"/>
    <s v="&lt;null&gt;"/>
    <s v="&lt;null&gt;"/>
    <n v="100"/>
    <s v="&lt;null&gt;"/>
    <s v="&lt;null&gt;"/>
    <s v="&lt;null&gt;"/>
    <s v="&lt;null&gt;"/>
    <m/>
    <m/>
    <m/>
    <m/>
  </r>
  <r>
    <x v="861"/>
    <x v="861"/>
    <s v="Verkeersveiligheid"/>
    <x v="4"/>
    <n v="1005"/>
    <s v="IN/000934"/>
    <s v="Ingreep schoolroute in Hasselt op Luikersteenweg Rapertingen"/>
    <s v="&lt;null&gt;"/>
    <s v="Kleine Ingreep"/>
    <s v="WL/INV/N20/8"/>
    <b v="0"/>
    <s v="Ingreep wordt niet opgevolgd in BOD"/>
    <s v="&lt;null&gt;"/>
    <s v="&lt;null&gt;"/>
    <s v="&lt;null&gt;"/>
    <s v="&lt;null&gt;"/>
    <s v="&lt;null&gt;"/>
    <x v="0"/>
    <s v="&lt;null&gt;"/>
    <s v="&lt;null&gt;"/>
    <s v="&lt;null&gt;"/>
    <s v="&lt;null&gt;"/>
    <n v="100"/>
    <s v="&lt;null&gt;"/>
    <s v="&lt;null&gt;"/>
    <s v="&lt;null&gt;"/>
    <s v="&lt;null&gt;"/>
    <m/>
    <m/>
    <m/>
    <m/>
  </r>
  <r>
    <x v="862"/>
    <x v="862"/>
    <s v="Verkeersveiligheid"/>
    <x v="4"/>
    <n v="1006"/>
    <s v="IN/000935"/>
    <s v="Ingreep schoolroute in Diepenbeek: gemeenteweg afsluiten thv N76 (PM Sweco Jan Nijsen)"/>
    <s v="knip zijstraat van N76"/>
    <s v="Kleine Ingreep"/>
    <s v="WL/INV/N76/28"/>
    <b v="1"/>
    <s v="Ingreep wordt opgevolgd in BOD"/>
    <s v="&lt;null&gt;"/>
    <s v="&lt;null&gt;"/>
    <n v="135951"/>
    <n v="22015560"/>
    <s v="&lt;p&gt;gevaarlijke punten, scholenroutes&lt;/p&gt;"/>
    <x v="14"/>
    <n v="9365"/>
    <s v="Diepenbeek_N76_KS515_15.950"/>
    <s v="&lt;null&gt;"/>
    <s v="WL/INV/N76/28"/>
    <n v="100"/>
    <n v="50000"/>
    <n v="0"/>
    <n v="0"/>
    <n v="50000"/>
    <n v="50000"/>
    <n v="0"/>
    <n v="0"/>
    <n v="50000"/>
  </r>
  <r>
    <x v="863"/>
    <x v="863"/>
    <s v="Verkeersveiligheid"/>
    <x v="4"/>
    <n v="1007"/>
    <s v="IN/000936"/>
    <s v="Ingreep schoolroute in Roeselare op Brugsesteenweg"/>
    <s v="&lt;null&gt;"/>
    <s v="Kleine Ingreep"/>
    <s v="WWV/INV/N32/8"/>
    <b v="1"/>
    <s v="Ingreep wordt opgevolgd in BOD"/>
    <s v="&lt;null&gt;"/>
    <s v="&lt;null&gt;"/>
    <n v="118401"/>
    <n v="21065771"/>
    <s v="&lt;p&gt;OF AWV/INV/2021/3 P3 3mh230 schoolroutes&lt;/p&gt;"/>
    <x v="9"/>
    <n v="8360"/>
    <s v="IN 936 N32 Roeselare"/>
    <s v="&lt;null&gt;"/>
    <s v="WWV/INV/N32/8"/>
    <n v="100"/>
    <n v="5785"/>
    <n v="0"/>
    <n v="0"/>
    <n v="5785"/>
    <n v="5785"/>
    <n v="0"/>
    <n v="0"/>
    <n v="5785"/>
  </r>
  <r>
    <x v="864"/>
    <x v="864"/>
    <s v="Verkeersveiligheid"/>
    <x v="4"/>
    <n v="1008"/>
    <s v="IN/000937"/>
    <s v="Ingreep schoolroute in Gooik op Kester deelgemeente Gooik"/>
    <s v="&lt;null&gt;"/>
    <s v="Kleine Ingreep"/>
    <s v="WVB/INV/N272/5"/>
    <b v="1"/>
    <s v="Ingreep wordt opgevolgd in BOD"/>
    <n v="10519"/>
    <s v="VWT/WU/2020/007.004"/>
    <n v="76201"/>
    <n v="21013952"/>
    <s v="&lt;p&gt;Vastlegging 3 : Het aanpassen en uitrusten van oversteekplaatsen voor zwakke weggebruikers met (punctuele) verlichting en ingrepen van beperkte omvang&lt;/p&gt;"/>
    <x v="6"/>
    <n v="7502"/>
    <s v="Relance schoolroutes VVOP N272 x Bruneaustraat te Gooik"/>
    <s v="&lt;null&gt;"/>
    <s v="WVB/INV/N272/5"/>
    <n v="100"/>
    <n v="26235.96"/>
    <n v="0"/>
    <n v="0"/>
    <n v="0"/>
    <n v="26235.96"/>
    <n v="0"/>
    <n v="0"/>
    <n v="0"/>
  </r>
  <r>
    <x v="865"/>
    <x v="865"/>
    <s v="Verkeersveiligheid"/>
    <x v="4"/>
    <n v="1009"/>
    <s v="IN/000938"/>
    <s v="Ingreep schoolroute in Diksmuide op 1. N35 Esenweg kp Tuinwijk"/>
    <s v="&lt;null&gt;"/>
    <s v="Kleine Ingreep"/>
    <s v="WWV/INV/N35/7"/>
    <b v="0"/>
    <s v="Ingreep wordt niet opgevolgd in BOD"/>
    <s v="&lt;null&gt;"/>
    <s v="&lt;null&gt;"/>
    <s v="&lt;null&gt;"/>
    <s v="&lt;null&gt;"/>
    <s v="&lt;null&gt;"/>
    <x v="0"/>
    <s v="&lt;null&gt;"/>
    <s v="&lt;null&gt;"/>
    <s v="&lt;null&gt;"/>
    <s v="&lt;null&gt;"/>
    <n v="100"/>
    <s v="&lt;null&gt;"/>
    <s v="&lt;null&gt;"/>
    <s v="&lt;null&gt;"/>
    <s v="&lt;null&gt;"/>
    <m/>
    <m/>
    <m/>
    <m/>
  </r>
  <r>
    <x v="866"/>
    <x v="866"/>
    <s v="Verkeersveiligheid"/>
    <x v="4"/>
    <n v="1010"/>
    <s v="IN/000939"/>
    <s v="Ingreep schoolroute in Hasselt op Kuringersteenweg"/>
    <s v="&lt;null&gt;"/>
    <s v="Kleine Ingreep"/>
    <s v="WL/INV/N2/12"/>
    <b v="1"/>
    <s v="Ingreep wordt opgevolgd in BOD"/>
    <n v="7215"/>
    <s v="O70/0/755-P3"/>
    <n v="71551"/>
    <n v="20069325"/>
    <s v="&lt;p&gt;Leveren, aanbrengen en onderhouden van wegmarkeringen (zowel verfmarkeringen als thermoplastische markeringen) in de provincie Limburg - Perceel 3: District Centraal-Limburg&lt;/p&gt;&lt;p&gt;&amp;nbsp;&lt;/p&gt;"/>
    <x v="20"/>
    <n v="5526"/>
    <s v="KS525 Hasselt Fietssuggestiestroken"/>
    <s v="&lt;p&gt;schoolroutes&lt;/p&gt;"/>
    <s v="WL/INV/N2/12"/>
    <n v="100"/>
    <n v="27225.7"/>
    <n v="92.394000000000005"/>
    <n v="0"/>
    <n v="27133.306"/>
    <n v="27225.7"/>
    <n v="92.394000000000005"/>
    <n v="0"/>
    <n v="27133.306"/>
  </r>
  <r>
    <x v="867"/>
    <x v="867"/>
    <s v="Verkeersveiligheid"/>
    <x v="4"/>
    <n v="1011"/>
    <s v="IN/000940"/>
    <s v="Gevleugeld zebrapad in Diksmuide op 4."/>
    <s v="N35 Esenplein ( rp 26.6)"/>
    <s v="&lt;null&gt;"/>
    <s v="Kleine Ingreep"/>
    <s v="WWV/INV/N35/8"/>
    <b v="1"/>
    <s v="Ingreep wordt opgevolgd in BOD"/>
    <n v="10520"/>
    <s v="VWT/WU/2020/007.005"/>
    <n v="106851"/>
    <s v="21013956-bis"/>
    <x v="0"/>
    <s v="&lt;p&gt;2021 Basisvastleggingen op 3MH210 - lijn 41280-2&lt;/p&gt;"/>
    <n v="7327"/>
    <s v="VVOP N35 t.h.v. kmp. 26,260 - Diksmuide"/>
    <s v="&lt;p&gt;IN/000940 - KP-001153 - KS536&lt;/p&gt;"/>
    <s v="WWV/INV/N35/8"/>
    <n v="100"/>
    <n v="39000"/>
    <n v="0"/>
    <n v="0"/>
    <n v="363.67"/>
    <n v="39000"/>
    <n v="0"/>
    <n v="0"/>
  </r>
  <r>
    <x v="868"/>
    <x v="868"/>
    <s v="Verkeersveiligheid"/>
    <x v="4"/>
    <n v="1012"/>
    <s v="IN/000941"/>
    <s v="aanpassen markeringen (PM Jan Nijsen Sweco)"/>
    <s v="&lt;null&gt;"/>
    <s v="Kleine Ingreep"/>
    <s v="WL/INV/N73/21"/>
    <b v="1"/>
    <s v="Ingreep wordt opgevolgd in BOD"/>
    <n v="12817"/>
    <s v="AWV/INV/2021/3_P5"/>
    <n v="135951"/>
    <n v="22015560"/>
    <s v="&lt;p&gt;gevaarlijke punten, scholenroutes&lt;/p&gt;"/>
    <x v="14"/>
    <n v="9357"/>
    <s v="Leopoldsburg_N73_KS542_41.340"/>
    <s v="&lt;null&gt;"/>
    <s v="WL/INV/N73/21"/>
    <n v="100"/>
    <n v="50000"/>
    <n v="0"/>
    <n v="438.52668"/>
    <n v="49561.473319999997"/>
    <n v="50000"/>
    <n v="0"/>
    <n v="438.52668"/>
    <n v="49561.473319999997"/>
  </r>
  <r>
    <x v="869"/>
    <x v="869"/>
    <s v="Verkeersveiligheid"/>
    <x v="4"/>
    <n v="1013"/>
    <s v="IN/000942"/>
    <s v="Ingreep schoolroute in Hasselt op Kempische steenweg Kiewit"/>
    <s v="&lt;null&gt;"/>
    <s v="Kleine Ingreep"/>
    <s v="&lt;null&gt;"/>
    <b v="0"/>
    <s v="Ingreep wordt niet opgevolgd in BOD"/>
    <s v="&lt;null&gt;"/>
    <s v="&lt;null&gt;"/>
    <s v="&lt;null&gt;"/>
    <s v="&lt;null&gt;"/>
    <s v="&lt;null&gt;"/>
    <x v="0"/>
    <s v="&lt;null&gt;"/>
    <s v="&lt;null&gt;"/>
    <s v="&lt;null&gt;"/>
    <s v="&lt;null&gt;"/>
    <n v="100"/>
    <s v="&lt;null&gt;"/>
    <s v="&lt;null&gt;"/>
    <s v="&lt;null&gt;"/>
    <s v="&lt;null&gt;"/>
    <m/>
    <m/>
    <m/>
    <m/>
  </r>
  <r>
    <x v="870"/>
    <x v="870"/>
    <s v="Verkeersveiligheid"/>
    <x v="4"/>
    <n v="1014"/>
    <s v="IN/000943"/>
    <s v="Ingreep schoolroute in Heuvelland op Dikkebusstraat De Klijte"/>
    <s v="&lt;null&gt;"/>
    <s v="Kleine Ingreep"/>
    <s v="WWV/INV/N375/4"/>
    <b v="0"/>
    <s v="Ingreep wordt niet opgevolgd in BOD"/>
    <n v="12024"/>
    <s v="AWV/INV/2021/3_P3"/>
    <n v="118401"/>
    <n v="21065771"/>
    <s v="&lt;p&gt;OF AWV/INV/2021/3 P3 3mh230 schoolroutes&lt;/p&gt;"/>
    <x v="3"/>
    <n v="9063"/>
    <s v="N375 Heuvelland Dikkebusstraat Zavelaarstraat"/>
    <s v="&lt;null&gt;"/>
    <s v="WWV/INV/N375/4"/>
    <n v="100"/>
    <n v="372.24"/>
    <n v="372.24"/>
    <n v="0"/>
    <n v="0"/>
    <n v="372.24"/>
    <n v="372.24"/>
    <n v="0"/>
    <n v="0"/>
  </r>
  <r>
    <x v="870"/>
    <x v="870"/>
    <s v="Verkeersveiligheid"/>
    <x v="4"/>
    <n v="1014"/>
    <s v="IN/000943"/>
    <s v="Ingreep schoolroute in Heuvelland op Dikkebusstraat De Klijte"/>
    <s v="&lt;null&gt;"/>
    <s v="Kleine Ingreep"/>
    <s v="WWV/INV/N375/4"/>
    <b v="0"/>
    <s v="Ingreep wordt niet opgevolgd in BOD"/>
    <n v="10520"/>
    <s v="VWT/WU/2020/007.005"/>
    <n v="138401"/>
    <n v="22024538"/>
    <s v="&lt;p&gt;Opstellen van diverse punctuele verlichtingen VVOP/VFOP die gelegen zijn op de schoolroutes ikv relance&lt;/p&gt;"/>
    <x v="9"/>
    <n v="9755"/>
    <s v="Heuvelland - N375 - Dikkebusstraat t.h.v. kmp. 8,27 - Punctuele verlichting op fietsoversteekplaats t.h.v. Vrije Basisschool De Klijte"/>
    <s v="&lt;p&gt;KP/001165 - IN/000943 - KS551&lt;/p&gt;"/>
    <s v="WWV/INV/N375/4"/>
    <n v="100"/>
    <n v="30000"/>
    <n v="0"/>
    <n v="0"/>
    <n v="1098.71"/>
    <n v="30000"/>
    <n v="0"/>
    <n v="0"/>
    <n v="1098.71"/>
  </r>
  <r>
    <x v="871"/>
    <x v="871"/>
    <s v="Verkeersveiligheid"/>
    <x v="4"/>
    <n v="1015"/>
    <s v="IN/000944"/>
    <s v="Ingreep schoolroute in Heuvelland op Kemmel - doortocht N304"/>
    <s v="plaatsen fietslogo's"/>
    <s v="Kleine Ingreep"/>
    <s v="WWV/INV/N304/2"/>
    <b v="1"/>
    <s v="Ingreep wordt opgevolgd in BOD"/>
    <n v="12024"/>
    <s v="AWV/INV/2021/3_P3"/>
    <n v="118401"/>
    <n v="21065771"/>
    <s v="&lt;p&gt;OF AWV/INV/2021/3 P3 3mh230 schoolroutes&lt;/p&gt;"/>
    <x v="9"/>
    <n v="8361"/>
    <s v="IN944 N304"/>
    <s v="&lt;null&gt;"/>
    <s v="WWV/INV/N304/2"/>
    <n v="100"/>
    <n v="8265"/>
    <n v="2216.7399999999998"/>
    <n v="0"/>
    <n v="6048.26"/>
    <n v="8265"/>
    <n v="2216.7399999999998"/>
    <n v="0"/>
    <n v="6048.26"/>
  </r>
  <r>
    <x v="872"/>
    <x v="872"/>
    <s v="Verkeersveiligheid"/>
    <x v="4"/>
    <n v="1016"/>
    <s v="IN/000945"/>
    <s v="Aanpassen VOP"/>
    <s v="3D-VOP vervangen door gewone VOP + enkele meters verplaatst"/>
    <s v="Kleine Ingreep"/>
    <s v="WL/INV/N730/10"/>
    <b v="1"/>
    <s v="Ingreep wordt opgevolgd in BOD"/>
    <n v="7214"/>
    <s v="O70/0/753"/>
    <n v="71351"/>
    <n v="20031678"/>
    <s v="&lt;p&gt;VL O70/0/753 1M3D8G/18/47 3de jaar Clusterbestek wegenonderhoud onderhoudswerken herstellingswerken en herstellen van geleideconstructies District Zuid-Limburg - verlenging&lt;/p&gt;"/>
    <x v="18"/>
    <n v="5706"/>
    <s v="Schoolroute - KS558C - Bilzen - Aanpassing verharding oude VOP"/>
    <s v="&lt;null&gt;"/>
    <s v="WL/INV/N730/10"/>
    <n v="100"/>
    <n v="4800"/>
    <n v="4800"/>
    <n v="0"/>
    <n v="0"/>
    <n v="4800"/>
    <n v="4800"/>
    <n v="0"/>
    <n v="0"/>
  </r>
  <r>
    <x v="872"/>
    <x v="872"/>
    <s v="Verkeersveiligheid"/>
    <x v="4"/>
    <n v="1016"/>
    <s v="IN/000945"/>
    <s v="Aanpassen VOP"/>
    <s v="3D-VOP vervangen door gewone VOP + enkele meters verplaatst"/>
    <s v="Kleine Ingreep"/>
    <s v="WL/INV/N730/10"/>
    <b v="1"/>
    <s v="Ingreep wordt opgevolgd in BOD"/>
    <s v="&lt;null&gt;"/>
    <s v="&lt;null&gt;"/>
    <n v="80151"/>
    <n v="19002726"/>
    <s v="&lt;p&gt;OF O70/0/755 p4 3de jaar Zuid Limburg 1M3D8G/18/50 Lev en aanbrengen en onderhouden van wegmarkeringen in de provincie Limburg openbare procedure&lt;/p&gt;"/>
    <x v="20"/>
    <n v="5700"/>
    <s v="Schoolroute - KS558A - Bilzen - Verplaatsen zebrapad"/>
    <s v="&lt;null&gt;"/>
    <s v="WL/INV/N730/10"/>
    <n v="100"/>
    <n v="420"/>
    <n v="0"/>
    <n v="0"/>
    <n v="420"/>
    <n v="420"/>
    <n v="0"/>
    <n v="0"/>
    <n v="420"/>
  </r>
  <r>
    <x v="873"/>
    <x v="873"/>
    <s v="Verkeersveiligheid"/>
    <x v="4"/>
    <n v="1017"/>
    <s v="IN/000946"/>
    <s v="Ingreep schoolroute in Heuvelland op doortocht Westouter - N315"/>
    <s v="&lt;null&gt;"/>
    <s v="Kleine Ingreep"/>
    <s v="WWV/INV/N315/1"/>
    <b v="1"/>
    <s v="Ingreep wordt opgevolgd in BOD"/>
    <n v="12024"/>
    <s v="AWV/INV/2021/3_P3"/>
    <n v="118401"/>
    <n v="21065771"/>
    <s v="&lt;p&gt;OF AWV/INV/2021/3 P3 3mh230 schoolroutes&lt;/p&gt;"/>
    <x v="9"/>
    <n v="8362"/>
    <s v="IN946 N315 Heuvelland"/>
    <s v="&lt;null&gt;"/>
    <s v="WWV/INV/N315/1"/>
    <n v="100"/>
    <n v="8265"/>
    <n v="209.36"/>
    <n v="0"/>
    <n v="8055.64"/>
    <n v="8265"/>
    <n v="209.36"/>
    <n v="0"/>
    <n v="8055.64"/>
  </r>
  <r>
    <x v="874"/>
    <x v="874"/>
    <s v="Verkeersveiligheid"/>
    <x v="4"/>
    <n v="1018"/>
    <s v="IN/000947"/>
    <s v="Ingreep schoolroute in Menen op Ieperstraat (tussen nr. 205 en overweg)"/>
    <s v="&lt;null&gt;"/>
    <s v="Kleine Ingreep"/>
    <s v="WWV/INV/N8/20"/>
    <b v="1"/>
    <s v="Ingreep wordt opgevolgd in BOD"/>
    <n v="12024"/>
    <s v="AWV/INV/2021/3_P3"/>
    <n v="118401"/>
    <n v="21065771"/>
    <s v="&lt;p&gt;OF AWV/INV/2021/3 P3 3mh230 schoolroutes&lt;/p&gt;"/>
    <x v="9"/>
    <n v="8363"/>
    <s v="IN947 N8 Menen"/>
    <s v="&lt;null&gt;"/>
    <s v="WWV/INV/N8/20"/>
    <n v="100"/>
    <n v="56675.96"/>
    <n v="0"/>
    <n v="46662.021500000003"/>
    <n v="10013.9385"/>
    <n v="56675.96"/>
    <n v="0"/>
    <n v="46662.021500000003"/>
    <n v="10013.9385"/>
  </r>
  <r>
    <x v="875"/>
    <x v="875"/>
    <s v="Verkeersveiligheid"/>
    <x v="4"/>
    <n v="1019"/>
    <s v="IN/000948"/>
    <s v="Ingreep schoolroute in Heuvelland op N375, kruispunt met N315"/>
    <s v="&lt;null&gt;"/>
    <s v="Kleine Ingreep"/>
    <s v="WWV/INV/N315/2"/>
    <b v="1"/>
    <s v="Ingreep wordt opgevolgd in BOD"/>
    <n v="12024"/>
    <s v="AWV/INV/2021/3_P3"/>
    <n v="118401"/>
    <n v="21065771"/>
    <s v="&lt;p&gt;OF AWV/INV/2021/3 P3 3mh230 schoolroutes&lt;/p&gt;"/>
    <x v="9"/>
    <n v="8364"/>
    <s v="IN948 N315 Heuvelland"/>
    <s v="&lt;null&gt;"/>
    <s v="WWV/INV/N315/2"/>
    <n v="100"/>
    <n v="12397"/>
    <n v="0"/>
    <n v="0"/>
    <n v="12397"/>
    <n v="12397"/>
    <n v="0"/>
    <n v="0"/>
    <n v="12397"/>
  </r>
  <r>
    <x v="876"/>
    <x v="876"/>
    <s v="Verkeersveiligheid"/>
    <x v="4"/>
    <n v="1020"/>
    <s v="IN/000949"/>
    <s v="Ingreep schoolroute in Heuvelland op N365-N336"/>
    <s v="&lt;null&gt;"/>
    <s v="Kleine Ingreep"/>
    <s v="WWV/INV/N365/1"/>
    <b v="1"/>
    <s v="Ingreep wordt opgevolgd in BOD"/>
    <s v="&lt;null&gt;"/>
    <s v="&lt;null&gt;"/>
    <n v="118401"/>
    <n v="21065771"/>
    <s v="&lt;p&gt;OF AWV/INV/2021/3 P3 3mh230 schoolroutes&lt;/p&gt;"/>
    <x v="9"/>
    <n v="8365"/>
    <s v="IN949 N365"/>
    <s v="&lt;null&gt;"/>
    <s v="WWV/INV/N365/1"/>
    <n v="100"/>
    <n v="16529"/>
    <n v="0"/>
    <n v="0"/>
    <n v="16529"/>
    <n v="16529"/>
    <n v="0"/>
    <n v="0"/>
    <n v="16529"/>
  </r>
  <r>
    <x v="877"/>
    <x v="877"/>
    <s v="Verkeersveiligheid"/>
    <x v="4"/>
    <n v="1021"/>
    <s v="IN/000950"/>
    <s v="Aanpassen verkeerslichten"/>
    <s v="- conflictvrij regelen linksaf N78 &gt; Looheuvelstraat\n- wegnemen herhalingslicht linkerzijde N78 in zuidelijke richting + toevoegen herhalingslicht op ooghoogte\n- optimaliseren groentijd vanuit Looheuvelstraat obv tellingen"/>
    <s v="Kleine Ingreep"/>
    <s v="WL/INV/N78/34"/>
    <b v="0"/>
    <s v="Ingreep wordt niet opgevolgd in BOD"/>
    <s v="&lt;null&gt;"/>
    <s v="&lt;null&gt;"/>
    <s v="&lt;null&gt;"/>
    <s v="&lt;null&gt;"/>
    <s v="&lt;null&gt;"/>
    <x v="0"/>
    <s v="&lt;null&gt;"/>
    <s v="&lt;null&gt;"/>
    <s v="&lt;null&gt;"/>
    <s v="&lt;null&gt;"/>
    <n v="100"/>
    <s v="&lt;null&gt;"/>
    <s v="&lt;null&gt;"/>
    <s v="&lt;null&gt;"/>
    <s v="&lt;null&gt;"/>
    <m/>
    <m/>
    <m/>
    <m/>
  </r>
  <r>
    <x v="18"/>
    <x v="18"/>
    <s v="&lt;null&gt;"/>
    <x v="3"/>
    <n v="1022"/>
    <s v="IN/000951"/>
    <s v="Ingreep schoolroute in Heuvelland op N331"/>
    <s v="&lt;null&gt;"/>
    <s v="Kleine Ingreep"/>
    <s v="&lt;null&gt;"/>
    <b v="0"/>
    <s v="Ingreep wordt niet opgevolgd in BOD"/>
    <s v="&lt;null&gt;"/>
    <s v="&lt;null&gt;"/>
    <s v="&lt;null&gt;"/>
    <s v="&lt;null&gt;"/>
    <s v="&lt;null&gt;"/>
    <x v="0"/>
    <s v="&lt;null&gt;"/>
    <s v="&lt;null&gt;"/>
    <s v="&lt;null&gt;"/>
    <s v="&lt;null&gt;"/>
    <s v="&lt;null&gt;"/>
    <s v="&lt;null&gt;"/>
    <s v="&lt;null&gt;"/>
    <s v="&lt;null&gt;"/>
    <s v="&lt;null&gt;"/>
    <m/>
    <m/>
    <m/>
    <m/>
  </r>
  <r>
    <x v="878"/>
    <x v="878"/>
    <s v="Verkeersveiligheid"/>
    <x v="4"/>
    <n v="1023"/>
    <s v="IN/000952"/>
    <s v="Ingreep schoolroute in Maasmechelen op School Mikado, N736"/>
    <s v="parkeerverbod"/>
    <s v="Kleine Ingreep"/>
    <s v="WL/INV/N736/1"/>
    <b v="1"/>
    <s v="Ingreep wordt opgevolgd in BOD"/>
    <n v="10469"/>
    <s v="O70/0/784"/>
    <n v="87351"/>
    <n v="21034143"/>
    <s v="&lt;p&gt;Scholenroutes&lt;/p&gt;"/>
    <x v="21"/>
    <n v="6011"/>
    <s v="&lt;null&gt;"/>
    <s v="&lt;p&gt;Scholenroutes&lt;/p&gt;"/>
    <s v="WL/INV/N736/1"/>
    <n v="100"/>
    <n v="382.4"/>
    <n v="92.5"/>
    <n v="0"/>
    <n v="289.89999999999998"/>
    <n v="382.4"/>
    <n v="92.5"/>
    <n v="0"/>
    <n v="289.89999999999998"/>
  </r>
  <r>
    <x v="878"/>
    <x v="878"/>
    <s v="Verkeersveiligheid"/>
    <x v="4"/>
    <n v="1023"/>
    <s v="IN/000952"/>
    <s v="Ingreep schoolroute in Maasmechelen op School Mikado, N736"/>
    <s v="parkeerverbod"/>
    <s v="Kleine Ingreep"/>
    <s v="WL/INV/N736/1"/>
    <b v="1"/>
    <s v="Ingreep wordt opgevolgd in BOD"/>
    <n v="10469"/>
    <s v="O70/0/784"/>
    <n v="63201"/>
    <n v="21001927"/>
    <s v="&lt;p&gt;Het eerste jaar van O70/0/784&lt;/p&gt;"/>
    <x v="9"/>
    <n v="5513"/>
    <s v="Scholenroute"/>
    <s v="&lt;p&gt;Om later AID-nummer te koppelen.&lt;/p&gt;"/>
    <s v="WL/INV/N736/1"/>
    <n v="100"/>
    <n v="572.49"/>
    <n v="572.49"/>
    <n v="0"/>
    <n v="0"/>
    <n v="572.49"/>
    <n v="572.49"/>
    <n v="0"/>
    <n v="0"/>
  </r>
  <r>
    <x v="879"/>
    <x v="879"/>
    <s v="Verkeersveiligheid"/>
    <x v="4"/>
    <n v="1024"/>
    <s v="IN/000953"/>
    <s v="Ingreep schoolroute in Menen op Moeskroenstraat (zebrapad voor Sint-Niklaaskerk)"/>
    <s v="&lt;null&gt;"/>
    <s v="Kleine Ingreep"/>
    <s v="WWV/INV/N366/3"/>
    <b v="1"/>
    <s v="Ingreep wordt opgevolgd in BOD"/>
    <n v="10520"/>
    <s v="VWT/WU/2020/007.005"/>
    <n v="68451"/>
    <n v="21013956"/>
    <s v="&lt;p&gt;2021 Basisvastleggingen op 3MH210 - lijn 41280-2&lt;/p&gt;"/>
    <x v="6"/>
    <n v="6108"/>
    <s v="VVOP N366 kmp. 2,65 Menen"/>
    <s v="&lt;null&gt;"/>
    <s v="WWV/INV/N366/3"/>
    <n v="100"/>
    <n v="28000"/>
    <n v="0"/>
    <n v="0"/>
    <n v="89.83"/>
    <n v="28000"/>
    <n v="0"/>
    <n v="0"/>
    <n v="89.83"/>
  </r>
  <r>
    <x v="18"/>
    <x v="18"/>
    <s v="&lt;null&gt;"/>
    <x v="3"/>
    <n v="1025"/>
    <s v="IN/000954"/>
    <s v="Horizontale signalisatie in Poperinge op Baljuwstraat (N304) en Prof. Rubbrechtstraat (N308)"/>
    <s v="&lt;null&gt;"/>
    <s v="Kleine Ingreep"/>
    <s v="WWV/INV/N304/3"/>
    <b v="0"/>
    <s v="Ingreep wordt niet opgevolgd in BOD"/>
    <s v="&lt;null&gt;"/>
    <s v="&lt;null&gt;"/>
    <s v="&lt;null&gt;"/>
    <s v="&lt;null&gt;"/>
    <s v="&lt;null&gt;"/>
    <x v="0"/>
    <s v="&lt;null&gt;"/>
    <s v="&lt;null&gt;"/>
    <s v="&lt;null&gt;"/>
    <s v="&lt;null&gt;"/>
    <s v="&lt;null&gt;"/>
    <s v="&lt;null&gt;"/>
    <s v="&lt;null&gt;"/>
    <s v="&lt;null&gt;"/>
    <s v="&lt;null&gt;"/>
    <m/>
    <m/>
    <m/>
    <m/>
  </r>
  <r>
    <x v="18"/>
    <x v="18"/>
    <s v="&lt;null&gt;"/>
    <x v="3"/>
    <n v="1026"/>
    <s v="IN/000955"/>
    <s v="Horizontale signalisatie in Poperinge op Baljuwstraat (N304) en Prof. Rubbrechtstraat (N308)"/>
    <s v="&lt;null&gt;"/>
    <s v="Kleine Ingreep"/>
    <s v="WWV/INV/N308/2"/>
    <b v="0"/>
    <s v="Ingreep wordt niet opgevolgd in BOD"/>
    <s v="&lt;null&gt;"/>
    <s v="&lt;null&gt;"/>
    <s v="&lt;null&gt;"/>
    <s v="&lt;null&gt;"/>
    <s v="&lt;null&gt;"/>
    <x v="0"/>
    <s v="&lt;null&gt;"/>
    <s v="&lt;null&gt;"/>
    <s v="&lt;null&gt;"/>
    <s v="&lt;null&gt;"/>
    <s v="&lt;null&gt;"/>
    <s v="&lt;null&gt;"/>
    <s v="&lt;null&gt;"/>
    <s v="&lt;null&gt;"/>
    <s v="&lt;null&gt;"/>
    <m/>
    <m/>
    <m/>
    <m/>
  </r>
  <r>
    <x v="880"/>
    <x v="880"/>
    <s v="Verkeersveiligheid"/>
    <x v="4"/>
    <n v="1027"/>
    <s v="IN/000956"/>
    <s v="Ingreep schoolroute in Poperinge op Burgemeester Bertenplein (N304)"/>
    <s v="&lt;null&gt;"/>
    <s v="Kleine Ingreep"/>
    <s v="WWV/INV/N304/4"/>
    <b v="0"/>
    <s v="Ingreep wordt niet opgevolgd in BOD"/>
    <s v="&lt;null&gt;"/>
    <s v="&lt;null&gt;"/>
    <s v="&lt;null&gt;"/>
    <s v="&lt;null&gt;"/>
    <s v="&lt;null&gt;"/>
    <x v="0"/>
    <s v="&lt;null&gt;"/>
    <s v="&lt;null&gt;"/>
    <s v="&lt;null&gt;"/>
    <s v="&lt;null&gt;"/>
    <n v="100"/>
    <s v="&lt;null&gt;"/>
    <s v="&lt;null&gt;"/>
    <s v="&lt;null&gt;"/>
    <s v="&lt;null&gt;"/>
    <m/>
    <m/>
    <m/>
    <m/>
  </r>
  <r>
    <x v="881"/>
    <x v="881"/>
    <s v="Verkeersveiligheid"/>
    <x v="4"/>
    <n v="1028"/>
    <s v="IN/000957"/>
    <s v="Ingreep schoolroute in Avelgem op Fietsoversteek centrum Waarmaarde (thv Oudenaardsesteenweg 388)"/>
    <s v="&lt;null&gt;"/>
    <s v="Kleine Ingreep"/>
    <s v="WWV/INV/N8/21"/>
    <b v="0"/>
    <s v="Ingreep wordt niet opgevolgd in BOD"/>
    <s v="&lt;null&gt;"/>
    <s v="&lt;null&gt;"/>
    <s v="&lt;null&gt;"/>
    <s v="&lt;null&gt;"/>
    <s v="&lt;null&gt;"/>
    <x v="0"/>
    <s v="&lt;null&gt;"/>
    <s v="&lt;null&gt;"/>
    <s v="&lt;null&gt;"/>
    <s v="&lt;null&gt;"/>
    <n v="100"/>
    <s v="&lt;null&gt;"/>
    <s v="&lt;null&gt;"/>
    <s v="&lt;null&gt;"/>
    <s v="&lt;null&gt;"/>
    <m/>
    <m/>
    <m/>
    <m/>
  </r>
  <r>
    <x v="882"/>
    <x v="882"/>
    <s v="Verkeersveiligheid"/>
    <x v="4"/>
    <n v="1029"/>
    <s v="IN/000958"/>
    <s v="Ingreep schoolroute in Izegem op N357 - Gentseheerweg thv. 51 (slachthuis Verbist)"/>
    <s v="Ontwikkelaar van de IZ voert uit en betaalt de werken"/>
    <s v="Kleine Ingreep"/>
    <s v="WWV/INV/N357/2"/>
    <b v="0"/>
    <s v="Ingreep wordt niet opgevolgd in BOD"/>
    <s v="&lt;null&gt;"/>
    <s v="&lt;null&gt;"/>
    <s v="&lt;null&gt;"/>
    <s v="&lt;null&gt;"/>
    <s v="&lt;null&gt;"/>
    <x v="0"/>
    <s v="&lt;null&gt;"/>
    <s v="&lt;null&gt;"/>
    <s v="&lt;null&gt;"/>
    <s v="&lt;null&gt;"/>
    <n v="100"/>
    <s v="&lt;null&gt;"/>
    <s v="&lt;null&gt;"/>
    <s v="&lt;null&gt;"/>
    <s v="&lt;null&gt;"/>
    <m/>
    <m/>
    <m/>
    <m/>
  </r>
  <r>
    <x v="883"/>
    <x v="883"/>
    <s v="Verkeersveiligheid"/>
    <x v="4"/>
    <n v="1030"/>
    <s v="IN/000959"/>
    <s v="Ingreep schoolroute in Izegem op N357 - Gentseheerweg kp Boomforeeststraat"/>
    <s v="&lt;null&gt;"/>
    <s v="Kleine Ingreep"/>
    <s v="WWV/INV/N357/3"/>
    <b v="0"/>
    <s v="Ingreep wordt niet opgevolgd in BOD"/>
    <s v="&lt;null&gt;"/>
    <s v="&lt;null&gt;"/>
    <s v="&lt;null&gt;"/>
    <s v="&lt;null&gt;"/>
    <s v="&lt;null&gt;"/>
    <x v="0"/>
    <s v="&lt;null&gt;"/>
    <s v="&lt;null&gt;"/>
    <s v="&lt;null&gt;"/>
    <s v="&lt;null&gt;"/>
    <n v="100"/>
    <s v="&lt;null&gt;"/>
    <s v="&lt;null&gt;"/>
    <s v="&lt;null&gt;"/>
    <s v="&lt;null&gt;"/>
    <m/>
    <m/>
    <m/>
    <m/>
  </r>
  <r>
    <x v="884"/>
    <x v="884"/>
    <s v="Verkeersveiligheid"/>
    <x v="4"/>
    <n v="1031"/>
    <s v="IN/000960"/>
    <s v="Ingreep schoolroute in Holsbeek op N19 Aarschotsesteenweg, kruispunt met de Pleinstraat"/>
    <s v="&lt;null&gt;"/>
    <s v="Kleine Ingreep"/>
    <s v="WVB/INV/N19/6"/>
    <b v="0"/>
    <s v="Ingreep wordt niet opgevolgd in BOD"/>
    <s v="&lt;null&gt;"/>
    <s v="&lt;null&gt;"/>
    <s v="&lt;null&gt;"/>
    <s v="&lt;null&gt;"/>
    <s v="&lt;null&gt;"/>
    <x v="0"/>
    <s v="&lt;null&gt;"/>
    <s v="&lt;null&gt;"/>
    <s v="&lt;null&gt;"/>
    <s v="&lt;null&gt;"/>
    <n v="100"/>
    <s v="&lt;null&gt;"/>
    <s v="&lt;null&gt;"/>
    <s v="&lt;null&gt;"/>
    <s v="&lt;null&gt;"/>
    <m/>
    <m/>
    <m/>
    <m/>
  </r>
  <r>
    <x v="885"/>
    <x v="885"/>
    <s v="Verkeersveiligheid"/>
    <x v="4"/>
    <n v="1032"/>
    <s v="IN/000961"/>
    <s v="Ingreep schoolroute in Avelgem op Fietsoversteek Oudenaardsesteenweg ter hoogte van het kruispunt met de Hulstraat/Lindestraat"/>
    <s v="&lt;null&gt;"/>
    <s v="Kleine Ingreep"/>
    <s v="WWV/INV/N8/14"/>
    <b v="1"/>
    <s v="Ingreep wordt opgevolgd in BOD"/>
    <n v="10520"/>
    <s v="VWT/WU/2020/007.005"/>
    <n v="68451"/>
    <n v="21013956"/>
    <s v="&lt;p&gt;2021 Basisvastleggingen op 3MH210 - lijn 41280-2&lt;/p&gt;"/>
    <x v="6"/>
    <n v="6105"/>
    <s v="VFOP N8 kmp.67,71 Avelgem"/>
    <s v="&lt;null&gt;"/>
    <s v="WWV/INV/N8/14"/>
    <n v="100"/>
    <n v="26880.17"/>
    <n v="0"/>
    <n v="0"/>
    <n v="2445.15"/>
    <n v="26880.17"/>
    <n v="0"/>
    <n v="0"/>
    <n v="2445.15"/>
  </r>
  <r>
    <x v="886"/>
    <x v="886"/>
    <s v="Verkeersveiligheid"/>
    <x v="4"/>
    <n v="1033"/>
    <s v="IN/000962"/>
    <s v="VVOP ter hoogte van het kruispunt met de Ruggestraat/Langestraat"/>
    <s v="&lt;null&gt;"/>
    <s v="Kleine Ingreep"/>
    <s v="WWV/INV/N8/22"/>
    <b v="0"/>
    <s v="Ingreep wordt niet opgevolgd in BOD"/>
    <s v="&lt;null&gt;"/>
    <s v="&lt;null&gt;"/>
    <s v="&lt;null&gt;"/>
    <s v="&lt;null&gt;"/>
    <s v="&lt;null&gt;"/>
    <x v="0"/>
    <s v="&lt;null&gt;"/>
    <s v="&lt;null&gt;"/>
    <s v="&lt;null&gt;"/>
    <s v="&lt;null&gt;"/>
    <n v="100"/>
    <s v="&lt;null&gt;"/>
    <s v="&lt;null&gt;"/>
    <s v="&lt;null&gt;"/>
    <s v="&lt;null&gt;"/>
    <m/>
    <m/>
    <m/>
    <m/>
  </r>
  <r>
    <x v="887"/>
    <x v="887"/>
    <s v="Verkeersveiligheid"/>
    <x v="4"/>
    <n v="1034"/>
    <s v="IN/000963"/>
    <s v="Ingreep schoolroute in Middelkerke op Westendelaan 344"/>
    <s v="&lt;null&gt;"/>
    <s v="Kleine Ingreep"/>
    <s v="WWV/INV/N318/4"/>
    <b v="1"/>
    <s v="Ingreep wordt opgevolgd in BOD"/>
    <n v="10520"/>
    <s v="VWT/WU/2020/007.005"/>
    <n v="106851"/>
    <s v="21013956-bis"/>
    <s v="&lt;p&gt;2021 Basisvastleggingen op 3MH210 - lijn 41280-2&lt;/p&gt;"/>
    <x v="0"/>
    <n v="10808"/>
    <s v="Middelkerke N318 kmp 13.1 KS599"/>
    <s v="&lt;null&gt;"/>
    <s v="WWV/INV/N318/4"/>
    <n v="100"/>
    <n v="26000"/>
    <n v="0"/>
    <n v="0"/>
    <n v="961.76"/>
    <n v="26000"/>
    <n v="0"/>
    <n v="0"/>
    <n v="961.76"/>
  </r>
  <r>
    <x v="888"/>
    <x v="888"/>
    <s v="Verkeersveiligheid"/>
    <x v="4"/>
    <n v="1035"/>
    <s v="IN/000964"/>
    <s v="Ingreep schoolroute in Avelgem op Aanliggend fietspad langs de Oudenaardsesteenweg tussen het kruispunt met de Hulstraat/Lindestraat en de Brugstraat"/>
    <s v="&lt;null&gt;"/>
    <s v="Kleine Ingreep"/>
    <s v="WWV/INV/N8/23"/>
    <b v="1"/>
    <s v="Ingreep wordt opgevolgd in BOD"/>
    <n v="12024"/>
    <s v="AWV/INV/2021/3_P3"/>
    <n v="118401"/>
    <n v="21065771"/>
    <s v="&lt;p&gt;OF AWV/INV/2021/3 P3 3mh230 schoolroutes&lt;/p&gt;"/>
    <x v="9"/>
    <n v="8367"/>
    <s v="IN964 N8"/>
    <s v="&lt;null&gt;"/>
    <s v="WWV/INV/N8/23"/>
    <n v="100"/>
    <n v="450000"/>
    <n v="186280.60620000001"/>
    <n v="0"/>
    <n v="263719.39380000002"/>
    <n v="450000"/>
    <n v="186280.60620000001"/>
    <n v="0"/>
    <n v="263719.39380000002"/>
  </r>
  <r>
    <x v="889"/>
    <x v="889"/>
    <s v="Verkeersveiligheid"/>
    <x v="4"/>
    <n v="1036"/>
    <s v="IN/000965"/>
    <s v="Ingreep schoolroute in Meise op Nieuwelaan (MAG AANGEMAAKT WORDEN ALS KLEINE INGREEP - SCHOOLROUTES)"/>
    <s v="&lt;null&gt;"/>
    <s v="Kleine Ingreep"/>
    <s v="&lt;null&gt;"/>
    <b v="0"/>
    <s v="Ingreep wordt niet opgevolgd in BOD"/>
    <s v="&lt;null&gt;"/>
    <s v="&lt;null&gt;"/>
    <s v="&lt;null&gt;"/>
    <s v="&lt;null&gt;"/>
    <s v="&lt;null&gt;"/>
    <x v="0"/>
    <s v="&lt;null&gt;"/>
    <s v="&lt;null&gt;"/>
    <s v="&lt;null&gt;"/>
    <s v="&lt;null&gt;"/>
    <n v="100"/>
    <s v="&lt;null&gt;"/>
    <s v="&lt;null&gt;"/>
    <s v="&lt;null&gt;"/>
    <s v="&lt;null&gt;"/>
    <m/>
    <m/>
    <m/>
    <m/>
  </r>
  <r>
    <x v="890"/>
    <x v="890"/>
    <s v="Verkeersveiligheid"/>
    <x v="4"/>
    <n v="1037"/>
    <s v="IN/000966"/>
    <s v="Ingreep schoolroute in Ingelmunster op N50"/>
    <s v="&lt;null&gt;"/>
    <s v="Kleine Ingreep"/>
    <s v="WWV/INV/N50/9"/>
    <b v="1"/>
    <s v="Ingreep wordt opgevolgd in BOD"/>
    <s v="&lt;null&gt;"/>
    <s v="&lt;null&gt;"/>
    <n v="118401"/>
    <n v="21065771"/>
    <s v="&lt;p&gt;OF AWV/INV/2021/3 P3 3mh230 schoolroutes&lt;/p&gt;"/>
    <x v="9"/>
    <n v="8368"/>
    <s v="IN966 N50 Ingelmunster"/>
    <s v="&lt;null&gt;"/>
    <s v="WWV/INV/N50/9"/>
    <n v="100"/>
    <n v="41322"/>
    <n v="0"/>
    <n v="0"/>
    <n v="41322"/>
    <n v="41322"/>
    <n v="0"/>
    <n v="0"/>
    <n v="41322"/>
  </r>
  <r>
    <x v="891"/>
    <x v="891"/>
    <s v="Verkeersveiligheid"/>
    <x v="4"/>
    <n v="1038"/>
    <s v="IN/000967"/>
    <s v="Ingreep schoolroute in Ingelmunster op N357 Oostrozebekestraat (tussen Bollewerpstraat en N50)"/>
    <s v="Aanbrengen van fietslogo's op vraag van de gemeente ikv schoolroutes"/>
    <s v="Kleine Ingreep"/>
    <s v="WWV/INV/N357/4"/>
    <b v="0"/>
    <s v="Ingreep wordt niet opgevolgd in BOD"/>
    <s v="&lt;null&gt;"/>
    <s v="&lt;null&gt;"/>
    <s v="&lt;null&gt;"/>
    <s v="&lt;null&gt;"/>
    <s v="&lt;null&gt;"/>
    <x v="0"/>
    <s v="&lt;null&gt;"/>
    <s v="&lt;null&gt;"/>
    <s v="&lt;null&gt;"/>
    <s v="&lt;null&gt;"/>
    <n v="100"/>
    <s v="&lt;null&gt;"/>
    <s v="&lt;null&gt;"/>
    <s v="&lt;null&gt;"/>
    <s v="&lt;null&gt;"/>
    <m/>
    <m/>
    <m/>
    <m/>
  </r>
  <r>
    <x v="892"/>
    <x v="892"/>
    <s v="Verkeersveiligheid"/>
    <x v="4"/>
    <n v="1039"/>
    <s v="IN/000968"/>
    <s v="Ingreep schoolroute in Heist-op-den-Berg op N15 Dorpsstraat Booischot"/>
    <s v="&lt;null&gt;"/>
    <s v="Kleine Ingreep"/>
    <s v="WA/INV/N15/7"/>
    <b v="0"/>
    <s v="Ingreep wordt niet opgevolgd in BOD"/>
    <s v="&lt;null&gt;"/>
    <s v="&lt;null&gt;"/>
    <s v="&lt;null&gt;"/>
    <s v="&lt;null&gt;"/>
    <s v="&lt;null&gt;"/>
    <x v="0"/>
    <s v="&lt;null&gt;"/>
    <s v="&lt;null&gt;"/>
    <s v="&lt;null&gt;"/>
    <s v="&lt;null&gt;"/>
    <n v="100"/>
    <s v="&lt;null&gt;"/>
    <s v="&lt;null&gt;"/>
    <s v="&lt;null&gt;"/>
    <s v="&lt;null&gt;"/>
    <m/>
    <m/>
    <m/>
    <m/>
  </r>
  <r>
    <x v="893"/>
    <x v="893"/>
    <s v="Verkeersveiligheid"/>
    <x v="4"/>
    <n v="1040"/>
    <s v="IN/000969"/>
    <s v="plaatsing VVOP"/>
    <m/>
    <s v="Kleine Ingreep"/>
    <s v="WA/INV/N15/8"/>
    <b v="0"/>
    <s v="Ingreep wordt niet opgevolgd in BOD"/>
    <s v="&lt;null&gt;"/>
    <s v="&lt;null&gt;"/>
    <s v="&lt;null&gt;"/>
    <s v="&lt;null&gt;"/>
    <s v="&lt;null&gt;"/>
    <x v="0"/>
    <s v="&lt;null&gt;"/>
    <s v="&lt;null&gt;"/>
    <s v="&lt;null&gt;"/>
    <s v="&lt;null&gt;"/>
    <n v="100"/>
    <s v="&lt;null&gt;"/>
    <s v="&lt;null&gt;"/>
    <s v="&lt;null&gt;"/>
    <s v="&lt;null&gt;"/>
    <m/>
    <m/>
    <m/>
    <m/>
  </r>
  <r>
    <x v="894"/>
    <x v="894"/>
    <s v="Verkeersveiligheid"/>
    <x v="4"/>
    <n v="1041"/>
    <s v="IN/000970"/>
    <s v="Ingreep schoolroute in Heist-op-den-Berg op N15 Mechelsesteenweg t.h.v. IMG"/>
    <s v="&lt;null&gt;"/>
    <s v="Kleine Ingreep"/>
    <s v="WA/INV/N15/5"/>
    <b v="0"/>
    <s v="Ingreep wordt niet opgevolgd in BOD"/>
    <s v="&lt;null&gt;"/>
    <s v="&lt;null&gt;"/>
    <s v="&lt;null&gt;"/>
    <s v="&lt;null&gt;"/>
    <s v="&lt;null&gt;"/>
    <x v="0"/>
    <s v="&lt;null&gt;"/>
    <s v="&lt;null&gt;"/>
    <s v="&lt;null&gt;"/>
    <s v="&lt;null&gt;"/>
    <n v="100"/>
    <s v="&lt;null&gt;"/>
    <s v="&lt;null&gt;"/>
    <s v="&lt;null&gt;"/>
    <s v="&lt;null&gt;"/>
    <m/>
    <m/>
    <m/>
    <m/>
  </r>
  <r>
    <x v="895"/>
    <x v="895"/>
    <s v="Verkeersveiligheid"/>
    <x v="4"/>
    <n v="1042"/>
    <s v="IN/000971"/>
    <s v="GEEN E1 KLEINE INGREEP Ingreep schoolroute in Ingelmunster op rotonde N50-N357"/>
    <s v="&lt;null&gt;"/>
    <s v="Structurele Ingreep"/>
    <s v="&lt;null&gt;"/>
    <b v="0"/>
    <s v="Ingreep wordt niet opgevolgd in BOD"/>
    <s v="&lt;null&gt;"/>
    <s v="&lt;null&gt;"/>
    <s v="&lt;null&gt;"/>
    <s v="&lt;null&gt;"/>
    <s v="&lt;null&gt;"/>
    <x v="0"/>
    <s v="&lt;null&gt;"/>
    <s v="&lt;null&gt;"/>
    <s v="&lt;null&gt;"/>
    <s v="&lt;null&gt;"/>
    <n v="100"/>
    <s v="&lt;null&gt;"/>
    <s v="&lt;null&gt;"/>
    <s v="&lt;null&gt;"/>
    <s v="&lt;null&gt;"/>
    <m/>
    <m/>
    <m/>
    <m/>
  </r>
  <r>
    <x v="288"/>
    <x v="288"/>
    <s v="Verkeersveiligheid"/>
    <x v="4"/>
    <n v="1043"/>
    <s v="IN/000972"/>
    <s v="Ingreep schoolroute in Antwerpen op 1. Bredabaan diverse oversteekplaatsen"/>
    <s v="- VVOP 2de oversteekplaats (deze zonder VRI)\n- markering &quot;School&quot; plaatsen"/>
    <s v="Kleine Ingreep"/>
    <s v="WA/INV/N1/18"/>
    <b v="0"/>
    <s v="Ingreep wordt niet opgevolgd in BOD"/>
    <s v="&lt;null&gt;"/>
    <s v="&lt;null&gt;"/>
    <s v="&lt;null&gt;"/>
    <s v="&lt;null&gt;"/>
    <s v="&lt;null&gt;"/>
    <x v="0"/>
    <s v="&lt;null&gt;"/>
    <s v="&lt;null&gt;"/>
    <s v="&lt;null&gt;"/>
    <s v="&lt;null&gt;"/>
    <n v="100"/>
    <s v="&lt;null&gt;"/>
    <s v="&lt;null&gt;"/>
    <s v="&lt;null&gt;"/>
    <s v="&lt;null&gt;"/>
    <m/>
    <m/>
    <m/>
    <m/>
  </r>
  <r>
    <x v="276"/>
    <x v="276"/>
    <s v="Verkeersveiligheid"/>
    <x v="4"/>
    <n v="1044"/>
    <s v="IN/000973"/>
    <s v="MAG WEG Ingreep schoolroute in Antwerpen op 3. Boomsesteenweg diverse aansluitingen"/>
    <s v="&lt;null&gt;"/>
    <s v="Structurele Ingreep"/>
    <s v="&lt;null&gt;"/>
    <b v="0"/>
    <s v="Ingreep wordt niet opgevolgd in BOD"/>
    <s v="&lt;null&gt;"/>
    <s v="&lt;null&gt;"/>
    <s v="&lt;null&gt;"/>
    <s v="&lt;null&gt;"/>
    <s v="&lt;null&gt;"/>
    <x v="0"/>
    <s v="&lt;null&gt;"/>
    <s v="&lt;null&gt;"/>
    <s v="&lt;null&gt;"/>
    <s v="&lt;null&gt;"/>
    <n v="100"/>
    <s v="&lt;null&gt;"/>
    <s v="&lt;null&gt;"/>
    <s v="&lt;null&gt;"/>
    <s v="&lt;null&gt;"/>
    <m/>
    <m/>
    <m/>
    <m/>
  </r>
  <r>
    <x v="282"/>
    <x v="282"/>
    <s v="Verkeersveiligheid"/>
    <x v="4"/>
    <n v="1045"/>
    <s v="IN/000974"/>
    <s v="MAG WEG Ingreep schoolroute in Antwerpen op 4. Grote Steenweg-Koninklijkelaan"/>
    <s v="&lt;null&gt;"/>
    <s v="Structurele Ingreep"/>
    <s v="&lt;null&gt;"/>
    <b v="0"/>
    <s v="Ingreep wordt niet opgevolgd in BOD"/>
    <s v="&lt;null&gt;"/>
    <s v="&lt;null&gt;"/>
    <s v="&lt;null&gt;"/>
    <s v="&lt;null&gt;"/>
    <s v="&lt;null&gt;"/>
    <x v="0"/>
    <s v="&lt;null&gt;"/>
    <s v="&lt;null&gt;"/>
    <s v="&lt;null&gt;"/>
    <s v="&lt;null&gt;"/>
    <n v="100"/>
    <s v="&lt;null&gt;"/>
    <s v="&lt;null&gt;"/>
    <s v="&lt;null&gt;"/>
    <s v="&lt;null&gt;"/>
    <m/>
    <m/>
    <m/>
    <m/>
  </r>
  <r>
    <x v="896"/>
    <x v="896"/>
    <s v="Verkeersveiligheid"/>
    <x v="4"/>
    <n v="1046"/>
    <s v="IN/000975"/>
    <s v="Ingreep schoolroute in Harelbeke op Oversteken Marktstraat thv Marktstraat 64"/>
    <s v="Aanleg van het dubbelrichtingsfietspad aan de zijde van de doorsteek naar de\nBallingweg."/>
    <s v="Kleine Ingreep"/>
    <s v="WWV/INV/N43/4"/>
    <b v="0"/>
    <s v="Ingreep wordt niet opgevolgd in BOD"/>
    <s v="&lt;null&gt;"/>
    <s v="&lt;null&gt;"/>
    <s v="&lt;null&gt;"/>
    <s v="&lt;null&gt;"/>
    <s v="&lt;null&gt;"/>
    <x v="0"/>
    <s v="&lt;null&gt;"/>
    <s v="&lt;null&gt;"/>
    <s v="&lt;null&gt;"/>
    <s v="&lt;null&gt;"/>
    <n v="100"/>
    <s v="&lt;null&gt;"/>
    <s v="&lt;null&gt;"/>
    <s v="&lt;null&gt;"/>
    <s v="&lt;null&gt;"/>
    <m/>
    <m/>
    <m/>
    <m/>
  </r>
  <r>
    <x v="897"/>
    <x v="897"/>
    <s v="Verkeersveiligheid"/>
    <x v="4"/>
    <n v="1047"/>
    <s v="IN/000976"/>
    <s v="VRI thv Marktstraat 29, stadhuis"/>
    <s v="&lt;null&gt;"/>
    <s v="Kleine Ingreep"/>
    <s v="WWV/INV/N43/8"/>
    <b v="0"/>
    <s v="Ingreep wordt niet opgevolgd in BOD"/>
    <s v="&lt;null&gt;"/>
    <s v="&lt;null&gt;"/>
    <s v="&lt;null&gt;"/>
    <s v="&lt;null&gt;"/>
    <s v="&lt;null&gt;"/>
    <x v="0"/>
    <s v="&lt;null&gt;"/>
    <s v="&lt;null&gt;"/>
    <s v="&lt;null&gt;"/>
    <s v="&lt;null&gt;"/>
    <n v="100"/>
    <s v="&lt;null&gt;"/>
    <s v="&lt;null&gt;"/>
    <s v="&lt;null&gt;"/>
    <s v="&lt;null&gt;"/>
    <m/>
    <m/>
    <m/>
    <m/>
  </r>
  <r>
    <x v="898"/>
    <x v="898"/>
    <s v="Verkeersveiligheid"/>
    <x v="4"/>
    <n v="1048"/>
    <s v="IN/000977"/>
    <s v="Ingreep schoolroute in Harelbeke op Oversteek marktstraat-Stationsstraat"/>
    <s v="Voorzien van fietsoversteek thv de bestaande voetgangersoversteek. Aanpassen middengeleider en aanbrengen markeringen.\nAlsook het aanpassen van de signlisatie en de bewegwijzering naar de verschillende fietsroute."/>
    <s v="Kleine Ingreep"/>
    <s v="WWV/INV/N43/5"/>
    <b v="1"/>
    <s v="Ingreep wordt opgevolgd in BOD"/>
    <s v="&lt;null&gt;"/>
    <s v="&lt;null&gt;"/>
    <n v="118401"/>
    <n v="21065771"/>
    <s v="&lt;p&gt;OF AWV/INV/2021/3 P3 3mh230 schoolroutes&lt;/p&gt;"/>
    <x v="9"/>
    <n v="9922"/>
    <s v="IN977 N43 Harelbeke"/>
    <s v="&lt;null&gt;"/>
    <s v="WWV/INV/N43/5"/>
    <n v="100"/>
    <n v="25000"/>
    <n v="0"/>
    <n v="0"/>
    <n v="25000"/>
    <n v="25000"/>
    <n v="0"/>
    <n v="0"/>
    <n v="25000"/>
  </r>
  <r>
    <x v="899"/>
    <x v="899"/>
    <s v="Verkeersveiligheid"/>
    <x v="4"/>
    <n v="1049"/>
    <s v="IN/000978"/>
    <s v="Ingreep schoolroute in Heusden-Zolder op Knelpunt prioriteit 1: Koolmijnlaan x Pater Amideuslaan"/>
    <s v="&lt;null&gt;"/>
    <s v="Kleine Ingreep"/>
    <s v="&lt;null&gt;"/>
    <b v="0"/>
    <s v="Ingreep wordt niet opgevolgd in BOD"/>
    <s v="&lt;null&gt;"/>
    <s v="&lt;null&gt;"/>
    <s v="&lt;null&gt;"/>
    <s v="&lt;null&gt;"/>
    <s v="&lt;null&gt;"/>
    <x v="0"/>
    <s v="&lt;null&gt;"/>
    <s v="&lt;null&gt;"/>
    <s v="&lt;null&gt;"/>
    <s v="&lt;null&gt;"/>
    <n v="100"/>
    <s v="&lt;null&gt;"/>
    <s v="&lt;null&gt;"/>
    <s v="&lt;null&gt;"/>
    <s v="&lt;null&gt;"/>
    <m/>
    <m/>
    <m/>
    <m/>
  </r>
  <r>
    <x v="900"/>
    <x v="900"/>
    <s v="Verkeersveiligheid"/>
    <x v="4"/>
    <n v="1050"/>
    <s v="IN/000979"/>
    <s v="Ingreep schoolroute in Heusden-Zolder op Knelpunt prioriteit 3: Onze-Lieve-Straat x Eikhof"/>
    <s v="&lt;null&gt;"/>
    <s v="Kleine Ingreep"/>
    <s v="WL/INV/N729/7"/>
    <b v="1"/>
    <s v="Ingreep wordt opgevolgd in BOD"/>
    <n v="6813"/>
    <s v="O70/0/748-P1"/>
    <n v="57501"/>
    <n v="20057801"/>
    <s v="&lt;p&gt;Lev en/of pl van niet-inwendig verlichte verkeersborden (politieborden en bewegwijzering) langs gewestwegen Perceel 1: district West-Limburg verlenging&lt;/p&gt;"/>
    <x v="20"/>
    <n v="5719"/>
    <s v="KS642"/>
    <s v="&lt;p&gt;SCHOOLROUTES&lt;/p&gt;"/>
    <s v="WL/INV/N729/7"/>
    <n v="100"/>
    <n v="2122"/>
    <n v="2122"/>
    <n v="0"/>
    <n v="0"/>
    <n v="2122"/>
    <n v="2122"/>
    <n v="0"/>
    <n v="0"/>
  </r>
  <r>
    <x v="901"/>
    <x v="901"/>
    <s v="Verkeersveiligheid"/>
    <x v="4"/>
    <n v="1051"/>
    <s v="IN/000980"/>
    <s v="Ingreep schoolroute in Overijse op Waversesteenweg N4, deel tussen Grotstraat en Vossebeekweg"/>
    <s v="QW2: aanleg middeneilanden\nQW3: aanleg toeleidende fietspaden op Hertstraat\n+ verschuiven bushalte 30 m naar zuiden\n\nAndere ingrepen is:\nQW1: verplaatsen bebouwde kom, verlagen snelheidslimiet naar 50 km/u\n\n\n"/>
    <s v="Kleine Ingreep"/>
    <s v="WVB/INV/N4/2"/>
    <b v="0"/>
    <s v="Ingreep wordt niet opgevolgd in BOD"/>
    <s v="&lt;null&gt;"/>
    <s v="&lt;null&gt;"/>
    <s v="&lt;null&gt;"/>
    <s v="&lt;null&gt;"/>
    <s v="&lt;null&gt;"/>
    <x v="0"/>
    <s v="&lt;null&gt;"/>
    <s v="&lt;null&gt;"/>
    <s v="&lt;null&gt;"/>
    <s v="&lt;null&gt;"/>
    <n v="100"/>
    <s v="&lt;null&gt;"/>
    <s v="&lt;null&gt;"/>
    <s v="&lt;null&gt;"/>
    <s v="&lt;null&gt;"/>
    <m/>
    <m/>
    <m/>
    <m/>
  </r>
  <r>
    <x v="902"/>
    <x v="902"/>
    <s v="Verkeersveiligheid"/>
    <x v="4"/>
    <n v="1052"/>
    <s v="IN/000981"/>
    <s v="Ingreep schoolroute in Overijse op Waversesteenweg kruispunt met Lanestraat (en Leemveldstraat)"/>
    <s v="Oversteekplaats fietsers met middeneiland, aanpassen van het fietspad, aanbrengen van overrijdbare rammelstrook"/>
    <s v="Kleine Ingreep"/>
    <s v="WVB/INV/N4/3"/>
    <b v="0"/>
    <s v="Ingreep wordt niet opgevolgd in BOD"/>
    <s v="&lt;null&gt;"/>
    <s v="&lt;null&gt;"/>
    <s v="&lt;null&gt;"/>
    <s v="&lt;null&gt;"/>
    <s v="&lt;null&gt;"/>
    <x v="0"/>
    <s v="&lt;null&gt;"/>
    <s v="&lt;null&gt;"/>
    <s v="&lt;null&gt;"/>
    <s v="&lt;null&gt;"/>
    <n v="100"/>
    <s v="&lt;null&gt;"/>
    <s v="&lt;null&gt;"/>
    <s v="&lt;null&gt;"/>
    <s v="&lt;null&gt;"/>
    <m/>
    <m/>
    <m/>
    <m/>
  </r>
  <r>
    <x v="903"/>
    <x v="903"/>
    <s v="Verkeersveiligheid"/>
    <x v="4"/>
    <n v="1053"/>
    <s v="IN/000982"/>
    <s v="Ingreep schoolroute in Overijse op Waversesteenweg kruispunt met Abstraat/Kerkstraat"/>
    <s v="&lt;null&gt;"/>
    <s v="Kleine Ingreep"/>
    <s v="WVB/INV/N4/4"/>
    <b v="0"/>
    <s v="Ingreep wordt niet opgevolgd in BOD"/>
    <s v="&lt;null&gt;"/>
    <s v="&lt;null&gt;"/>
    <s v="&lt;null&gt;"/>
    <s v="&lt;null&gt;"/>
    <s v="&lt;null&gt;"/>
    <x v="0"/>
    <s v="&lt;null&gt;"/>
    <s v="&lt;null&gt;"/>
    <s v="&lt;null&gt;"/>
    <s v="&lt;null&gt;"/>
    <n v="100"/>
    <s v="&lt;null&gt;"/>
    <s v="&lt;null&gt;"/>
    <s v="&lt;null&gt;"/>
    <s v="&lt;null&gt;"/>
    <m/>
    <m/>
    <m/>
    <m/>
  </r>
  <r>
    <x v="904"/>
    <x v="904"/>
    <s v="Verkeersveiligheid"/>
    <x v="4"/>
    <n v="1054"/>
    <s v="IN/000983"/>
    <s v="Ingreep schoolroute in Overijse op N4 -Waversesteenweg/Brusselsesteenweg"/>
    <s v="Voetpad aanpassen tot gedeeld fiets en voetpad"/>
    <s v="Kleine Ingreep"/>
    <s v="WVB/INV/N4/5"/>
    <b v="0"/>
    <s v="Ingreep wordt niet opgevolgd in BOD"/>
    <s v="&lt;null&gt;"/>
    <s v="&lt;null&gt;"/>
    <s v="&lt;null&gt;"/>
    <s v="&lt;null&gt;"/>
    <s v="&lt;null&gt;"/>
    <x v="0"/>
    <s v="&lt;null&gt;"/>
    <s v="&lt;null&gt;"/>
    <s v="&lt;null&gt;"/>
    <s v="&lt;null&gt;"/>
    <n v="100"/>
    <s v="&lt;null&gt;"/>
    <s v="&lt;null&gt;"/>
    <s v="&lt;null&gt;"/>
    <s v="&lt;null&gt;"/>
    <m/>
    <m/>
    <m/>
    <m/>
  </r>
  <r>
    <x v="905"/>
    <x v="905"/>
    <s v="Verkeersveiligheid"/>
    <x v="4"/>
    <n v="1055"/>
    <s v="IN/000984"/>
    <s v="Ingreep schoolroute in Overijse op Waversesteenweg N4 kruispunt N253"/>
    <s v="Markering haaientanden"/>
    <s v="Kleine Ingreep"/>
    <s v="WVB/INV/N253/8"/>
    <b v="0"/>
    <s v="Ingreep wordt niet opgevolgd in BOD"/>
    <s v="&lt;null&gt;"/>
    <s v="&lt;null&gt;"/>
    <s v="&lt;null&gt;"/>
    <s v="&lt;null&gt;"/>
    <s v="&lt;null&gt;"/>
    <x v="0"/>
    <s v="&lt;null&gt;"/>
    <s v="&lt;null&gt;"/>
    <s v="&lt;null&gt;"/>
    <s v="&lt;null&gt;"/>
    <n v="100"/>
    <s v="&lt;null&gt;"/>
    <s v="&lt;null&gt;"/>
    <s v="&lt;null&gt;"/>
    <s v="&lt;null&gt;"/>
    <m/>
    <m/>
    <m/>
    <m/>
  </r>
  <r>
    <x v="906"/>
    <x v="906"/>
    <s v="Verkeersveiligheid"/>
    <x v="4"/>
    <n v="1056"/>
    <s v="IN/000985"/>
    <s v="Ingreep schoolroute in Overijse op Brusselsesteenweg n4"/>
    <s v="Plaatsen van fietslogo's (na vernieuwing asfalt)"/>
    <s v="Kleine Ingreep"/>
    <s v="WVB/INV/N4/6"/>
    <b v="0"/>
    <s v="Ingreep wordt niet opgevolgd in BOD"/>
    <s v="&lt;null&gt;"/>
    <s v="&lt;null&gt;"/>
    <s v="&lt;null&gt;"/>
    <s v="&lt;null&gt;"/>
    <s v="&lt;null&gt;"/>
    <x v="0"/>
    <s v="&lt;null&gt;"/>
    <s v="&lt;null&gt;"/>
    <s v="&lt;null&gt;"/>
    <s v="&lt;null&gt;"/>
    <n v="100"/>
    <s v="&lt;null&gt;"/>
    <s v="&lt;null&gt;"/>
    <s v="&lt;null&gt;"/>
    <s v="&lt;null&gt;"/>
    <m/>
    <m/>
    <m/>
    <m/>
  </r>
  <r>
    <x v="907"/>
    <x v="907"/>
    <s v="Verkeersveiligheid"/>
    <x v="4"/>
    <n v="1057"/>
    <s v="IN/000986"/>
    <s v="Ingreep schoolroute in Bierbeek op Tiensesteenweg (N3) te Bierbeek thv de omgeving van de Sint-Pietersschool (Kloosterstraat 2)"/>
    <s v="Aansluiting met de heraangelegde Kloosterstraat (herinrichting kruispunt)"/>
    <s v="Kleine Ingreep"/>
    <s v="&lt;null&gt;"/>
    <b v="0"/>
    <s v="Ingreep wordt niet opgevolgd in BOD"/>
    <s v="&lt;null&gt;"/>
    <s v="&lt;null&gt;"/>
    <s v="&lt;null&gt;"/>
    <s v="&lt;null&gt;"/>
    <s v="&lt;null&gt;"/>
    <x v="0"/>
    <s v="&lt;null&gt;"/>
    <s v="&lt;null&gt;"/>
    <s v="&lt;null&gt;"/>
    <s v="&lt;null&gt;"/>
    <n v="100"/>
    <s v="&lt;null&gt;"/>
    <s v="&lt;null&gt;"/>
    <s v="&lt;null&gt;"/>
    <s v="&lt;null&gt;"/>
    <m/>
    <m/>
    <m/>
    <m/>
  </r>
  <r>
    <x v="908"/>
    <x v="908"/>
    <s v="Verkeersveiligheid"/>
    <x v="4"/>
    <n v="1058"/>
    <s v="IN/000987"/>
    <s v="Ingreep schoolroute in Pepingen op EikstraatxN28"/>
    <s v="&lt;null&gt;"/>
    <s v="Kleine Ingreep"/>
    <s v="WVB/INV/N28/6"/>
    <b v="0"/>
    <s v="Ingreep wordt niet opgevolgd in BOD"/>
    <s v="&lt;null&gt;"/>
    <s v="&lt;null&gt;"/>
    <s v="&lt;null&gt;"/>
    <s v="&lt;null&gt;"/>
    <s v="&lt;null&gt;"/>
    <x v="0"/>
    <s v="&lt;null&gt;"/>
    <s v="&lt;null&gt;"/>
    <s v="&lt;null&gt;"/>
    <s v="&lt;null&gt;"/>
    <n v="100"/>
    <s v="&lt;null&gt;"/>
    <s v="&lt;null&gt;"/>
    <s v="&lt;null&gt;"/>
    <s v="&lt;null&gt;"/>
    <m/>
    <m/>
    <m/>
    <m/>
  </r>
  <r>
    <x v="909"/>
    <x v="909"/>
    <s v="Verkeersveiligheid"/>
    <x v="4"/>
    <n v="1059"/>
    <s v="IN/000988"/>
    <s v="Ingreep schoolroute in Pepingen op gemarkeerde oversteken van doortocht N28 in Pepingen-centrum"/>
    <s v="&lt;null&gt;"/>
    <s v="Kleine Ingreep"/>
    <s v="WVB/INV/N28/4"/>
    <b v="0"/>
    <s v="Ingreep wordt niet opgevolgd in BOD"/>
    <n v="10519"/>
    <s v="VWT/WU/2020/007.004"/>
    <n v="76201"/>
    <n v="21013952"/>
    <s v="&lt;p&gt;Vastlegging 3 : Het aanpassen en uitrusten van oversteekplaatsen voor zwakke weggebruikers met (punctuele) verlichting en ingrepen van beperkte omvang&lt;/p&gt;"/>
    <x v="6"/>
    <n v="7505"/>
    <s v="Relance schoolroutes VVOP in N28 x Kamstraat te Pepingen"/>
    <s v="&lt;null&gt;"/>
    <s v="WVB/INV/N28/4"/>
    <n v="100"/>
    <n v="47841.84"/>
    <n v="0"/>
    <n v="0"/>
    <n v="0"/>
    <n v="47841.84"/>
    <n v="0"/>
    <n v="0"/>
    <n v="0"/>
  </r>
  <r>
    <x v="910"/>
    <x v="910"/>
    <s v="Verkeersveiligheid"/>
    <x v="4"/>
    <n v="1060"/>
    <s v="IN/000989"/>
    <s v="Ingreep schoolroute in Pepingen op doortocht Pepingen - N28 (tussen Okay en Palokenstraat)"/>
    <s v="QW1: Extra signalisatie plaatsen bij de oversteek\nQW2: Beide oversteekplaatsen éénrichting maken"/>
    <s v="Kleine Ingreep"/>
    <s v="WVB/INV/N28/7"/>
    <b v="0"/>
    <s v="Ingreep wordt niet opgevolgd in BOD"/>
    <s v="&lt;null&gt;"/>
    <s v="&lt;null&gt;"/>
    <s v="&lt;null&gt;"/>
    <s v="&lt;null&gt;"/>
    <s v="&lt;null&gt;"/>
    <x v="0"/>
    <s v="&lt;null&gt;"/>
    <s v="&lt;null&gt;"/>
    <s v="&lt;null&gt;"/>
    <s v="&lt;null&gt;"/>
    <n v="100"/>
    <s v="&lt;null&gt;"/>
    <s v="&lt;null&gt;"/>
    <s v="&lt;null&gt;"/>
    <s v="&lt;null&gt;"/>
    <m/>
    <m/>
    <m/>
    <m/>
  </r>
  <r>
    <x v="911"/>
    <x v="911"/>
    <s v="Verkeersveiligheid"/>
    <x v="4"/>
    <n v="1061"/>
    <s v="IN/000990"/>
    <s v="Ingreep schoolroute in Spiere-Helkijn op Het knelpunt situeert zich langs de N512 ter hoogte van de Heilig-Hartkerk van Spiere. Nabij gelegen bevinden zich de Sint-Amandswijk en de Grote Spierebeek. Het betreft het Robecijnplein."/>
    <s v="&lt;null&gt;"/>
    <s v="Kleine Ingreep"/>
    <s v="&lt;null&gt;"/>
    <b v="0"/>
    <s v="Ingreep wordt niet opgevolgd in BOD"/>
    <s v="&lt;null&gt;"/>
    <s v="&lt;null&gt;"/>
    <s v="&lt;null&gt;"/>
    <s v="&lt;null&gt;"/>
    <s v="&lt;null&gt;"/>
    <x v="0"/>
    <s v="&lt;null&gt;"/>
    <s v="&lt;null&gt;"/>
    <s v="&lt;null&gt;"/>
    <s v="&lt;null&gt;"/>
    <n v="100"/>
    <s v="&lt;null&gt;"/>
    <s v="&lt;null&gt;"/>
    <s v="&lt;null&gt;"/>
    <s v="&lt;null&gt;"/>
    <m/>
    <m/>
    <m/>
    <m/>
  </r>
  <r>
    <x v="912"/>
    <x v="912"/>
    <s v="Verkeersveiligheid"/>
    <x v="4"/>
    <n v="1062"/>
    <s v="IN/000991"/>
    <s v="Alternatief voor gevleugeld zebrapad in Ichtegem op kruispunt N368 - 's gravendriesschelaan"/>
    <s v="&lt;null&gt;"/>
    <s v="Kleine Ingreep"/>
    <s v="WWV/INV/N368/10"/>
    <b v="0"/>
    <s v="Ingreep wordt niet opgevolgd in BOD"/>
    <s v="&lt;null&gt;"/>
    <s v="&lt;null&gt;"/>
    <n v="118401"/>
    <n v="21065771"/>
    <s v="&lt;p&gt;OF AWV/INV/2021/3 P3 3mh230 schoolroutes&lt;/p&gt;"/>
    <x v="9"/>
    <n v="8369"/>
    <s v="IN 991 N368 Ichtegem"/>
    <s v="&lt;null&gt;"/>
    <s v="WWV/INV/N368/10"/>
    <n v="100"/>
    <n v="12397"/>
    <n v="0"/>
    <n v="0"/>
    <n v="12397"/>
    <n v="12397"/>
    <n v="0"/>
    <n v="0"/>
    <n v="12397"/>
  </r>
  <r>
    <x v="913"/>
    <x v="913"/>
    <s v="Verkeersveiligheid"/>
    <x v="4"/>
    <n v="1063"/>
    <s v="IN/000992"/>
    <s v="Ingreep schoolroute in Lille op Oostmalsebaan N153 thv het kruispunt Bergpad-Stepke"/>
    <s v="&lt;null&gt;"/>
    <s v="Kleine Ingreep"/>
    <s v="WA/INV/N153/14"/>
    <b v="0"/>
    <s v="Ingreep wordt niet opgevolgd in BOD"/>
    <s v="&lt;null&gt;"/>
    <s v="&lt;null&gt;"/>
    <s v="&lt;null&gt;"/>
    <s v="&lt;null&gt;"/>
    <s v="&lt;null&gt;"/>
    <x v="0"/>
    <s v="&lt;null&gt;"/>
    <s v="&lt;null&gt;"/>
    <s v="&lt;null&gt;"/>
    <s v="&lt;null&gt;"/>
    <n v="100"/>
    <s v="&lt;null&gt;"/>
    <s v="&lt;null&gt;"/>
    <s v="&lt;null&gt;"/>
    <s v="&lt;null&gt;"/>
    <m/>
    <m/>
    <m/>
    <m/>
  </r>
  <r>
    <x v="914"/>
    <x v="914"/>
    <s v="Verkeersveiligheid"/>
    <x v="4"/>
    <n v="1064"/>
    <s v="IN/000993"/>
    <s v="Ingreep schoolroute in Lille op Dorp N153 thv kruispunt Slaaplaken-doorsteekje Wijngaard"/>
    <s v="&lt;null&gt;"/>
    <s v="Kleine Ingreep"/>
    <s v="WA/INV/N153/11"/>
    <b v="0"/>
    <s v="Ingreep wordt niet opgevolgd in BOD"/>
    <s v="&lt;null&gt;"/>
    <s v="&lt;null&gt;"/>
    <s v="&lt;null&gt;"/>
    <s v="&lt;null&gt;"/>
    <s v="&lt;null&gt;"/>
    <x v="0"/>
    <s v="&lt;null&gt;"/>
    <s v="&lt;null&gt;"/>
    <s v="&lt;null&gt;"/>
    <s v="&lt;null&gt;"/>
    <n v="100"/>
    <s v="&lt;null&gt;"/>
    <s v="&lt;null&gt;"/>
    <s v="&lt;null&gt;"/>
    <s v="&lt;null&gt;"/>
    <m/>
    <m/>
    <m/>
    <m/>
  </r>
  <r>
    <x v="915"/>
    <x v="915"/>
    <s v="Verkeersveiligheid"/>
    <x v="4"/>
    <n v="1065"/>
    <s v="IN/000994"/>
    <s v="Ingreep schoolroute in Lille op Rechtestraat N153 thv kruispunt Wasserijstraat"/>
    <s v="&lt;null&gt;"/>
    <s v="Kleine Ingreep"/>
    <s v="WA/INV/N153/15"/>
    <b v="0"/>
    <s v="Ingreep wordt niet opgevolgd in BOD"/>
    <s v="&lt;null&gt;"/>
    <s v="&lt;null&gt;"/>
    <s v="&lt;null&gt;"/>
    <s v="&lt;null&gt;"/>
    <s v="&lt;null&gt;"/>
    <x v="0"/>
    <s v="&lt;null&gt;"/>
    <s v="&lt;null&gt;"/>
    <s v="&lt;null&gt;"/>
    <s v="&lt;null&gt;"/>
    <n v="100"/>
    <s v="&lt;null&gt;"/>
    <s v="&lt;null&gt;"/>
    <s v="&lt;null&gt;"/>
    <s v="&lt;null&gt;"/>
    <m/>
    <m/>
    <m/>
    <m/>
  </r>
  <r>
    <x v="916"/>
    <x v="916"/>
    <s v="Verkeersveiligheid"/>
    <x v="4"/>
    <n v="1066"/>
    <s v="IN/000995"/>
    <s v="Ingreep schoolroute in Boutersem op Korte Steeg - N3 - Nieuwstraat (N3 tussen km 35,2 en 35,3)"/>
    <s v="Fietsoversteekplaats met fietslogo verbindingsmarkering zonder VOP"/>
    <s v="Kleine Ingreep"/>
    <s v="WVB/INV/N3/10"/>
    <b v="0"/>
    <s v="Ingreep wordt niet opgevolgd in BOD"/>
    <s v="&lt;null&gt;"/>
    <s v="&lt;null&gt;"/>
    <s v="&lt;null&gt;"/>
    <s v="&lt;null&gt;"/>
    <s v="&lt;null&gt;"/>
    <x v="0"/>
    <s v="&lt;null&gt;"/>
    <s v="&lt;null&gt;"/>
    <s v="&lt;null&gt;"/>
    <s v="&lt;null&gt;"/>
    <n v="100"/>
    <s v="&lt;null&gt;"/>
    <s v="&lt;null&gt;"/>
    <s v="&lt;null&gt;"/>
    <s v="&lt;null&gt;"/>
    <m/>
    <m/>
    <m/>
    <m/>
  </r>
  <r>
    <x v="917"/>
    <x v="917"/>
    <s v="Verkeersveiligheid"/>
    <x v="4"/>
    <n v="1067"/>
    <s v="IN/000996"/>
    <s v="Verlichting (OV, VVOP/VFOP...) in Boutersem op Kruispunt Stationsstraat met Leuvensesteenweg N3"/>
    <s v="&lt;null&gt;"/>
    <s v="Kleine Ingreep"/>
    <s v="WVB/INV/N3/11"/>
    <b v="0"/>
    <s v="Ingreep wordt niet opgevolgd in BOD"/>
    <s v="&lt;null&gt;"/>
    <s v="&lt;null&gt;"/>
    <s v="&lt;null&gt;"/>
    <s v="&lt;null&gt;"/>
    <s v="&lt;null&gt;"/>
    <x v="0"/>
    <s v="&lt;null&gt;"/>
    <s v="&lt;null&gt;"/>
    <s v="&lt;null&gt;"/>
    <s v="&lt;null&gt;"/>
    <n v="100"/>
    <s v="&lt;null&gt;"/>
    <s v="&lt;null&gt;"/>
    <s v="&lt;null&gt;"/>
    <s v="&lt;null&gt;"/>
    <m/>
    <m/>
    <m/>
    <m/>
  </r>
  <r>
    <x v="918"/>
    <x v="918"/>
    <s v="Verkeersveiligheid"/>
    <x v="4"/>
    <n v="1068"/>
    <s v="IN/000997"/>
    <s v="Ingreep schoolroute in Boutersem op Oversteek Kolemveld naar Oude Baan Leuvensesteenweg N3 tussen km 36,9 en km 37"/>
    <s v="QW1 snelheidsverlaging 50km/u wordt weerhouden.\nQW2 oversteekplaats voor voetgangers aan de westzijde van kruispunt"/>
    <s v="Kleine Ingreep"/>
    <s v="WVB/INV/N3/12"/>
    <b v="0"/>
    <s v="Ingreep wordt niet opgevolgd in BOD"/>
    <s v="&lt;null&gt;"/>
    <s v="&lt;null&gt;"/>
    <s v="&lt;null&gt;"/>
    <s v="&lt;null&gt;"/>
    <s v="&lt;null&gt;"/>
    <x v="0"/>
    <s v="&lt;null&gt;"/>
    <s v="&lt;null&gt;"/>
    <s v="&lt;null&gt;"/>
    <s v="&lt;null&gt;"/>
    <n v="100"/>
    <s v="&lt;null&gt;"/>
    <s v="&lt;null&gt;"/>
    <s v="&lt;null&gt;"/>
    <s v="&lt;null&gt;"/>
    <m/>
    <m/>
    <m/>
    <m/>
  </r>
  <r>
    <x v="919"/>
    <x v="919"/>
    <s v="Verkeersveiligheid"/>
    <x v="4"/>
    <n v="1069"/>
    <s v="IN/000998"/>
    <s v="Ingreep schoolroute in Boutersem op Verzakkingen fietspad Stationsstraat - N234 tussen km 0 en 0,9"/>
    <s v="Nieuwe toplaag asfalt + slemlaag"/>
    <s v="Kleine Ingreep"/>
    <s v="WVB/INV/N234/3"/>
    <b v="0"/>
    <s v="Ingreep wordt niet opgevolgd in BOD"/>
    <s v="&lt;null&gt;"/>
    <s v="&lt;null&gt;"/>
    <s v="&lt;null&gt;"/>
    <s v="&lt;null&gt;"/>
    <s v="&lt;null&gt;"/>
    <x v="0"/>
    <s v="&lt;null&gt;"/>
    <s v="&lt;null&gt;"/>
    <s v="&lt;null&gt;"/>
    <s v="&lt;null&gt;"/>
    <n v="100"/>
    <s v="&lt;null&gt;"/>
    <s v="&lt;null&gt;"/>
    <s v="&lt;null&gt;"/>
    <s v="&lt;null&gt;"/>
    <m/>
    <m/>
    <m/>
    <m/>
  </r>
  <r>
    <x v="920"/>
    <x v="920"/>
    <s v="Verkeersveiligheid"/>
    <x v="4"/>
    <n v="1070"/>
    <s v="IN/000999"/>
    <s v="Ingreep schoolroute in Wielsbeke op kruispunt N357 ter hoogte van De Baron Vanderbruggenlaan"/>
    <s v="&lt;null&gt;"/>
    <s v="Kleine Ingreep"/>
    <s v="WWV/INV/N357/9"/>
    <b v="0"/>
    <s v="Ingreep wordt niet opgevolgd in BOD"/>
    <s v="&lt;null&gt;"/>
    <s v="&lt;null&gt;"/>
    <s v="&lt;null&gt;"/>
    <s v="&lt;null&gt;"/>
    <s v="&lt;null&gt;"/>
    <x v="0"/>
    <s v="&lt;null&gt;"/>
    <s v="&lt;null&gt;"/>
    <s v="&lt;null&gt;"/>
    <s v="&lt;null&gt;"/>
    <n v="100"/>
    <s v="&lt;null&gt;"/>
    <s v="&lt;null&gt;"/>
    <s v="&lt;null&gt;"/>
    <s v="&lt;null&gt;"/>
    <m/>
    <m/>
    <m/>
    <m/>
  </r>
  <r>
    <x v="921"/>
    <x v="921"/>
    <s v="Verkeersveiligheid"/>
    <x v="4"/>
    <n v="1071"/>
    <s v="IN/001000"/>
    <s v="Ingreep schoolroute in Duffel op Fietsoversteekplaats Oude Liersebaan-Binnenweg"/>
    <s v="&lt;null&gt;"/>
    <s v="Kleine Ingreep"/>
    <s v="WA/INV/N108/5"/>
    <b v="0"/>
    <s v="Ingreep wordt niet opgevolgd in BOD"/>
    <s v="&lt;null&gt;"/>
    <s v="&lt;null&gt;"/>
    <s v="&lt;null&gt;"/>
    <s v="&lt;null&gt;"/>
    <s v="&lt;null&gt;"/>
    <x v="0"/>
    <s v="&lt;null&gt;"/>
    <s v="&lt;null&gt;"/>
    <s v="&lt;null&gt;"/>
    <s v="&lt;null&gt;"/>
    <n v="100"/>
    <s v="&lt;null&gt;"/>
    <s v="&lt;null&gt;"/>
    <s v="&lt;null&gt;"/>
    <s v="&lt;null&gt;"/>
    <m/>
    <m/>
    <m/>
    <m/>
  </r>
  <r>
    <x v="922"/>
    <x v="922"/>
    <s v="Verkeersveiligheid"/>
    <x v="4"/>
    <n v="1072"/>
    <s v="IN/001001"/>
    <s v="Ingreep schoolroute in Duffel op fietsoversteekplaats kruispunt N14-N108"/>
    <s v="&lt;null&gt;"/>
    <s v="Structurele Ingreep"/>
    <s v="&lt;null&gt;"/>
    <b v="0"/>
    <s v="Ingreep wordt niet opgevolgd in BOD"/>
    <s v="&lt;null&gt;"/>
    <s v="&lt;null&gt;"/>
    <s v="&lt;null&gt;"/>
    <s v="&lt;null&gt;"/>
    <s v="&lt;null&gt;"/>
    <x v="0"/>
    <s v="&lt;null&gt;"/>
    <s v="&lt;null&gt;"/>
    <s v="&lt;null&gt;"/>
    <s v="&lt;null&gt;"/>
    <n v="100"/>
    <s v="&lt;null&gt;"/>
    <s v="&lt;null&gt;"/>
    <s v="&lt;null&gt;"/>
    <s v="&lt;null&gt;"/>
    <m/>
    <m/>
    <m/>
    <m/>
  </r>
  <r>
    <x v="923"/>
    <x v="923"/>
    <s v="Verkeersveiligheid"/>
    <x v="4"/>
    <n v="1073"/>
    <s v="IN/001002"/>
    <s v="Ingreep schoolroute in Duffel op kruispunt N14 (Kiliaanstraat) - Molenstraat"/>
    <s v="&lt;null&gt;"/>
    <s v="Kleine Ingreep"/>
    <s v="WA/INV/N14/11"/>
    <b v="0"/>
    <s v="Ingreep wordt niet opgevolgd in BOD"/>
    <s v="&lt;null&gt;"/>
    <s v="&lt;null&gt;"/>
    <s v="&lt;null&gt;"/>
    <s v="&lt;null&gt;"/>
    <s v="&lt;null&gt;"/>
    <x v="0"/>
    <s v="&lt;null&gt;"/>
    <s v="&lt;null&gt;"/>
    <s v="&lt;null&gt;"/>
    <s v="&lt;null&gt;"/>
    <n v="100"/>
    <s v="&lt;null&gt;"/>
    <s v="&lt;null&gt;"/>
    <s v="&lt;null&gt;"/>
    <s v="&lt;null&gt;"/>
    <m/>
    <m/>
    <m/>
    <m/>
  </r>
  <r>
    <x v="924"/>
    <x v="924"/>
    <s v="Verkeersveiligheid"/>
    <x v="4"/>
    <n v="1074"/>
    <s v="IN/001003"/>
    <s v="Ingreep schoolroute in Duffel op fietsoversteekplaats N108 (Berkhoevelaan) - Lindenlei"/>
    <s v="&lt;null&gt;"/>
    <s v="Kleine Ingreep"/>
    <s v="&lt;null&gt;"/>
    <b v="0"/>
    <s v="Ingreep wordt niet opgevolgd in BOD"/>
    <s v="&lt;null&gt;"/>
    <s v="&lt;null&gt;"/>
    <s v="&lt;null&gt;"/>
    <s v="&lt;null&gt;"/>
    <s v="&lt;null&gt;"/>
    <x v="0"/>
    <s v="&lt;null&gt;"/>
    <s v="&lt;null&gt;"/>
    <s v="&lt;null&gt;"/>
    <s v="&lt;null&gt;"/>
    <n v="100"/>
    <s v="&lt;null&gt;"/>
    <s v="&lt;null&gt;"/>
    <s v="&lt;null&gt;"/>
    <s v="&lt;null&gt;"/>
    <m/>
    <m/>
    <m/>
    <m/>
  </r>
  <r>
    <x v="925"/>
    <x v="925"/>
    <s v="Verkeersveiligheid"/>
    <x v="4"/>
    <n v="1075"/>
    <s v="IN/001004"/>
    <s v="Ingreep schoolroute in Nieuwpoort op N396 – tussen kmpt. Tussen +/- 0.0 en +/- 0,7 - Canadalaan, Nieuwpoort"/>
    <s v="aslijn verwijderen, aanbrengen fietslogo's en overgang van fietspad naar logo's met okerstrook."/>
    <s v="Kleine Ingreep"/>
    <s v="WWV/INV/N396/4"/>
    <b v="0"/>
    <s v="Ingreep wordt niet opgevolgd in BOD"/>
    <s v="&lt;null&gt;"/>
    <s v="&lt;null&gt;"/>
    <s v="&lt;null&gt;"/>
    <s v="&lt;null&gt;"/>
    <s v="&lt;null&gt;"/>
    <x v="0"/>
    <s v="&lt;null&gt;"/>
    <s v="&lt;null&gt;"/>
    <s v="&lt;null&gt;"/>
    <s v="&lt;null&gt;"/>
    <n v="100"/>
    <s v="&lt;null&gt;"/>
    <s v="&lt;null&gt;"/>
    <s v="&lt;null&gt;"/>
    <s v="&lt;null&gt;"/>
    <m/>
    <m/>
    <m/>
    <m/>
  </r>
  <r>
    <x v="926"/>
    <x v="926"/>
    <s v="Verkeersveiligheid"/>
    <x v="4"/>
    <n v="1076"/>
    <s v="IN/001005"/>
    <s v="3 FOP's + natuursteen stroever maken"/>
    <s v="fietsoversteekplaatsen (3 x) inclusief afschuinen boordstenen + boorden ruwer maken"/>
    <s v="Kleine Ingreep"/>
    <s v="WL/INV/N721/2"/>
    <b v="0"/>
    <s v="Ingreep wordt niet opgevolgd in BOD"/>
    <s v="&lt;null&gt;"/>
    <s v="&lt;null&gt;"/>
    <s v="&lt;null&gt;"/>
    <s v="&lt;null&gt;"/>
    <s v="&lt;null&gt;"/>
    <x v="0"/>
    <s v="&lt;null&gt;"/>
    <s v="&lt;null&gt;"/>
    <s v="&lt;null&gt;"/>
    <s v="&lt;null&gt;"/>
    <n v="100"/>
    <s v="&lt;null&gt;"/>
    <s v="&lt;null&gt;"/>
    <s v="&lt;null&gt;"/>
    <s v="&lt;null&gt;"/>
    <m/>
    <m/>
    <m/>
    <m/>
  </r>
  <r>
    <x v="166"/>
    <x v="166"/>
    <s v="Verkeersveiligheid"/>
    <x v="4"/>
    <n v="1077"/>
    <s v="IN/001006"/>
    <s v="Ingreep schoolroute in Schoten op Kruispunt Eksterdreef - Kopstraat N115"/>
    <s v="&lt;null&gt;"/>
    <s v="Kleine Ingreep"/>
    <s v="&lt;null&gt;"/>
    <b v="0"/>
    <s v="Ingreep wordt niet opgevolgd in BOD"/>
    <s v="&lt;null&gt;"/>
    <s v="&lt;null&gt;"/>
    <s v="&lt;null&gt;"/>
    <s v="&lt;null&gt;"/>
    <s v="&lt;null&gt;"/>
    <x v="0"/>
    <s v="&lt;null&gt;"/>
    <s v="&lt;null&gt;"/>
    <s v="&lt;null&gt;"/>
    <s v="&lt;null&gt;"/>
    <n v="100"/>
    <s v="&lt;null&gt;"/>
    <s v="&lt;null&gt;"/>
    <s v="&lt;null&gt;"/>
    <s v="&lt;null&gt;"/>
    <m/>
    <m/>
    <m/>
    <m/>
  </r>
  <r>
    <x v="167"/>
    <x v="167"/>
    <s v="Verkeersveiligheid"/>
    <x v="4"/>
    <n v="1078"/>
    <s v="IN/001007"/>
    <s v="Ingreep schoolroute in Schoten op Brechtsebaan N115 – oversteekbaarheid &amp; bereikbaarheid bushaltes"/>
    <s v="&lt;null&gt;"/>
    <s v="Kleine Ingreep"/>
    <s v="WA/INV/N115/7"/>
    <b v="0"/>
    <s v="Ingreep wordt niet opgevolgd in BOD"/>
    <s v="&lt;null&gt;"/>
    <s v="&lt;null&gt;"/>
    <s v="&lt;null&gt;"/>
    <s v="&lt;null&gt;"/>
    <s v="&lt;null&gt;"/>
    <x v="0"/>
    <s v="&lt;null&gt;"/>
    <s v="&lt;null&gt;"/>
    <s v="&lt;null&gt;"/>
    <s v="&lt;null&gt;"/>
    <n v="100"/>
    <s v="&lt;null&gt;"/>
    <s v="&lt;null&gt;"/>
    <s v="&lt;null&gt;"/>
    <s v="&lt;null&gt;"/>
    <m/>
    <m/>
    <m/>
    <m/>
  </r>
  <r>
    <x v="927"/>
    <x v="927"/>
    <s v="Verkeersveiligheid"/>
    <x v="4"/>
    <n v="1079"/>
    <s v="IN/001008"/>
    <s v="Ingreep schoolroute in Nieuwpoort op N367 - rond kmpt 33.4 - Brugse Steenweg (nabij School De Pagaaier)"/>
    <s v="&lt;null&gt;"/>
    <s v="Kleine Ingreep"/>
    <s v="WWV/INV/N367/11"/>
    <b v="0"/>
    <s v="Ingreep wordt niet opgevolgd in BOD"/>
    <s v="&lt;null&gt;"/>
    <s v="&lt;null&gt;"/>
    <s v="&lt;null&gt;"/>
    <s v="&lt;null&gt;"/>
    <s v="&lt;null&gt;"/>
    <x v="0"/>
    <s v="&lt;null&gt;"/>
    <s v="&lt;null&gt;"/>
    <s v="&lt;null&gt;"/>
    <s v="&lt;null&gt;"/>
    <n v="100"/>
    <s v="&lt;null&gt;"/>
    <s v="&lt;null&gt;"/>
    <s v="&lt;null&gt;"/>
    <s v="&lt;null&gt;"/>
    <m/>
    <m/>
    <m/>
    <m/>
  </r>
  <r>
    <x v="928"/>
    <x v="928"/>
    <s v="Verkeersveiligheid"/>
    <x v="4"/>
    <n v="1080"/>
    <s v="IN/001009"/>
    <s v="MAG WEG Ingreep schoolroute in Schoten op Elshoutbaan N121 – oversteekbaarheid &amp; bereikbaarheid bushalte"/>
    <s v="&lt;null&gt;"/>
    <s v="Structurele Ingreep"/>
    <s v="&lt;null&gt;"/>
    <b v="0"/>
    <s v="Ingreep wordt niet opgevolgd in BOD"/>
    <s v="&lt;null&gt;"/>
    <s v="&lt;null&gt;"/>
    <s v="&lt;null&gt;"/>
    <s v="&lt;null&gt;"/>
    <s v="&lt;null&gt;"/>
    <x v="0"/>
    <s v="&lt;null&gt;"/>
    <s v="&lt;null&gt;"/>
    <s v="&lt;null&gt;"/>
    <s v="&lt;null&gt;"/>
    <n v="100"/>
    <s v="&lt;null&gt;"/>
    <s v="&lt;null&gt;"/>
    <s v="&lt;null&gt;"/>
    <s v="&lt;null&gt;"/>
    <m/>
    <m/>
    <m/>
    <m/>
  </r>
  <r>
    <x v="929"/>
    <x v="929"/>
    <s v="Verkeersveiligheid"/>
    <x v="4"/>
    <n v="1081"/>
    <s v="IN/001010"/>
    <s v="aanpassen fietsinfra kruispunt Van Eycklaan - Venlosesteenweg"/>
    <s v="- fietspad verbreden\n- fietspad asfaltere\n- hagen inkorten"/>
    <s v="Kleine Ingreep"/>
    <s v="WL/INV/N78/22"/>
    <b v="0"/>
    <s v="Ingreep wordt niet opgevolgd in BOD"/>
    <s v="&lt;null&gt;"/>
    <s v="&lt;null&gt;"/>
    <s v="&lt;null&gt;"/>
    <s v="&lt;null&gt;"/>
    <s v="&lt;null&gt;"/>
    <x v="0"/>
    <s v="&lt;null&gt;"/>
    <s v="&lt;null&gt;"/>
    <s v="&lt;null&gt;"/>
    <s v="&lt;null&gt;"/>
    <n v="100"/>
    <s v="&lt;null&gt;"/>
    <s v="&lt;null&gt;"/>
    <s v="&lt;null&gt;"/>
    <s v="&lt;null&gt;"/>
    <m/>
    <m/>
    <m/>
    <m/>
  </r>
  <r>
    <x v="930"/>
    <x v="930"/>
    <s v="Verkeersveiligheid"/>
    <x v="4"/>
    <n v="1082"/>
    <s v="IN/001011"/>
    <s v="Horizontale signalisatie in Arendonk op Zebrapaden in schoolomgevingen"/>
    <s v="&lt;null&gt;"/>
    <s v="Kleine Ingreep"/>
    <s v="WA/INV/N139/6"/>
    <b v="0"/>
    <s v="Ingreep wordt niet opgevolgd in BOD"/>
    <s v="&lt;null&gt;"/>
    <s v="&lt;null&gt;"/>
    <s v="&lt;null&gt;"/>
    <s v="&lt;null&gt;"/>
    <s v="&lt;null&gt;"/>
    <x v="0"/>
    <s v="&lt;null&gt;"/>
    <s v="&lt;null&gt;"/>
    <s v="&lt;null&gt;"/>
    <s v="&lt;null&gt;"/>
    <n v="100"/>
    <s v="&lt;null&gt;"/>
    <s v="&lt;null&gt;"/>
    <s v="&lt;null&gt;"/>
    <s v="&lt;null&gt;"/>
    <m/>
    <m/>
    <m/>
    <m/>
  </r>
  <r>
    <x v="931"/>
    <x v="931"/>
    <s v="Verkeersveiligheid"/>
    <x v="4"/>
    <n v="1083"/>
    <s v="IN/001012"/>
    <s v="Horizontale signalisatie in Arendonk op Zebrapaden in schoolomgevingen"/>
    <s v="&lt;null&gt;"/>
    <s v="Kleine Ingreep"/>
    <s v="WA/INV/N139/7"/>
    <b v="0"/>
    <s v="Ingreep wordt niet opgevolgd in BOD"/>
    <s v="&lt;null&gt;"/>
    <s v="&lt;null&gt;"/>
    <s v="&lt;null&gt;"/>
    <s v="&lt;null&gt;"/>
    <s v="&lt;null&gt;"/>
    <x v="0"/>
    <s v="&lt;null&gt;"/>
    <s v="&lt;null&gt;"/>
    <s v="&lt;null&gt;"/>
    <s v="&lt;null&gt;"/>
    <n v="100"/>
    <s v="&lt;null&gt;"/>
    <s v="&lt;null&gt;"/>
    <s v="&lt;null&gt;"/>
    <s v="&lt;null&gt;"/>
    <m/>
    <m/>
    <m/>
    <m/>
  </r>
  <r>
    <x v="932"/>
    <x v="932"/>
    <s v="Verkeersveiligheid"/>
    <x v="4"/>
    <n v="1084"/>
    <s v="IN/001013"/>
    <s v="Horizontale signalisatie in Arendonk op Zebrapaden in schoolomgevingen"/>
    <s v="&lt;null&gt;"/>
    <s v="Kleine Ingreep"/>
    <s v="&lt;null&gt;"/>
    <b v="0"/>
    <s v="Ingreep wordt niet opgevolgd in BOD"/>
    <s v="&lt;null&gt;"/>
    <s v="&lt;null&gt;"/>
    <s v="&lt;null&gt;"/>
    <s v="&lt;null&gt;"/>
    <s v="&lt;null&gt;"/>
    <x v="0"/>
    <s v="&lt;null&gt;"/>
    <s v="&lt;null&gt;"/>
    <s v="&lt;null&gt;"/>
    <s v="&lt;null&gt;"/>
    <n v="100"/>
    <s v="&lt;null&gt;"/>
    <s v="&lt;null&gt;"/>
    <s v="&lt;null&gt;"/>
    <s v="&lt;null&gt;"/>
    <m/>
    <m/>
    <m/>
    <m/>
  </r>
  <r>
    <x v="933"/>
    <x v="933"/>
    <s v="Verkeersveiligheid"/>
    <x v="4"/>
    <n v="1085"/>
    <s v="IN/001014"/>
    <s v="Horizontale signalisatie in Arendonk op Zebrapaden in schoolomgevingen"/>
    <s v="&lt;null&gt;"/>
    <s v="Kleine Ingreep"/>
    <s v="WA/INV/N118/7"/>
    <b v="0"/>
    <s v="Ingreep wordt niet opgevolgd in BOD"/>
    <s v="&lt;null&gt;"/>
    <s v="&lt;null&gt;"/>
    <s v="&lt;null&gt;"/>
    <s v="&lt;null&gt;"/>
    <s v="&lt;null&gt;"/>
    <x v="0"/>
    <s v="&lt;null&gt;"/>
    <s v="&lt;null&gt;"/>
    <s v="&lt;null&gt;"/>
    <s v="&lt;null&gt;"/>
    <n v="100"/>
    <s v="&lt;null&gt;"/>
    <s v="&lt;null&gt;"/>
    <s v="&lt;null&gt;"/>
    <s v="&lt;null&gt;"/>
    <m/>
    <m/>
    <m/>
    <m/>
  </r>
  <r>
    <x v="934"/>
    <x v="934"/>
    <s v="Verkeersveiligheid"/>
    <x v="4"/>
    <n v="1086"/>
    <s v="IN/001015"/>
    <s v="Horizontale signalisatie in Arendonk op Zebrapaden in schoolomgevingen"/>
    <s v="&lt;null&gt;"/>
    <s v="Kleine Ingreep"/>
    <s v="&lt;null&gt;"/>
    <b v="0"/>
    <s v="Ingreep wordt niet opgevolgd in BOD"/>
    <s v="&lt;null&gt;"/>
    <s v="&lt;null&gt;"/>
    <s v="&lt;null&gt;"/>
    <s v="&lt;null&gt;"/>
    <s v="&lt;null&gt;"/>
    <x v="0"/>
    <s v="&lt;null&gt;"/>
    <s v="&lt;null&gt;"/>
    <s v="&lt;null&gt;"/>
    <s v="&lt;null&gt;"/>
    <n v="100"/>
    <s v="&lt;null&gt;"/>
    <s v="&lt;null&gt;"/>
    <s v="&lt;null&gt;"/>
    <s v="&lt;null&gt;"/>
    <m/>
    <m/>
    <m/>
    <m/>
  </r>
  <r>
    <x v="935"/>
    <x v="935"/>
    <s v="Verkeersveiligheid"/>
    <x v="4"/>
    <n v="1087"/>
    <s v="IN/001016"/>
    <s v="Horizontale signalisatie in Arendonk op Zebrapaden in schoolomgevingen"/>
    <s v="&lt;null&gt;"/>
    <s v="Kleine Ingreep"/>
    <s v="WA/INV/N118/8"/>
    <b v="0"/>
    <s v="Ingreep wordt niet opgevolgd in BOD"/>
    <s v="&lt;null&gt;"/>
    <s v="&lt;null&gt;"/>
    <s v="&lt;null&gt;"/>
    <s v="&lt;null&gt;"/>
    <s v="&lt;null&gt;"/>
    <x v="0"/>
    <s v="&lt;null&gt;"/>
    <s v="&lt;null&gt;"/>
    <s v="&lt;null&gt;"/>
    <s v="&lt;null&gt;"/>
    <n v="100"/>
    <s v="&lt;null&gt;"/>
    <s v="&lt;null&gt;"/>
    <s v="&lt;null&gt;"/>
    <s v="&lt;null&gt;"/>
    <m/>
    <m/>
    <m/>
    <m/>
  </r>
  <r>
    <x v="936"/>
    <x v="936"/>
    <s v="Verkeersveiligheid"/>
    <x v="4"/>
    <n v="1088"/>
    <s v="IN/001017"/>
    <s v="Ingreep schoolroute in Ravels op Kruispunt Peelsestraat (N137)-Stadstraat"/>
    <s v="&lt;null&gt;"/>
    <s v="Kleine Ingreep"/>
    <s v="WA/INV/N137/2"/>
    <b v="0"/>
    <s v="Ingreep wordt niet opgevolgd in BOD"/>
    <s v="&lt;null&gt;"/>
    <s v="&lt;null&gt;"/>
    <s v="&lt;null&gt;"/>
    <s v="&lt;null&gt;"/>
    <s v="&lt;null&gt;"/>
    <x v="0"/>
    <s v="&lt;null&gt;"/>
    <s v="&lt;null&gt;"/>
    <s v="&lt;null&gt;"/>
    <s v="&lt;null&gt;"/>
    <n v="100"/>
    <s v="&lt;null&gt;"/>
    <s v="&lt;null&gt;"/>
    <s v="&lt;null&gt;"/>
    <s v="&lt;null&gt;"/>
    <m/>
    <m/>
    <m/>
    <m/>
  </r>
  <r>
    <x v="937"/>
    <x v="937"/>
    <s v="Verkeersveiligheid"/>
    <x v="4"/>
    <n v="1089"/>
    <s v="IN/001018"/>
    <s v="Ingreep schoolroute in Zoersel op Dorp (N14) - Westmallebaan"/>
    <s v="&lt;null&gt;"/>
    <s v="Kleine Ingreep"/>
    <s v="WA/INV/N179/1"/>
    <b v="0"/>
    <s v="Ingreep wordt niet opgevolgd in BOD"/>
    <s v="&lt;null&gt;"/>
    <s v="&lt;null&gt;"/>
    <s v="&lt;null&gt;"/>
    <s v="&lt;null&gt;"/>
    <s v="&lt;null&gt;"/>
    <x v="0"/>
    <s v="&lt;null&gt;"/>
    <s v="&lt;null&gt;"/>
    <s v="&lt;null&gt;"/>
    <s v="&lt;null&gt;"/>
    <n v="100"/>
    <s v="&lt;null&gt;"/>
    <s v="&lt;null&gt;"/>
    <s v="&lt;null&gt;"/>
    <s v="&lt;null&gt;"/>
    <m/>
    <m/>
    <m/>
    <m/>
  </r>
  <r>
    <x v="938"/>
    <x v="938"/>
    <s v="Verkeersveiligheid"/>
    <x v="4"/>
    <n v="1090"/>
    <s v="IN/001019"/>
    <s v="Ingreep schoolroute in Zoersel op Kruispunt Westmallebaan (N179) - Kievit en Meerheide"/>
    <s v="&lt;null&gt;"/>
    <s v="Kleine Ingreep"/>
    <s v="&lt;null&gt;"/>
    <b v="0"/>
    <s v="Ingreep wordt niet opgevolgd in BOD"/>
    <s v="&lt;null&gt;"/>
    <s v="&lt;null&gt;"/>
    <s v="&lt;null&gt;"/>
    <s v="&lt;null&gt;"/>
    <s v="&lt;null&gt;"/>
    <x v="0"/>
    <s v="&lt;null&gt;"/>
    <s v="&lt;null&gt;"/>
    <s v="&lt;null&gt;"/>
    <s v="&lt;null&gt;"/>
    <n v="100"/>
    <s v="&lt;null&gt;"/>
    <s v="&lt;null&gt;"/>
    <s v="&lt;null&gt;"/>
    <s v="&lt;null&gt;"/>
    <m/>
    <m/>
    <m/>
    <m/>
  </r>
  <r>
    <x v="939"/>
    <x v="939"/>
    <s v="Verkeersveiligheid"/>
    <x v="4"/>
    <n v="1091"/>
    <s v="IN/001020"/>
    <s v="Verlichting (OV, VVOP/VFOP...) in Zoersel op kruispunt Handelslei (N12) - Zoerselsteenweg"/>
    <s v="&lt;null&gt;"/>
    <s v="Kleine Ingreep"/>
    <s v="&lt;null&gt;"/>
    <b v="0"/>
    <s v="Ingreep wordt niet opgevolgd in BOD"/>
    <s v="&lt;null&gt;"/>
    <s v="&lt;null&gt;"/>
    <s v="&lt;null&gt;"/>
    <s v="&lt;null&gt;"/>
    <s v="&lt;null&gt;"/>
    <x v="0"/>
    <s v="&lt;null&gt;"/>
    <s v="&lt;null&gt;"/>
    <s v="&lt;null&gt;"/>
    <s v="&lt;null&gt;"/>
    <n v="100"/>
    <s v="&lt;null&gt;"/>
    <s v="&lt;null&gt;"/>
    <s v="&lt;null&gt;"/>
    <s v="&lt;null&gt;"/>
    <m/>
    <m/>
    <m/>
    <m/>
  </r>
  <r>
    <x v="940"/>
    <x v="940"/>
    <s v="Verkeersveiligheid"/>
    <x v="4"/>
    <n v="1092"/>
    <s v="IN/001021"/>
    <s v="Ingreep schoolroute in Haacht op Werchtersesteenweg/Scharent"/>
    <s v="Aanpassen middenberm fietsoversteek"/>
    <s v="Kleine Ingreep"/>
    <s v="WVB/INV/N21/10"/>
    <b v="0"/>
    <s v="Ingreep wordt niet opgevolgd in BOD"/>
    <s v="&lt;null&gt;"/>
    <s v="&lt;null&gt;"/>
    <s v="&lt;null&gt;"/>
    <s v="&lt;null&gt;"/>
    <s v="&lt;null&gt;"/>
    <x v="0"/>
    <s v="&lt;null&gt;"/>
    <s v="&lt;null&gt;"/>
    <s v="&lt;null&gt;"/>
    <s v="&lt;null&gt;"/>
    <n v="100"/>
    <s v="&lt;null&gt;"/>
    <s v="&lt;null&gt;"/>
    <s v="&lt;null&gt;"/>
    <s v="&lt;null&gt;"/>
    <m/>
    <m/>
    <m/>
    <m/>
  </r>
  <r>
    <x v="941"/>
    <x v="941"/>
    <s v="Verkeersveiligheid"/>
    <x v="4"/>
    <n v="1093"/>
    <s v="IN/001022"/>
    <s v="Ingreep schoolroute in Haacht op Rotonde Stationsstraat/Zoellaan en rotonde Werchtersesteenweg/Kloosterstraat"/>
    <s v="QW1 en QW2 uitvoeren\nQW1: Bestaande scheidingselementen tussen het fietspad en de rijbaan verbreden en zodoende de breedte van de rijbaan verkleinen tot 5.5 meter. Initieel via verdrijvingsvakken in markeringen.\nQW2: asfaltlaag van het fietspad op de ro"/>
    <s v="Kleine Ingreep"/>
    <s v="WVB/INV/N21/11"/>
    <b v="0"/>
    <s v="Ingreep wordt niet opgevolgd in BOD"/>
    <s v="&lt;null&gt;"/>
    <s v="&lt;null&gt;"/>
    <s v="&lt;null&gt;"/>
    <s v="&lt;null&gt;"/>
    <s v="&lt;null&gt;"/>
    <x v="0"/>
    <s v="&lt;null&gt;"/>
    <s v="&lt;null&gt;"/>
    <s v="&lt;null&gt;"/>
    <s v="&lt;null&gt;"/>
    <n v="100"/>
    <s v="&lt;null&gt;"/>
    <s v="&lt;null&gt;"/>
    <s v="&lt;null&gt;"/>
    <s v="&lt;null&gt;"/>
    <m/>
    <m/>
    <m/>
    <m/>
  </r>
  <r>
    <x v="942"/>
    <x v="942"/>
    <s v="Verkeersveiligheid"/>
    <x v="4"/>
    <n v="1094"/>
    <s v="IN/001023"/>
    <s v="Ingreep schoolroute in Kortenberg op Leuvensesteenweg x Kerkstraat"/>
    <s v="&lt;null&gt;"/>
    <s v="Kleine Ingreep"/>
    <s v="WVB/INV/N2/16"/>
    <b v="0"/>
    <s v="Ingreep wordt niet opgevolgd in BOD"/>
    <s v="&lt;null&gt;"/>
    <s v="&lt;null&gt;"/>
    <s v="&lt;null&gt;"/>
    <s v="&lt;null&gt;"/>
    <s v="&lt;null&gt;"/>
    <x v="0"/>
    <s v="&lt;null&gt;"/>
    <s v="&lt;null&gt;"/>
    <s v="&lt;null&gt;"/>
    <s v="&lt;null&gt;"/>
    <n v="100"/>
    <s v="&lt;null&gt;"/>
    <s v="&lt;null&gt;"/>
    <s v="&lt;null&gt;"/>
    <s v="&lt;null&gt;"/>
    <m/>
    <m/>
    <m/>
    <m/>
  </r>
  <r>
    <x v="943"/>
    <x v="943"/>
    <s v="Verkeersveiligheid"/>
    <x v="4"/>
    <n v="1095"/>
    <s v="IN/001024"/>
    <s v="Ingreep schoolroute in Diest op R26: O.Vanaudenhovelaan fietsoversteek thv Ezeldijk"/>
    <s v="&lt;null&gt;"/>
    <s v="Kleine Ingreep"/>
    <s v="WVB/INV/R26/3"/>
    <b v="0"/>
    <s v="Ingreep wordt niet opgevolgd in BOD"/>
    <s v="&lt;null&gt;"/>
    <s v="&lt;null&gt;"/>
    <s v="&lt;null&gt;"/>
    <s v="&lt;null&gt;"/>
    <s v="&lt;null&gt;"/>
    <x v="0"/>
    <s v="&lt;null&gt;"/>
    <s v="&lt;null&gt;"/>
    <s v="&lt;null&gt;"/>
    <s v="&lt;null&gt;"/>
    <n v="100"/>
    <s v="&lt;null&gt;"/>
    <s v="&lt;null&gt;"/>
    <s v="&lt;null&gt;"/>
    <s v="&lt;null&gt;"/>
    <m/>
    <m/>
    <m/>
    <m/>
  </r>
  <r>
    <x v="944"/>
    <x v="944"/>
    <s v="Verkeersveiligheid"/>
    <x v="4"/>
    <n v="1096"/>
    <s v="IN/001025"/>
    <s v="Ingreep schoolroute in Diest op N2  Kruispunt Halensebaan-Webbekomstraat"/>
    <s v="Doorsteek maken in de middenberm"/>
    <s v="Kleine Ingreep"/>
    <s v="WVB/INV/N2/18"/>
    <b v="1"/>
    <s v="Ingreep wordt opgevolgd in BOD"/>
    <n v="11865"/>
    <s v="AWV/INV/2021/3_P2"/>
    <n v="113351"/>
    <n v="21064994"/>
    <s v="&lt;p&gt;relance schoolroutes&lt;/p&gt;"/>
    <x v="9"/>
    <n v="8514"/>
    <s v="IN/001025 N2 Diest Webbekomstraat fietsoversteek"/>
    <s v="&lt;null&gt;"/>
    <s v="WVB/INV/N2/18"/>
    <n v="100"/>
    <n v="7500"/>
    <n v="0"/>
    <n v="0"/>
    <n v="2335.58"/>
    <n v="7500"/>
    <n v="0"/>
    <n v="0"/>
    <n v="2335.58"/>
  </r>
  <r>
    <x v="945"/>
    <x v="945"/>
    <s v="Verkeersveiligheid"/>
    <x v="4"/>
    <n v="1097"/>
    <s v="IN/001026"/>
    <s v="Ingreep schoolroute in Diest op N10  kruispunt Ed. Robeynslaan  -Beukenplein"/>
    <s v="&lt;null&gt;"/>
    <s v="Kleine Ingreep"/>
    <s v="WVB/INV/NX/5"/>
    <b v="1"/>
    <s v="Ingreep wordt opgevolgd in BOD"/>
    <n v="11865"/>
    <s v="AWV/INV/2021/3_P2"/>
    <n v="113351"/>
    <n v="21064994"/>
    <s v="&lt;p&gt;relance schoolroutes&lt;/p&gt;"/>
    <x v="9"/>
    <n v="8515"/>
    <s v="IN/001026 N2 Diest Beukenlaan oversteek en bushaltes"/>
    <s v="&lt;null&gt;"/>
    <s v="WVB/INV/NX/5"/>
    <n v="100"/>
    <n v="120000"/>
    <n v="0"/>
    <n v="0"/>
    <n v="18098.240000000002"/>
    <n v="120000"/>
    <n v="0"/>
    <n v="0"/>
    <n v="18098.240000000002"/>
  </r>
  <r>
    <x v="946"/>
    <x v="946"/>
    <s v="Verkeersveiligheid"/>
    <x v="4"/>
    <n v="1098"/>
    <s v="IN/001027"/>
    <s v="Ingreep schoolroute in Wellen op Overbroekstraat, Langstraat (N777), Veerstraat, Russelt, Notelarestraat (N754)"/>
    <s v="&lt;null&gt;"/>
    <s v="Kleine Ingreep"/>
    <s v="WL/INV/N754/9"/>
    <b v="0"/>
    <s v="Ingreep wordt niet opgevolgd in BOD"/>
    <s v="&lt;null&gt;"/>
    <s v="&lt;null&gt;"/>
    <s v="&lt;null&gt;"/>
    <s v="&lt;null&gt;"/>
    <s v="&lt;null&gt;"/>
    <x v="0"/>
    <s v="&lt;null&gt;"/>
    <s v="&lt;null&gt;"/>
    <s v="&lt;null&gt;"/>
    <s v="&lt;null&gt;"/>
    <n v="100"/>
    <s v="&lt;null&gt;"/>
    <s v="&lt;null&gt;"/>
    <s v="&lt;null&gt;"/>
    <s v="&lt;null&gt;"/>
    <m/>
    <m/>
    <m/>
    <m/>
  </r>
  <r>
    <x v="947"/>
    <x v="947"/>
    <s v="Verkeersveiligheid"/>
    <x v="4"/>
    <n v="1099"/>
    <s v="IN/001028"/>
    <s v="N1 - Vilvoorde - Fietspaden en Schaarbeeklei"/>
    <s v="&lt;null&gt;"/>
    <s v="Kleine Ingreep"/>
    <s v="WVB/INV/N1/1"/>
    <b v="0"/>
    <s v="Ingreep wordt niet opgevolgd in BOD"/>
    <s v="&lt;null&gt;"/>
    <s v="&lt;null&gt;"/>
    <s v="&lt;null&gt;"/>
    <s v="&lt;null&gt;"/>
    <s v="&lt;null&gt;"/>
    <x v="0"/>
    <s v="&lt;null&gt;"/>
    <s v="&lt;null&gt;"/>
    <s v="&lt;null&gt;"/>
    <s v="&lt;null&gt;"/>
    <n v="100"/>
    <s v="&lt;null&gt;"/>
    <s v="&lt;null&gt;"/>
    <s v="&lt;null&gt;"/>
    <s v="&lt;null&gt;"/>
    <m/>
    <m/>
    <m/>
    <m/>
  </r>
  <r>
    <x v="948"/>
    <x v="948"/>
    <s v="Verkeersveiligheid"/>
    <x v="4"/>
    <n v="1100"/>
    <s v="IN/001029"/>
    <s v="Ingreep schoolroute in Vilvoorde op Kruispunt N211 met Teniersstraat (David) (noordelijke deel)"/>
    <s v="Stukje groenzone te verharden, boordstenen te verlagen + aanbrengen van markeringen"/>
    <s v="Kleine Ingreep"/>
    <s v="WVB/INV/NX/3"/>
    <b v="1"/>
    <s v="Ingreep wordt opgevolgd in BOD"/>
    <n v="7663"/>
    <s v="X21/0/461-perceel 2"/>
    <n v="80651"/>
    <n v="20054464"/>
    <s v="&lt;p&gt;jaar C - X21/0/461 P2 (V02)&lt;/p&gt;"/>
    <x v="22"/>
    <n v="7362"/>
    <s v="Vilvoorde schoolroute KP/001302"/>
    <s v="&lt;p&gt;DB/00034&lt;/p&gt;"/>
    <s v="WVB/INV/NX/3"/>
    <n v="100"/>
    <n v="3000"/>
    <n v="3000"/>
    <n v="0"/>
    <n v="0"/>
    <n v="3000"/>
    <n v="3000"/>
    <n v="0"/>
    <n v="0"/>
  </r>
  <r>
    <x v="949"/>
    <x v="949"/>
    <s v="Verkeersveiligheid"/>
    <x v="4"/>
    <n v="1101"/>
    <s v="IN/001030"/>
    <s v="Ingreep schoolroute in Vilvoorde op N1 (Hendrik I-lei)"/>
    <s v="zie foto"/>
    <s v="Kleine Ingreep"/>
    <s v="WVB/INV/N1/5"/>
    <b v="1"/>
    <s v="Ingreep wordt opgevolgd in BOD"/>
    <n v="7663"/>
    <s v="X21/0/461-perceel 2"/>
    <n v="80651"/>
    <n v="20054464"/>
    <s v="&lt;p&gt;jaar C - X21/0/461 P2 (V02)&lt;/p&gt;"/>
    <x v="22"/>
    <n v="7363"/>
    <s v="Vilvoorde schoolroute KP/001304"/>
    <s v="&lt;p&gt;DB/00034&lt;/p&gt;"/>
    <s v="WVB/INV/N1/5"/>
    <n v="100"/>
    <n v="2538.0500000000002"/>
    <n v="2538.0500000000002"/>
    <n v="0"/>
    <n v="0"/>
    <n v="2538.0500000000002"/>
    <n v="2538.0500000000002"/>
    <n v="0"/>
    <n v="0"/>
  </r>
  <r>
    <x v="950"/>
    <x v="950"/>
    <s v="Verkeersveiligheid"/>
    <x v="4"/>
    <n v="1102"/>
    <s v="IN/001031"/>
    <s v="Ingreep schoolroute in Vilvoorde op N1 (Hendrik I-lei)"/>
    <s v="zie foto"/>
    <s v="Kleine Ingreep"/>
    <s v="WVB/INV/NX/2"/>
    <b v="1"/>
    <s v="Ingreep wordt opgevolgd in BOD"/>
    <n v="7663"/>
    <s v="X21/0/461-perceel 2"/>
    <n v="80651"/>
    <n v="20054464"/>
    <s v="&lt;p&gt;jaar C - X21/0/461 P2 (V02)&lt;/p&gt;"/>
    <x v="22"/>
    <n v="7360"/>
    <s v="KP/001305"/>
    <s v="&lt;p&gt;DB/00034&lt;/p&gt;"/>
    <s v="WVB/INV/NX/2"/>
    <n v="100"/>
    <n v="3000"/>
    <n v="3000"/>
    <n v="0"/>
    <n v="0"/>
    <n v="3000"/>
    <n v="3000"/>
    <n v="0"/>
    <n v="0"/>
  </r>
  <r>
    <x v="951"/>
    <x v="951"/>
    <s v="Verkeersveiligheid"/>
    <x v="4"/>
    <n v="1103"/>
    <s v="IN/001032"/>
    <s v="Ingreep schoolroute in Schilde op oversteekbaarheid N12 ter hoogte van de Termaelenbaan,"/>
    <s v="&lt;null&gt;"/>
    <s v="Structurele Ingreep"/>
    <s v="&lt;null&gt;"/>
    <b v="0"/>
    <s v="Ingreep wordt niet opgevolgd in BOD"/>
    <s v="&lt;null&gt;"/>
    <s v="&lt;null&gt;"/>
    <s v="&lt;null&gt;"/>
    <s v="&lt;null&gt;"/>
    <s v="&lt;null&gt;"/>
    <x v="0"/>
    <s v="&lt;null&gt;"/>
    <s v="&lt;null&gt;"/>
    <s v="&lt;null&gt;"/>
    <s v="&lt;null&gt;"/>
    <n v="100"/>
    <s v="&lt;null&gt;"/>
    <s v="&lt;null&gt;"/>
    <s v="&lt;null&gt;"/>
    <s v="&lt;null&gt;"/>
    <m/>
    <m/>
    <m/>
    <m/>
  </r>
  <r>
    <x v="952"/>
    <x v="952"/>
    <s v="Verkeersveiligheid"/>
    <x v="4"/>
    <n v="1104"/>
    <s v="IN/001033"/>
    <s v="Ingreep schoolroute in Schilde op verbetering van de aansluiting van het fietspad ter hoogte van de laterale weg en N12 aan de overkant van de Kasteeldreef,"/>
    <s v="&lt;null&gt;"/>
    <s v="Structurele Ingreep"/>
    <s v="&lt;null&gt;"/>
    <b v="0"/>
    <s v="Ingreep wordt niet opgevolgd in BOD"/>
    <s v="&lt;null&gt;"/>
    <s v="&lt;null&gt;"/>
    <s v="&lt;null&gt;"/>
    <s v="&lt;null&gt;"/>
    <s v="&lt;null&gt;"/>
    <x v="0"/>
    <s v="&lt;null&gt;"/>
    <s v="&lt;null&gt;"/>
    <s v="&lt;null&gt;"/>
    <s v="&lt;null&gt;"/>
    <n v="100"/>
    <s v="&lt;null&gt;"/>
    <s v="&lt;null&gt;"/>
    <s v="&lt;null&gt;"/>
    <s v="&lt;null&gt;"/>
    <m/>
    <m/>
    <m/>
    <m/>
  </r>
  <r>
    <x v="953"/>
    <x v="953"/>
    <s v="Verkeersveiligheid"/>
    <x v="4"/>
    <n v="1105"/>
    <s v="IN/001034"/>
    <s v="Ingreep schoolroute in Schilde op aanpak kruispunt ter hoogte van de Moerstraat en de N121,"/>
    <s v="&lt;null&gt;"/>
    <s v="Structurele Ingreep"/>
    <s v="&lt;null&gt;"/>
    <b v="0"/>
    <s v="Ingreep wordt niet opgevolgd in BOD"/>
    <s v="&lt;null&gt;"/>
    <s v="&lt;null&gt;"/>
    <s v="&lt;null&gt;"/>
    <s v="&lt;null&gt;"/>
    <s v="&lt;null&gt;"/>
    <x v="0"/>
    <s v="&lt;null&gt;"/>
    <s v="&lt;null&gt;"/>
    <s v="&lt;null&gt;"/>
    <s v="&lt;null&gt;"/>
    <n v="100"/>
    <s v="&lt;null&gt;"/>
    <s v="&lt;null&gt;"/>
    <s v="&lt;null&gt;"/>
    <s v="&lt;null&gt;"/>
    <m/>
    <m/>
    <m/>
    <m/>
  </r>
  <r>
    <x v="954"/>
    <x v="954"/>
    <s v="Verkeersveiligheid"/>
    <x v="4"/>
    <n v="1106"/>
    <s v="IN/001035"/>
    <s v="Ingreep schoolroute in Gingelom op GO! De Kleurenboom Montenaken, Hannuitstraat 4, 3890 Gingelom"/>
    <s v="&lt;null&gt;"/>
    <s v="Kleine Ingreep"/>
    <s v="WL/INV/N765/1"/>
    <b v="0"/>
    <s v="Ingreep wordt niet opgevolgd in BOD"/>
    <s v="&lt;null&gt;"/>
    <s v="&lt;null&gt;"/>
    <s v="&lt;null&gt;"/>
    <s v="&lt;null&gt;"/>
    <s v="&lt;null&gt;"/>
    <x v="0"/>
    <s v="&lt;null&gt;"/>
    <s v="&lt;null&gt;"/>
    <s v="&lt;null&gt;"/>
    <s v="&lt;null&gt;"/>
    <n v="100"/>
    <s v="&lt;null&gt;"/>
    <s v="&lt;null&gt;"/>
    <s v="&lt;null&gt;"/>
    <s v="&lt;null&gt;"/>
    <m/>
    <m/>
    <m/>
    <m/>
  </r>
  <r>
    <x v="955"/>
    <x v="955"/>
    <s v="Verkeersveiligheid"/>
    <x v="4"/>
    <n v="1107"/>
    <s v="IN/001036"/>
    <s v="Ingreep schoolroute in Retie op 1) oversteekplaatsen op N18(Provinciebaan) t.h.v. Hofstraat"/>
    <s v="&lt;null&gt;"/>
    <s v="Kleine Ingreep"/>
    <s v="WA/INV/N18/5"/>
    <b v="0"/>
    <s v="Ingreep wordt niet opgevolgd in BOD"/>
    <s v="&lt;null&gt;"/>
    <s v="&lt;null&gt;"/>
    <s v="&lt;null&gt;"/>
    <s v="&lt;null&gt;"/>
    <s v="&lt;null&gt;"/>
    <x v="0"/>
    <s v="&lt;null&gt;"/>
    <s v="&lt;null&gt;"/>
    <s v="&lt;null&gt;"/>
    <s v="&lt;null&gt;"/>
    <n v="100"/>
    <s v="&lt;null&gt;"/>
    <s v="&lt;null&gt;"/>
    <s v="&lt;null&gt;"/>
    <s v="&lt;null&gt;"/>
    <m/>
    <m/>
    <m/>
    <m/>
  </r>
  <r>
    <x v="956"/>
    <x v="956"/>
    <s v="Verkeersveiligheid"/>
    <x v="4"/>
    <n v="1108"/>
    <s v="IN/001037"/>
    <s v="Ingreep schoolroute in Retie op 1) oversteekplaatsen op N18(Provinciebaan) t.h.v.  Hesstraat"/>
    <s v="&lt;null&gt;"/>
    <s v="Kleine Ingreep"/>
    <s v="&lt;null&gt;"/>
    <b v="0"/>
    <s v="Ingreep wordt niet opgevolgd in BOD"/>
    <s v="&lt;null&gt;"/>
    <s v="&lt;null&gt;"/>
    <s v="&lt;null&gt;"/>
    <s v="&lt;null&gt;"/>
    <s v="&lt;null&gt;"/>
    <x v="0"/>
    <s v="&lt;null&gt;"/>
    <s v="&lt;null&gt;"/>
    <s v="&lt;null&gt;"/>
    <s v="&lt;null&gt;"/>
    <n v="100"/>
    <s v="&lt;null&gt;"/>
    <s v="&lt;null&gt;"/>
    <s v="&lt;null&gt;"/>
    <s v="&lt;null&gt;"/>
    <m/>
    <m/>
    <m/>
    <m/>
  </r>
  <r>
    <x v="957"/>
    <x v="957"/>
    <s v="Verkeersveiligheid"/>
    <x v="4"/>
    <n v="1109"/>
    <s v="IN/001038"/>
    <s v="Ingreep schoolroute in Retie op 2) oversteekplaats op N123(Kloosterstraat) t.h.v. Vrije Basisschool Trapop"/>
    <s v="&lt;null&gt;"/>
    <s v="Kleine Ingreep"/>
    <s v="WA/INV/N123/7"/>
    <b v="0"/>
    <s v="Ingreep wordt niet opgevolgd in BOD"/>
    <s v="&lt;null&gt;"/>
    <s v="&lt;null&gt;"/>
    <s v="&lt;null&gt;"/>
    <s v="&lt;null&gt;"/>
    <s v="&lt;null&gt;"/>
    <x v="0"/>
    <s v="&lt;null&gt;"/>
    <s v="&lt;null&gt;"/>
    <s v="&lt;null&gt;"/>
    <s v="&lt;null&gt;"/>
    <n v="100"/>
    <s v="&lt;null&gt;"/>
    <s v="&lt;null&gt;"/>
    <s v="&lt;null&gt;"/>
    <s v="&lt;null&gt;"/>
    <m/>
    <m/>
    <m/>
    <m/>
  </r>
  <r>
    <x v="958"/>
    <x v="958"/>
    <s v="Verkeersveiligheid"/>
    <x v="4"/>
    <n v="1110"/>
    <s v="IN/001039"/>
    <s v="Ingreep schoolroute in Retie op 3) oversteekplaats op N118(Kerkhofstraat) t.h.v. Hovenstraat"/>
    <s v="&lt;null&gt;"/>
    <s v="Kleine Ingreep"/>
    <s v="WA/INV/N118/9"/>
    <b v="0"/>
    <s v="Ingreep wordt niet opgevolgd in BOD"/>
    <s v="&lt;null&gt;"/>
    <s v="&lt;null&gt;"/>
    <s v="&lt;null&gt;"/>
    <s v="&lt;null&gt;"/>
    <s v="&lt;null&gt;"/>
    <x v="0"/>
    <s v="&lt;null&gt;"/>
    <s v="&lt;null&gt;"/>
    <s v="&lt;null&gt;"/>
    <s v="&lt;null&gt;"/>
    <n v="100"/>
    <s v="&lt;null&gt;"/>
    <s v="&lt;null&gt;"/>
    <s v="&lt;null&gt;"/>
    <s v="&lt;null&gt;"/>
    <m/>
    <m/>
    <m/>
    <m/>
  </r>
  <r>
    <x v="959"/>
    <x v="959"/>
    <s v="Verkeersveiligheid"/>
    <x v="4"/>
    <n v="1111"/>
    <s v="IN/001040"/>
    <s v="Ingreep schoolroute in Retie op 4) fietscirculatie t.h.v. rotonde R18/Turnhoutsebaan"/>
    <s v="&lt;null&gt;"/>
    <s v="Structurele Ingreep"/>
    <s v="WA/INV/R018/1"/>
    <b v="0"/>
    <s v="Ingreep wordt niet opgevolgd in BOD"/>
    <s v="&lt;null&gt;"/>
    <s v="&lt;null&gt;"/>
    <s v="&lt;null&gt;"/>
    <s v="&lt;null&gt;"/>
    <s v="&lt;null&gt;"/>
    <x v="0"/>
    <s v="&lt;null&gt;"/>
    <s v="&lt;null&gt;"/>
    <s v="&lt;null&gt;"/>
    <s v="&lt;null&gt;"/>
    <n v="100"/>
    <s v="&lt;null&gt;"/>
    <s v="&lt;null&gt;"/>
    <s v="&lt;null&gt;"/>
    <s v="&lt;null&gt;"/>
    <m/>
    <m/>
    <m/>
    <m/>
  </r>
  <r>
    <x v="960"/>
    <x v="960"/>
    <s v="Verkeersveiligheid"/>
    <x v="4"/>
    <n v="1112"/>
    <s v="IN/001041"/>
    <s v="Ingreep schoolroute in Oud-Turnhout op Locatie 1: Steenweg op Mol --&gt; verkeerslichten basisschool het Zwaneven"/>
    <s v="&lt;null&gt;"/>
    <s v="Kleine Ingreep"/>
    <s v="WA/INV/N18/12"/>
    <b v="0"/>
    <s v="Ingreep wordt niet opgevolgd in BOD"/>
    <s v="&lt;null&gt;"/>
    <s v="&lt;null&gt;"/>
    <s v="&lt;null&gt;"/>
    <s v="&lt;null&gt;"/>
    <s v="&lt;null&gt;"/>
    <x v="0"/>
    <s v="&lt;null&gt;"/>
    <s v="&lt;null&gt;"/>
    <s v="&lt;null&gt;"/>
    <s v="&lt;null&gt;"/>
    <n v="100"/>
    <s v="&lt;null&gt;"/>
    <s v="&lt;null&gt;"/>
    <s v="&lt;null&gt;"/>
    <s v="&lt;null&gt;"/>
    <m/>
    <m/>
    <m/>
    <m/>
  </r>
  <r>
    <x v="961"/>
    <x v="961"/>
    <s v="Verkeersveiligheid"/>
    <x v="4"/>
    <n v="1113"/>
    <s v="IN/001042"/>
    <s v="Ingreep schoolroute in Oud-Turnhout op Locatie 2: Steenweg op Ravels ter hoogte van +- nr 186"/>
    <s v="&lt;null&gt;"/>
    <s v="Structurele Ingreep"/>
    <s v="&lt;null&gt;"/>
    <b v="0"/>
    <s v="Ingreep wordt niet opgevolgd in BOD"/>
    <s v="&lt;null&gt;"/>
    <s v="&lt;null&gt;"/>
    <s v="&lt;null&gt;"/>
    <s v="&lt;null&gt;"/>
    <s v="&lt;null&gt;"/>
    <x v="0"/>
    <s v="&lt;null&gt;"/>
    <s v="&lt;null&gt;"/>
    <s v="&lt;null&gt;"/>
    <s v="&lt;null&gt;"/>
    <n v="100"/>
    <s v="&lt;null&gt;"/>
    <s v="&lt;null&gt;"/>
    <s v="&lt;null&gt;"/>
    <s v="&lt;null&gt;"/>
    <m/>
    <m/>
    <m/>
    <m/>
  </r>
  <r>
    <x v="962"/>
    <x v="962"/>
    <s v="Verkeersveiligheid"/>
    <x v="4"/>
    <n v="1114"/>
    <s v="IN/001043"/>
    <s v="Ingreep schoolroute in Oud-Turnhout op Locatie 3: Steenweg op Mol ter hoogte van Vibo De Brem"/>
    <s v="&lt;null&gt;"/>
    <s v="Kleine Ingreep"/>
    <s v="WA/INV/N18/13"/>
    <b v="0"/>
    <s v="Ingreep wordt niet opgevolgd in BOD"/>
    <s v="&lt;null&gt;"/>
    <s v="&lt;null&gt;"/>
    <s v="&lt;null&gt;"/>
    <s v="&lt;null&gt;"/>
    <s v="&lt;null&gt;"/>
    <x v="0"/>
    <s v="&lt;null&gt;"/>
    <s v="&lt;null&gt;"/>
    <s v="&lt;null&gt;"/>
    <s v="&lt;null&gt;"/>
    <n v="100"/>
    <s v="&lt;null&gt;"/>
    <s v="&lt;null&gt;"/>
    <s v="&lt;null&gt;"/>
    <s v="&lt;null&gt;"/>
    <m/>
    <m/>
    <m/>
    <m/>
  </r>
  <r>
    <x v="963"/>
    <x v="963"/>
    <s v="Verkeersveiligheid"/>
    <x v="4"/>
    <n v="1115"/>
    <s v="IN/001044"/>
    <s v="Ingreep schoolroute in Lubbeek op instellen van een dynamische zone 30 aan de N223 ter hoogte van school De Stip in Binkom. Met oversteekplaats tussen Santro en kerk Sint-Jan."/>
    <s v="&lt;null&gt;"/>
    <s v="Kleine Ingreep"/>
    <s v="&lt;null&gt;"/>
    <b v="0"/>
    <s v="Ingreep wordt niet opgevolgd in BOD"/>
    <s v="&lt;null&gt;"/>
    <s v="&lt;null&gt;"/>
    <s v="&lt;null&gt;"/>
    <s v="&lt;null&gt;"/>
    <s v="&lt;null&gt;"/>
    <x v="0"/>
    <s v="&lt;null&gt;"/>
    <s v="&lt;null&gt;"/>
    <s v="&lt;null&gt;"/>
    <s v="&lt;null&gt;"/>
    <n v="100"/>
    <s v="&lt;null&gt;"/>
    <s v="&lt;null&gt;"/>
    <s v="&lt;null&gt;"/>
    <s v="&lt;null&gt;"/>
    <m/>
    <m/>
    <m/>
    <m/>
  </r>
  <r>
    <x v="150"/>
    <x v="150"/>
    <s v="Verkeersveiligheid"/>
    <x v="4"/>
    <n v="1116"/>
    <s v="IN/001045"/>
    <s v="Ingreep schoolroute in Herenthout op N13 x Herenthoutseweg"/>
    <s v="&lt;null&gt;"/>
    <s v="Structurele Ingreep"/>
    <s v="&lt;null&gt;"/>
    <b v="0"/>
    <s v="Ingreep wordt niet opgevolgd in BOD"/>
    <s v="&lt;null&gt;"/>
    <s v="&lt;null&gt;"/>
    <s v="&lt;null&gt;"/>
    <s v="&lt;null&gt;"/>
    <s v="&lt;null&gt;"/>
    <x v="0"/>
    <s v="&lt;null&gt;"/>
    <s v="&lt;null&gt;"/>
    <s v="&lt;null&gt;"/>
    <s v="&lt;null&gt;"/>
    <n v="100"/>
    <s v="&lt;null&gt;"/>
    <s v="&lt;null&gt;"/>
    <s v="&lt;null&gt;"/>
    <s v="&lt;null&gt;"/>
    <m/>
    <m/>
    <m/>
    <m/>
  </r>
  <r>
    <x v="50"/>
    <x v="50"/>
    <s v="Verkeersveiligheid"/>
    <x v="4"/>
    <n v="1117"/>
    <s v="IN/001046"/>
    <s v="Ingreep schoolroute in Herenthout op N13 x Stationlei (Grobbendonk)"/>
    <s v="&lt;null&gt;"/>
    <s v="Structurele Ingreep"/>
    <s v="WA/INV/N13/1"/>
    <b v="0"/>
    <s v="Ingreep wordt niet opgevolgd in BOD"/>
    <s v="&lt;null&gt;"/>
    <s v="&lt;null&gt;"/>
    <s v="&lt;null&gt;"/>
    <s v="&lt;null&gt;"/>
    <s v="&lt;null&gt;"/>
    <x v="0"/>
    <s v="&lt;null&gt;"/>
    <s v="&lt;null&gt;"/>
    <s v="&lt;null&gt;"/>
    <s v="&lt;null&gt;"/>
    <n v="100"/>
    <s v="&lt;null&gt;"/>
    <s v="&lt;null&gt;"/>
    <s v="&lt;null&gt;"/>
    <s v="&lt;null&gt;"/>
    <m/>
    <m/>
    <m/>
    <m/>
  </r>
  <r>
    <x v="964"/>
    <x v="964"/>
    <s v="Verkeersveiligheid"/>
    <x v="4"/>
    <n v="1118"/>
    <s v="IN/001047"/>
    <s v="punctuele verlichting"/>
    <s v="&lt;null&gt;"/>
    <s v="Kleine Ingreep"/>
    <s v="WL/INV/N72/18"/>
    <b v="0"/>
    <s v="Ingreep wordt niet opgevolgd in BOD"/>
    <s v="&lt;null&gt;"/>
    <s v="&lt;null&gt;"/>
    <s v="&lt;null&gt;"/>
    <s v="&lt;null&gt;"/>
    <s v="&lt;null&gt;"/>
    <x v="0"/>
    <s v="&lt;null&gt;"/>
    <s v="&lt;null&gt;"/>
    <s v="&lt;null&gt;"/>
    <s v="&lt;null&gt;"/>
    <n v="100"/>
    <s v="&lt;null&gt;"/>
    <s v="&lt;null&gt;"/>
    <s v="&lt;null&gt;"/>
    <s v="&lt;null&gt;"/>
    <m/>
    <m/>
    <m/>
    <m/>
  </r>
  <r>
    <x v="965"/>
    <x v="965"/>
    <s v="Verkeersveiligheid"/>
    <x v="4"/>
    <n v="1119"/>
    <s v="IN/001048"/>
    <s v="Gevleugeld zebrapad in Zonhoven op Kruispunt N74 met de Donkweg"/>
    <s v="regenboogzebrapad thv bestaand zebrapad"/>
    <s v="Kleine Ingreep"/>
    <s v="WL/INV/N72/10"/>
    <b v="1"/>
    <s v="Ingreep wordt opgevolgd in BOD"/>
    <n v="7215"/>
    <s v="O70/0/755-P3"/>
    <n v="71551"/>
    <n v="20069325"/>
    <s v="&lt;p&gt;Leveren, aanbrengen en onderhouden van wegmarkeringen (zowel verfmarkeringen als thermoplastische markeringen) in de provincie Limburg - Perceel 3: District Centraal-Limburg&lt;/p&gt;&lt;p&gt;&amp;nbsp;&lt;/p&gt;"/>
    <x v="20"/>
    <n v="5524"/>
    <s v="KS841 Zonhoven zebrapad aanbrengen"/>
    <s v="&lt;p&gt;schoolroutes&lt;/p&gt;"/>
    <s v="WL/INV/N72/10"/>
    <n v="100"/>
    <n v="1579.32"/>
    <n v="1220.4000000000001"/>
    <n v="0"/>
    <n v="358.92"/>
    <n v="1579.32"/>
    <n v="1220.4000000000001"/>
    <n v="0"/>
    <n v="358.92"/>
  </r>
  <r>
    <x v="966"/>
    <x v="966"/>
    <s v="Verkeersveiligheid"/>
    <x v="4"/>
    <n v="1120"/>
    <s v="IN/001049"/>
    <s v="Extra VOP + aanpassen groene bermen (PM Jan Nijsen Sweco)"/>
    <s v="&lt;null&gt;"/>
    <s v="Kleine Ingreep"/>
    <s v="WL/INV/N715/6"/>
    <b v="1"/>
    <s v="Ingreep wordt opgevolgd in BOD"/>
    <n v="12817"/>
    <s v="AWV/INV/2021/3_P5"/>
    <n v="135951"/>
    <n v="22015560"/>
    <s v="&lt;p&gt;gevaarlijke punten, scholenroutes&lt;/p&gt;"/>
    <x v="14"/>
    <n v="9363"/>
    <s v="Zonhoven_N715_KS842_2.4"/>
    <s v="&lt;null&gt;"/>
    <s v="WL/INV/N715/6"/>
    <n v="100"/>
    <n v="50000"/>
    <n v="0"/>
    <n v="0"/>
    <n v="43669.08"/>
    <n v="50000"/>
    <n v="0"/>
    <n v="0"/>
    <n v="43669.08"/>
  </r>
  <r>
    <x v="967"/>
    <x v="967"/>
    <s v="Verkeersveiligheid"/>
    <x v="4"/>
    <n v="1121"/>
    <s v="IN/001050"/>
    <s v="Ingreep schoolroute in Zonhoven op Kruispunt N74 met de Donkweg"/>
    <s v="&lt;null&gt;"/>
    <s v="Kleine Ingreep"/>
    <s v="WL/INV/N715/2"/>
    <b v="1"/>
    <s v="Ingreep wordt opgevolgd in BOD"/>
    <n v="7215"/>
    <s v="O70/0/755-P3"/>
    <n v="71551"/>
    <n v="20069325"/>
    <s v="&lt;p&gt;Leveren, aanbrengen en onderhouden van wegmarkeringen (zowel verfmarkeringen als thermoplastische markeringen) in de provincie Limburg - Perceel 3: District Centraal-Limburg&lt;/p&gt;&lt;p&gt;&amp;nbsp;&lt;/p&gt;"/>
    <x v="20"/>
    <n v="5523"/>
    <s v="KS843 &amp; KS844 Zonhoven Zebrapad"/>
    <s v="&lt;p&gt;schoolroute&lt;/p&gt;"/>
    <s v="WL/INV/N715/2"/>
    <n v="100"/>
    <n v="457.44"/>
    <n v="457.44"/>
    <n v="0"/>
    <n v="0"/>
    <n v="457.44"/>
    <n v="457.44"/>
    <n v="0"/>
    <n v="0"/>
  </r>
  <r>
    <x v="968"/>
    <x v="968"/>
    <s v="Verkeersveiligheid"/>
    <x v="4"/>
    <n v="1122"/>
    <s v="IN/001051"/>
    <s v="Ingreep schoolroute in Kortemark op kruispunt Staatsbaan X Gouden-Hoofdstraat"/>
    <s v="&lt;null&gt;"/>
    <s v="Kleine Ingreep"/>
    <s v="WWV/INV/N35/9"/>
    <b v="0"/>
    <s v="Ingreep wordt niet opgevolgd in BOD"/>
    <s v="&lt;null&gt;"/>
    <s v="&lt;null&gt;"/>
    <s v="&lt;null&gt;"/>
    <s v="&lt;null&gt;"/>
    <s v="&lt;null&gt;"/>
    <x v="0"/>
    <s v="&lt;null&gt;"/>
    <s v="&lt;null&gt;"/>
    <s v="&lt;null&gt;"/>
    <s v="&lt;null&gt;"/>
    <n v="100"/>
    <s v="&lt;null&gt;"/>
    <s v="&lt;null&gt;"/>
    <s v="&lt;null&gt;"/>
    <s v="&lt;null&gt;"/>
    <m/>
    <m/>
    <m/>
    <m/>
  </r>
  <r>
    <x v="969"/>
    <x v="969"/>
    <s v="Verkeersveiligheid"/>
    <x v="4"/>
    <n v="1123"/>
    <s v="IN/001052"/>
    <s v="Ingreep schoolroute in Knokke-Heist op Kruispunt N49 Natiënlaan x Sluisstraat"/>
    <s v="optimaliseren fietsgeleiding op kruispunt."/>
    <s v="Kleine Ingreep"/>
    <s v="&lt;null&gt;"/>
    <b v="0"/>
    <s v="Ingreep wordt niet opgevolgd in BOD"/>
    <s v="&lt;null&gt;"/>
    <s v="&lt;null&gt;"/>
    <s v="&lt;null&gt;"/>
    <s v="&lt;null&gt;"/>
    <s v="&lt;null&gt;"/>
    <x v="0"/>
    <s v="&lt;null&gt;"/>
    <s v="&lt;null&gt;"/>
    <s v="&lt;null&gt;"/>
    <s v="&lt;null&gt;"/>
    <n v="100"/>
    <s v="&lt;null&gt;"/>
    <s v="&lt;null&gt;"/>
    <s v="&lt;null&gt;"/>
    <s v="&lt;null&gt;"/>
    <m/>
    <m/>
    <m/>
    <m/>
  </r>
  <r>
    <x v="970"/>
    <x v="970"/>
    <s v="Verkeersveiligheid"/>
    <x v="4"/>
    <n v="1124"/>
    <s v="IN/001053"/>
    <s v="Ingreep schoolroute in Wuustwezel op Kruispunt N1 - Arthur Boelstraat - Bosduinstraat"/>
    <s v="&lt;null&gt;"/>
    <s v="Kleine Ingreep"/>
    <s v="WA/INV/N1/19"/>
    <b v="0"/>
    <s v="Ingreep wordt niet opgevolgd in BOD"/>
    <s v="&lt;null&gt;"/>
    <s v="&lt;null&gt;"/>
    <s v="&lt;null&gt;"/>
    <s v="&lt;null&gt;"/>
    <s v="&lt;null&gt;"/>
    <x v="0"/>
    <s v="&lt;null&gt;"/>
    <s v="&lt;null&gt;"/>
    <s v="&lt;null&gt;"/>
    <s v="&lt;null&gt;"/>
    <n v="100"/>
    <s v="&lt;null&gt;"/>
    <s v="&lt;null&gt;"/>
    <s v="&lt;null&gt;"/>
    <s v="&lt;null&gt;"/>
    <m/>
    <m/>
    <m/>
    <m/>
  </r>
  <r>
    <x v="971"/>
    <x v="971"/>
    <s v="Verkeersveiligheid"/>
    <x v="4"/>
    <n v="1125"/>
    <s v="IN/001054"/>
    <s v="Ingreep schoolroute in Torhout op Kruispunt Rijksweg / Bakvoordestraat"/>
    <s v="&lt;null&gt;"/>
    <s v="Kleine Ingreep"/>
    <s v="&lt;null&gt;"/>
    <b v="0"/>
    <s v="Ingreep wordt niet opgevolgd in BOD"/>
    <s v="&lt;null&gt;"/>
    <s v="&lt;null&gt;"/>
    <s v="&lt;null&gt;"/>
    <s v="&lt;null&gt;"/>
    <s v="&lt;null&gt;"/>
    <x v="0"/>
    <s v="&lt;null&gt;"/>
    <s v="&lt;null&gt;"/>
    <s v="&lt;null&gt;"/>
    <s v="&lt;null&gt;"/>
    <n v="100"/>
    <s v="&lt;null&gt;"/>
    <s v="&lt;null&gt;"/>
    <s v="&lt;null&gt;"/>
    <s v="&lt;null&gt;"/>
    <m/>
    <m/>
    <m/>
    <m/>
  </r>
  <r>
    <x v="972"/>
    <x v="972"/>
    <s v="Verkeersveiligheid"/>
    <x v="4"/>
    <n v="1126"/>
    <s v="IN/001055"/>
    <s v="Ingreep schoolroute in Lier op N10 x Misstraat x Bernard Van Hoolstraat"/>
    <s v="Rodeslemlaag wegnemen."/>
    <s v="Kleine Ingreep"/>
    <s v="WA/INV/N10/13"/>
    <b v="0"/>
    <s v="Ingreep wordt niet opgevolgd in BOD"/>
    <s v="&lt;null&gt;"/>
    <s v="&lt;null&gt;"/>
    <s v="&lt;null&gt;"/>
    <s v="&lt;null&gt;"/>
    <s v="&lt;null&gt;"/>
    <x v="0"/>
    <s v="&lt;null&gt;"/>
    <s v="&lt;null&gt;"/>
    <s v="&lt;null&gt;"/>
    <s v="&lt;null&gt;"/>
    <n v="100"/>
    <s v="&lt;null&gt;"/>
    <s v="&lt;null&gt;"/>
    <s v="&lt;null&gt;"/>
    <s v="&lt;null&gt;"/>
    <m/>
    <m/>
    <m/>
    <m/>
  </r>
  <r>
    <x v="973"/>
    <x v="973"/>
    <s v="Verkeersveiligheid"/>
    <x v="4"/>
    <n v="1127"/>
    <s v="IN/001056"/>
    <s v="Ingreep schoolroute in Lier op N10 x Spreet"/>
    <s v="&lt;null&gt;"/>
    <s v="Kleine Ingreep"/>
    <s v="WA/INV/N10/8"/>
    <b v="0"/>
    <s v="Ingreep wordt niet opgevolgd in BOD"/>
    <s v="&lt;null&gt;"/>
    <s v="&lt;null&gt;"/>
    <s v="&lt;null&gt;"/>
    <s v="&lt;null&gt;"/>
    <s v="&lt;null&gt;"/>
    <x v="0"/>
    <s v="&lt;null&gt;"/>
    <s v="&lt;null&gt;"/>
    <s v="&lt;null&gt;"/>
    <s v="&lt;null&gt;"/>
    <n v="100"/>
    <s v="&lt;null&gt;"/>
    <s v="&lt;null&gt;"/>
    <s v="&lt;null&gt;"/>
    <s v="&lt;null&gt;"/>
    <m/>
    <m/>
    <m/>
    <m/>
  </r>
  <r>
    <x v="974"/>
    <x v="974"/>
    <s v="Verkeersveiligheid"/>
    <x v="4"/>
    <n v="1128"/>
    <s v="IN/001057"/>
    <s v="Ingreep schoolroute in Lier op N10 x Schollebeekstraat"/>
    <s v="&lt;null&gt;"/>
    <s v="Kleine Ingreep"/>
    <s v="&lt;null&gt;"/>
    <b v="0"/>
    <s v="Ingreep wordt niet opgevolgd in BOD"/>
    <s v="&lt;null&gt;"/>
    <s v="&lt;null&gt;"/>
    <s v="&lt;null&gt;"/>
    <s v="&lt;null&gt;"/>
    <s v="&lt;null&gt;"/>
    <x v="0"/>
    <s v="&lt;null&gt;"/>
    <s v="&lt;null&gt;"/>
    <s v="&lt;null&gt;"/>
    <s v="&lt;null&gt;"/>
    <n v="100"/>
    <s v="&lt;null&gt;"/>
    <s v="&lt;null&gt;"/>
    <s v="&lt;null&gt;"/>
    <s v="&lt;null&gt;"/>
    <m/>
    <m/>
    <m/>
    <m/>
  </r>
  <r>
    <x v="975"/>
    <x v="975"/>
    <s v="Verkeersveiligheid"/>
    <x v="4"/>
    <n v="1129"/>
    <s v="IN/001058"/>
    <s v="Ingreep schoolroute in Ardooie op Zijstraten N37"/>
    <s v="Arcering plaatsen conform overleg"/>
    <s v="Kleine Ingreep"/>
    <s v="WWV/INV/N37/8"/>
    <b v="1"/>
    <s v="Ingreep wordt opgevolgd in BOD"/>
    <n v="12024"/>
    <s v="AWV/INV/2021/3_P3"/>
    <n v="118401"/>
    <n v="21065771"/>
    <s v="&lt;p&gt;OF AWV/INV/2021/3 P3 3mh230 schoolroutes&lt;/p&gt;"/>
    <x v="9"/>
    <n v="9350"/>
    <s v="IN 1058 Wezestraat Oostlaan Ardooie"/>
    <s v="&lt;null&gt;"/>
    <s v="WWV/INV/N37/8"/>
    <n v="100"/>
    <n v="1655"/>
    <n v="0"/>
    <n v="0"/>
    <n v="364.2"/>
    <n v="1655"/>
    <n v="0"/>
    <n v="0"/>
    <n v="364.2"/>
  </r>
  <r>
    <x v="976"/>
    <x v="976"/>
    <s v="Verkeersveiligheid"/>
    <x v="4"/>
    <n v="1130"/>
    <s v="IN/001059"/>
    <s v="Ingreep schoolroute in Meerhout op Gestelsesteenweg (N110) tussen kruispunt Waterstraat-Kerkstraat"/>
    <s v="Markeringen &quot;school&quot;"/>
    <s v="Kleine Ingreep"/>
    <s v="WA/INV/N110/3"/>
    <b v="0"/>
    <s v="Ingreep wordt niet opgevolgd in BOD"/>
    <s v="&lt;null&gt;"/>
    <s v="&lt;null&gt;"/>
    <s v="&lt;null&gt;"/>
    <s v="&lt;null&gt;"/>
    <s v="&lt;null&gt;"/>
    <x v="0"/>
    <s v="&lt;null&gt;"/>
    <s v="&lt;null&gt;"/>
    <s v="&lt;null&gt;"/>
    <s v="&lt;null&gt;"/>
    <n v="100"/>
    <s v="&lt;null&gt;"/>
    <s v="&lt;null&gt;"/>
    <s v="&lt;null&gt;"/>
    <s v="&lt;null&gt;"/>
    <m/>
    <m/>
    <m/>
    <m/>
  </r>
  <r>
    <x v="977"/>
    <x v="977"/>
    <s v="Verkeersveiligheid"/>
    <x v="4"/>
    <n v="1131"/>
    <s v="IN/001060"/>
    <s v="Ingreep schoolroute in Oostkamp op N368 Sint-Elooisstraat"/>
    <s v="fietslogo's"/>
    <s v="Kleine Ingreep"/>
    <s v="WWV/INV/N368/11"/>
    <b v="1"/>
    <s v="Ingreep wordt opgevolgd in BOD"/>
    <n v="12024"/>
    <s v="AWV/INV/2021/3_P3"/>
    <n v="118401"/>
    <n v="21065771"/>
    <s v="&lt;p&gt;OF AWV/INV/2021/3 P3 3mh230 schoolroutes&lt;/p&gt;"/>
    <x v="9"/>
    <n v="8371"/>
    <s v="IN1060 N368 Oostkamp"/>
    <s v="&lt;null&gt;"/>
    <s v="WWV/INV/N368/11"/>
    <n v="100"/>
    <n v="1653"/>
    <n v="0"/>
    <n v="0"/>
    <n v="93.95"/>
    <n v="1653"/>
    <n v="0"/>
    <n v="0"/>
    <n v="93.95"/>
  </r>
  <r>
    <x v="978"/>
    <x v="978"/>
    <s v="Verkeersveiligheid"/>
    <x v="4"/>
    <n v="1132"/>
    <s v="IN/001061"/>
    <s v="Beperkte herinrichting inclusief 2 FOP's (PM studiebureau aan te stellen via MC3)"/>
    <s v="&lt;null&gt;"/>
    <s v="Kleine Ingreep"/>
    <s v="WL/INV/N730/18"/>
    <b v="0"/>
    <s v="Ingreep wordt niet opgevolgd in BOD"/>
    <s v="&lt;null&gt;"/>
    <s v="&lt;null&gt;"/>
    <s v="&lt;null&gt;"/>
    <s v="&lt;null&gt;"/>
    <s v="&lt;null&gt;"/>
    <x v="0"/>
    <s v="&lt;null&gt;"/>
    <s v="&lt;null&gt;"/>
    <s v="&lt;null&gt;"/>
    <s v="&lt;null&gt;"/>
    <n v="100"/>
    <s v="&lt;null&gt;"/>
    <s v="&lt;null&gt;"/>
    <s v="&lt;null&gt;"/>
    <s v="&lt;null&gt;"/>
    <m/>
    <m/>
    <m/>
    <m/>
  </r>
  <r>
    <x v="979"/>
    <x v="979"/>
    <s v="Verkeersveiligheid"/>
    <x v="4"/>
    <n v="1133"/>
    <s v="IN/001062"/>
    <s v="Ingreep schoolroute in Lommel op N71 x Hoeverdijk"/>
    <s v="&lt;null&gt;"/>
    <s v="Structurele Ingreep"/>
    <s v="&lt;null&gt;"/>
    <b v="0"/>
    <s v="Ingreep wordt niet opgevolgd in BOD"/>
    <s v="&lt;null&gt;"/>
    <s v="&lt;null&gt;"/>
    <s v="&lt;null&gt;"/>
    <s v="&lt;null&gt;"/>
    <s v="&lt;null&gt;"/>
    <x v="0"/>
    <s v="&lt;null&gt;"/>
    <s v="&lt;null&gt;"/>
    <s v="&lt;null&gt;"/>
    <s v="&lt;null&gt;"/>
    <n v="100"/>
    <s v="&lt;null&gt;"/>
    <s v="&lt;null&gt;"/>
    <s v="&lt;null&gt;"/>
    <s v="&lt;null&gt;"/>
    <m/>
    <m/>
    <m/>
    <m/>
  </r>
  <r>
    <x v="980"/>
    <x v="980"/>
    <s v="Verkeersveiligheid"/>
    <x v="4"/>
    <n v="1134"/>
    <s v="IN/001063"/>
    <s v="Aanpassen bypasses en ombouw volgens actieplan"/>
    <s v="&lt;null&gt;"/>
    <s v="Kleine Ingreep"/>
    <s v="WL/INV/NX/6"/>
    <b v="0"/>
    <s v="Ingreep wordt niet opgevolgd in BOD"/>
    <s v="&lt;null&gt;"/>
    <s v="&lt;null&gt;"/>
    <s v="&lt;null&gt;"/>
    <s v="&lt;null&gt;"/>
    <s v="&lt;null&gt;"/>
    <x v="0"/>
    <s v="&lt;null&gt;"/>
    <s v="&lt;null&gt;"/>
    <s v="&lt;null&gt;"/>
    <s v="&lt;null&gt;"/>
    <n v="100"/>
    <s v="&lt;null&gt;"/>
    <s v="&lt;null&gt;"/>
    <s v="&lt;null&gt;"/>
    <s v="&lt;null&gt;"/>
    <m/>
    <m/>
    <m/>
    <m/>
  </r>
  <r>
    <x v="981"/>
    <x v="981"/>
    <s v="Verkeersveiligheid"/>
    <x v="4"/>
    <n v="1135"/>
    <s v="IN/001064"/>
    <s v="Vrij rechtsaf door rood voor fietsers"/>
    <s v="\n"/>
    <s v="Kleine Ingreep"/>
    <s v="WL/INV/N746/4"/>
    <b v="0"/>
    <s v="Ingreep wordt niet opgevolgd in BOD"/>
    <s v="&lt;null&gt;"/>
    <s v="&lt;null&gt;"/>
    <s v="&lt;null&gt;"/>
    <s v="&lt;null&gt;"/>
    <s v="&lt;null&gt;"/>
    <x v="0"/>
    <s v="&lt;null&gt;"/>
    <s v="&lt;null&gt;"/>
    <s v="&lt;null&gt;"/>
    <s v="&lt;null&gt;"/>
    <n v="100"/>
    <s v="&lt;null&gt;"/>
    <s v="&lt;null&gt;"/>
    <s v="&lt;null&gt;"/>
    <s v="&lt;null&gt;"/>
    <m/>
    <m/>
    <m/>
    <m/>
  </r>
  <r>
    <x v="982"/>
    <x v="982"/>
    <s v="Verkeersveiligheid"/>
    <x v="4"/>
    <n v="1136"/>
    <s v="IN/001065"/>
    <s v="Ingreep schoolroute in Olen op 3/ fietspaden langs N152 (tussen kern Olen-Centrum en kruispunt met Hezewijk/Industrielaan)"/>
    <s v="&lt;null&gt;"/>
    <s v="Kleine Ingreep"/>
    <s v="WA/INV/N152/5"/>
    <b v="0"/>
    <s v="Ingreep wordt niet opgevolgd in BOD"/>
    <s v="&lt;null&gt;"/>
    <s v="&lt;null&gt;"/>
    <s v="&lt;null&gt;"/>
    <s v="&lt;null&gt;"/>
    <s v="&lt;null&gt;"/>
    <x v="0"/>
    <s v="&lt;null&gt;"/>
    <s v="&lt;null&gt;"/>
    <s v="&lt;null&gt;"/>
    <s v="&lt;null&gt;"/>
    <n v="100"/>
    <s v="&lt;null&gt;"/>
    <s v="&lt;null&gt;"/>
    <s v="&lt;null&gt;"/>
    <s v="&lt;null&gt;"/>
    <m/>
    <m/>
    <m/>
    <m/>
  </r>
  <r>
    <x v="983"/>
    <x v="983"/>
    <s v="Verkeersveiligheid"/>
    <x v="4"/>
    <n v="1137"/>
    <s v="IN/001066"/>
    <s v="Ingreep schoolroute in Koksijde op Toekomstlaan ter hoogte van de Nieuwstraat"/>
    <s v="&lt;null&gt;"/>
    <s v="Kleine Ingreep"/>
    <s v="&lt;null&gt;"/>
    <b v="0"/>
    <s v="Ingreep wordt niet opgevolgd in BOD"/>
    <s v="&lt;null&gt;"/>
    <s v="&lt;null&gt;"/>
    <s v="&lt;null&gt;"/>
    <s v="&lt;null&gt;"/>
    <s v="&lt;null&gt;"/>
    <x v="0"/>
    <s v="&lt;null&gt;"/>
    <s v="&lt;null&gt;"/>
    <s v="&lt;null&gt;"/>
    <s v="&lt;null&gt;"/>
    <n v="100"/>
    <s v="&lt;null&gt;"/>
    <s v="&lt;null&gt;"/>
    <s v="&lt;null&gt;"/>
    <s v="&lt;null&gt;"/>
    <m/>
    <m/>
    <m/>
    <m/>
  </r>
  <r>
    <x v="984"/>
    <x v="984"/>
    <s v="Verkeersveiligheid"/>
    <x v="4"/>
    <n v="1138"/>
    <s v="IN/001067"/>
    <s v="Ingreep schoolroute in Koksijde op N39 x Kortestraat"/>
    <s v="&lt;null&gt;"/>
    <s v="Kleine Ingreep"/>
    <s v="WWV/INV/N39/4"/>
    <b v="1"/>
    <s v="Ingreep wordt opgevolgd in BOD"/>
    <s v="&lt;null&gt;"/>
    <s v="&lt;null&gt;"/>
    <n v="118401"/>
    <n v="21065771"/>
    <s v="&lt;p&gt;OF AWV/INV/2021/3 P3 3mh230 schoolroutes&lt;/p&gt;"/>
    <x v="9"/>
    <n v="9351"/>
    <s v="IN 1067 N39 Koksijde Kortestraat"/>
    <s v="&lt;null&gt;"/>
    <s v="WWV/INV/N39/4"/>
    <n v="100"/>
    <n v="18000"/>
    <n v="0"/>
    <n v="0"/>
    <n v="18000"/>
    <n v="18000"/>
    <n v="0"/>
    <n v="0"/>
    <n v="18000"/>
  </r>
  <r>
    <x v="985"/>
    <x v="985"/>
    <s v="Verkeersveiligheid"/>
    <x v="4"/>
    <n v="1139"/>
    <s v="IN/001068"/>
    <s v="Ingreep schoolroute in Kortrijk op N50 Benelux Rotonde"/>
    <s v="Verlagen boordstenen"/>
    <s v="Kleine Ingreep"/>
    <s v="WWV/INV/N50/10"/>
    <b v="1"/>
    <s v="Ingreep wordt opgevolgd in BOD"/>
    <n v="12024"/>
    <s v="AWV/INV/2021/3_P3"/>
    <n v="118401"/>
    <n v="21065771"/>
    <s v="&lt;p&gt;OF AWV/INV/2021/3 P3 3mh230 schoolroutes&lt;/p&gt;"/>
    <x v="9"/>
    <n v="8372"/>
    <s v="IN1068 N50 Kortrijk"/>
    <s v="&lt;null&gt;"/>
    <s v="WWV/INV/N50/10"/>
    <n v="100"/>
    <n v="4132"/>
    <n v="0"/>
    <n v="0"/>
    <n v="2377.5100000000002"/>
    <n v="4132"/>
    <n v="0"/>
    <n v="0"/>
    <n v="2377.5100000000002"/>
  </r>
  <r>
    <x v="986"/>
    <x v="986"/>
    <s v="Verkeersveiligheid"/>
    <x v="4"/>
    <n v="1140"/>
    <s v="IN/001069"/>
    <s v="Ingreep schoolroute in Kortrijk op R8 - Spinnerijstraat - Stasegemsesteenweg"/>
    <s v="&lt;null&gt;"/>
    <s v="Kleine Ingreep"/>
    <s v="&lt;null&gt;"/>
    <b v="0"/>
    <s v="Ingreep wordt niet opgevolgd in BOD"/>
    <s v="&lt;null&gt;"/>
    <s v="&lt;null&gt;"/>
    <s v="&lt;null&gt;"/>
    <s v="&lt;null&gt;"/>
    <s v="&lt;null&gt;"/>
    <x v="0"/>
    <s v="&lt;null&gt;"/>
    <s v="&lt;null&gt;"/>
    <s v="&lt;null&gt;"/>
    <s v="&lt;null&gt;"/>
    <n v="100"/>
    <s v="&lt;null&gt;"/>
    <s v="&lt;null&gt;"/>
    <s v="&lt;null&gt;"/>
    <s v="&lt;null&gt;"/>
    <m/>
    <m/>
    <m/>
    <m/>
  </r>
  <r>
    <x v="987"/>
    <x v="987"/>
    <s v="Verkeersveiligheid"/>
    <x v="4"/>
    <n v="1141"/>
    <s v="IN/001070"/>
    <s v="Ingreep schoolroute in Kortrijk op R8 - Gullegemsestraat"/>
    <s v="&lt;null&gt;"/>
    <s v="Kleine Ingreep"/>
    <s v="&lt;null&gt;"/>
    <b v="0"/>
    <s v="Ingreep wordt niet opgevolgd in BOD"/>
    <s v="&lt;null&gt;"/>
    <s v="&lt;null&gt;"/>
    <s v="&lt;null&gt;"/>
    <s v="&lt;null&gt;"/>
    <s v="&lt;null&gt;"/>
    <x v="0"/>
    <s v="&lt;null&gt;"/>
    <s v="&lt;null&gt;"/>
    <s v="&lt;null&gt;"/>
    <s v="&lt;null&gt;"/>
    <n v="100"/>
    <s v="&lt;null&gt;"/>
    <s v="&lt;null&gt;"/>
    <s v="&lt;null&gt;"/>
    <s v="&lt;null&gt;"/>
    <m/>
    <m/>
    <m/>
    <m/>
  </r>
  <r>
    <x v="988"/>
    <x v="988"/>
    <s v="Verkeersveiligheid"/>
    <x v="4"/>
    <n v="1142"/>
    <s v="IN/001071"/>
    <s v="Ingreep schoolroute in Kortrijk op N8 tussen Bissegem en Kortrijk"/>
    <s v="Hermarkeren"/>
    <s v="Kleine Ingreep"/>
    <s v="WWV/INV/N8/24"/>
    <b v="1"/>
    <s v="Ingreep wordt opgevolgd in BOD"/>
    <n v="12024"/>
    <s v="AWV/INV/2021/3_P3"/>
    <n v="118401"/>
    <n v="21065771"/>
    <s v="&lt;p&gt;OF AWV/INV/2021/3 P3 3mh230 schoolroutes&lt;/p&gt;"/>
    <x v="9"/>
    <n v="8373"/>
    <s v="IN1071 N8 Kortrijk"/>
    <s v="&lt;null&gt;"/>
    <s v="WWV/INV/N8/24"/>
    <n v="100"/>
    <n v="2331"/>
    <n v="0"/>
    <n v="2331"/>
    <n v="0"/>
    <n v="2331"/>
    <n v="0"/>
    <n v="2331"/>
    <n v="0"/>
  </r>
  <r>
    <x v="653"/>
    <x v="653"/>
    <s v="Verkeersveiligheid"/>
    <x v="4"/>
    <n v="1143"/>
    <s v="IN/001072"/>
    <s v="MAG WEG Ingreep schoolroute in Mechelen op R12 x N15 (vlak voor Voochtstraat)"/>
    <s v="&lt;null&gt;"/>
    <s v="Structurele Ingreep"/>
    <s v="&lt;null&gt;"/>
    <b v="0"/>
    <s v="Ingreep wordt niet opgevolgd in BOD"/>
    <s v="&lt;null&gt;"/>
    <s v="&lt;null&gt;"/>
    <s v="&lt;null&gt;"/>
    <s v="&lt;null&gt;"/>
    <s v="&lt;null&gt;"/>
    <x v="0"/>
    <s v="&lt;null&gt;"/>
    <s v="&lt;null&gt;"/>
    <s v="&lt;null&gt;"/>
    <s v="&lt;null&gt;"/>
    <n v="100"/>
    <s v="&lt;null&gt;"/>
    <s v="&lt;null&gt;"/>
    <s v="&lt;null&gt;"/>
    <s v="&lt;null&gt;"/>
    <m/>
    <m/>
    <m/>
    <m/>
  </r>
  <r>
    <x v="654"/>
    <x v="654"/>
    <s v="Verkeersveiligheid"/>
    <x v="4"/>
    <n v="1144"/>
    <s v="IN/001073"/>
    <s v="MAG WEG Ingreep schoolroute in Mechelen op R12 x N14 Liersesteenweg"/>
    <m/>
    <s v="Structurele Ingreep"/>
    <s v="&lt;null&gt;"/>
    <b v="0"/>
    <s v="Ingreep wordt niet opgevolgd in BOD"/>
    <s v="&lt;null&gt;"/>
    <s v="&lt;null&gt;"/>
    <s v="&lt;null&gt;"/>
    <s v="&lt;null&gt;"/>
    <s v="&lt;null&gt;"/>
    <x v="0"/>
    <s v="&lt;null&gt;"/>
    <s v="&lt;null&gt;"/>
    <s v="&lt;null&gt;"/>
    <s v="&lt;null&gt;"/>
    <n v="100"/>
    <s v="&lt;null&gt;"/>
    <s v="&lt;null&gt;"/>
    <s v="&lt;null&gt;"/>
    <s v="&lt;null&gt;"/>
    <m/>
    <m/>
    <m/>
    <m/>
  </r>
  <r>
    <x v="989"/>
    <x v="989"/>
    <s v="Verkeersveiligheid"/>
    <x v="4"/>
    <n v="1145"/>
    <s v="IN/001074"/>
    <s v="Ingreep schoolroute in Huldenberg op Voetgangersoversteek school Loonbeek N253"/>
    <s v="&lt;null&gt;"/>
    <s v="Kleine Ingreep"/>
    <s v="WVB/INV/N253/9"/>
    <b v="1"/>
    <s v="Ingreep wordt opgevolgd in BOD"/>
    <n v="7664"/>
    <s v="X21/0/461-perceel 1"/>
    <n v="86301"/>
    <n v="20054245"/>
    <s v="&lt;p&gt;jaar C - X21/0/461-P1(V02)&lt;/p&gt;"/>
    <x v="22"/>
    <n v="9951"/>
    <s v="Huldenberg Loonbeek kerk"/>
    <s v="&lt;p&gt;aanpassing bocht + oversteek met punctuele verlichting&lt;/p&gt;"/>
    <s v="WVB/INV/N253/9"/>
    <n v="100"/>
    <n v="76000"/>
    <n v="0"/>
    <n v="0"/>
    <n v="0"/>
    <n v="76000"/>
    <n v="0"/>
    <n v="0"/>
    <n v="0"/>
  </r>
  <r>
    <x v="990"/>
    <x v="990"/>
    <s v="Verkeersveiligheid"/>
    <x v="4"/>
    <n v="1146"/>
    <s v="IN/001075"/>
    <s v="Ingreep schoolroute in Huldenberg op Oversteekplaats N253 Dorpstraat school Neerijse"/>
    <s v="&lt;null&gt;"/>
    <s v="Kleine Ingreep"/>
    <s v="WVB/INV/N253/10"/>
    <b v="0"/>
    <s v="Ingreep wordt niet opgevolgd in BOD"/>
    <s v="&lt;null&gt;"/>
    <s v="&lt;null&gt;"/>
    <s v="&lt;null&gt;"/>
    <s v="&lt;null&gt;"/>
    <s v="&lt;null&gt;"/>
    <x v="0"/>
    <s v="&lt;null&gt;"/>
    <s v="&lt;null&gt;"/>
    <s v="&lt;null&gt;"/>
    <s v="&lt;null&gt;"/>
    <n v="100"/>
    <s v="&lt;null&gt;"/>
    <s v="&lt;null&gt;"/>
    <s v="&lt;null&gt;"/>
    <s v="&lt;null&gt;"/>
    <m/>
    <m/>
    <m/>
    <m/>
  </r>
  <r>
    <x v="991"/>
    <x v="991"/>
    <s v="Verkeersveiligheid"/>
    <x v="4"/>
    <n v="1147"/>
    <s v="IN/001076"/>
    <s v="Ingreep schoolroute in De Panne op Oversteekplaats Dijk N39- Duinkerkekeiweg"/>
    <s v="&lt;null&gt;"/>
    <s v="Kleine Ingreep"/>
    <s v="&lt;null&gt;"/>
    <b v="0"/>
    <s v="Ingreep wordt niet opgevolgd in BOD"/>
    <s v="&lt;null&gt;"/>
    <s v="&lt;null&gt;"/>
    <s v="&lt;null&gt;"/>
    <s v="&lt;null&gt;"/>
    <s v="&lt;null&gt;"/>
    <x v="0"/>
    <s v="&lt;null&gt;"/>
    <s v="&lt;null&gt;"/>
    <s v="&lt;null&gt;"/>
    <s v="&lt;null&gt;"/>
    <n v="100"/>
    <s v="&lt;null&gt;"/>
    <s v="&lt;null&gt;"/>
    <s v="&lt;null&gt;"/>
    <s v="&lt;null&gt;"/>
    <m/>
    <m/>
    <m/>
    <m/>
  </r>
  <r>
    <x v="992"/>
    <x v="992"/>
    <s v="Verkeersveiligheid"/>
    <x v="4"/>
    <n v="1148"/>
    <s v="IN/001077"/>
    <s v="Ingreep schoolroute in Grobbendonk op Lierse steenweg thv kruispunt Dorp en Hermespaadje"/>
    <s v="&lt;null&gt;"/>
    <s v="Kleine Ingreep"/>
    <s v="WA/INV/N13/16"/>
    <b v="0"/>
    <s v="Ingreep wordt niet opgevolgd in BOD"/>
    <s v="&lt;null&gt;"/>
    <s v="&lt;null&gt;"/>
    <s v="&lt;null&gt;"/>
    <s v="&lt;null&gt;"/>
    <s v="&lt;null&gt;"/>
    <x v="0"/>
    <s v="&lt;null&gt;"/>
    <s v="&lt;null&gt;"/>
    <s v="&lt;null&gt;"/>
    <s v="&lt;null&gt;"/>
    <n v="100"/>
    <s v="&lt;null&gt;"/>
    <s v="&lt;null&gt;"/>
    <s v="&lt;null&gt;"/>
    <s v="&lt;null&gt;"/>
    <m/>
    <m/>
    <m/>
    <m/>
  </r>
  <r>
    <x v="993"/>
    <x v="993"/>
    <s v="Verkeersveiligheid"/>
    <x v="4"/>
    <n v="1149"/>
    <s v="IN/001078"/>
    <s v="Ingreep schoolroute in Scherpenheuvel-Zichem op Turnhoutsebaan x Brabantsebaan"/>
    <s v="Oversteekplaats voor fietsers en vernieuwen fietspad thv kruispunt"/>
    <s v="Kleine Ingreep"/>
    <s v="WVB/INV/N127/2"/>
    <b v="0"/>
    <s v="Ingreep wordt niet opgevolgd in BOD"/>
    <s v="&lt;null&gt;"/>
    <s v="&lt;null&gt;"/>
    <s v="&lt;null&gt;"/>
    <s v="&lt;null&gt;"/>
    <s v="&lt;null&gt;"/>
    <x v="0"/>
    <s v="&lt;null&gt;"/>
    <s v="&lt;null&gt;"/>
    <s v="&lt;null&gt;"/>
    <s v="&lt;null&gt;"/>
    <n v="100"/>
    <s v="&lt;null&gt;"/>
    <s v="&lt;null&gt;"/>
    <s v="&lt;null&gt;"/>
    <s v="&lt;null&gt;"/>
    <m/>
    <m/>
    <m/>
    <m/>
  </r>
  <r>
    <x v="994"/>
    <x v="994"/>
    <s v="Verkeersveiligheid"/>
    <x v="4"/>
    <n v="1150"/>
    <s v="IN/001079"/>
    <s v="twee enkelrichtingsfietspaden met FOP's"/>
    <s v="twee enkelrichtingsfietspaden met FOP's"/>
    <s v="Kleine Ingreep"/>
    <s v="WL/INV/N77/3"/>
    <b v="1"/>
    <s v="Ingreep wordt opgevolgd in BOD"/>
    <n v="12817"/>
    <s v="AWV/INV/2021/3_P5"/>
    <n v="135951"/>
    <n v="22015560"/>
    <s v="&lt;p&gt;gevaarlijke punten, scholenroutes&lt;/p&gt;"/>
    <x v="14"/>
    <n v="9817"/>
    <s v="Zutendaal_N77_KS399_7.128"/>
    <s v="&lt;null&gt;"/>
    <s v="WL/INV/N77/3"/>
    <n v="100"/>
    <n v="50000"/>
    <n v="0"/>
    <n v="0"/>
    <n v="17196.830000000002"/>
    <n v="50000"/>
    <n v="0"/>
    <n v="0"/>
    <n v="17196.830000000002"/>
  </r>
  <r>
    <x v="995"/>
    <x v="995"/>
    <s v="Verkeersveiligheid"/>
    <x v="4"/>
    <n v="1151"/>
    <s v="IN/001080"/>
    <s v="Aanpassen fietspaden (PM studiebureau aan te stellen via MC3)"/>
    <s v="fietsers uit de voorrang op rotonde"/>
    <s v="Kleine Ingreep"/>
    <s v="WL/INV/NX/5"/>
    <b v="0"/>
    <s v="Ingreep wordt niet opgevolgd in BOD"/>
    <s v="&lt;null&gt;"/>
    <s v="&lt;null&gt;"/>
    <s v="&lt;null&gt;"/>
    <s v="&lt;null&gt;"/>
    <s v="&lt;null&gt;"/>
    <x v="0"/>
    <s v="&lt;null&gt;"/>
    <s v="&lt;null&gt;"/>
    <s v="&lt;null&gt;"/>
    <s v="&lt;null&gt;"/>
    <n v="100"/>
    <s v="&lt;null&gt;"/>
    <s v="&lt;null&gt;"/>
    <s v="&lt;null&gt;"/>
    <s v="&lt;null&gt;"/>
    <m/>
    <m/>
    <m/>
    <m/>
  </r>
  <r>
    <x v="996"/>
    <x v="996"/>
    <s v="Verkeersveiligheid"/>
    <x v="4"/>
    <n v="1152"/>
    <s v="IN/001081"/>
    <s v="Ingreep schoolroute in Ham op Kruispunt N110 x N141"/>
    <s v="VVOP\nvernieuwen markeringen"/>
    <s v="Kleine Ingreep"/>
    <s v="WL/INV/N141/10"/>
    <b v="0"/>
    <s v="Ingreep wordt niet opgevolgd in BOD"/>
    <s v="&lt;null&gt;"/>
    <s v="&lt;null&gt;"/>
    <s v="&lt;null&gt;"/>
    <s v="&lt;null&gt;"/>
    <s v="&lt;null&gt;"/>
    <x v="0"/>
    <s v="&lt;null&gt;"/>
    <s v="&lt;null&gt;"/>
    <s v="&lt;null&gt;"/>
    <s v="&lt;null&gt;"/>
    <n v="100"/>
    <s v="&lt;null&gt;"/>
    <s v="&lt;null&gt;"/>
    <s v="&lt;null&gt;"/>
    <s v="&lt;null&gt;"/>
    <m/>
    <m/>
    <m/>
    <m/>
  </r>
  <r>
    <x v="997"/>
    <x v="997"/>
    <s v="Verkeersveiligheid"/>
    <x v="4"/>
    <n v="1153"/>
    <s v="IN/001082"/>
    <s v="Ingreep schoolroute in Herentals op In volgorde van prioriteit: 3) Rondpunt Ringlaan – Augustijnenlaan"/>
    <s v="&lt;null&gt;"/>
    <s v="Kleine Ingreep"/>
    <s v="WA/INV/N153/16"/>
    <b v="1"/>
    <s v="Ingreep wordt opgevolgd in BOD"/>
    <n v="12666"/>
    <s v="AWV/INV/2021/3_P1"/>
    <n v="130251"/>
    <n v="21064977"/>
    <s v="&lt;p&gt;schoolroutes (vastlegging 2021)&lt;/p&gt;"/>
    <x v="9"/>
    <n v="10459"/>
    <s v="Rondpunt Ringlaan N153 – Augustijnenlaan"/>
    <s v="&lt;null&gt;"/>
    <s v="WA/INV/N153/16"/>
    <n v="100"/>
    <n v="104852"/>
    <n v="104852"/>
    <n v="0"/>
    <n v="0"/>
    <n v="104852"/>
    <n v="104852"/>
    <n v="0"/>
    <n v="0"/>
  </r>
  <r>
    <x v="998"/>
    <x v="998"/>
    <s v="Verkeersveiligheid"/>
    <x v="4"/>
    <n v="1154"/>
    <s v="IN/001083"/>
    <s v="Ingreep schoolroute in Turnhout op kruispunt R13 - Speelkaartenstraat/Gierledreef. onderdeel van de schoolfietsroute richting campus HT²O (ingang fietsenstalling is voorzien in de Speelkaartenstraat). Deze scholieren dienen ook overdag regelmatig een verp"/>
    <s v="oplossing beslist in PCV"/>
    <s v="Kleine Ingreep"/>
    <s v="WA/INV/R13/4"/>
    <b v="1"/>
    <s v="Ingreep wordt opgevolgd in BOD"/>
    <n v="12666"/>
    <s v="AWV/INV/2021/3_P1"/>
    <n v="130251"/>
    <n v="21064977"/>
    <s v="&lt;p&gt;schoolroutes (vastlegging 2021)&lt;/p&gt;"/>
    <x v="9"/>
    <n v="10458"/>
    <s v="R13-Speelkaartenstraat"/>
    <s v="&lt;null&gt;"/>
    <s v="WA/INV/R13/4"/>
    <n v="100"/>
    <n v="24260"/>
    <n v="0"/>
    <n v="0"/>
    <n v="0.47"/>
    <n v="24260"/>
    <n v="0"/>
    <n v="0"/>
    <n v="0.47"/>
  </r>
  <r>
    <x v="999"/>
    <x v="999"/>
    <s v="Verkeersveiligheid"/>
    <x v="4"/>
    <n v="1155"/>
    <s v="IN/001084"/>
    <s v="Ingreep schoolroute in Wevelgem op Oversteekbaarheid N8"/>
    <s v="Aanleg 3 middengeleiders en 7 VVOP's"/>
    <s v="Kleine Ingreep"/>
    <s v="WWV/INV/N8/25"/>
    <b v="1"/>
    <s v="Ingreep wordt opgevolgd in BOD"/>
    <n v="10520"/>
    <s v="VWT/WU/2020/007.005"/>
    <n v="106851"/>
    <s v="21013956-bis"/>
    <s v="&lt;p&gt;2021 Basisvastleggingen op 3MH210 - lijn 41280-2&lt;/p&gt;"/>
    <x v="0"/>
    <n v="9945"/>
    <s v="Wevelgem - N8 - Voorzien van 3 punctuele verlichtingen op oversteekplaatsen voor zwakke weggebruikers op kilometerpunten 92.9, 93.3 en 95.5."/>
    <s v="&lt;p&gt;KP/001385 - IN/001084 - KS484&lt;/p&gt;"/>
    <s v="WWV/INV/N8/25"/>
    <n v="100"/>
    <n v="61000"/>
    <n v="0"/>
    <n v="0"/>
    <n v="555.16999999999996"/>
    <n v="61000"/>
    <n v="0"/>
    <n v="0"/>
    <n v="555.16999999999996"/>
  </r>
  <r>
    <x v="999"/>
    <x v="999"/>
    <s v="Verkeersveiligheid"/>
    <x v="4"/>
    <n v="1155"/>
    <s v="IN/001084"/>
    <s v="Ingreep schoolroute in Wevelgem op Oversteekbaarheid N8"/>
    <s v="Aanleg 3 middengeleiders en 7 VVOP's"/>
    <s v="Kleine Ingreep"/>
    <s v="WWV/INV/N8/25"/>
    <b v="1"/>
    <s v="Ingreep wordt opgevolgd in BOD"/>
    <n v="10520"/>
    <s v="VWT/WU/2020/007.005"/>
    <n v="125601"/>
    <n v="22020250"/>
    <s v="&lt;p&gt;Wevelgem - N8 - Voorzien van 7 punctuele verlichtingen op oversteekplaatsen voor zwakke weggebruikers op kilometerpunten 91.3, 92.1, 92.5, 92.8, 92.9, 93.3 en 95.5.&lt;/p&gt;&lt;p&gt;KP/001385 - IN/001084 - KS484 - Programmanummer 41762-1/4: Schoolroutes West-Vlaa"/>
    <x v="3"/>
    <n v="8591"/>
    <s v="&lt;null&gt;"/>
    <s v="&lt;p&gt;Wevelgem - N8 - Voorzien van 7 punctuele verlichtingen op oversteekplaatsen voor zwakke weggebruikers op kilometerpunten 91.3, 92.1, 92.5, 92.8, 92.9, 93.3 en 95.5.&lt;/p&gt;&lt;p&gt;KP/001385 - IN/001084 - KS484 - Programmanummer 41762-1/4: Schoolroutes West-Vlaa"/>
    <s v="WWV/INV/N8/25"/>
    <n v="100"/>
    <n v="148951.28"/>
    <n v="0"/>
    <n v="0"/>
    <n v="0"/>
    <n v="148951.28"/>
    <n v="0"/>
    <n v="0"/>
    <n v="0"/>
  </r>
  <r>
    <x v="1000"/>
    <x v="1000"/>
    <s v="Verkeersveiligheid"/>
    <x v="4"/>
    <n v="1156"/>
    <s v="IN/001085"/>
    <s v="Herinrichting met middengeleider (PM studiebureau aan te stellen via MC3)"/>
    <s v="&lt;null&gt;"/>
    <s v="Kleine Ingreep"/>
    <s v="WL/INV/NX/4"/>
    <b v="0"/>
    <s v="Ingreep wordt niet opgevolgd in BOD"/>
    <s v="&lt;null&gt;"/>
    <s v="&lt;null&gt;"/>
    <s v="&lt;null&gt;"/>
    <s v="&lt;null&gt;"/>
    <s v="&lt;null&gt;"/>
    <x v="0"/>
    <s v="&lt;null&gt;"/>
    <s v="&lt;null&gt;"/>
    <s v="&lt;null&gt;"/>
    <s v="&lt;null&gt;"/>
    <n v="100"/>
    <s v="&lt;null&gt;"/>
    <s v="&lt;null&gt;"/>
    <s v="&lt;null&gt;"/>
    <s v="&lt;null&gt;"/>
    <m/>
    <m/>
    <m/>
    <m/>
  </r>
  <r>
    <x v="1001"/>
    <x v="1001"/>
    <s v="Verkeersveiligheid"/>
    <x v="4"/>
    <n v="1157"/>
    <s v="IN/001086"/>
    <s v="Ingreep schoolroute in Hasselt op Diestersteenweg Kermt"/>
    <s v="&lt;null&gt;"/>
    <s v="Kleine Ingreep"/>
    <s v="WL/INV/N2/13"/>
    <b v="0"/>
    <s v="Ingreep wordt niet opgevolgd in BOD"/>
    <s v="&lt;null&gt;"/>
    <s v="&lt;null&gt;"/>
    <s v="&lt;null&gt;"/>
    <s v="&lt;null&gt;"/>
    <s v="&lt;null&gt;"/>
    <x v="0"/>
    <s v="&lt;null&gt;"/>
    <s v="&lt;null&gt;"/>
    <s v="&lt;null&gt;"/>
    <s v="&lt;null&gt;"/>
    <n v="100"/>
    <s v="&lt;null&gt;"/>
    <s v="&lt;null&gt;"/>
    <s v="&lt;null&gt;"/>
    <s v="&lt;null&gt;"/>
    <m/>
    <m/>
    <m/>
    <m/>
  </r>
  <r>
    <x v="1002"/>
    <x v="1002"/>
    <s v="Verkeersveiligheid"/>
    <x v="4"/>
    <n v="1158"/>
    <s v="IN/001087"/>
    <s v="Ingreep schoolroute in Hasselt op Kolmenstraat Stevoort"/>
    <s v="geen quick win mogelijk"/>
    <s v="Kleine Ingreep"/>
    <s v="WL/INV/N754/10"/>
    <b v="0"/>
    <s v="Ingreep wordt niet opgevolgd in BOD"/>
    <s v="&lt;null&gt;"/>
    <s v="&lt;null&gt;"/>
    <s v="&lt;null&gt;"/>
    <s v="&lt;null&gt;"/>
    <s v="&lt;null&gt;"/>
    <x v="0"/>
    <s v="&lt;null&gt;"/>
    <s v="&lt;null&gt;"/>
    <s v="&lt;null&gt;"/>
    <s v="&lt;null&gt;"/>
    <n v="100"/>
    <s v="&lt;null&gt;"/>
    <s v="&lt;null&gt;"/>
    <s v="&lt;null&gt;"/>
    <s v="&lt;null&gt;"/>
    <m/>
    <m/>
    <m/>
    <m/>
  </r>
  <r>
    <x v="1003"/>
    <x v="1003"/>
    <s v="Verkeersveiligheid"/>
    <x v="4"/>
    <n v="1159"/>
    <s v="IN/001088"/>
    <s v="Ombouw VRI volgens actieplan"/>
    <m/>
    <s v="Structurele Ingreep"/>
    <s v="&lt;null&gt;"/>
    <b v="0"/>
    <s v="Ingreep wordt niet opgevolgd in BOD"/>
    <s v="&lt;null&gt;"/>
    <s v="&lt;null&gt;"/>
    <s v="&lt;null&gt;"/>
    <s v="&lt;null&gt;"/>
    <s v="&lt;null&gt;"/>
    <x v="0"/>
    <s v="&lt;null&gt;"/>
    <s v="&lt;null&gt;"/>
    <s v="&lt;null&gt;"/>
    <s v="&lt;null&gt;"/>
    <n v="100"/>
    <s v="&lt;null&gt;"/>
    <s v="&lt;null&gt;"/>
    <s v="&lt;null&gt;"/>
    <s v="&lt;null&gt;"/>
    <m/>
    <m/>
    <m/>
    <m/>
  </r>
  <r>
    <x v="1004"/>
    <x v="1004"/>
    <s v="Verkeersveiligheid"/>
    <x v="4"/>
    <n v="1160"/>
    <s v="IN/001089"/>
    <s v="Ingreep schoolroute in Hasselt op Omgeving Wolske"/>
    <s v="&lt;null&gt;"/>
    <s v="Structurele Ingreep"/>
    <s v="&lt;null&gt;"/>
    <b v="0"/>
    <s v="Ingreep wordt niet opgevolgd in BOD"/>
    <s v="&lt;null&gt;"/>
    <s v="&lt;null&gt;"/>
    <s v="&lt;null&gt;"/>
    <s v="&lt;null&gt;"/>
    <s v="&lt;null&gt;"/>
    <x v="0"/>
    <s v="&lt;null&gt;"/>
    <s v="&lt;null&gt;"/>
    <s v="&lt;null&gt;"/>
    <s v="&lt;null&gt;"/>
    <n v="100"/>
    <s v="&lt;null&gt;"/>
    <s v="&lt;null&gt;"/>
    <s v="&lt;null&gt;"/>
    <s v="&lt;null&gt;"/>
    <m/>
    <m/>
    <m/>
    <m/>
  </r>
  <r>
    <x v="1005"/>
    <x v="1005"/>
    <s v="Verkeersveiligheid"/>
    <x v="4"/>
    <n v="1161"/>
    <s v="IN/001090"/>
    <s v="Verlichting (OV, VVOP/VFOP...) in Oostende op Ringlaan (R31), ter hoogte van kruispunt met de Zandvoordestraat"/>
    <s v="&lt;null&gt;"/>
    <s v="Kleine Ingreep"/>
    <s v="&lt;null&gt;"/>
    <b v="0"/>
    <s v="Ingreep wordt niet opgevolgd in BOD"/>
    <s v="&lt;null&gt;"/>
    <s v="&lt;null&gt;"/>
    <s v="&lt;null&gt;"/>
    <s v="&lt;null&gt;"/>
    <s v="&lt;null&gt;"/>
    <x v="0"/>
    <s v="&lt;null&gt;"/>
    <s v="&lt;null&gt;"/>
    <s v="&lt;null&gt;"/>
    <s v="&lt;null&gt;"/>
    <n v="100"/>
    <s v="&lt;null&gt;"/>
    <s v="&lt;null&gt;"/>
    <s v="&lt;null&gt;"/>
    <s v="&lt;null&gt;"/>
    <m/>
    <m/>
    <m/>
    <m/>
  </r>
  <r>
    <x v="1006"/>
    <x v="1006"/>
    <s v="Verkeersveiligheid"/>
    <x v="4"/>
    <n v="1162"/>
    <s v="IN/001091"/>
    <s v="Ingreep schoolroute in Hasselt op Kempische steenweg Kiewit"/>
    <s v="&lt;null&gt;"/>
    <s v="Kleine Ingreep"/>
    <s v="&lt;null&gt;"/>
    <b v="0"/>
    <s v="Ingreep wordt niet opgevolgd in BOD"/>
    <s v="&lt;null&gt;"/>
    <s v="&lt;null&gt;"/>
    <s v="&lt;null&gt;"/>
    <s v="&lt;null&gt;"/>
    <s v="&lt;null&gt;"/>
    <x v="0"/>
    <s v="&lt;null&gt;"/>
    <s v="&lt;null&gt;"/>
    <s v="&lt;null&gt;"/>
    <s v="&lt;null&gt;"/>
    <n v="100"/>
    <s v="&lt;null&gt;"/>
    <s v="&lt;null&gt;"/>
    <s v="&lt;null&gt;"/>
    <s v="&lt;null&gt;"/>
    <m/>
    <m/>
    <m/>
    <m/>
  </r>
  <r>
    <x v="1007"/>
    <x v="1007"/>
    <s v="Verkeersveiligheid"/>
    <x v="4"/>
    <n v="1163"/>
    <s v="IN/001092"/>
    <s v="Punctuele verlichting (niet conform nieuw DO)"/>
    <s v="&lt;null&gt;"/>
    <s v="Kleine Ingreep"/>
    <s v="WL/INV/2021/22"/>
    <b v="0"/>
    <s v="Ingreep wordt niet opgevolgd in BOD"/>
    <s v="&lt;null&gt;"/>
    <s v="&lt;null&gt;"/>
    <s v="&lt;null&gt;"/>
    <s v="&lt;null&gt;"/>
    <s v="&lt;null&gt;"/>
    <x v="0"/>
    <s v="&lt;null&gt;"/>
    <s v="&lt;null&gt;"/>
    <s v="&lt;null&gt;"/>
    <s v="&lt;null&gt;"/>
    <n v="100"/>
    <s v="&lt;null&gt;"/>
    <s v="&lt;null&gt;"/>
    <s v="&lt;null&gt;"/>
    <s v="&lt;null&gt;"/>
    <m/>
    <m/>
    <m/>
    <m/>
  </r>
  <r>
    <x v="1008"/>
    <x v="1008"/>
    <s v="Verkeersveiligheid"/>
    <x v="4"/>
    <n v="1164"/>
    <s v="IN/001093"/>
    <s v="Ingreep schoolroute in Heuvelland op Dranouter, doortocht gewestweg N322"/>
    <s v="&lt;null&gt;"/>
    <s v="Kleine Ingreep"/>
    <s v="WWV/INV/N322/1"/>
    <b v="1"/>
    <s v="Ingreep wordt opgevolgd in BOD"/>
    <n v="12024"/>
    <s v="AWV/INV/2021/3_P3"/>
    <n v="118401"/>
    <n v="21065771"/>
    <s v="&lt;p&gt;OF AWV/INV/2021/3 P3 3mh230 schoolroutes&lt;/p&gt;"/>
    <x v="9"/>
    <n v="8374"/>
    <s v="IN1093 N322 Heuvelland"/>
    <s v="&lt;null&gt;"/>
    <s v="WWV/INV/N322/1"/>
    <n v="100"/>
    <n v="8265"/>
    <n v="0"/>
    <n v="0"/>
    <n v="8265"/>
    <n v="8265"/>
    <n v="0"/>
    <n v="0"/>
    <n v="8265"/>
  </r>
  <r>
    <x v="1009"/>
    <x v="1009"/>
    <s v="Verkeersveiligheid"/>
    <x v="4"/>
    <n v="1165"/>
    <s v="IN/001094"/>
    <s v="Ingreep schoolroute in Heuvelland op N375 - doortocht Loker"/>
    <s v="&lt;null&gt;"/>
    <s v="Kleine Ingreep"/>
    <s v="WWV/INV/N375/5"/>
    <b v="1"/>
    <s v="Ingreep wordt opgevolgd in BOD"/>
    <n v="12024"/>
    <s v="AWV/INV/2021/3_P3"/>
    <n v="118401"/>
    <n v="21065771"/>
    <s v="&lt;p&gt;OF AWV/INV/2021/3 P3 3mh230 schoolroutes&lt;/p&gt;"/>
    <x v="9"/>
    <n v="8375"/>
    <s v="IN1094 N375 Heuvelland"/>
    <s v="&lt;null&gt;"/>
    <s v="WWV/INV/N375/5"/>
    <n v="100"/>
    <n v="8265"/>
    <n v="4395.93"/>
    <n v="0"/>
    <n v="3869.07"/>
    <n v="8265"/>
    <n v="4395.93"/>
    <n v="0"/>
    <n v="3869.07"/>
  </r>
  <r>
    <x v="1010"/>
    <x v="1010"/>
    <s v="Verkeersveiligheid"/>
    <x v="4"/>
    <n v="1166"/>
    <s v="IN/001095"/>
    <s v="Ingreep schoolroute in Heuvelland op doortocht N314-N331 door Nieuwkerke"/>
    <s v="&lt;null&gt;"/>
    <s v="Kleine Ingreep"/>
    <s v="WWV/INV/N322/2"/>
    <b v="1"/>
    <s v="Ingreep wordt opgevolgd in BOD"/>
    <s v="&lt;null&gt;"/>
    <s v="&lt;null&gt;"/>
    <n v="118401"/>
    <n v="21065771"/>
    <s v="&lt;p&gt;OF AWV/INV/2021/3 P3 3mh230 schoolroutes&lt;/p&gt;"/>
    <x v="9"/>
    <n v="8376"/>
    <s v="IN1095 N322 Heuvelland"/>
    <s v="&lt;null&gt;"/>
    <s v="WWV/INV/N322/2"/>
    <n v="100"/>
    <n v="8265"/>
    <n v="0"/>
    <n v="0"/>
    <n v="8265"/>
    <n v="8265"/>
    <n v="0"/>
    <n v="0"/>
    <n v="8265"/>
  </r>
  <r>
    <x v="1011"/>
    <x v="1011"/>
    <s v="Verkeersveiligheid"/>
    <x v="4"/>
    <n v="1167"/>
    <s v="IN/001096"/>
    <s v="Ingreep schoolroute in Heuvelland op doortocht Wijtschate N365"/>
    <s v="&lt;null&gt;"/>
    <s v="Kleine Ingreep"/>
    <s v="WWV/INV/N365/2"/>
    <b v="1"/>
    <s v="Ingreep wordt opgevolgd in BOD"/>
    <n v="12024"/>
    <s v="AWV/INV/2021/3_P3"/>
    <n v="118401"/>
    <n v="21065771"/>
    <s v="&lt;p&gt;OF AWV/INV/2021/3 P3 3mh230 schoolroutes&lt;/p&gt;"/>
    <x v="9"/>
    <n v="8377"/>
    <s v="IN1096 N365"/>
    <s v="&lt;null&gt;"/>
    <s v="WWV/INV/N365/2"/>
    <n v="100"/>
    <n v="8265"/>
    <n v="1921.79"/>
    <n v="0"/>
    <n v="6343.21"/>
    <n v="8265"/>
    <n v="1921.79"/>
    <n v="0"/>
    <n v="6343.21"/>
  </r>
  <r>
    <x v="1012"/>
    <x v="1012"/>
    <s v="Verkeersveiligheid"/>
    <x v="4"/>
    <n v="1168"/>
    <s v="IN/001097"/>
    <s v="Ingreep schoolroute in Heuvelland op doortocht Wulvergem N365"/>
    <s v="&lt;null&gt;"/>
    <s v="Kleine Ingreep"/>
    <s v="WWV/INV/N314/1"/>
    <b v="1"/>
    <s v="Ingreep wordt opgevolgd in BOD"/>
    <n v="12024"/>
    <s v="AWV/INV/2021/3_P3"/>
    <n v="118401"/>
    <n v="21065771"/>
    <s v="&lt;p&gt;OF AWV/INV/2021/3 P3 3mh230 schoolroutes&lt;/p&gt;"/>
    <x v="9"/>
    <n v="8378"/>
    <s v="IN1097 N314"/>
    <s v="&lt;null&gt;"/>
    <s v="WWV/INV/N314/1"/>
    <n v="100"/>
    <n v="4132"/>
    <n v="1636.07"/>
    <n v="0"/>
    <n v="2495.9299999999998"/>
    <n v="4132"/>
    <n v="1636.07"/>
    <n v="0"/>
    <n v="2495.9299999999998"/>
  </r>
  <r>
    <x v="1013"/>
    <x v="1013"/>
    <s v="Verkeersveiligheid"/>
    <x v="4"/>
    <n v="1169"/>
    <s v="IN/001098"/>
    <s v="Ingreep schoolroute in Heuvelland op N65-N336"/>
    <s v="&lt;null&gt;"/>
    <s v="Kleine Ingreep"/>
    <s v="WWV/INV/N336/2"/>
    <b v="0"/>
    <s v="Ingreep wordt niet opgevolgd in BOD"/>
    <s v="&lt;null&gt;"/>
    <s v="&lt;null&gt;"/>
    <s v="&lt;null&gt;"/>
    <s v="&lt;null&gt;"/>
    <s v="&lt;null&gt;"/>
    <x v="0"/>
    <s v="&lt;null&gt;"/>
    <s v="&lt;null&gt;"/>
    <s v="&lt;null&gt;"/>
    <s v="&lt;null&gt;"/>
    <n v="100"/>
    <s v="&lt;null&gt;"/>
    <s v="&lt;null&gt;"/>
    <s v="&lt;null&gt;"/>
    <s v="&lt;null&gt;"/>
    <m/>
    <m/>
    <m/>
    <m/>
  </r>
  <r>
    <x v="1014"/>
    <x v="1014"/>
    <s v="Verkeersveiligheid"/>
    <x v="4"/>
    <n v="1170"/>
    <s v="IN/001099"/>
    <s v="Ingreep schoolroute in Menen op Ieperstraat (tussen overweg en Yv. Serruysstraat)"/>
    <s v="&lt;null&gt;"/>
    <s v="Kleine Ingreep"/>
    <s v="WWV/INV/N8/26"/>
    <b v="1"/>
    <s v="Ingreep wordt opgevolgd in BOD"/>
    <n v="12024"/>
    <s v="AWV/INV/2021/3_P3"/>
    <n v="118401"/>
    <n v="21065771"/>
    <s v="&lt;p&gt;OF AWV/INV/2021/3 P3 3mh230 schoolroutes&lt;/p&gt;"/>
    <x v="9"/>
    <n v="8379"/>
    <s v="IN1099 N8"/>
    <s v="&lt;null&gt;"/>
    <s v="WWV/INV/N8/26"/>
    <n v="100"/>
    <n v="48058"/>
    <n v="0"/>
    <n v="0"/>
    <n v="110.32"/>
    <n v="48058"/>
    <n v="0"/>
    <n v="0"/>
    <n v="110.32"/>
  </r>
  <r>
    <x v="1015"/>
    <x v="1015"/>
    <s v="Verkeersveiligheid"/>
    <x v="4"/>
    <n v="1171"/>
    <s v="IN/001100"/>
    <s v="Ingreep schoolroute in Menen op Kruispunt met Guido Gezellelaan"/>
    <s v="&lt;null&gt;"/>
    <s v="Kleine Ingreep"/>
    <s v="WWV/INV/N8/33"/>
    <b v="1"/>
    <s v="Ingreep wordt opgevolgd in BOD"/>
    <s v="&lt;null&gt;"/>
    <s v="&lt;null&gt;"/>
    <n v="118401"/>
    <n v="21065771"/>
    <s v="&lt;p&gt;OF AWV/INV/2021/3 P3 3mh230 schoolroutes&lt;/p&gt;"/>
    <x v="9"/>
    <n v="8380"/>
    <s v="IN1100 N8 Menen"/>
    <s v="&lt;null&gt;"/>
    <s v="WWV/INV/N8/33"/>
    <n v="100"/>
    <n v="413"/>
    <n v="0"/>
    <n v="0"/>
    <n v="413"/>
    <n v="413"/>
    <n v="0"/>
    <n v="0"/>
    <n v="413"/>
  </r>
  <r>
    <x v="1016"/>
    <x v="1016"/>
    <s v="Verkeersveiligheid"/>
    <x v="4"/>
    <n v="1172"/>
    <s v="IN/001101"/>
    <s v="Aanleg D9 gemengd fiets- voetpad + beperkte verbreding ervan (PM studiebureau aan te stellen in MC3)"/>
    <s v="&lt;null&gt;"/>
    <s v="Kleine Ingreep"/>
    <s v="WL/INV/N110/1"/>
    <b v="0"/>
    <s v="Ingreep wordt niet opgevolgd in BOD"/>
    <s v="&lt;null&gt;"/>
    <s v="&lt;null&gt;"/>
    <s v="&lt;null&gt;"/>
    <s v="&lt;null&gt;"/>
    <s v="&lt;null&gt;"/>
    <x v="0"/>
    <s v="&lt;null&gt;"/>
    <s v="&lt;null&gt;"/>
    <s v="&lt;null&gt;"/>
    <s v="&lt;null&gt;"/>
    <n v="100"/>
    <s v="&lt;null&gt;"/>
    <s v="&lt;null&gt;"/>
    <s v="&lt;null&gt;"/>
    <s v="&lt;null&gt;"/>
    <m/>
    <m/>
    <m/>
    <m/>
  </r>
  <r>
    <x v="1017"/>
    <x v="1017"/>
    <s v="Verkeersveiligheid"/>
    <x v="4"/>
    <n v="1173"/>
    <s v="IN/001102"/>
    <s v="Ingreep schoolroute in Antwerpen op 6. Hendrick Markstraat-Prins Boudewijnlaan-Hindenstraat"/>
    <s v="&lt;null&gt;"/>
    <s v="Kleine Ingreep"/>
    <s v="WA/INV/N173/3"/>
    <b v="0"/>
    <s v="Ingreep wordt niet opgevolgd in BOD"/>
    <s v="&lt;null&gt;"/>
    <s v="&lt;null&gt;"/>
    <s v="&lt;null&gt;"/>
    <s v="&lt;null&gt;"/>
    <s v="&lt;null&gt;"/>
    <x v="0"/>
    <s v="&lt;null&gt;"/>
    <s v="&lt;null&gt;"/>
    <s v="&lt;null&gt;"/>
    <s v="&lt;null&gt;"/>
    <n v="100"/>
    <s v="&lt;null&gt;"/>
    <s v="&lt;null&gt;"/>
    <s v="&lt;null&gt;"/>
    <s v="&lt;null&gt;"/>
    <m/>
    <m/>
    <m/>
    <m/>
  </r>
  <r>
    <x v="1018"/>
    <x v="1018"/>
    <s v="Verkeersveiligheid"/>
    <x v="4"/>
    <n v="1174"/>
    <s v="IN/001103"/>
    <s v="Ingreep schoolroute in Antwerpen op 9.  Scholen aan Gewestwegen algemeen"/>
    <s v="&lt;null&gt;"/>
    <s v="Kleine Ingreep"/>
    <s v="&lt;null&gt;"/>
    <b v="0"/>
    <s v="Ingreep wordt niet opgevolgd in BOD"/>
    <s v="&lt;null&gt;"/>
    <s v="&lt;null&gt;"/>
    <s v="&lt;null&gt;"/>
    <s v="&lt;null&gt;"/>
    <s v="&lt;null&gt;"/>
    <x v="0"/>
    <s v="&lt;null&gt;"/>
    <s v="&lt;null&gt;"/>
    <s v="&lt;null&gt;"/>
    <s v="&lt;null&gt;"/>
    <n v="100"/>
    <s v="&lt;null&gt;"/>
    <s v="&lt;null&gt;"/>
    <s v="&lt;null&gt;"/>
    <s v="&lt;null&gt;"/>
    <m/>
    <m/>
    <m/>
    <m/>
  </r>
  <r>
    <x v="1019"/>
    <x v="1019"/>
    <s v="Verkeersveiligheid"/>
    <x v="4"/>
    <n v="1175"/>
    <s v="IN/001104"/>
    <s v="Ingreep schoolroute in Harelbeke op rond punt Schipstraat-A Pevernagestraat-N43"/>
    <s v="rode slem plaatsen op dwarsingen"/>
    <s v="Kleine Ingreep"/>
    <s v="WWV/INV/N43/6"/>
    <b v="1"/>
    <s v="Ingreep wordt opgevolgd in BOD"/>
    <n v="12024"/>
    <s v="AWV/INV/2021/3_P3"/>
    <n v="118401"/>
    <n v="21065771"/>
    <s v="&lt;p&gt;OF AWV/INV/2021/3 P3 3mh230 schoolroutes&lt;/p&gt;"/>
    <x v="9"/>
    <n v="8381"/>
    <s v="IN1104 N43"/>
    <s v="&lt;null&gt;"/>
    <s v="WWV/INV/N43/6"/>
    <n v="100"/>
    <n v="10130.84"/>
    <n v="0"/>
    <n v="5604.3270000000002"/>
    <n v="4526.5129999999999"/>
    <n v="10130.84"/>
    <n v="0"/>
    <n v="5604.3270000000002"/>
    <n v="4526.5129999999999"/>
  </r>
  <r>
    <x v="1020"/>
    <x v="1020"/>
    <s v="Verkeersveiligheid"/>
    <x v="4"/>
    <n v="1176"/>
    <s v="IN/001105"/>
    <s v="Ingreep schoolroute in Harelbeke op Molenhuys, Overleiestraat 137 -Hoge Brug, Overleiestraat 2"/>
    <s v="&lt;null&gt;"/>
    <s v="Kleine Ingreep"/>
    <s v="WWV/INV/N36/5"/>
    <b v="1"/>
    <s v="Ingreep wordt opgevolgd in BOD"/>
    <n v="12024"/>
    <s v="AWV/INV/2021/3_P3"/>
    <n v="118401"/>
    <n v="21065771"/>
    <s v="&lt;p&gt;OF AWV/INV/2021/3 P3 3mh230 schoolroutes&lt;/p&gt;"/>
    <x v="9"/>
    <n v="8382"/>
    <s v="IN1105 N36"/>
    <s v="&lt;null&gt;"/>
    <s v="WWV/INV/N36/5"/>
    <n v="100"/>
    <n v="62328.04"/>
    <n v="0"/>
    <n v="55831.495000000003"/>
    <n v="6496.5450000000001"/>
    <n v="62328.04"/>
    <n v="0"/>
    <n v="55831.495000000003"/>
    <n v="6496.5450000000001"/>
  </r>
  <r>
    <x v="1021"/>
    <x v="1021"/>
    <s v="Verkeersveiligheid"/>
    <x v="4"/>
    <n v="1177"/>
    <s v="IN/001106"/>
    <s v="Snelheidsverlaging"/>
    <s v="snelheidsregime van 70 verlaagd naar 50"/>
    <s v="Kleine Ingreep"/>
    <s v="&lt;null&gt;"/>
    <b v="0"/>
    <s v="Ingreep wordt niet opgevolgd in BOD"/>
    <s v="&lt;null&gt;"/>
    <s v="&lt;null&gt;"/>
    <s v="&lt;null&gt;"/>
    <s v="&lt;null&gt;"/>
    <s v="&lt;null&gt;"/>
    <x v="0"/>
    <s v="&lt;null&gt;"/>
    <s v="&lt;null&gt;"/>
    <s v="&lt;null&gt;"/>
    <s v="&lt;null&gt;"/>
    <n v="100"/>
    <s v="&lt;null&gt;"/>
    <s v="&lt;null&gt;"/>
    <s v="&lt;null&gt;"/>
    <s v="&lt;null&gt;"/>
    <m/>
    <m/>
    <m/>
    <m/>
  </r>
  <r>
    <x v="1022"/>
    <x v="1022"/>
    <s v="Verkeersveiligheid"/>
    <x v="4"/>
    <n v="1178"/>
    <s v="IN/001107"/>
    <s v="verdrijvingsvlak met doorsteek voor voetgangers + FSS"/>
    <s v="&lt;null&gt;"/>
    <s v="Kleine Ingreep"/>
    <s v="WWV/INV/N368/12"/>
    <b v="0"/>
    <s v="Ingreep wordt niet opgevolgd in BOD"/>
    <s v="&lt;null&gt;"/>
    <s v="&lt;null&gt;"/>
    <s v="&lt;null&gt;"/>
    <s v="&lt;null&gt;"/>
    <s v="&lt;null&gt;"/>
    <x v="0"/>
    <s v="&lt;null&gt;"/>
    <s v="&lt;null&gt;"/>
    <s v="&lt;null&gt;"/>
    <s v="&lt;null&gt;"/>
    <n v="100"/>
    <s v="&lt;null&gt;"/>
    <s v="&lt;null&gt;"/>
    <s v="&lt;null&gt;"/>
    <s v="&lt;null&gt;"/>
    <m/>
    <m/>
    <m/>
    <m/>
  </r>
  <r>
    <x v="1023"/>
    <x v="1023"/>
    <s v="Verkeersveiligheid"/>
    <x v="4"/>
    <n v="1179"/>
    <s v="IN/001108"/>
    <s v="Ingreep schoolroute in Wielsbeke op kruispunt N357 ter hoogte van de Abeelestraat"/>
    <s v="&lt;null&gt;"/>
    <s v="Kleine Ingreep"/>
    <s v="WWV/INV/N357/5"/>
    <b v="0"/>
    <s v="Ingreep wordt niet opgevolgd in BOD"/>
    <s v="&lt;null&gt;"/>
    <s v="&lt;null&gt;"/>
    <s v="&lt;null&gt;"/>
    <s v="&lt;null&gt;"/>
    <s v="&lt;null&gt;"/>
    <x v="0"/>
    <s v="&lt;null&gt;"/>
    <s v="&lt;null&gt;"/>
    <s v="&lt;null&gt;"/>
    <s v="&lt;null&gt;"/>
    <n v="100"/>
    <s v="&lt;null&gt;"/>
    <s v="&lt;null&gt;"/>
    <s v="&lt;null&gt;"/>
    <s v="&lt;null&gt;"/>
    <m/>
    <m/>
    <m/>
    <m/>
  </r>
  <r>
    <x v="1024"/>
    <x v="1024"/>
    <s v="Verkeersveiligheid"/>
    <x v="4"/>
    <n v="1180"/>
    <s v="IN/001109"/>
    <s v="Ingreep schoolroute in Wielsbeke op kruispunt Wakkensesteenweg met de Roterijstraat"/>
    <s v="&lt;null&gt;"/>
    <s v="Kleine Ingreep"/>
    <s v="&lt;null&gt;"/>
    <b v="0"/>
    <s v="Ingreep wordt niet opgevolgd in BOD"/>
    <s v="&lt;null&gt;"/>
    <s v="&lt;null&gt;"/>
    <s v="&lt;null&gt;"/>
    <s v="&lt;null&gt;"/>
    <s v="&lt;null&gt;"/>
    <x v="0"/>
    <s v="&lt;null&gt;"/>
    <s v="&lt;null&gt;"/>
    <s v="&lt;null&gt;"/>
    <s v="&lt;null&gt;"/>
    <n v="100"/>
    <s v="&lt;null&gt;"/>
    <s v="&lt;null&gt;"/>
    <s v="&lt;null&gt;"/>
    <s v="&lt;null&gt;"/>
    <m/>
    <m/>
    <m/>
    <m/>
  </r>
  <r>
    <x v="1025"/>
    <x v="1025"/>
    <s v="Verkeersveiligheid"/>
    <x v="4"/>
    <n v="1181"/>
    <s v="IN/001110"/>
    <s v="Opfrissen markeringen (standaard werking onderhoud)"/>
    <s v="wordt uitgevoerd Q4-2021"/>
    <s v="Kleine Ingreep"/>
    <s v="WWV/INV/N357/6"/>
    <b v="0"/>
    <s v="Ingreep wordt niet opgevolgd in BOD"/>
    <s v="&lt;null&gt;"/>
    <s v="&lt;null&gt;"/>
    <s v="&lt;null&gt;"/>
    <s v="&lt;null&gt;"/>
    <s v="&lt;null&gt;"/>
    <x v="0"/>
    <s v="&lt;null&gt;"/>
    <s v="&lt;null&gt;"/>
    <s v="&lt;null&gt;"/>
    <s v="&lt;null&gt;"/>
    <n v="100"/>
    <s v="&lt;null&gt;"/>
    <s v="&lt;null&gt;"/>
    <s v="&lt;null&gt;"/>
    <s v="&lt;null&gt;"/>
    <m/>
    <m/>
    <m/>
    <m/>
  </r>
  <r>
    <x v="1026"/>
    <x v="1026"/>
    <s v="Verkeersveiligheid"/>
    <x v="4"/>
    <n v="1182"/>
    <s v="IN/001111"/>
    <s v="Toeleidende fietspaden naar kruispunt (PM studiebureau aan te stellen via MC3)"/>
    <s v="uitvoering voorstel Sweco"/>
    <s v="Kleine Ingreep"/>
    <s v="WL/INV/N722/4"/>
    <b v="0"/>
    <s v="Ingreep wordt niet opgevolgd in BOD"/>
    <s v="&lt;null&gt;"/>
    <s v="&lt;null&gt;"/>
    <s v="&lt;null&gt;"/>
    <s v="&lt;null&gt;"/>
    <s v="&lt;null&gt;"/>
    <x v="0"/>
    <s v="&lt;null&gt;"/>
    <s v="&lt;null&gt;"/>
    <s v="&lt;null&gt;"/>
    <s v="&lt;null&gt;"/>
    <n v="100"/>
    <s v="&lt;null&gt;"/>
    <s v="&lt;null&gt;"/>
    <s v="&lt;null&gt;"/>
    <s v="&lt;null&gt;"/>
    <m/>
    <m/>
    <m/>
    <m/>
  </r>
  <r>
    <x v="1027"/>
    <x v="1027"/>
    <s v="Verkeersveiligheid"/>
    <x v="4"/>
    <n v="1183"/>
    <s v="IN/001112"/>
    <s v="Ingreep schoolroute in Duffel op N108 Oude Liersebaan"/>
    <s v="&lt;null&gt;"/>
    <s v="Kleine Ingreep"/>
    <s v="WA/INV/N108/6"/>
    <b v="0"/>
    <s v="Ingreep wordt niet opgevolgd in BOD"/>
    <s v="&lt;null&gt;"/>
    <s v="&lt;null&gt;"/>
    <s v="&lt;null&gt;"/>
    <s v="&lt;null&gt;"/>
    <s v="&lt;null&gt;"/>
    <x v="0"/>
    <s v="&lt;null&gt;"/>
    <s v="&lt;null&gt;"/>
    <s v="&lt;null&gt;"/>
    <s v="&lt;null&gt;"/>
    <n v="100"/>
    <s v="&lt;null&gt;"/>
    <s v="&lt;null&gt;"/>
    <s v="&lt;null&gt;"/>
    <s v="&lt;null&gt;"/>
    <m/>
    <m/>
    <m/>
    <m/>
  </r>
  <r>
    <x v="1028"/>
    <x v="1028"/>
    <s v="Verkeersveiligheid"/>
    <x v="4"/>
    <n v="1184"/>
    <s v="IN/001113"/>
    <s v="Ingreep schoolroute in Duffel op kruispunt Berkhoevelaan (N108) - Hoogstraat"/>
    <s v="&lt;null&gt;"/>
    <s v="Kleine Ingreep"/>
    <s v="WA/INV/N108/7"/>
    <b v="0"/>
    <s v="Ingreep wordt niet opgevolgd in BOD"/>
    <s v="&lt;null&gt;"/>
    <s v="&lt;null&gt;"/>
    <s v="&lt;null&gt;"/>
    <s v="&lt;null&gt;"/>
    <s v="&lt;null&gt;"/>
    <x v="0"/>
    <s v="&lt;null&gt;"/>
    <s v="&lt;null&gt;"/>
    <s v="&lt;null&gt;"/>
    <s v="&lt;null&gt;"/>
    <n v="100"/>
    <s v="&lt;null&gt;"/>
    <s v="&lt;null&gt;"/>
    <s v="&lt;null&gt;"/>
    <s v="&lt;null&gt;"/>
    <m/>
    <m/>
    <m/>
    <m/>
  </r>
  <r>
    <x v="1029"/>
    <x v="1029"/>
    <s v="Verkeersveiligheid"/>
    <x v="4"/>
    <n v="1185"/>
    <s v="IN/001114"/>
    <s v="FOP/VOP met middengeleider"/>
    <s v="&lt;null&gt;"/>
    <s v="Kleine Ingreep"/>
    <s v="WL/INV/NX/7"/>
    <b v="0"/>
    <s v="Ingreep wordt niet opgevolgd in BOD"/>
    <s v="&lt;null&gt;"/>
    <s v="&lt;null&gt;"/>
    <s v="&lt;null&gt;"/>
    <s v="&lt;null&gt;"/>
    <s v="&lt;null&gt;"/>
    <x v="0"/>
    <s v="&lt;null&gt;"/>
    <s v="&lt;null&gt;"/>
    <s v="&lt;null&gt;"/>
    <s v="&lt;null&gt;"/>
    <n v="100"/>
    <s v="&lt;null&gt;"/>
    <s v="&lt;null&gt;"/>
    <s v="&lt;null&gt;"/>
    <s v="&lt;null&gt;"/>
    <m/>
    <m/>
    <m/>
    <m/>
  </r>
  <r>
    <x v="1030"/>
    <x v="1030"/>
    <s v="Verkeersveiligheid"/>
    <x v="4"/>
    <n v="1186"/>
    <s v="IN/001115"/>
    <s v="Ingreep schoolroute in Menen op Ieperstraat (Tussen overweg en Yv. Serruysstraat)"/>
    <s v="&lt;null&gt;"/>
    <s v="Kleine Ingreep"/>
    <s v="WWV/INV/N8/27"/>
    <b v="0"/>
    <s v="Ingreep wordt niet opgevolgd in BOD"/>
    <s v="&lt;null&gt;"/>
    <s v="&lt;null&gt;"/>
    <s v="&lt;null&gt;"/>
    <s v="&lt;null&gt;"/>
    <s v="&lt;null&gt;"/>
    <x v="0"/>
    <s v="&lt;null&gt;"/>
    <s v="&lt;null&gt;"/>
    <s v="&lt;null&gt;"/>
    <s v="&lt;null&gt;"/>
    <n v="100"/>
    <s v="&lt;null&gt;"/>
    <s v="&lt;null&gt;"/>
    <s v="&lt;null&gt;"/>
    <s v="&lt;null&gt;"/>
    <m/>
    <m/>
    <m/>
    <m/>
  </r>
  <r>
    <x v="1031"/>
    <x v="1031"/>
    <s v="Verkeersveiligheid"/>
    <x v="4"/>
    <n v="1187"/>
    <s v="IN/001116"/>
    <s v="Ingreep schoolroute in Ravels op Kruispunt N12-N118-Gemeentelaan"/>
    <s v="&lt;null&gt;"/>
    <s v="Kleine Ingreep"/>
    <s v="WA/INV/N12/13"/>
    <b v="0"/>
    <s v="Ingreep wordt niet opgevolgd in BOD"/>
    <s v="&lt;null&gt;"/>
    <s v="&lt;null&gt;"/>
    <s v="&lt;null&gt;"/>
    <s v="&lt;null&gt;"/>
    <s v="&lt;null&gt;"/>
    <x v="0"/>
    <s v="&lt;null&gt;"/>
    <s v="&lt;null&gt;"/>
    <s v="&lt;null&gt;"/>
    <s v="&lt;null&gt;"/>
    <n v="100"/>
    <s v="&lt;null&gt;"/>
    <s v="&lt;null&gt;"/>
    <s v="&lt;null&gt;"/>
    <s v="&lt;null&gt;"/>
    <m/>
    <m/>
    <m/>
    <m/>
  </r>
  <r>
    <x v="1032"/>
    <x v="1032"/>
    <s v="Verkeersveiligheid"/>
    <x v="4"/>
    <n v="1188"/>
    <s v="IN/001117"/>
    <s v="Ingreep schoolroute in Ravels op Kruispunt Weeldestraat (N12)-Kerkhofstraat"/>
    <s v="Eerst op PCV\n\n- VFOP\n- fietslogoverbindingsmarkering\n- uitbuigen fietspad mogelijk? (OV paal opschuiven)"/>
    <s v="Kleine Ingreep"/>
    <s v="WA/INV/N12/14"/>
    <b v="0"/>
    <s v="Ingreep wordt niet opgevolgd in BOD"/>
    <s v="&lt;null&gt;"/>
    <s v="&lt;null&gt;"/>
    <s v="&lt;null&gt;"/>
    <s v="&lt;null&gt;"/>
    <s v="&lt;null&gt;"/>
    <x v="0"/>
    <s v="&lt;null&gt;"/>
    <s v="&lt;null&gt;"/>
    <s v="&lt;null&gt;"/>
    <s v="&lt;null&gt;"/>
    <n v="100"/>
    <s v="&lt;null&gt;"/>
    <s v="&lt;null&gt;"/>
    <s v="&lt;null&gt;"/>
    <s v="&lt;null&gt;"/>
    <m/>
    <m/>
    <m/>
    <m/>
  </r>
  <r>
    <x v="1033"/>
    <x v="1033"/>
    <s v="Verkeersveiligheid"/>
    <x v="4"/>
    <n v="1189"/>
    <s v="IN/001118"/>
    <s v="Ingreep schoolroute in Haacht op Rotonde Stationsstraat/Zoellaan en rotonde Werchtersesteenweg/Kloosterstraat"/>
    <s v="QW1 en QW3 uitvoeren in markering:\nQW1: rand van de rijbaan aangeven met witte randmarkering\nQW3: verwijderen van de VOP-markering t.h.v. de middenberm"/>
    <s v="Kleine Ingreep"/>
    <s v="WVB/INV/N21/12"/>
    <b v="0"/>
    <s v="Ingreep wordt niet opgevolgd in BOD"/>
    <s v="&lt;null&gt;"/>
    <s v="&lt;null&gt;"/>
    <s v="&lt;null&gt;"/>
    <s v="&lt;null&gt;"/>
    <s v="&lt;null&gt;"/>
    <x v="0"/>
    <s v="&lt;null&gt;"/>
    <s v="&lt;null&gt;"/>
    <s v="&lt;null&gt;"/>
    <s v="&lt;null&gt;"/>
    <n v="100"/>
    <s v="&lt;null&gt;"/>
    <s v="&lt;null&gt;"/>
    <s v="&lt;null&gt;"/>
    <s v="&lt;null&gt;"/>
    <m/>
    <m/>
    <m/>
    <m/>
  </r>
  <r>
    <x v="1034"/>
    <x v="1034"/>
    <s v="Verkeersveiligheid"/>
    <x v="4"/>
    <n v="1190"/>
    <s v="IN/001119"/>
    <s v="Trajectcontrole N382 Anzegem"/>
    <s v="TC2021_322"/>
    <s v="Kleine Ingreep"/>
    <s v="&lt;null&gt;"/>
    <b v="0"/>
    <s v="Ingreep wordt niet opgevolgd in BOD"/>
    <s v="&lt;null&gt;"/>
    <s v="&lt;null&gt;"/>
    <s v="&lt;null&gt;"/>
    <s v="&lt;null&gt;"/>
    <s v="&lt;null&gt;"/>
    <x v="0"/>
    <s v="&lt;null&gt;"/>
    <s v="&lt;null&gt;"/>
    <s v="&lt;null&gt;"/>
    <s v="&lt;null&gt;"/>
    <n v="100"/>
    <s v="&lt;null&gt;"/>
    <s v="&lt;null&gt;"/>
    <s v="&lt;null&gt;"/>
    <s v="&lt;null&gt;"/>
    <m/>
    <m/>
    <m/>
    <m/>
  </r>
  <r>
    <x v="1035"/>
    <x v="1035"/>
    <s v="Verkeersveiligheid"/>
    <x v="4"/>
    <n v="1191"/>
    <s v="IN/001120"/>
    <s v="Ingreep schoolroute in Anzegem op Diverse locaties -zie toelichting en voorstel oplossing."/>
    <s v="&lt;null&gt;"/>
    <s v="Kleine Ingreep"/>
    <s v="WWV/INV/N382/8"/>
    <b v="0"/>
    <s v="Ingreep wordt niet opgevolgd in BOD"/>
    <s v="&lt;null&gt;"/>
    <s v="&lt;null&gt;"/>
    <s v="&lt;null&gt;"/>
    <s v="&lt;null&gt;"/>
    <s v="&lt;null&gt;"/>
    <x v="0"/>
    <s v="&lt;null&gt;"/>
    <s v="&lt;null&gt;"/>
    <s v="&lt;null&gt;"/>
    <s v="&lt;null&gt;"/>
    <n v="100"/>
    <s v="&lt;null&gt;"/>
    <s v="&lt;null&gt;"/>
    <s v="&lt;null&gt;"/>
    <s v="&lt;null&gt;"/>
    <m/>
    <m/>
    <m/>
    <m/>
  </r>
  <r>
    <x v="1036"/>
    <x v="1036"/>
    <s v="Verkeersveiligheid"/>
    <x v="4"/>
    <n v="1192"/>
    <s v="IN/001121"/>
    <s v="Ingreep schoolroute in Anzegem op Diverse locaties -zie toelichting en voorstel oplossing."/>
    <s v="&lt;null&gt;"/>
    <s v="Kleine Ingreep"/>
    <s v="WWV/INV/N382/9"/>
    <b v="1"/>
    <s v="Ingreep wordt opgevolgd in BOD"/>
    <n v="10520"/>
    <s v="VWT/WU/2020/007.005"/>
    <n v="138401"/>
    <n v="22024538"/>
    <s v="&lt;p&gt;Opstellen van diverse punctuele verlichtingen VVOP/VFOP die gelegen zijn op de schoolroutes ikv relance&lt;/p&gt;"/>
    <x v="3"/>
    <n v="9943"/>
    <s v="VVOP N382 t.h.v. kmp. 0,235 - Anzegem"/>
    <s v="&lt;p&gt;KP/001438 - IN/001121 - KS778&lt;/p&gt;"/>
    <s v="WWV/INV/N382/9"/>
    <n v="100"/>
    <n v="23250"/>
    <n v="0"/>
    <n v="0"/>
    <n v="10.4"/>
    <n v="23250"/>
    <n v="0"/>
    <n v="0"/>
    <n v="10.4"/>
  </r>
  <r>
    <x v="1037"/>
    <x v="1037"/>
    <s v="Verkeersveiligheid"/>
    <x v="4"/>
    <n v="1193"/>
    <s v="IN/001122"/>
    <s v="Trajectcontrole N382 Anzegem"/>
    <s v="TC2021_338 in centraal register"/>
    <s v="Kleine Ingreep"/>
    <s v="WWV/INV/N382/10"/>
    <b v="0"/>
    <s v="Ingreep wordt niet opgevolgd in BOD"/>
    <s v="&lt;null&gt;"/>
    <s v="&lt;null&gt;"/>
    <s v="&lt;null&gt;"/>
    <s v="&lt;null&gt;"/>
    <s v="&lt;null&gt;"/>
    <x v="0"/>
    <s v="&lt;null&gt;"/>
    <s v="&lt;null&gt;"/>
    <s v="&lt;null&gt;"/>
    <s v="&lt;null&gt;"/>
    <n v="100"/>
    <s v="&lt;null&gt;"/>
    <s v="&lt;null&gt;"/>
    <s v="&lt;null&gt;"/>
    <s v="&lt;null&gt;"/>
    <m/>
    <m/>
    <m/>
    <m/>
  </r>
  <r>
    <x v="1038"/>
    <x v="1038"/>
    <s v="Verkeersveiligheid"/>
    <x v="4"/>
    <n v="1194"/>
    <s v="IN/001123"/>
    <s v="Ingreep schoolroute in Anzegem op Diverse locaties -zie toelichting en voorstel oplossing."/>
    <s v="&lt;null&gt;"/>
    <s v="Kleine Ingreep"/>
    <s v="WWV/INV/N36/15"/>
    <b v="1"/>
    <s v="Ingreep wordt opgevolgd in BOD"/>
    <n v="12024"/>
    <s v="AWV/INV/2021/3_P3"/>
    <n v="118401"/>
    <n v="21065771"/>
    <s v="&lt;p&gt;OF AWV/INV/2021/3 P3 3mh230 schoolroutes&lt;/p&gt;"/>
    <x v="9"/>
    <n v="8383"/>
    <s v="IN1123 N36 Anzegem"/>
    <s v="&lt;null&gt;"/>
    <s v="WWV/INV/N36/15"/>
    <n v="100"/>
    <n v="75"/>
    <n v="0"/>
    <n v="75"/>
    <n v="0"/>
    <n v="75"/>
    <n v="0"/>
    <n v="75"/>
    <n v="0"/>
  </r>
  <r>
    <x v="1039"/>
    <x v="1039"/>
    <s v="Verkeersveiligheid"/>
    <x v="4"/>
    <n v="1195"/>
    <s v="IN/001124"/>
    <s v="Trajectcontrole schoolroute Anzegem Westdorp 42.7-43.3"/>
    <s v="Nog geen aanvraag van het lokaal bestuur ontvangen voor deze trajectcontrole"/>
    <s v="Kleine Ingreep"/>
    <s v="WWV/INV/N36/6"/>
    <b v="0"/>
    <s v="Ingreep wordt niet opgevolgd in BOD"/>
    <s v="&lt;null&gt;"/>
    <s v="&lt;null&gt;"/>
    <s v="&lt;null&gt;"/>
    <s v="&lt;null&gt;"/>
    <s v="&lt;null&gt;"/>
    <x v="0"/>
    <s v="&lt;null&gt;"/>
    <s v="&lt;null&gt;"/>
    <s v="&lt;null&gt;"/>
    <s v="&lt;null&gt;"/>
    <n v="100"/>
    <s v="&lt;null&gt;"/>
    <s v="&lt;null&gt;"/>
    <s v="&lt;null&gt;"/>
    <s v="&lt;null&gt;"/>
    <m/>
    <m/>
    <m/>
    <m/>
  </r>
  <r>
    <x v="1040"/>
    <x v="1040"/>
    <s v="Verkeersveiligheid"/>
    <x v="4"/>
    <n v="1196"/>
    <s v="IN/001125"/>
    <s v="Flitspaal schoolroute Anzegem Oostdorp thv 43.6 richting Kaster"/>
    <s v="SNC2021_014 aanvraag was initieel omgevormd naar TC2021_337 maar lokaal bestuur wenst expliciet een flitspaal"/>
    <s v="Kleine Ingreep"/>
    <s v="WWV/INV/N36/7"/>
    <b v="0"/>
    <s v="Ingreep wordt niet opgevolgd in BOD"/>
    <s v="&lt;null&gt;"/>
    <s v="&lt;null&gt;"/>
    <s v="&lt;null&gt;"/>
    <s v="&lt;null&gt;"/>
    <s v="&lt;null&gt;"/>
    <x v="0"/>
    <s v="&lt;null&gt;"/>
    <s v="&lt;null&gt;"/>
    <s v="&lt;null&gt;"/>
    <s v="&lt;null&gt;"/>
    <n v="100"/>
    <s v="&lt;null&gt;"/>
    <s v="&lt;null&gt;"/>
    <s v="&lt;null&gt;"/>
    <s v="&lt;null&gt;"/>
    <m/>
    <m/>
    <m/>
    <m/>
  </r>
  <r>
    <x v="1041"/>
    <x v="1041"/>
    <s v="Verkeersveiligheid"/>
    <x v="4"/>
    <n v="1197"/>
    <s v="IN/001126"/>
    <s v="Ingreep schoolroute in Anzegem op Diverse locaties -zie toelichting en voorstel oplossing."/>
    <s v="&lt;null&gt;"/>
    <s v="Kleine Ingreep"/>
    <s v="WWV/INV/N494/1"/>
    <b v="1"/>
    <s v="Ingreep wordt opgevolgd in BOD"/>
    <n v="10520"/>
    <s v="VWT/WU/2020/007.005"/>
    <n v="138401"/>
    <n v="22024538"/>
    <s v="&lt;p&gt;Opstellen van diverse punctuele verlichtingen VVOP/VFOP die gelegen zijn op de schoolroutes ikv relance&lt;/p&gt;"/>
    <x v="3"/>
    <n v="9942"/>
    <s v="VVOP N36 t.h.v. kmp. 43,465 - Anzegem"/>
    <s v="&lt;p&gt;KP/001443 - IN/001126 - KS783&lt;/p&gt;"/>
    <s v="WWV/INV/N494/1"/>
    <n v="100"/>
    <n v="23250"/>
    <n v="0"/>
    <n v="0"/>
    <n v="10.4"/>
    <n v="23250"/>
    <n v="0"/>
    <n v="0"/>
    <n v="10.4"/>
  </r>
  <r>
    <x v="1041"/>
    <x v="1041"/>
    <s v="Verkeersveiligheid"/>
    <x v="4"/>
    <n v="1197"/>
    <s v="IN/001126"/>
    <s v="Ingreep schoolroute in Anzegem op Diverse locaties -zie toelichting en voorstel oplossing."/>
    <s v="&lt;null&gt;"/>
    <s v="Kleine Ingreep"/>
    <s v="WWV/INV/N494/1"/>
    <b v="1"/>
    <s v="Ingreep wordt opgevolgd in BOD"/>
    <n v="12024"/>
    <s v="AWV/INV/2021/3_P3"/>
    <n v="118401"/>
    <n v="21065771"/>
    <s v="&lt;p&gt;OF AWV/INV/2021/3 P3 3mh230 schoolroutes&lt;/p&gt;"/>
    <x v="9"/>
    <n v="8384"/>
    <s v="IN1126 N494"/>
    <s v="&lt;null&gt;"/>
    <s v="WWV/INV/N494/1"/>
    <n v="100"/>
    <n v="1653"/>
    <n v="0"/>
    <n v="0"/>
    <n v="619.79999999999995"/>
    <n v="1653"/>
    <n v="0"/>
    <n v="0"/>
    <n v="619.79999999999995"/>
  </r>
  <r>
    <x v="1042"/>
    <x v="1042"/>
    <s v="Verkeersveiligheid"/>
    <x v="4"/>
    <n v="1198"/>
    <s v="IN/001127"/>
    <s v="Ingreep schoolroute in Anzegem op Diverse locaties -zie toelichting en voorstel oplossing."/>
    <s v="&lt;null&gt;"/>
    <s v="Kleine Ingreep"/>
    <s v="WWV/INV/N382/11"/>
    <b v="1"/>
    <s v="Ingreep wordt opgevolgd in BOD"/>
    <n v="12024"/>
    <s v="AWV/INV/2021/3_P3"/>
    <n v="118401"/>
    <n v="21065771"/>
    <s v="&lt;p&gt;OF AWV/INV/2021/3 P3 3mh230 schoolroutes&lt;/p&gt;"/>
    <x v="9"/>
    <n v="8385"/>
    <s v="IN1127 N382 Anzegem"/>
    <s v="&lt;null&gt;"/>
    <s v="WWV/INV/N382/11"/>
    <n v="100"/>
    <n v="8739"/>
    <n v="0"/>
    <n v="0"/>
    <n v="0.4"/>
    <n v="8739"/>
    <n v="0"/>
    <n v="0"/>
    <n v="0.4"/>
  </r>
  <r>
    <x v="1043"/>
    <x v="1043"/>
    <s v="Verkeersveiligheid"/>
    <x v="4"/>
    <n v="1199"/>
    <s v="IN/001128"/>
    <s v="Trajectcontrole schoolroute Anzegem Peter Benoitstraat"/>
    <s v="Trajectcontrole\naanvraag voor SNC2021_016 omgevormd naar TC2021_321. zie centraal register"/>
    <s v="Kleine Ingreep"/>
    <s v="WWV/INV/N36/8"/>
    <b v="0"/>
    <s v="Ingreep wordt niet opgevolgd in BOD"/>
    <s v="&lt;null&gt;"/>
    <s v="&lt;null&gt;"/>
    <s v="&lt;null&gt;"/>
    <s v="&lt;null&gt;"/>
    <s v="&lt;null&gt;"/>
    <x v="0"/>
    <s v="&lt;null&gt;"/>
    <s v="&lt;null&gt;"/>
    <s v="&lt;null&gt;"/>
    <s v="&lt;null&gt;"/>
    <n v="100"/>
    <s v="&lt;null&gt;"/>
    <s v="&lt;null&gt;"/>
    <s v="&lt;null&gt;"/>
    <s v="&lt;null&gt;"/>
    <m/>
    <m/>
    <m/>
    <m/>
  </r>
  <r>
    <x v="1044"/>
    <x v="1044"/>
    <s v="Verkeersveiligheid"/>
    <x v="4"/>
    <n v="1200"/>
    <s v="IN/001129"/>
    <s v="Ingreep schoolroute in Anzegem op Diverse locaties -zie toelichting en voorstel oplossing."/>
    <s v="&lt;null&gt;"/>
    <s v="Kleine Ingreep"/>
    <s v="WWV/INV/N36/9"/>
    <b v="0"/>
    <s v="Ingreep wordt niet opgevolgd in BOD"/>
    <s v="&lt;null&gt;"/>
    <s v="&lt;null&gt;"/>
    <s v="&lt;null&gt;"/>
    <s v="&lt;null&gt;"/>
    <s v="&lt;null&gt;"/>
    <x v="0"/>
    <s v="&lt;null&gt;"/>
    <s v="&lt;null&gt;"/>
    <s v="&lt;null&gt;"/>
    <s v="&lt;null&gt;"/>
    <n v="100"/>
    <s v="&lt;null&gt;"/>
    <s v="&lt;null&gt;"/>
    <s v="&lt;null&gt;"/>
    <s v="&lt;null&gt;"/>
    <m/>
    <m/>
    <m/>
    <m/>
  </r>
  <r>
    <x v="1045"/>
    <x v="1045"/>
    <s v="Verkeersveiligheid"/>
    <x v="4"/>
    <n v="1201"/>
    <s v="IN/001130"/>
    <s v="Ingreep schoolroute in Anzegem op Diverse locaties -zie toelichting en voorstel oplossing."/>
    <s v="&lt;null&gt;"/>
    <s v="Kleine Ingreep"/>
    <s v="WWV/INV/N36/14"/>
    <b v="1"/>
    <s v="Ingreep wordt opgevolgd in BOD"/>
    <n v="12024"/>
    <s v="AWV/INV/2021/3_P3"/>
    <n v="118401"/>
    <n v="21065771"/>
    <s v="&lt;p&gt;OF AWV/INV/2021/3 P3 3mh230 schoolroutes&lt;/p&gt;"/>
    <x v="9"/>
    <n v="9352"/>
    <s v="IN1130 N36 Anzegem"/>
    <s v="&lt;null&gt;"/>
    <s v="WWV/INV/N36/14"/>
    <n v="100"/>
    <n v="18000"/>
    <n v="0"/>
    <n v="2583.9"/>
    <n v="15416.1"/>
    <n v="18000"/>
    <n v="0"/>
    <n v="2583.9"/>
    <n v="15416.1"/>
  </r>
  <r>
    <x v="1046"/>
    <x v="1046"/>
    <s v="Verkeersveiligheid"/>
    <x v="4"/>
    <n v="1202"/>
    <s v="IN/001131"/>
    <s v="Ingreep schoolroute in Gingelom op GO! De Groeiboog Borlo, Jeuksestraat 24, 3891 Gingelom"/>
    <s v="- dynamische zone 30 \n\n"/>
    <s v="Kleine Ingreep"/>
    <s v="WL/INV/N755/1"/>
    <b v="0"/>
    <s v="Ingreep wordt niet opgevolgd in BOD"/>
    <s v="&lt;null&gt;"/>
    <s v="&lt;null&gt;"/>
    <s v="&lt;null&gt;"/>
    <s v="&lt;null&gt;"/>
    <s v="&lt;null&gt;"/>
    <x v="0"/>
    <s v="&lt;null&gt;"/>
    <s v="&lt;null&gt;"/>
    <s v="&lt;null&gt;"/>
    <s v="&lt;null&gt;"/>
    <n v="100"/>
    <s v="&lt;null&gt;"/>
    <s v="&lt;null&gt;"/>
    <s v="&lt;null&gt;"/>
    <s v="&lt;null&gt;"/>
    <m/>
    <m/>
    <m/>
    <m/>
  </r>
  <r>
    <x v="1047"/>
    <x v="1047"/>
    <s v="Verkeersveiligheid"/>
    <x v="4"/>
    <n v="1203"/>
    <s v="IN/001132"/>
    <s v="Dynamische zone 30"/>
    <s v="\n"/>
    <s v="Kleine Ingreep"/>
    <s v="WL/INV/N789/1"/>
    <b v="0"/>
    <s v="Ingreep wordt niet opgevolgd in BOD"/>
    <s v="&lt;null&gt;"/>
    <s v="&lt;null&gt;"/>
    <s v="&lt;null&gt;"/>
    <s v="&lt;null&gt;"/>
    <s v="&lt;null&gt;"/>
    <x v="0"/>
    <s v="&lt;null&gt;"/>
    <s v="&lt;null&gt;"/>
    <s v="&lt;null&gt;"/>
    <s v="&lt;null&gt;"/>
    <n v="100"/>
    <s v="&lt;null&gt;"/>
    <s v="&lt;null&gt;"/>
    <s v="&lt;null&gt;"/>
    <s v="&lt;null&gt;"/>
    <m/>
    <m/>
    <m/>
    <m/>
  </r>
  <r>
    <x v="1048"/>
    <x v="1048"/>
    <s v="Verkeersveiligheid"/>
    <x v="4"/>
    <n v="1204"/>
    <s v="IN/001133"/>
    <s v="Aanpassen V-plan Koolmijnlaan x Oosthamsesteenweg"/>
    <s v="&lt;null&gt;"/>
    <s v="Kleine Ingreep"/>
    <s v="WL/INV/N719/6"/>
    <b v="0"/>
    <s v="Ingreep wordt niet opgevolgd in BOD"/>
    <s v="&lt;null&gt;"/>
    <s v="&lt;null&gt;"/>
    <s v="&lt;null&gt;"/>
    <s v="&lt;null&gt;"/>
    <s v="&lt;null&gt;"/>
    <x v="0"/>
    <s v="&lt;null&gt;"/>
    <s v="&lt;null&gt;"/>
    <s v="&lt;null&gt;"/>
    <s v="&lt;null&gt;"/>
    <n v="100"/>
    <s v="&lt;null&gt;"/>
    <s v="&lt;null&gt;"/>
    <s v="&lt;null&gt;"/>
    <s v="&lt;null&gt;"/>
    <m/>
    <m/>
    <m/>
    <m/>
  </r>
  <r>
    <x v="18"/>
    <x v="18"/>
    <s v="&lt;null&gt;"/>
    <x v="3"/>
    <n v="1205"/>
    <s v="IN/001134"/>
    <s v="Ingreep schoolroute in Zonhoven op Kruispunt N74 met de Donkweg"/>
    <s v="Aanpassing VRI"/>
    <s v="Structurele Ingreep"/>
    <s v="&lt;null&gt;"/>
    <b v="0"/>
    <s v="Ingreep wordt niet opgevolgd in BOD"/>
    <s v="&lt;null&gt;"/>
    <s v="&lt;null&gt;"/>
    <s v="&lt;null&gt;"/>
    <s v="&lt;null&gt;"/>
    <s v="&lt;null&gt;"/>
    <x v="0"/>
    <s v="&lt;null&gt;"/>
    <s v="&lt;null&gt;"/>
    <s v="&lt;null&gt;"/>
    <s v="&lt;null&gt;"/>
    <s v="&lt;null&gt;"/>
    <s v="&lt;null&gt;"/>
    <s v="&lt;null&gt;"/>
    <s v="&lt;null&gt;"/>
    <s v="&lt;null&gt;"/>
    <m/>
    <m/>
    <m/>
    <m/>
  </r>
  <r>
    <x v="1049"/>
    <x v="1049"/>
    <s v="Verkeersveiligheid"/>
    <x v="4"/>
    <n v="1206"/>
    <s v="IN/001135"/>
    <s v="Ingreep schoolroute in Zonnebeke op Ieperstraat en Roeselarestraat te Zonnebeke (N332) ter hoogte van het rondpunt"/>
    <s v="&lt;null&gt;"/>
    <s v="Kleine Ingreep"/>
    <s v="WWV/INV/N332/1"/>
    <b v="0"/>
    <s v="Ingreep wordt niet opgevolgd in BOD"/>
    <n v="12024"/>
    <s v="AWV/INV/2021/3_P3"/>
    <n v="118401"/>
    <n v="21065771"/>
    <s v="&lt;p&gt;OF AWV/INV/2021/3 P3 3mh230 schoolroutes&lt;/p&gt;"/>
    <x v="9"/>
    <n v="9353"/>
    <s v="IN 1135 N332 Zonnebeke"/>
    <s v="&lt;null&gt;"/>
    <s v="WWV/INV/N332/1"/>
    <n v="100"/>
    <n v="66200"/>
    <n v="247.54"/>
    <n v="0"/>
    <n v="65952.460000000006"/>
    <n v="66200"/>
    <n v="247.54"/>
    <n v="0"/>
    <n v="65952.460000000006"/>
  </r>
  <r>
    <x v="1049"/>
    <x v="1049"/>
    <s v="Verkeersveiligheid"/>
    <x v="4"/>
    <n v="1206"/>
    <s v="IN/001135"/>
    <s v="Ingreep schoolroute in Zonnebeke op Ieperstraat en Roeselarestraat te Zonnebeke (N332) ter hoogte van het rondpunt"/>
    <s v="&lt;null&gt;"/>
    <s v="Kleine Ingreep"/>
    <s v="WWV/INV/N332/1"/>
    <b v="0"/>
    <s v="Ingreep wordt niet opgevolgd in BOD"/>
    <n v="10520"/>
    <s v="VWT/WU/2020/007.005"/>
    <n v="138401"/>
    <n v="22024538"/>
    <s v="&lt;p&gt;Opstellen van diverse punctuele verlichtingen VVOP/VFOP die gelegen zijn op de schoolroutes ikv relance&lt;/p&gt;"/>
    <x v="3"/>
    <n v="9753"/>
    <s v="KS861 Zonnebeke N332 - kmp. 7,3 - t.h.v. Roeselarestraat 36 en kmp. 7,42 - t.h.v. Roeselarestraat 58"/>
    <s v="&lt;p&gt;KP/001454 - IN/001135 - WWV/INV/N332/1&lt;/p&gt;"/>
    <s v="WWV/INV/N332/1"/>
    <n v="100"/>
    <n v="60000"/>
    <n v="0"/>
    <n v="0"/>
    <n v="2197.42"/>
    <n v="60000"/>
    <n v="0"/>
    <n v="0"/>
    <n v="2197.42"/>
  </r>
  <r>
    <x v="1050"/>
    <x v="1050"/>
    <s v="Verkeersveiligheid"/>
    <x v="4"/>
    <n v="1207"/>
    <s v="IN/001136"/>
    <s v="Ingreep schoolroute in Zonnebeke op Passendalestraat en Molenstraat te Passendale (N303) ter hoogte van het centrum (bocht)."/>
    <s v="&lt;null&gt;"/>
    <s v="Kleine Ingreep"/>
    <s v="WWV/INV/N303/2"/>
    <b v="0"/>
    <s v="Ingreep wordt niet opgevolgd in BOD"/>
    <n v="10520"/>
    <s v="VWT/WU/2020/007.005"/>
    <n v="138401"/>
    <n v="22024538"/>
    <s v="&lt;p&gt;Opstellen van diverse punctuele verlichtingen VVOP/VFOP die gelegen zijn op de schoolroutes ikv relance&lt;/p&gt;"/>
    <x v="9"/>
    <n v="9754"/>
    <s v="KS869 Zonnebeke N303 - kmp. 14,80 - t.h.v. Passendaleplaats 12 en kmp. 14,90 - t.h.v. Passendaleplaats 17"/>
    <s v="&lt;p&gt;KP/001455 - IN/001136 - WWV/INV/N303/2&lt;/p&gt;"/>
    <s v="WWV/INV/N303/2"/>
    <n v="100"/>
    <n v="60000"/>
    <n v="0"/>
    <n v="0"/>
    <n v="2197.42"/>
    <n v="60000"/>
    <n v="0"/>
    <n v="0"/>
    <n v="2197.42"/>
  </r>
  <r>
    <x v="1050"/>
    <x v="1050"/>
    <s v="Verkeersveiligheid"/>
    <x v="4"/>
    <n v="1207"/>
    <s v="IN/001136"/>
    <s v="Ingreep schoolroute in Zonnebeke op Passendalestraat en Molenstraat te Passendale (N303) ter hoogte van het centrum (bocht)."/>
    <s v="&lt;null&gt;"/>
    <s v="Kleine Ingreep"/>
    <s v="WWV/INV/N303/2"/>
    <b v="0"/>
    <s v="Ingreep wordt niet opgevolgd in BOD"/>
    <n v="12024"/>
    <s v="AWV/INV/2021/3_P3"/>
    <n v="118401"/>
    <n v="21065771"/>
    <s v="&lt;p&gt;OF AWV/INV/2021/3 P3 3mh230 schoolroutes&lt;/p&gt;"/>
    <x v="3"/>
    <n v="8721"/>
    <s v="IN1136 N303 Zonnebeke"/>
    <s v="&lt;null&gt;"/>
    <s v="WWV/INV/N303/2"/>
    <n v="100"/>
    <n v="2909.6"/>
    <n v="1000"/>
    <n v="0"/>
    <n v="1909.6"/>
    <n v="2909.6"/>
    <n v="1000"/>
    <n v="0"/>
    <n v="1909.6"/>
  </r>
  <r>
    <x v="1051"/>
    <x v="1051"/>
    <s v="Verkeersveiligheid"/>
    <x v="4"/>
    <n v="1208"/>
    <s v="IN/001137"/>
    <s v="Ingreep schoolroute in Herzele op Provincieweg Borsbeke (N46)"/>
    <s v="&lt;null&gt;"/>
    <s v="Kleine Ingreep"/>
    <s v="WOV/INV/N46/9"/>
    <b v="0"/>
    <s v="Ingreep wordt niet opgevolgd in BOD"/>
    <s v="&lt;null&gt;"/>
    <s v="&lt;null&gt;"/>
    <s v="&lt;null&gt;"/>
    <s v="&lt;null&gt;"/>
    <s v="&lt;null&gt;"/>
    <x v="0"/>
    <s v="&lt;null&gt;"/>
    <s v="&lt;null&gt;"/>
    <s v="&lt;null&gt;"/>
    <s v="&lt;null&gt;"/>
    <n v="100"/>
    <s v="&lt;null&gt;"/>
    <s v="&lt;null&gt;"/>
    <s v="&lt;null&gt;"/>
    <s v="&lt;null&gt;"/>
    <m/>
    <m/>
    <m/>
    <m/>
  </r>
  <r>
    <x v="1052"/>
    <x v="1052"/>
    <s v="Verkeersveiligheid"/>
    <x v="4"/>
    <n v="1209"/>
    <s v="IN/001138"/>
    <s v="Ingreep schoolroute in Hamme op Kruispunt N41 met Broekstraat/Hooirt"/>
    <s v="&lt;null&gt;"/>
    <s v="Kleine Ingreep"/>
    <s v="WOV/INV/N41/3"/>
    <b v="0"/>
    <s v="Ingreep wordt niet opgevolgd in BOD"/>
    <s v="&lt;null&gt;"/>
    <s v="&lt;null&gt;"/>
    <s v="&lt;null&gt;"/>
    <s v="&lt;null&gt;"/>
    <s v="&lt;null&gt;"/>
    <x v="0"/>
    <s v="&lt;null&gt;"/>
    <s v="&lt;null&gt;"/>
    <s v="&lt;null&gt;"/>
    <s v="&lt;null&gt;"/>
    <n v="100"/>
    <s v="&lt;null&gt;"/>
    <s v="&lt;null&gt;"/>
    <s v="&lt;null&gt;"/>
    <s v="&lt;null&gt;"/>
    <m/>
    <m/>
    <m/>
    <m/>
  </r>
  <r>
    <x v="1053"/>
    <x v="1053"/>
    <s v="Verkeersveiligheid"/>
    <x v="4"/>
    <n v="1210"/>
    <s v="IN/001139"/>
    <s v="SRK: N415 Oosterzele: duurzame markeringen"/>
    <s v="&lt;null&gt;"/>
    <s v="Kleine Ingreep"/>
    <s v="WOV/INV/N415/6"/>
    <b v="0"/>
    <s v="Ingreep wordt niet opgevolgd in BOD"/>
    <s v="&lt;null&gt;"/>
    <s v="&lt;null&gt;"/>
    <s v="&lt;null&gt;"/>
    <s v="&lt;null&gt;"/>
    <s v="&lt;null&gt;"/>
    <x v="0"/>
    <s v="&lt;null&gt;"/>
    <s v="&lt;null&gt;"/>
    <s v="&lt;null&gt;"/>
    <s v="&lt;null&gt;"/>
    <n v="100"/>
    <s v="&lt;null&gt;"/>
    <s v="&lt;null&gt;"/>
    <s v="&lt;null&gt;"/>
    <s v="&lt;null&gt;"/>
    <m/>
    <m/>
    <m/>
    <m/>
  </r>
  <r>
    <x v="1054"/>
    <x v="1054"/>
    <s v="Verkeersveiligheid"/>
    <x v="4"/>
    <n v="1211"/>
    <s v="IN/001140"/>
    <s v="Ingreep schoolroute in Kruibeke op N419 - oversteekplaats ter hoogte  van Kemphoekstraat"/>
    <s v="&lt;null&gt;"/>
    <s v="Kleine Ingreep"/>
    <s v="WOV/INV/N419/3"/>
    <b v="0"/>
    <s v="Ingreep wordt niet opgevolgd in BOD"/>
    <s v="&lt;null&gt;"/>
    <s v="&lt;null&gt;"/>
    <s v="&lt;null&gt;"/>
    <s v="&lt;null&gt;"/>
    <s v="&lt;null&gt;"/>
    <x v="0"/>
    <s v="&lt;null&gt;"/>
    <s v="&lt;null&gt;"/>
    <s v="&lt;null&gt;"/>
    <s v="&lt;null&gt;"/>
    <n v="100"/>
    <s v="&lt;null&gt;"/>
    <s v="&lt;null&gt;"/>
    <s v="&lt;null&gt;"/>
    <s v="&lt;null&gt;"/>
    <m/>
    <m/>
    <m/>
    <m/>
  </r>
  <r>
    <x v="1055"/>
    <x v="1055"/>
    <s v="Verkeersveiligheid"/>
    <x v="4"/>
    <n v="1212"/>
    <s v="IN/001141"/>
    <s v="Horizontale signalisatie in Oosterzele op N465"/>
    <s v="&lt;null&gt;"/>
    <s v="Kleine Ingreep"/>
    <s v="WOV/INV/N465/3"/>
    <b v="0"/>
    <s v="Ingreep wordt niet opgevolgd in BOD"/>
    <s v="&lt;null&gt;"/>
    <s v="&lt;null&gt;"/>
    <s v="&lt;null&gt;"/>
    <s v="&lt;null&gt;"/>
    <s v="&lt;null&gt;"/>
    <x v="0"/>
    <s v="&lt;null&gt;"/>
    <s v="&lt;null&gt;"/>
    <s v="&lt;null&gt;"/>
    <s v="&lt;null&gt;"/>
    <n v="100"/>
    <s v="&lt;null&gt;"/>
    <s v="&lt;null&gt;"/>
    <s v="&lt;null&gt;"/>
    <s v="&lt;null&gt;"/>
    <m/>
    <m/>
    <m/>
    <m/>
  </r>
  <r>
    <x v="1056"/>
    <x v="1056"/>
    <s v="Verkeersveiligheid"/>
    <x v="4"/>
    <n v="1213"/>
    <s v="IN/001142"/>
    <s v="VERWIJDEREN knelpunt onder WOV/INV/N446/1 toegevoegd  Ingreep schoolroute in Waasmunster op N446 - kruispunt Pontravelaan/Kerkstraat"/>
    <s v="&lt;null&gt;"/>
    <s v="Structurele Ingreep"/>
    <s v="&lt;null&gt;"/>
    <b v="0"/>
    <s v="Ingreep wordt niet opgevolgd in BOD"/>
    <s v="&lt;null&gt;"/>
    <s v="&lt;null&gt;"/>
    <s v="&lt;null&gt;"/>
    <s v="&lt;null&gt;"/>
    <s v="&lt;null&gt;"/>
    <x v="0"/>
    <s v="&lt;null&gt;"/>
    <s v="&lt;null&gt;"/>
    <s v="&lt;null&gt;"/>
    <s v="&lt;null&gt;"/>
    <n v="100"/>
    <s v="&lt;null&gt;"/>
    <s v="&lt;null&gt;"/>
    <s v="&lt;null&gt;"/>
    <s v="&lt;null&gt;"/>
    <m/>
    <m/>
    <m/>
    <m/>
  </r>
  <r>
    <x v="1056"/>
    <x v="1056"/>
    <s v="Verkeersveiligheid"/>
    <x v="4"/>
    <n v="1214"/>
    <s v="IN/001143"/>
    <s v="Ingreep schoolroute in Waasmunster op N446 - kruispunt Hoogstraat"/>
    <s v="&lt;null&gt;"/>
    <s v="Structurele Ingreep"/>
    <s v="WOV/INV/N446/1"/>
    <b v="0"/>
    <s v="Ingreep wordt niet opgevolgd in BOD"/>
    <s v="&lt;null&gt;"/>
    <s v="&lt;null&gt;"/>
    <s v="&lt;null&gt;"/>
    <s v="&lt;null&gt;"/>
    <s v="&lt;null&gt;"/>
    <x v="0"/>
    <s v="&lt;null&gt;"/>
    <s v="&lt;null&gt;"/>
    <s v="&lt;null&gt;"/>
    <s v="&lt;null&gt;"/>
    <n v="98"/>
    <s v="&lt;null&gt;"/>
    <s v="&lt;null&gt;"/>
    <s v="&lt;null&gt;"/>
    <s v="&lt;null&gt;"/>
    <m/>
    <m/>
    <m/>
    <m/>
  </r>
  <r>
    <x v="1057"/>
    <x v="1057"/>
    <s v="Verkeersveiligheid"/>
    <x v="4"/>
    <n v="1214"/>
    <s v="IN/001143"/>
    <s v="Ingreep schoolroute in Waasmunster op N446 - kruispunt Hoogstraat"/>
    <s v="&lt;null&gt;"/>
    <s v="Structurele Ingreep"/>
    <s v="WOV/INV/N446/1"/>
    <b v="0"/>
    <s v="Ingreep wordt niet opgevolgd in BOD"/>
    <s v="&lt;null&gt;"/>
    <s v="&lt;null&gt;"/>
    <s v="&lt;null&gt;"/>
    <s v="&lt;null&gt;"/>
    <s v="&lt;null&gt;"/>
    <x v="0"/>
    <s v="&lt;null&gt;"/>
    <s v="&lt;null&gt;"/>
    <s v="&lt;null&gt;"/>
    <s v="&lt;null&gt;"/>
    <n v="2"/>
    <s v="&lt;null&gt;"/>
    <s v="&lt;null&gt;"/>
    <s v="&lt;null&gt;"/>
    <s v="&lt;null&gt;"/>
    <m/>
    <m/>
    <m/>
    <m/>
  </r>
  <r>
    <x v="1058"/>
    <x v="1058"/>
    <s v="Verkeersveiligheid"/>
    <x v="4"/>
    <n v="1215"/>
    <s v="IN/001144"/>
    <s v="Ingreep schoolroute in Brakel op Kruispunt N415-Lepelstraat/Pottenberg"/>
    <s v="&lt;null&gt;"/>
    <s v="Kleine Ingreep"/>
    <s v="&lt;null&gt;"/>
    <b v="0"/>
    <s v="Ingreep wordt niet opgevolgd in BOD"/>
    <s v="&lt;null&gt;"/>
    <s v="&lt;null&gt;"/>
    <s v="&lt;null&gt;"/>
    <s v="&lt;null&gt;"/>
    <s v="&lt;null&gt;"/>
    <x v="0"/>
    <s v="&lt;null&gt;"/>
    <s v="&lt;null&gt;"/>
    <s v="&lt;null&gt;"/>
    <s v="&lt;null&gt;"/>
    <n v="100"/>
    <s v="&lt;null&gt;"/>
    <s v="&lt;null&gt;"/>
    <s v="&lt;null&gt;"/>
    <s v="&lt;null&gt;"/>
    <m/>
    <m/>
    <m/>
    <m/>
  </r>
  <r>
    <x v="1059"/>
    <x v="1059"/>
    <s v="Verkeersveiligheid"/>
    <x v="4"/>
    <n v="1216"/>
    <s v="IN/001145"/>
    <s v="Ingreep schoolroute in Brakel op Kruispunt N8-Meerbeekstraat/Haeyershoek"/>
    <s v="&lt;null&gt;"/>
    <s v="Kleine Ingreep"/>
    <s v="&lt;null&gt;"/>
    <b v="0"/>
    <s v="Ingreep wordt niet opgevolgd in BOD"/>
    <s v="&lt;null&gt;"/>
    <s v="&lt;null&gt;"/>
    <s v="&lt;null&gt;"/>
    <s v="&lt;null&gt;"/>
    <s v="&lt;null&gt;"/>
    <x v="0"/>
    <s v="&lt;null&gt;"/>
    <s v="&lt;null&gt;"/>
    <s v="&lt;null&gt;"/>
    <s v="&lt;null&gt;"/>
    <n v="100"/>
    <s v="&lt;null&gt;"/>
    <s v="&lt;null&gt;"/>
    <s v="&lt;null&gt;"/>
    <s v="&lt;null&gt;"/>
    <m/>
    <m/>
    <m/>
    <m/>
  </r>
  <r>
    <x v="1060"/>
    <x v="1060"/>
    <s v="Verkeersveiligheid"/>
    <x v="4"/>
    <n v="1217"/>
    <s v="IN/001146"/>
    <s v="Horizontale signalisatie in Maldegem op Wijkschool Strobrugge toegang situeert zich in de Aardenburgkalseide tussen huisnummer 369 en 371"/>
    <s v="&lt;null&gt;"/>
    <s v="Kleine Ingreep"/>
    <s v="WOV/INV/N410/1"/>
    <b v="0"/>
    <s v="Ingreep wordt niet opgevolgd in BOD"/>
    <s v="&lt;null&gt;"/>
    <s v="&lt;null&gt;"/>
    <s v="&lt;null&gt;"/>
    <s v="&lt;null&gt;"/>
    <s v="&lt;null&gt;"/>
    <x v="0"/>
    <s v="&lt;null&gt;"/>
    <s v="&lt;null&gt;"/>
    <s v="&lt;null&gt;"/>
    <s v="&lt;null&gt;"/>
    <n v="100"/>
    <s v="&lt;null&gt;"/>
    <s v="&lt;null&gt;"/>
    <s v="&lt;null&gt;"/>
    <s v="&lt;null&gt;"/>
    <m/>
    <m/>
    <m/>
    <m/>
  </r>
  <r>
    <x v="1061"/>
    <x v="1061"/>
    <s v="Verkeersveiligheid"/>
    <x v="4"/>
    <n v="1218"/>
    <s v="IN/001147"/>
    <s v="Ingreep schoolroute in Evergem op Gewestweg N458 Noordlaan westzijde tussen kruispunt Kloosterstraat en kruispunt Hoogstraat (kmp10.47-10.52)"/>
    <s v="&lt;null&gt;"/>
    <s v="Kleine Ingreep"/>
    <s v="WOV/INV/N458/5"/>
    <b v="0"/>
    <s v="Ingreep wordt niet opgevolgd in BOD"/>
    <s v="&lt;null&gt;"/>
    <s v="&lt;null&gt;"/>
    <s v="&lt;null&gt;"/>
    <s v="&lt;null&gt;"/>
    <s v="&lt;null&gt;"/>
    <x v="0"/>
    <s v="&lt;null&gt;"/>
    <s v="&lt;null&gt;"/>
    <s v="&lt;null&gt;"/>
    <s v="&lt;null&gt;"/>
    <n v="100"/>
    <s v="&lt;null&gt;"/>
    <s v="&lt;null&gt;"/>
    <s v="&lt;null&gt;"/>
    <s v="&lt;null&gt;"/>
    <m/>
    <m/>
    <m/>
    <m/>
  </r>
  <r>
    <x v="1062"/>
    <x v="1062"/>
    <s v="Verkeersveiligheid"/>
    <x v="4"/>
    <n v="1219"/>
    <s v="IN/001148"/>
    <s v="N436 Zelzate-Assenede milderende maatregelen"/>
    <s v="Milderende maatregelen i.k.v. Project E34 Stoepestraat met inbegrip van structureel onderhoud van rijweg en fietspaden langsheen de N436 Assenedesteenweg-Zelzatestraat te Zelzate en Assenede"/>
    <s v="Structurele Ingreep"/>
    <s v="WOV/INV/N436/1"/>
    <b v="0"/>
    <s v="Ingreep wordt niet opgevolgd in BOD"/>
    <s v="&lt;null&gt;"/>
    <s v="&lt;null&gt;"/>
    <s v="&lt;null&gt;"/>
    <s v="&lt;null&gt;"/>
    <s v="&lt;null&gt;"/>
    <x v="0"/>
    <s v="&lt;null&gt;"/>
    <s v="&lt;null&gt;"/>
    <s v="&lt;null&gt;"/>
    <s v="&lt;null&gt;"/>
    <n v="25"/>
    <s v="&lt;null&gt;"/>
    <s v="&lt;null&gt;"/>
    <s v="&lt;null&gt;"/>
    <s v="&lt;null&gt;"/>
    <m/>
    <m/>
    <m/>
    <m/>
  </r>
  <r>
    <x v="1063"/>
    <x v="1063"/>
    <s v="Verkeersveiligheid"/>
    <x v="4"/>
    <n v="1219"/>
    <s v="IN/001148"/>
    <s v="N436 Zelzate-Assenede milderende maatregelen"/>
    <s v="Milderende maatregelen i.k.v. Project E34 Stoepestraat met inbegrip van structureel onderhoud van rijweg en fietspaden langsheen de N436 Assenedesteenweg-Zelzatestraat te Zelzate en Assenede"/>
    <s v="Structurele Ingreep"/>
    <s v="WOV/INV/N436/1"/>
    <b v="0"/>
    <s v="Ingreep wordt niet opgevolgd in BOD"/>
    <s v="&lt;null&gt;"/>
    <s v="&lt;null&gt;"/>
    <s v="&lt;null&gt;"/>
    <s v="&lt;null&gt;"/>
    <s v="&lt;null&gt;"/>
    <x v="0"/>
    <s v="&lt;null&gt;"/>
    <s v="&lt;null&gt;"/>
    <s v="&lt;null&gt;"/>
    <s v="&lt;null&gt;"/>
    <n v="25"/>
    <s v="&lt;null&gt;"/>
    <s v="&lt;null&gt;"/>
    <s v="&lt;null&gt;"/>
    <s v="&lt;null&gt;"/>
    <m/>
    <m/>
    <m/>
    <m/>
  </r>
  <r>
    <x v="1063"/>
    <x v="1063"/>
    <s v="Verkeersveiligheid"/>
    <x v="4"/>
    <n v="1220"/>
    <s v="IN/001149"/>
    <s v="Ingreep schoolroute in Zelzate op N436 Assenedesteenweg en kruispunt met de R4"/>
    <s v="&lt;null&gt;"/>
    <s v="Structurele Ingreep"/>
    <s v="&lt;null&gt;"/>
    <b v="0"/>
    <s v="Ingreep wordt niet opgevolgd in BOD"/>
    <s v="&lt;null&gt;"/>
    <s v="&lt;null&gt;"/>
    <s v="&lt;null&gt;"/>
    <s v="&lt;null&gt;"/>
    <s v="&lt;null&gt;"/>
    <x v="0"/>
    <s v="&lt;null&gt;"/>
    <s v="&lt;null&gt;"/>
    <s v="&lt;null&gt;"/>
    <s v="&lt;null&gt;"/>
    <n v="100"/>
    <s v="&lt;null&gt;"/>
    <s v="&lt;null&gt;"/>
    <s v="&lt;null&gt;"/>
    <s v="&lt;null&gt;"/>
    <m/>
    <m/>
    <m/>
    <m/>
  </r>
  <r>
    <x v="1064"/>
    <x v="1064"/>
    <s v="Verkeersveiligheid"/>
    <x v="4"/>
    <n v="1221"/>
    <s v="IN/001150"/>
    <s v="PPS R4WO Ingreep schoolroute in Zelzate op R4 t.h.v. het kruispunt Koning Albertlaan - Emiel Caluslaan"/>
    <s v="&lt;null&gt;"/>
    <s v="Structurele Ingreep"/>
    <s v="&lt;null&gt;"/>
    <b v="0"/>
    <s v="Ingreep wordt niet opgevolgd in BOD"/>
    <s v="&lt;null&gt;"/>
    <s v="&lt;null&gt;"/>
    <s v="&lt;null&gt;"/>
    <s v="&lt;null&gt;"/>
    <s v="&lt;null&gt;"/>
    <x v="0"/>
    <s v="&lt;null&gt;"/>
    <s v="&lt;null&gt;"/>
    <s v="&lt;null&gt;"/>
    <s v="&lt;null&gt;"/>
    <n v="100"/>
    <s v="&lt;null&gt;"/>
    <s v="&lt;null&gt;"/>
    <s v="&lt;null&gt;"/>
    <s v="&lt;null&gt;"/>
    <m/>
    <m/>
    <m/>
    <m/>
  </r>
  <r>
    <x v="1065"/>
    <x v="1065"/>
    <s v="Verkeersveiligheid"/>
    <x v="4"/>
    <n v="1222"/>
    <s v="IN/001151"/>
    <s v="Ingreep schoolroute in Zelzate op R4 kruispunt t.h.v. Zelzatebrug"/>
    <s v="&lt;null&gt;"/>
    <s v="Kleine Ingreep"/>
    <s v="WOV/INV/R4/6"/>
    <b v="0"/>
    <s v="Ingreep wordt niet opgevolgd in BOD"/>
    <s v="&lt;null&gt;"/>
    <s v="&lt;null&gt;"/>
    <s v="&lt;null&gt;"/>
    <s v="&lt;null&gt;"/>
    <s v="&lt;null&gt;"/>
    <x v="0"/>
    <s v="&lt;null&gt;"/>
    <s v="&lt;null&gt;"/>
    <s v="&lt;null&gt;"/>
    <s v="&lt;null&gt;"/>
    <n v="100"/>
    <s v="&lt;null&gt;"/>
    <s v="&lt;null&gt;"/>
    <s v="&lt;null&gt;"/>
    <s v="&lt;null&gt;"/>
    <m/>
    <m/>
    <m/>
    <m/>
  </r>
  <r>
    <x v="1066"/>
    <x v="1066"/>
    <s v="Verkeersveiligheid"/>
    <x v="4"/>
    <n v="1223"/>
    <s v="IN/001152"/>
    <s v="SRK: R4 Zelzate: duurzame markeringen, t.h.v. de kruispunten Oostkade, Kerkstraat en Grote Markt"/>
    <s v="&lt;null&gt;"/>
    <s v="Kleine Ingreep"/>
    <s v="WOV/INV/R4/5"/>
    <b v="1"/>
    <s v="Ingreep wordt opgevolgd in BOD"/>
    <n v="9263"/>
    <s v="O40/D411/93 B+C+D"/>
    <n v="93901"/>
    <n v="21048282"/>
    <s v="&lt;p&gt;Rode thermo - Westkade, Oostkade, Grote Markt en Kerkstraat Zelzate - Schoolroute - KS274-KS275-KS276-KS277&lt;/p&gt;"/>
    <x v="9"/>
    <n v="6690"/>
    <s v="&lt;null&gt;"/>
    <s v="&lt;p&gt;Rode thermo - Westkade, Oostkade, Grote Markt en Kerkstraat Zelzate - Schoolroute - KS274-KS275-KS276-KS277&lt;/p&gt;"/>
    <s v="WOV/INV/R4/5"/>
    <n v="33.33"/>
    <n v="15157.13"/>
    <n v="6347.8284999999996"/>
    <n v="0"/>
    <n v="8809.3014999999996"/>
    <n v="5051.8714289999998"/>
    <n v="2115.7312390000002"/>
    <n v="0"/>
    <n v="2936.1401900000001"/>
  </r>
  <r>
    <x v="1067"/>
    <x v="1067"/>
    <s v="Verkeersveiligheid"/>
    <x v="4"/>
    <n v="1223"/>
    <s v="IN/001152"/>
    <s v="SRK: R4 Zelzate: duurzame markeringen, t.h.v. de kruispunten Oostkade, Kerkstraat en Grote Markt"/>
    <s v="&lt;null&gt;"/>
    <s v="Kleine Ingreep"/>
    <s v="WOV/INV/R4/5"/>
    <b v="1"/>
    <s v="Ingreep wordt opgevolgd in BOD"/>
    <n v="9263"/>
    <s v="O40/D411/93 B+C+D"/>
    <n v="93901"/>
    <n v="21048282"/>
    <s v="&lt;p&gt;Rode thermo - Westkade, Oostkade, Grote Markt en Kerkstraat Zelzate - Schoolroute - KS274-KS275-KS276-KS277&lt;/p&gt;"/>
    <x v="9"/>
    <n v="6690"/>
    <s v="&lt;null&gt;"/>
    <s v="&lt;p&gt;Rode thermo - Westkade, Oostkade, Grote Markt en Kerkstraat Zelzate - Schoolroute - KS274-KS275-KS276-KS277&lt;/p&gt;"/>
    <s v="WOV/INV/R4/5"/>
    <n v="33.33"/>
    <n v="15157.13"/>
    <n v="6347.8284999999996"/>
    <n v="0"/>
    <n v="8809.3014999999996"/>
    <n v="5051.8714289999998"/>
    <n v="2115.7312390000002"/>
    <n v="0"/>
    <n v="2936.1401900000001"/>
  </r>
  <r>
    <x v="1068"/>
    <x v="1068"/>
    <s v="Verkeersveiligheid"/>
    <x v="4"/>
    <n v="1223"/>
    <s v="IN/001152"/>
    <s v="SRK: R4 Zelzate: duurzame markeringen, t.h.v. de kruispunten Oostkade, Kerkstraat en Grote Markt"/>
    <s v="&lt;null&gt;"/>
    <s v="Kleine Ingreep"/>
    <s v="WOV/INV/R4/5"/>
    <b v="1"/>
    <s v="Ingreep wordt opgevolgd in BOD"/>
    <n v="9263"/>
    <s v="O40/D411/93 B+C+D"/>
    <n v="93901"/>
    <n v="21048282"/>
    <s v="&lt;p&gt;Rode thermo - Westkade, Oostkade, Grote Markt en Kerkstraat Zelzate - Schoolroute - KS274-KS275-KS276-KS277&lt;/p&gt;"/>
    <x v="9"/>
    <n v="6690"/>
    <s v="&lt;null&gt;"/>
    <s v="&lt;p&gt;Rode thermo - Westkade, Oostkade, Grote Markt en Kerkstraat Zelzate - Schoolroute - KS274-KS275-KS276-KS277&lt;/p&gt;"/>
    <s v="WOV/INV/R4/5"/>
    <n v="33.340000000000003"/>
    <n v="15157.13"/>
    <n v="6347.8284999999996"/>
    <n v="0"/>
    <n v="8809.3014999999996"/>
    <n v="5053.3871419999996"/>
    <n v="2116.3660220000002"/>
    <n v="0"/>
    <n v="2937.0211199999999"/>
  </r>
  <r>
    <x v="18"/>
    <x v="18"/>
    <s v="&lt;null&gt;"/>
    <x v="3"/>
    <n v="1224"/>
    <s v="IN/001153"/>
    <s v="Ingreep schoolroute in Zelzate op R4 t.h.v. de kruispunten Grote Markt"/>
    <m/>
    <s v="Klein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1225"/>
    <s v="IN/001154"/>
    <s v="Ingreep schoolroute in Zelzate op R4 t.h.v. de kruispunten Kerkstraat"/>
    <s v="&lt;null&gt;"/>
    <s v="Kleine Ingreep"/>
    <s v="&lt;null&gt;"/>
    <b v="0"/>
    <s v="Ingreep wordt niet opgevolgd in BOD"/>
    <s v="&lt;null&gt;"/>
    <s v="&lt;null&gt;"/>
    <s v="&lt;null&gt;"/>
    <s v="&lt;null&gt;"/>
    <s v="&lt;null&gt;"/>
    <x v="0"/>
    <s v="&lt;null&gt;"/>
    <s v="&lt;null&gt;"/>
    <s v="&lt;null&gt;"/>
    <s v="&lt;null&gt;"/>
    <s v="&lt;null&gt;"/>
    <s v="&lt;null&gt;"/>
    <s v="&lt;null&gt;"/>
    <s v="&lt;null&gt;"/>
    <s v="&lt;null&gt;"/>
    <m/>
    <m/>
    <m/>
    <m/>
  </r>
  <r>
    <x v="1069"/>
    <x v="1069"/>
    <s v="Verkeersveiligheid"/>
    <x v="4"/>
    <n v="1226"/>
    <s v="IN/001155"/>
    <s v="PPS R4WO  Ingreep schoolroute in Zelzate op kruispunt R4 - Leegstraat"/>
    <s v="&lt;null&gt;"/>
    <s v="Structurele Ingreep"/>
    <s v="&lt;null&gt;"/>
    <b v="0"/>
    <s v="Ingreep wordt niet opgevolgd in BOD"/>
    <s v="&lt;null&gt;"/>
    <s v="&lt;null&gt;"/>
    <s v="&lt;null&gt;"/>
    <s v="&lt;null&gt;"/>
    <s v="&lt;null&gt;"/>
    <x v="0"/>
    <s v="&lt;null&gt;"/>
    <s v="&lt;null&gt;"/>
    <s v="&lt;null&gt;"/>
    <s v="&lt;null&gt;"/>
    <n v="100"/>
    <s v="&lt;null&gt;"/>
    <s v="&lt;null&gt;"/>
    <s v="&lt;null&gt;"/>
    <s v="&lt;null&gt;"/>
    <m/>
    <m/>
    <m/>
    <m/>
  </r>
  <r>
    <x v="1070"/>
    <x v="1070"/>
    <s v="Verkeersveiligheid"/>
    <x v="4"/>
    <n v="1227"/>
    <s v="IN/001156"/>
    <s v="Ingreep schoolroute in Dendermonde op Het fietspad op de Baasrodestraat stopt ter hoogte van de Rosstraat."/>
    <s v="&lt;null&gt;"/>
    <s v="Kleine Ingreep"/>
    <s v="WOV/INV/N17/4"/>
    <b v="0"/>
    <s v="Ingreep wordt niet opgevolgd in BOD"/>
    <s v="&lt;null&gt;"/>
    <s v="&lt;null&gt;"/>
    <s v="&lt;null&gt;"/>
    <s v="&lt;null&gt;"/>
    <s v="&lt;null&gt;"/>
    <x v="0"/>
    <s v="&lt;null&gt;"/>
    <s v="&lt;null&gt;"/>
    <s v="&lt;null&gt;"/>
    <s v="&lt;null&gt;"/>
    <n v="100"/>
    <s v="&lt;null&gt;"/>
    <s v="&lt;null&gt;"/>
    <s v="&lt;null&gt;"/>
    <s v="&lt;null&gt;"/>
    <m/>
    <m/>
    <m/>
    <m/>
  </r>
  <r>
    <x v="18"/>
    <x v="18"/>
    <s v="&lt;null&gt;"/>
    <x v="3"/>
    <n v="1228"/>
    <s v="IN/001157"/>
    <s v="Ingreep schoolroute in Dendermonde op Kruispunt Grootzand – Martelarenlaan – Zeelsebaan"/>
    <s v="&lt;null&gt;"/>
    <s v="Kleine Ingreep"/>
    <s v="&lt;null&gt;"/>
    <b v="0"/>
    <s v="Ingreep wordt niet opgevolgd in BOD"/>
    <s v="&lt;null&gt;"/>
    <s v="&lt;null&gt;"/>
    <s v="&lt;null&gt;"/>
    <s v="&lt;null&gt;"/>
    <s v="&lt;null&gt;"/>
    <x v="0"/>
    <s v="&lt;null&gt;"/>
    <s v="&lt;null&gt;"/>
    <s v="&lt;null&gt;"/>
    <s v="&lt;null&gt;"/>
    <s v="&lt;null&gt;"/>
    <s v="&lt;null&gt;"/>
    <s v="&lt;null&gt;"/>
    <s v="&lt;null&gt;"/>
    <s v="&lt;null&gt;"/>
    <m/>
    <m/>
    <m/>
    <m/>
  </r>
  <r>
    <x v="1071"/>
    <x v="1071"/>
    <s v="Verkeersveiligheid"/>
    <x v="4"/>
    <n v="1229"/>
    <s v="IN/001158"/>
    <s v="Ingreep schoolroute in Ronse op 1 SM Glorieuxlaan&amp;Bruul"/>
    <s v="&lt;null&gt;"/>
    <s v="Kleine Ingreep"/>
    <s v="WOV/INV/N48/2"/>
    <b v="0"/>
    <s v="Ingreep wordt niet opgevolgd in BOD"/>
    <s v="&lt;null&gt;"/>
    <s v="&lt;null&gt;"/>
    <s v="&lt;null&gt;"/>
    <s v="&lt;null&gt;"/>
    <s v="&lt;null&gt;"/>
    <x v="0"/>
    <s v="&lt;null&gt;"/>
    <s v="&lt;null&gt;"/>
    <s v="&lt;null&gt;"/>
    <s v="&lt;null&gt;"/>
    <n v="100"/>
    <s v="&lt;null&gt;"/>
    <s v="&lt;null&gt;"/>
    <s v="&lt;null&gt;"/>
    <s v="&lt;null&gt;"/>
    <m/>
    <m/>
    <m/>
    <m/>
  </r>
  <r>
    <x v="1072"/>
    <x v="1072"/>
    <s v="Verkeersveiligheid"/>
    <x v="4"/>
    <n v="1230"/>
    <s v="IN/001159"/>
    <s v="Ingreep schoolroute in Ronse op 2 Kruisstraat"/>
    <s v="&lt;null&gt;"/>
    <s v="Kleine Ingreep"/>
    <s v="WOV/INV/N60B/1"/>
    <b v="0"/>
    <s v="Ingreep wordt niet opgevolgd in BOD"/>
    <s v="&lt;null&gt;"/>
    <s v="&lt;null&gt;"/>
    <s v="&lt;null&gt;"/>
    <s v="&lt;null&gt;"/>
    <s v="&lt;null&gt;"/>
    <x v="0"/>
    <s v="&lt;null&gt;"/>
    <s v="&lt;null&gt;"/>
    <s v="&lt;null&gt;"/>
    <s v="&lt;null&gt;"/>
    <n v="100"/>
    <s v="&lt;null&gt;"/>
    <s v="&lt;null&gt;"/>
    <s v="&lt;null&gt;"/>
    <s v="&lt;null&gt;"/>
    <m/>
    <m/>
    <m/>
    <m/>
  </r>
  <r>
    <x v="1073"/>
    <x v="1073"/>
    <s v="Verkeersveiligheid"/>
    <x v="4"/>
    <n v="1231"/>
    <s v="IN/001160"/>
    <s v="SRK: N36 Ronse: plaatsen van punctuele verlichting"/>
    <s v="Plaatsen van punctuele verlichting op 3 Zonnestraat"/>
    <s v="Kleine Ingreep"/>
    <s v="WOV/INV/N36/1"/>
    <b v="0"/>
    <s v="Ingreep wordt niet opgevolgd in BOD"/>
    <s v="&lt;null&gt;"/>
    <s v="&lt;null&gt;"/>
    <s v="&lt;null&gt;"/>
    <s v="&lt;null&gt;"/>
    <s v="&lt;null&gt;"/>
    <x v="0"/>
    <s v="&lt;null&gt;"/>
    <s v="&lt;null&gt;"/>
    <s v="&lt;null&gt;"/>
    <s v="&lt;null&gt;"/>
    <n v="100"/>
    <s v="&lt;null&gt;"/>
    <s v="&lt;null&gt;"/>
    <s v="&lt;null&gt;"/>
    <s v="&lt;null&gt;"/>
    <m/>
    <m/>
    <m/>
    <m/>
  </r>
  <r>
    <x v="1074"/>
    <x v="1074"/>
    <s v="Verkeersveiligheid"/>
    <x v="4"/>
    <n v="1232"/>
    <s v="IN/001161"/>
    <s v="SRK: N57 Ronse: plaatsen van punctuele verlichting"/>
    <s v="Plaatsen van punctuele verlichting op Elzeelsesteenweg"/>
    <s v="Kleine Ingreep"/>
    <s v="WOV/INV/N57/2"/>
    <b v="0"/>
    <s v="Ingreep wordt niet opgevolgd in BOD"/>
    <s v="&lt;null&gt;"/>
    <s v="&lt;null&gt;"/>
    <s v="&lt;null&gt;"/>
    <s v="&lt;null&gt;"/>
    <s v="&lt;null&gt;"/>
    <x v="0"/>
    <s v="&lt;null&gt;"/>
    <s v="&lt;null&gt;"/>
    <s v="&lt;null&gt;"/>
    <s v="&lt;null&gt;"/>
    <n v="100"/>
    <s v="&lt;null&gt;"/>
    <s v="&lt;null&gt;"/>
    <s v="&lt;null&gt;"/>
    <s v="&lt;null&gt;"/>
    <m/>
    <m/>
    <m/>
    <m/>
  </r>
  <r>
    <x v="1075"/>
    <x v="1075"/>
    <s v="Verkeersveiligheid"/>
    <x v="4"/>
    <n v="1233"/>
    <s v="IN/001162"/>
    <s v="SRK: N48 Ronse: plaatsen punctuele verlichting"/>
    <s v="Plaatsen van punctuele verlichting in Ninovestraat"/>
    <s v="Kleine Ingreep"/>
    <s v="WOV/INV/N48/3"/>
    <b v="0"/>
    <s v="Ingreep wordt niet opgevolgd in BOD"/>
    <s v="&lt;null&gt;"/>
    <s v="&lt;null&gt;"/>
    <s v="&lt;null&gt;"/>
    <s v="&lt;null&gt;"/>
    <s v="&lt;null&gt;"/>
    <x v="0"/>
    <s v="&lt;null&gt;"/>
    <s v="&lt;null&gt;"/>
    <s v="&lt;null&gt;"/>
    <s v="&lt;null&gt;"/>
    <n v="100"/>
    <s v="&lt;null&gt;"/>
    <s v="&lt;null&gt;"/>
    <s v="&lt;null&gt;"/>
    <s v="&lt;null&gt;"/>
    <m/>
    <m/>
    <m/>
    <m/>
  </r>
  <r>
    <x v="1076"/>
    <x v="1076"/>
    <s v="Verkeersveiligheid"/>
    <x v="4"/>
    <n v="1234"/>
    <s v="IN/001163"/>
    <s v="Horizontale signalisatie in Assenede op Schoolstraat 1"/>
    <s v="&lt;null&gt;"/>
    <s v="Kleine Ingreep"/>
    <s v="WOV/INV/N436/2"/>
    <b v="0"/>
    <s v="Ingreep wordt niet opgevolgd in BOD"/>
    <s v="&lt;null&gt;"/>
    <s v="&lt;null&gt;"/>
    <s v="&lt;null&gt;"/>
    <s v="&lt;null&gt;"/>
    <s v="&lt;null&gt;"/>
    <x v="0"/>
    <s v="&lt;null&gt;"/>
    <s v="&lt;null&gt;"/>
    <s v="&lt;null&gt;"/>
    <s v="&lt;null&gt;"/>
    <n v="100"/>
    <s v="&lt;null&gt;"/>
    <s v="&lt;null&gt;"/>
    <s v="&lt;null&gt;"/>
    <s v="&lt;null&gt;"/>
    <m/>
    <m/>
    <m/>
    <m/>
  </r>
  <r>
    <x v="1077"/>
    <x v="1077"/>
    <s v="Verkeersveiligheid"/>
    <x v="4"/>
    <n v="1235"/>
    <s v="IN/001164"/>
    <s v="Horizontale signalisatie in Assenede op Leegstraat 17B"/>
    <s v="&lt;null&gt;"/>
    <s v="Kleine Ingreep"/>
    <s v="WOV/INV/N436/3"/>
    <b v="0"/>
    <s v="Ingreep wordt niet opgevolgd in BOD"/>
    <s v="&lt;null&gt;"/>
    <s v="&lt;null&gt;"/>
    <s v="&lt;null&gt;"/>
    <s v="&lt;null&gt;"/>
    <s v="&lt;null&gt;"/>
    <x v="0"/>
    <s v="&lt;null&gt;"/>
    <s v="&lt;null&gt;"/>
    <s v="&lt;null&gt;"/>
    <s v="&lt;null&gt;"/>
    <n v="100"/>
    <s v="&lt;null&gt;"/>
    <s v="&lt;null&gt;"/>
    <s v="&lt;null&gt;"/>
    <s v="&lt;null&gt;"/>
    <m/>
    <m/>
    <m/>
    <m/>
  </r>
  <r>
    <x v="1078"/>
    <x v="1078"/>
    <s v="Verkeersveiligheid"/>
    <x v="4"/>
    <n v="1236"/>
    <s v="IN/001165"/>
    <s v="Horizontale signalisatie in Assenede op Weststraat 7"/>
    <s v="&lt;null&gt;"/>
    <s v="Kleine Ingreep"/>
    <s v="WOV/INV/N458/6"/>
    <b v="0"/>
    <s v="Ingreep wordt niet opgevolgd in BOD"/>
    <s v="&lt;null&gt;"/>
    <s v="&lt;null&gt;"/>
    <s v="&lt;null&gt;"/>
    <s v="&lt;null&gt;"/>
    <s v="&lt;null&gt;"/>
    <x v="0"/>
    <s v="&lt;null&gt;"/>
    <s v="&lt;null&gt;"/>
    <s v="&lt;null&gt;"/>
    <s v="&lt;null&gt;"/>
    <n v="100"/>
    <s v="&lt;null&gt;"/>
    <s v="&lt;null&gt;"/>
    <s v="&lt;null&gt;"/>
    <s v="&lt;null&gt;"/>
    <m/>
    <m/>
    <m/>
    <m/>
  </r>
  <r>
    <x v="1079"/>
    <x v="1079"/>
    <s v="Verkeersveiligheid"/>
    <x v="4"/>
    <n v="1237"/>
    <s v="IN/001166"/>
    <s v="Horizontale signalisatie in Assenede op Oosteeklo-Dorp 58A"/>
    <s v="&lt;null&gt;"/>
    <s v="Kleine Ingreep"/>
    <s v="WOV/INV/N448/4"/>
    <b v="0"/>
    <s v="Ingreep wordt niet opgevolgd in BOD"/>
    <s v="&lt;null&gt;"/>
    <s v="&lt;null&gt;"/>
    <s v="&lt;null&gt;"/>
    <s v="&lt;null&gt;"/>
    <s v="&lt;null&gt;"/>
    <x v="0"/>
    <s v="&lt;null&gt;"/>
    <s v="&lt;null&gt;"/>
    <s v="&lt;null&gt;"/>
    <s v="&lt;null&gt;"/>
    <n v="100"/>
    <s v="&lt;null&gt;"/>
    <s v="&lt;null&gt;"/>
    <s v="&lt;null&gt;"/>
    <s v="&lt;null&gt;"/>
    <m/>
    <m/>
    <m/>
    <m/>
  </r>
  <r>
    <x v="1080"/>
    <x v="1080"/>
    <s v="Verkeersveiligheid"/>
    <x v="4"/>
    <n v="1238"/>
    <s v="IN/001167"/>
    <s v="Horizontale signalisatie in Assenede op Ertveldesteenweg 22"/>
    <s v="&lt;null&gt;"/>
    <s v="Kleine Ingreep"/>
    <s v="WOV/INV/N448/5"/>
    <b v="0"/>
    <s v="Ingreep wordt niet opgevolgd in BOD"/>
    <s v="&lt;null&gt;"/>
    <s v="&lt;null&gt;"/>
    <s v="&lt;null&gt;"/>
    <s v="&lt;null&gt;"/>
    <s v="&lt;null&gt;"/>
    <x v="0"/>
    <s v="&lt;null&gt;"/>
    <s v="&lt;null&gt;"/>
    <s v="&lt;null&gt;"/>
    <s v="&lt;null&gt;"/>
    <n v="100"/>
    <s v="&lt;null&gt;"/>
    <s v="&lt;null&gt;"/>
    <s v="&lt;null&gt;"/>
    <s v="&lt;null&gt;"/>
    <m/>
    <m/>
    <m/>
    <m/>
  </r>
  <r>
    <x v="1081"/>
    <x v="1081"/>
    <s v="Verkeersveiligheid"/>
    <x v="4"/>
    <n v="1239"/>
    <s v="IN/001168"/>
    <s v="Ingreep schoolroute in Assenede op Kruispunt Diederikstraat (N436) - Kriekerijstraat en Elsburgstraat"/>
    <s v="&lt;null&gt;"/>
    <s v="Kleine Ingreep"/>
    <s v="&lt;null&gt;"/>
    <b v="0"/>
    <s v="Ingreep wordt niet opgevolgd in BOD"/>
    <s v="&lt;null&gt;"/>
    <s v="&lt;null&gt;"/>
    <s v="&lt;null&gt;"/>
    <s v="&lt;null&gt;"/>
    <s v="&lt;null&gt;"/>
    <x v="0"/>
    <s v="&lt;null&gt;"/>
    <s v="&lt;null&gt;"/>
    <s v="&lt;null&gt;"/>
    <s v="&lt;null&gt;"/>
    <n v="100"/>
    <s v="&lt;null&gt;"/>
    <s v="&lt;null&gt;"/>
    <s v="&lt;null&gt;"/>
    <s v="&lt;null&gt;"/>
    <m/>
    <m/>
    <m/>
    <m/>
  </r>
  <r>
    <x v="1082"/>
    <x v="1082"/>
    <s v="Verkeersveiligheid"/>
    <x v="4"/>
    <n v="1240"/>
    <s v="IN/001169"/>
    <s v="Ingreep schoolroute in Wachtebeke op fietspad doorheen Kloosterbos naar Zelzate"/>
    <s v="&lt;null&gt;"/>
    <s v="Structurele Ingreep"/>
    <s v="WOV/INV/N449/2"/>
    <b v="0"/>
    <s v="Ingreep wordt niet opgevolgd in BOD"/>
    <s v="&lt;null&gt;"/>
    <s v="&lt;null&gt;"/>
    <s v="&lt;null&gt;"/>
    <s v="&lt;null&gt;"/>
    <s v="&lt;null&gt;"/>
    <x v="0"/>
    <s v="&lt;null&gt;"/>
    <s v="&lt;null&gt;"/>
    <s v="&lt;null&gt;"/>
    <s v="&lt;null&gt;"/>
    <n v="100"/>
    <s v="&lt;null&gt;"/>
    <s v="&lt;null&gt;"/>
    <s v="&lt;null&gt;"/>
    <s v="&lt;null&gt;"/>
    <m/>
    <m/>
    <m/>
    <m/>
  </r>
  <r>
    <x v="1083"/>
    <x v="1083"/>
    <s v="Verkeersveiligheid"/>
    <x v="4"/>
    <n v="1241"/>
    <s v="IN/001170"/>
    <s v="Ingreep schoolroute in Wachtebeke op diverse oversteekplaatsen (Melkerijstraat)"/>
    <s v="&lt;null&gt;"/>
    <s v="Kleine Ingreep"/>
    <s v="WOV/INV/N449/4"/>
    <b v="0"/>
    <s v="Ingreep wordt niet opgevolgd in BOD"/>
    <s v="&lt;null&gt;"/>
    <s v="&lt;null&gt;"/>
    <s v="&lt;null&gt;"/>
    <s v="&lt;null&gt;"/>
    <s v="&lt;null&gt;"/>
    <x v="0"/>
    <s v="&lt;null&gt;"/>
    <s v="&lt;null&gt;"/>
    <s v="&lt;null&gt;"/>
    <s v="&lt;null&gt;"/>
    <n v="100"/>
    <s v="&lt;null&gt;"/>
    <s v="&lt;null&gt;"/>
    <s v="&lt;null&gt;"/>
    <s v="&lt;null&gt;"/>
    <m/>
    <m/>
    <m/>
    <m/>
  </r>
  <r>
    <x v="1084"/>
    <x v="1084"/>
    <s v="Verkeersveiligheid"/>
    <x v="4"/>
    <n v="1242"/>
    <s v="IN/001171"/>
    <s v="Ingreep schoolroute in Wachtebeke op diverse oversteekplaatsen (Groenstraat)"/>
    <s v="&lt;null&gt;"/>
    <s v="Kleine Ingreep"/>
    <s v="WOV/INV/N449/5"/>
    <b v="0"/>
    <s v="Ingreep wordt niet opgevolgd in BOD"/>
    <s v="&lt;null&gt;"/>
    <s v="&lt;null&gt;"/>
    <s v="&lt;null&gt;"/>
    <s v="&lt;null&gt;"/>
    <s v="&lt;null&gt;"/>
    <x v="0"/>
    <s v="&lt;null&gt;"/>
    <s v="&lt;null&gt;"/>
    <s v="&lt;null&gt;"/>
    <s v="&lt;null&gt;"/>
    <n v="100"/>
    <s v="&lt;null&gt;"/>
    <s v="&lt;null&gt;"/>
    <s v="&lt;null&gt;"/>
    <s v="&lt;null&gt;"/>
    <m/>
    <m/>
    <m/>
    <m/>
  </r>
  <r>
    <x v="1085"/>
    <x v="1085"/>
    <s v="Verkeersveiligheid"/>
    <x v="4"/>
    <n v="1243"/>
    <s v="IN/001172"/>
    <s v="Ingreep schoolroute in Wachtebeke op Rechtstro: overgang fietspaden naar fietssuggestiestroken"/>
    <s v="&lt;null&gt;"/>
    <s v="Kleine Ingreep"/>
    <s v="WOV/INV/N449/6"/>
    <b v="0"/>
    <s v="Ingreep wordt niet opgevolgd in BOD"/>
    <s v="&lt;null&gt;"/>
    <s v="&lt;null&gt;"/>
    <s v="&lt;null&gt;"/>
    <s v="&lt;null&gt;"/>
    <s v="&lt;null&gt;"/>
    <x v="0"/>
    <s v="&lt;null&gt;"/>
    <s v="&lt;null&gt;"/>
    <s v="&lt;null&gt;"/>
    <s v="&lt;null&gt;"/>
    <n v="100"/>
    <s v="&lt;null&gt;"/>
    <s v="&lt;null&gt;"/>
    <s v="&lt;null&gt;"/>
    <s v="&lt;null&gt;"/>
    <m/>
    <m/>
    <m/>
    <m/>
  </r>
  <r>
    <x v="1086"/>
    <x v="1086"/>
    <s v="Verkeersveiligheid"/>
    <x v="4"/>
    <n v="1244"/>
    <s v="IN/001173"/>
    <s v="Ingreep schoolroute in Wachtebeke op Dorpskern Wachtebeke"/>
    <s v="&lt;null&gt;"/>
    <s v="Structurele Ingreep"/>
    <s v="WOV/INV/N449/1"/>
    <b v="0"/>
    <s v="Ingreep wordt niet opgevolgd in BOD"/>
    <s v="&lt;null&gt;"/>
    <s v="&lt;null&gt;"/>
    <s v="&lt;null&gt;"/>
    <s v="&lt;null&gt;"/>
    <s v="&lt;null&gt;"/>
    <x v="0"/>
    <s v="&lt;null&gt;"/>
    <s v="&lt;null&gt;"/>
    <s v="&lt;null&gt;"/>
    <s v="&lt;null&gt;"/>
    <n v="100"/>
    <s v="&lt;null&gt;"/>
    <s v="&lt;null&gt;"/>
    <s v="&lt;null&gt;"/>
    <s v="&lt;null&gt;"/>
    <m/>
    <m/>
    <m/>
    <m/>
  </r>
  <r>
    <x v="1087"/>
    <x v="1087"/>
    <s v="Verkeersveiligheid"/>
    <x v="4"/>
    <n v="1245"/>
    <s v="IN/001174"/>
    <s v="Horizontale signalisatie in Wachtebeke op Overledebrug"/>
    <s v="&lt;null&gt;"/>
    <s v="Kleine Ingreep"/>
    <s v="WOV/INV/N449/7"/>
    <b v="0"/>
    <s v="Ingreep wordt niet opgevolgd in BOD"/>
    <s v="&lt;null&gt;"/>
    <s v="&lt;null&gt;"/>
    <s v="&lt;null&gt;"/>
    <s v="&lt;null&gt;"/>
    <s v="&lt;null&gt;"/>
    <x v="0"/>
    <s v="&lt;null&gt;"/>
    <s v="&lt;null&gt;"/>
    <s v="&lt;null&gt;"/>
    <s v="&lt;null&gt;"/>
    <n v="100"/>
    <s v="&lt;null&gt;"/>
    <s v="&lt;null&gt;"/>
    <s v="&lt;null&gt;"/>
    <s v="&lt;null&gt;"/>
    <m/>
    <m/>
    <m/>
    <m/>
  </r>
  <r>
    <x v="1088"/>
    <x v="1088"/>
    <s v="Verkeersveiligheid"/>
    <x v="4"/>
    <n v="1246"/>
    <s v="IN/001175"/>
    <s v="Ingreep schoolroute in Wachtebeke op Walderdonkbrug"/>
    <s v="&lt;null&gt;"/>
    <s v="Kleine Ingreep"/>
    <s v="&lt;null&gt;"/>
    <b v="0"/>
    <s v="Ingreep wordt niet opgevolgd in BOD"/>
    <s v="&lt;null&gt;"/>
    <s v="&lt;null&gt;"/>
    <s v="&lt;null&gt;"/>
    <s v="&lt;null&gt;"/>
    <s v="&lt;null&gt;"/>
    <x v="0"/>
    <s v="&lt;null&gt;"/>
    <s v="&lt;null&gt;"/>
    <s v="&lt;null&gt;"/>
    <s v="&lt;null&gt;"/>
    <n v="100"/>
    <s v="&lt;null&gt;"/>
    <s v="&lt;null&gt;"/>
    <s v="&lt;null&gt;"/>
    <s v="&lt;null&gt;"/>
    <m/>
    <m/>
    <m/>
    <m/>
  </r>
  <r>
    <x v="1089"/>
    <x v="1089"/>
    <s v="Verkeersveiligheid"/>
    <x v="4"/>
    <n v="1247"/>
    <s v="IN/001176"/>
    <s v="Ingreep schoolroute in Wortegem-Petegem op Anzegemseweg – Wortegemplein."/>
    <s v="&lt;null&gt;"/>
    <s v="Kleine Ingreep"/>
    <s v="&lt;null&gt;"/>
    <b v="0"/>
    <s v="Ingreep wordt niet opgevolgd in BOD"/>
    <s v="&lt;null&gt;"/>
    <s v="&lt;null&gt;"/>
    <s v="&lt;null&gt;"/>
    <s v="&lt;null&gt;"/>
    <s v="&lt;null&gt;"/>
    <x v="0"/>
    <s v="&lt;null&gt;"/>
    <s v="&lt;null&gt;"/>
    <s v="&lt;null&gt;"/>
    <s v="&lt;null&gt;"/>
    <n v="100"/>
    <s v="&lt;null&gt;"/>
    <s v="&lt;null&gt;"/>
    <s v="&lt;null&gt;"/>
    <s v="&lt;null&gt;"/>
    <m/>
    <m/>
    <m/>
    <m/>
  </r>
  <r>
    <x v="1090"/>
    <x v="1090"/>
    <s v="Verkeersveiligheid"/>
    <x v="4"/>
    <n v="1248"/>
    <s v="IN/001177"/>
    <s v="SRK: N494 Wortegem-Petegem: herinrichting van het wegvak tussen Vrouweneikstraat en Groenstraat"/>
    <s v="Aanpassen wegbeeld volgens PCV"/>
    <s v="Kleine Ingreep"/>
    <s v="WOV/INV/N494/3"/>
    <b v="1"/>
    <s v="Ingreep wordt opgevolgd in BOD"/>
    <n v="7063"/>
    <s v="O40/D412/67"/>
    <n v="99351"/>
    <n v="100044729"/>
    <s v="&lt;p&gt;Relance Schoolroutes&lt;/p&gt;"/>
    <x v="0"/>
    <n v="6889"/>
    <s v="&lt;null&gt;"/>
    <s v="&lt;p&gt;Relance Schoolroutes&lt;/p&gt;"/>
    <s v="WOV/INV/N494/3"/>
    <n v="50"/>
    <n v="91630.75"/>
    <n v="75043.816399999996"/>
    <n v="0"/>
    <n v="0"/>
    <n v="45815.375"/>
    <n v="37521.908199999998"/>
    <n v="0"/>
    <n v="0"/>
  </r>
  <r>
    <x v="1090"/>
    <x v="1090"/>
    <s v="Verkeersveiligheid"/>
    <x v="4"/>
    <n v="1248"/>
    <s v="IN/001177"/>
    <s v="SRK: N494 Wortegem-Petegem: herinrichting van het wegvak tussen Vrouweneikstraat en Groenstraat"/>
    <s v="Aanpassen wegbeeld volgens PCV"/>
    <s v="Kleine Ingreep"/>
    <s v="WOV/INV/N494/3"/>
    <b v="1"/>
    <s v="Ingreep wordt opgevolgd in BOD"/>
    <n v="9063"/>
    <s v="O40/D400/109-P1"/>
    <n v="99301"/>
    <n v="100062906"/>
    <s v="&lt;p&gt;Relance Schoolroutes&lt;/p&gt;"/>
    <x v="0"/>
    <n v="6887"/>
    <s v="&lt;null&gt;"/>
    <s v="&lt;p&gt;Relance Schoolroutes&lt;/p&gt;"/>
    <s v="WOV/INV/N494/3"/>
    <n v="50"/>
    <n v="39713.75"/>
    <n v="33451.225400000003"/>
    <n v="0"/>
    <n v="6262.5245999999997"/>
    <n v="19856.875"/>
    <n v="16725.612700000001"/>
    <n v="0"/>
    <n v="3131.2622999999999"/>
  </r>
  <r>
    <x v="1091"/>
    <x v="1091"/>
    <s v="Verkeersveiligheid"/>
    <x v="4"/>
    <n v="1248"/>
    <s v="IN/001177"/>
    <s v="SRK: N494 Wortegem-Petegem: herinrichting van het wegvak tussen Vrouweneikstraat en Groenstraat"/>
    <s v="Aanpassen wegbeeld volgens PCV"/>
    <s v="Kleine Ingreep"/>
    <s v="WOV/INV/N494/3"/>
    <b v="1"/>
    <s v="Ingreep wordt opgevolgd in BOD"/>
    <n v="7063"/>
    <s v="O40/D412/67"/>
    <n v="99351"/>
    <n v="100044729"/>
    <s v="&lt;p&gt;Relance Schoolroutes&lt;/p&gt;"/>
    <x v="0"/>
    <n v="6889"/>
    <s v="&lt;null&gt;"/>
    <s v="&lt;p&gt;Relance Schoolroutes&lt;/p&gt;"/>
    <s v="WOV/INV/N494/3"/>
    <n v="50"/>
    <n v="91630.75"/>
    <n v="75043.816399999996"/>
    <n v="0"/>
    <n v="0"/>
    <n v="45815.375"/>
    <n v="37521.908199999998"/>
    <n v="0"/>
    <n v="0"/>
  </r>
  <r>
    <x v="1091"/>
    <x v="1091"/>
    <s v="Verkeersveiligheid"/>
    <x v="4"/>
    <n v="1248"/>
    <s v="IN/001177"/>
    <s v="SRK: N494 Wortegem-Petegem: herinrichting van het wegvak tussen Vrouweneikstraat en Groenstraat"/>
    <s v="Aanpassen wegbeeld volgens PCV"/>
    <s v="Kleine Ingreep"/>
    <s v="WOV/INV/N494/3"/>
    <b v="1"/>
    <s v="Ingreep wordt opgevolgd in BOD"/>
    <n v="9063"/>
    <s v="O40/D400/109-P1"/>
    <n v="99301"/>
    <n v="100062906"/>
    <s v="&lt;p&gt;Relance Schoolroutes&lt;/p&gt;"/>
    <x v="0"/>
    <n v="6887"/>
    <s v="&lt;null&gt;"/>
    <s v="&lt;p&gt;Relance Schoolroutes&lt;/p&gt;"/>
    <s v="WOV/INV/N494/3"/>
    <n v="50"/>
    <n v="39713.75"/>
    <n v="33451.225400000003"/>
    <n v="0"/>
    <n v="6262.5245999999997"/>
    <n v="19856.875"/>
    <n v="16725.612700000001"/>
    <n v="0"/>
    <n v="3131.2622999999999"/>
  </r>
  <r>
    <x v="1092"/>
    <x v="1092"/>
    <s v="Verkeersveiligheid"/>
    <x v="4"/>
    <n v="1249"/>
    <s v="IN/001178"/>
    <s v="Ingreep schoolroute in Haaltert op Kruispunt Krakeelstraat/Stationsstraat"/>
    <s v="&lt;null&gt;"/>
    <s v="Kleine Ingreep"/>
    <s v="WOV/INV/N460/6"/>
    <b v="0"/>
    <s v="Ingreep wordt niet opgevolgd in BOD"/>
    <s v="&lt;null&gt;"/>
    <s v="&lt;null&gt;"/>
    <s v="&lt;null&gt;"/>
    <s v="&lt;null&gt;"/>
    <s v="&lt;null&gt;"/>
    <x v="0"/>
    <s v="&lt;null&gt;"/>
    <s v="&lt;null&gt;"/>
    <s v="&lt;null&gt;"/>
    <s v="&lt;null&gt;"/>
    <n v="100"/>
    <s v="&lt;null&gt;"/>
    <s v="&lt;null&gt;"/>
    <s v="&lt;null&gt;"/>
    <s v="&lt;null&gt;"/>
    <m/>
    <m/>
    <m/>
    <m/>
  </r>
  <r>
    <x v="1093"/>
    <x v="1093"/>
    <s v="Verkeersveiligheid"/>
    <x v="4"/>
    <n v="1250"/>
    <s v="IN/001179"/>
    <s v="Ingreep schoolroute in Sint-Laureins op Moerstraat, Sint-Jan-In-Eremo"/>
    <s v="&lt;null&gt;"/>
    <s v="Kleine Ingreep"/>
    <s v="WOV/INV/N434/2"/>
    <b v="0"/>
    <s v="Ingreep wordt niet opgevolgd in BOD"/>
    <s v="&lt;null&gt;"/>
    <s v="&lt;null&gt;"/>
    <s v="&lt;null&gt;"/>
    <s v="&lt;null&gt;"/>
    <s v="&lt;null&gt;"/>
    <x v="0"/>
    <s v="&lt;null&gt;"/>
    <s v="&lt;null&gt;"/>
    <s v="&lt;null&gt;"/>
    <s v="&lt;null&gt;"/>
    <n v="100"/>
    <s v="&lt;null&gt;"/>
    <s v="&lt;null&gt;"/>
    <s v="&lt;null&gt;"/>
    <s v="&lt;null&gt;"/>
    <m/>
    <m/>
    <m/>
    <m/>
  </r>
  <r>
    <x v="1094"/>
    <x v="1094"/>
    <s v="Verkeersveiligheid"/>
    <x v="4"/>
    <n v="1251"/>
    <s v="IN/001180"/>
    <s v="SRK: N445 Sint-Laureins: markeringen - attentieverhogende maatregelen"/>
    <s v="&lt;null&gt;"/>
    <s v="Kleine Ingreep"/>
    <s v="WOV/INV/N455/3"/>
    <b v="0"/>
    <s v="Ingreep wordt niet opgevolgd in BOD"/>
    <s v="&lt;null&gt;"/>
    <s v="&lt;null&gt;"/>
    <s v="&lt;null&gt;"/>
    <s v="&lt;null&gt;"/>
    <s v="&lt;null&gt;"/>
    <x v="0"/>
    <s v="&lt;null&gt;"/>
    <s v="&lt;null&gt;"/>
    <s v="&lt;null&gt;"/>
    <s v="&lt;null&gt;"/>
    <n v="100"/>
    <s v="&lt;null&gt;"/>
    <s v="&lt;null&gt;"/>
    <s v="&lt;null&gt;"/>
    <s v="&lt;null&gt;"/>
    <m/>
    <m/>
    <m/>
    <m/>
  </r>
  <r>
    <x v="1095"/>
    <x v="1095"/>
    <s v="Verkeersveiligheid"/>
    <x v="4"/>
    <n v="1252"/>
    <s v="IN/001181"/>
    <s v="SRK: N455 Eeklo: gevleugeld zebrapad op Sint-Laureinsesteenweg - Balgerhoeke / omgeving kerk en kruispunt Pastoor Bontestraat"/>
    <s v="&lt;null&gt;"/>
    <s v="Kleine Ingreep"/>
    <s v="WOV/INV/N455/2"/>
    <b v="0"/>
    <s v="Ingreep wordt niet opgevolgd in BOD"/>
    <s v="&lt;null&gt;"/>
    <s v="&lt;null&gt;"/>
    <s v="&lt;null&gt;"/>
    <s v="&lt;null&gt;"/>
    <s v="&lt;null&gt;"/>
    <x v="0"/>
    <s v="&lt;null&gt;"/>
    <s v="&lt;null&gt;"/>
    <s v="&lt;null&gt;"/>
    <s v="&lt;null&gt;"/>
    <n v="100"/>
    <s v="&lt;null&gt;"/>
    <s v="&lt;null&gt;"/>
    <s v="&lt;null&gt;"/>
    <s v="&lt;null&gt;"/>
    <m/>
    <m/>
    <m/>
    <m/>
  </r>
  <r>
    <x v="1096"/>
    <x v="1096"/>
    <s v="Verkeersveiligheid"/>
    <x v="4"/>
    <n v="1253"/>
    <s v="IN/001182"/>
    <s v="GEEN E1 KLEINE INGREEP Ingreep schoolroute in Eeklo op N9, Koningin Astridplein stationsomgeving"/>
    <s v="&lt;null&gt;"/>
    <s v="Structurele Ingreep"/>
    <s v="&lt;null&gt;"/>
    <b v="0"/>
    <s v="Ingreep wordt niet opgevolgd in BOD"/>
    <s v="&lt;null&gt;"/>
    <s v="&lt;null&gt;"/>
    <s v="&lt;null&gt;"/>
    <s v="&lt;null&gt;"/>
    <s v="&lt;null&gt;"/>
    <x v="0"/>
    <s v="&lt;null&gt;"/>
    <s v="&lt;null&gt;"/>
    <s v="&lt;null&gt;"/>
    <s v="&lt;null&gt;"/>
    <n v="100"/>
    <s v="&lt;null&gt;"/>
    <s v="&lt;null&gt;"/>
    <s v="&lt;null&gt;"/>
    <s v="&lt;null&gt;"/>
    <m/>
    <m/>
    <m/>
    <m/>
  </r>
  <r>
    <x v="1097"/>
    <x v="1097"/>
    <s v="Verkeersveiligheid"/>
    <x v="4"/>
    <n v="1254"/>
    <s v="IN/001183"/>
    <s v="SRK: N447 Melle: fietspaden verbeteren op kruispunt Heusdenbaan met Oude Brusselse Weg"/>
    <s v="&lt;null&gt;"/>
    <s v="Kleine Ingreep"/>
    <s v="WOV/INV/N447/3"/>
    <b v="1"/>
    <s v="Ingreep wordt opgevolgd in BOD"/>
    <n v="11864"/>
    <s v="AWV/INV/2021/3_P4"/>
    <n v="110851"/>
    <n v="21065760"/>
    <s v="&lt;p&gt;Schoolrouteknelpunten (2021 (op 230))&lt;/p&gt;"/>
    <x v="23"/>
    <n v="7567"/>
    <s v="N447 Oude Brusselse Weg (incl) tot N9 (excl)"/>
    <s v="&lt;p&gt;Schoolroute N447 Oude Brusselse Weg (incl) tot N9 (excl)&lt;/p&gt;"/>
    <s v="WOV/INV/N447/3"/>
    <n v="100"/>
    <n v="110000"/>
    <n v="0"/>
    <n v="0"/>
    <n v="84130.38"/>
    <n v="110000"/>
    <n v="0"/>
    <n v="0"/>
    <n v="84130.38"/>
  </r>
  <r>
    <x v="1098"/>
    <x v="1098"/>
    <s v="Verkeersveiligheid"/>
    <x v="4"/>
    <n v="1255"/>
    <s v="IN/001184"/>
    <s v="Ingreep schoolroute in Melle op Kruispunt Zwaanhoeklos Brusselsesteenweg"/>
    <s v="&lt;null&gt;"/>
    <s v="Kleine Ingreep"/>
    <s v="&lt;null&gt;"/>
    <b v="0"/>
    <s v="Ingreep wordt niet opgevolgd in BOD"/>
    <s v="&lt;null&gt;"/>
    <s v="&lt;null&gt;"/>
    <s v="&lt;null&gt;"/>
    <s v="&lt;null&gt;"/>
    <s v="&lt;null&gt;"/>
    <x v="0"/>
    <s v="&lt;null&gt;"/>
    <s v="&lt;null&gt;"/>
    <s v="&lt;null&gt;"/>
    <s v="&lt;null&gt;"/>
    <n v="100"/>
    <s v="&lt;null&gt;"/>
    <s v="&lt;null&gt;"/>
    <s v="&lt;null&gt;"/>
    <s v="&lt;null&gt;"/>
    <m/>
    <m/>
    <m/>
    <m/>
  </r>
  <r>
    <x v="1099"/>
    <x v="1099"/>
    <s v="Verkeersveiligheid"/>
    <x v="4"/>
    <n v="1256"/>
    <s v="IN/001185"/>
    <s v="Ingreep schoolroute in Melle op Brusselsesteenweg ter hoogte van Ringlaan, middeneilanden"/>
    <s v="&lt;null&gt;"/>
    <s v="Kleine Ingreep"/>
    <s v="WOV/INV/N9/18"/>
    <b v="1"/>
    <s v="Ingreep wordt opgevolgd in BOD"/>
    <n v="11864"/>
    <s v="AWV/INV/2021/3_P4"/>
    <n v="110851"/>
    <n v="21065760"/>
    <s v="&lt;p&gt;Schoolrouteknelpunten (2021 (op 230))&lt;/p&gt;"/>
    <x v="23"/>
    <n v="8815"/>
    <s v="KP1538 - IN1185 : Melle op Brusselsesteenweg ter hoogte van Ringlaan, middeneilanden"/>
    <s v="&lt;p&gt;KP1538 - IN1185 : Melle op Brusselsesteenweg ter hoogte van Ringlaan, middeneilanden&lt;/p&gt;"/>
    <s v="WOV/INV/N9/18"/>
    <n v="100"/>
    <n v="3700"/>
    <n v="3700"/>
    <n v="0"/>
    <n v="0"/>
    <n v="3700"/>
    <n v="3700"/>
    <n v="0"/>
    <n v="0"/>
  </r>
  <r>
    <x v="1100"/>
    <x v="1100"/>
    <s v="Verkeersveiligheid"/>
    <x v="4"/>
    <n v="1257"/>
    <s v="IN/001186"/>
    <s v="Ingreep schoolroute in Melle op Brusselsesteenweg ter hoogte van station Kwatrecht (grondgebied Wetteren)"/>
    <s v="&lt;null&gt;"/>
    <s v="Kleine Ingreep"/>
    <s v="WOV/INV/N9/19"/>
    <b v="0"/>
    <s v="Ingreep wordt niet opgevolgd in BOD"/>
    <s v="&lt;null&gt;"/>
    <s v="&lt;null&gt;"/>
    <s v="&lt;null&gt;"/>
    <s v="&lt;null&gt;"/>
    <s v="&lt;null&gt;"/>
    <x v="0"/>
    <s v="&lt;null&gt;"/>
    <s v="&lt;null&gt;"/>
    <s v="&lt;null&gt;"/>
    <s v="&lt;null&gt;"/>
    <n v="100"/>
    <s v="&lt;null&gt;"/>
    <s v="&lt;null&gt;"/>
    <s v="&lt;null&gt;"/>
    <s v="&lt;null&gt;"/>
    <m/>
    <m/>
    <m/>
    <m/>
  </r>
  <r>
    <x v="1101"/>
    <x v="1101"/>
    <s v="Verkeersveiligheid"/>
    <x v="4"/>
    <n v="1258"/>
    <s v="IN/001187"/>
    <s v="Ingreep schoolroute in Melle op Geraardsbergsesteenweg kruispunt met Ovenveldstraat"/>
    <s v="&lt;null&gt;"/>
    <s v="Kleine Ingreep"/>
    <s v="WOV/INV/N465/2"/>
    <b v="0"/>
    <s v="Ingreep wordt niet opgevolgd in BOD"/>
    <s v="&lt;null&gt;"/>
    <s v="&lt;null&gt;"/>
    <s v="&lt;null&gt;"/>
    <s v="&lt;null&gt;"/>
    <s v="&lt;null&gt;"/>
    <x v="0"/>
    <s v="&lt;null&gt;"/>
    <s v="&lt;null&gt;"/>
    <s v="&lt;null&gt;"/>
    <s v="&lt;null&gt;"/>
    <n v="100"/>
    <s v="&lt;null&gt;"/>
    <s v="&lt;null&gt;"/>
    <s v="&lt;null&gt;"/>
    <s v="&lt;null&gt;"/>
    <m/>
    <m/>
    <m/>
    <m/>
  </r>
  <r>
    <x v="1102"/>
    <x v="1102"/>
    <s v="Verkeersveiligheid"/>
    <x v="4"/>
    <n v="1259"/>
    <s v="IN/001188"/>
    <s v="Ingreep schoolroute in Lochristi op N70 Dorp-West - Schoolstraat"/>
    <s v="&lt;null&gt;"/>
    <s v="Kleine Ingreep"/>
    <s v="&lt;null&gt;"/>
    <b v="0"/>
    <s v="Ingreep wordt niet opgevolgd in BOD"/>
    <s v="&lt;null&gt;"/>
    <s v="&lt;null&gt;"/>
    <s v="&lt;null&gt;"/>
    <s v="&lt;null&gt;"/>
    <s v="&lt;null&gt;"/>
    <x v="0"/>
    <s v="&lt;null&gt;"/>
    <s v="&lt;null&gt;"/>
    <s v="&lt;null&gt;"/>
    <s v="&lt;null&gt;"/>
    <n v="100"/>
    <s v="&lt;null&gt;"/>
    <s v="&lt;null&gt;"/>
    <s v="&lt;null&gt;"/>
    <s v="&lt;null&gt;"/>
    <m/>
    <m/>
    <m/>
    <m/>
  </r>
  <r>
    <x v="1103"/>
    <x v="1103"/>
    <s v="Verkeersveiligheid"/>
    <x v="4"/>
    <n v="1260"/>
    <s v="IN/001189"/>
    <s v="SRK: N419 Kruibeke: plaatsen punctuele verlichting en kleine aanpassing aan oversteek"/>
    <s v="Plaatsen punctuele verlichting en kleine aanpassing aan oversteek volgens rapport;\nOp Oversteek plaats Bazelstraat Camille-Huysmanstraat"/>
    <s v="Kleine Ingreep"/>
    <s v="WOV/INV/N419/2"/>
    <b v="0"/>
    <s v="Ingreep wordt niet opgevolgd in BOD"/>
    <s v="&lt;null&gt;"/>
    <s v="&lt;null&gt;"/>
    <s v="&lt;null&gt;"/>
    <s v="&lt;null&gt;"/>
    <s v="&lt;null&gt;"/>
    <x v="0"/>
    <s v="&lt;null&gt;"/>
    <s v="&lt;null&gt;"/>
    <s v="&lt;null&gt;"/>
    <s v="&lt;null&gt;"/>
    <n v="100"/>
    <s v="&lt;null&gt;"/>
    <s v="&lt;null&gt;"/>
    <s v="&lt;null&gt;"/>
    <s v="&lt;null&gt;"/>
    <m/>
    <m/>
    <m/>
    <m/>
  </r>
  <r>
    <x v="1104"/>
    <x v="1104"/>
    <s v="Verkeersveiligheid"/>
    <x v="4"/>
    <n v="1261"/>
    <s v="IN/001190"/>
    <s v="Ingreep schoolroute in Kruibeke op Kruispunt Kemphoekstraat-Kruibekestraat"/>
    <s v="&lt;null&gt;"/>
    <s v="Kleine Ingreep"/>
    <s v="WOV/INV/N419/4"/>
    <b v="0"/>
    <s v="Ingreep wordt niet opgevolgd in BOD"/>
    <s v="&lt;null&gt;"/>
    <s v="&lt;null&gt;"/>
    <s v="&lt;null&gt;"/>
    <s v="&lt;null&gt;"/>
    <s v="&lt;null&gt;"/>
    <x v="0"/>
    <s v="&lt;null&gt;"/>
    <s v="&lt;null&gt;"/>
    <s v="&lt;null&gt;"/>
    <s v="&lt;null&gt;"/>
    <n v="100"/>
    <s v="&lt;null&gt;"/>
    <s v="&lt;null&gt;"/>
    <s v="&lt;null&gt;"/>
    <s v="&lt;null&gt;"/>
    <m/>
    <m/>
    <m/>
    <m/>
  </r>
  <r>
    <x v="1105"/>
    <x v="1105"/>
    <s v="Verkeersveiligheid"/>
    <x v="4"/>
    <n v="1262"/>
    <s v="IN/001191"/>
    <s v="SRK: N70 Lochristi: verlichting (OV, VVOP/VFOP...) N70 x Bosdreef"/>
    <s v="&lt;null&gt;"/>
    <s v="Kleine Ingreep"/>
    <s v="WOV/INV/N70/9"/>
    <b v="0"/>
    <s v="Ingreep wordt niet opgevolgd in BOD"/>
    <s v="&lt;null&gt;"/>
    <s v="&lt;null&gt;"/>
    <s v="&lt;null&gt;"/>
    <s v="&lt;null&gt;"/>
    <s v="&lt;null&gt;"/>
    <x v="0"/>
    <s v="&lt;null&gt;"/>
    <s v="&lt;null&gt;"/>
    <s v="&lt;null&gt;"/>
    <s v="&lt;null&gt;"/>
    <n v="100"/>
    <s v="&lt;null&gt;"/>
    <s v="&lt;null&gt;"/>
    <s v="&lt;null&gt;"/>
    <s v="&lt;null&gt;"/>
    <m/>
    <m/>
    <m/>
    <m/>
  </r>
  <r>
    <x v="1106"/>
    <x v="1106"/>
    <s v="Verkeersveiligheid"/>
    <x v="4"/>
    <n v="1263"/>
    <s v="IN/001192"/>
    <s v="Gevleugeld zebrapad in Lievegem op Hendrik Consciencelaan (N9) - Toekomststraat"/>
    <s v="&lt;null&gt;"/>
    <s v="Kleine Ingreep"/>
    <s v="&lt;null&gt;"/>
    <b v="0"/>
    <s v="Ingreep wordt niet opgevolgd in BOD"/>
    <s v="&lt;null&gt;"/>
    <s v="&lt;null&gt;"/>
    <s v="&lt;null&gt;"/>
    <s v="&lt;null&gt;"/>
    <s v="&lt;null&gt;"/>
    <x v="0"/>
    <s v="&lt;null&gt;"/>
    <s v="&lt;null&gt;"/>
    <s v="&lt;null&gt;"/>
    <s v="&lt;null&gt;"/>
    <n v="100"/>
    <s v="&lt;null&gt;"/>
    <s v="&lt;null&gt;"/>
    <s v="&lt;null&gt;"/>
    <s v="&lt;null&gt;"/>
    <m/>
    <m/>
    <m/>
    <m/>
  </r>
  <r>
    <x v="1107"/>
    <x v="1107"/>
    <s v="Verkeersveiligheid"/>
    <x v="4"/>
    <n v="1264"/>
    <s v="IN/001193"/>
    <s v="Ingreep schoolroute in Lievegem op Oude Staatsbaan/Beke - N9 - Legevoorde"/>
    <s v="&lt;null&gt;"/>
    <s v="Kleine Ingreep"/>
    <s v="WOV/INV/N9/20"/>
    <b v="0"/>
    <s v="Ingreep wordt niet opgevolgd in BOD"/>
    <s v="&lt;null&gt;"/>
    <s v="&lt;null&gt;"/>
    <s v="&lt;null&gt;"/>
    <s v="&lt;null&gt;"/>
    <s v="&lt;null&gt;"/>
    <x v="0"/>
    <s v="&lt;null&gt;"/>
    <s v="&lt;null&gt;"/>
    <s v="&lt;null&gt;"/>
    <s v="&lt;null&gt;"/>
    <n v="100"/>
    <s v="&lt;null&gt;"/>
    <s v="&lt;null&gt;"/>
    <s v="&lt;null&gt;"/>
    <s v="&lt;null&gt;"/>
    <m/>
    <m/>
    <m/>
    <m/>
  </r>
  <r>
    <x v="1108"/>
    <x v="1108"/>
    <s v="Verkeersveiligheid"/>
    <x v="4"/>
    <n v="1265"/>
    <s v="IN/001194"/>
    <s v="SRK: N35 Deinze: verlichting (OV, VVOP/VFOP...) op kruispunt Gaversesteenweg/Ten Rodelaan"/>
    <s v="&lt;null&gt;"/>
    <s v="Kleine Ingreep"/>
    <s v="WOV/INV/N35/3"/>
    <b v="0"/>
    <s v="Ingreep wordt niet opgevolgd in BOD"/>
    <s v="&lt;null&gt;"/>
    <s v="&lt;null&gt;"/>
    <s v="&lt;null&gt;"/>
    <s v="&lt;null&gt;"/>
    <s v="&lt;null&gt;"/>
    <x v="0"/>
    <s v="&lt;null&gt;"/>
    <s v="&lt;null&gt;"/>
    <s v="&lt;null&gt;"/>
    <s v="&lt;null&gt;"/>
    <n v="100"/>
    <s v="&lt;null&gt;"/>
    <s v="&lt;null&gt;"/>
    <s v="&lt;null&gt;"/>
    <s v="&lt;null&gt;"/>
    <m/>
    <m/>
    <m/>
    <m/>
  </r>
  <r>
    <x v="1109"/>
    <x v="1109"/>
    <s v="Verkeersveiligheid"/>
    <x v="4"/>
    <n v="1266"/>
    <s v="IN/001195"/>
    <s v="SRK: N454 Maarkedal: fietssuggestiestroken aanbrengen"/>
    <s v="Fietssuggestiestroken aanbrengen;\nOp school met toegang langs de Hofveldstraat (gewestweg) alsook Kolpaarstraat (gemeenteweg)"/>
    <s v="Kleine Ingreep"/>
    <s v="WOV/INV/NX/3"/>
    <b v="1"/>
    <s v="Ingreep wordt opgevolgd in BOD"/>
    <n v="11864"/>
    <s v="AWV/INV/2021/3_P4"/>
    <n v="110851"/>
    <n v="21065760"/>
    <s v="&lt;p&gt;Schoolrouteknelpunten (2021 (op 230))&lt;/p&gt;"/>
    <x v="23"/>
    <n v="7703"/>
    <s v="Schorisse N454 Hofveldstraat Fietssuggestiestroken"/>
    <s v="&lt;p&gt;Schorisse N454 Hofveldstraat Fietssuggestiestroken&lt;/p&gt;"/>
    <s v="WOV/INV/NX/3"/>
    <n v="100"/>
    <n v="80000"/>
    <n v="80000"/>
    <n v="0"/>
    <n v="0"/>
    <n v="80000"/>
    <n v="80000"/>
    <n v="0"/>
    <n v="0"/>
  </r>
  <r>
    <x v="1110"/>
    <x v="1110"/>
    <s v="Verkeersveiligheid"/>
    <x v="4"/>
    <n v="1267"/>
    <s v="IN/001196"/>
    <s v="Ingreep schoolroute in Merelbeke op Kruispunt Molenhoek: Hundelgemsesteenweg - Poelstraat - Potaardeberg"/>
    <s v="&lt;null&gt;"/>
    <s v="Kleine Ingreep"/>
    <s v="WOV/INV/N444/3"/>
    <b v="0"/>
    <s v="Ingreep wordt niet opgevolgd in BOD"/>
    <s v="&lt;null&gt;"/>
    <s v="&lt;null&gt;"/>
    <s v="&lt;null&gt;"/>
    <s v="&lt;null&gt;"/>
    <s v="&lt;null&gt;"/>
    <x v="0"/>
    <s v="&lt;null&gt;"/>
    <s v="&lt;null&gt;"/>
    <s v="&lt;null&gt;"/>
    <s v="&lt;null&gt;"/>
    <n v="100"/>
    <s v="&lt;null&gt;"/>
    <s v="&lt;null&gt;"/>
    <s v="&lt;null&gt;"/>
    <s v="&lt;null&gt;"/>
    <m/>
    <m/>
    <m/>
    <m/>
  </r>
  <r>
    <x v="1111"/>
    <x v="1111"/>
    <s v="Verkeersveiligheid"/>
    <x v="4"/>
    <n v="1268"/>
    <s v="IN/001197"/>
    <s v="Ingreep schoolroute in Aalst op N411 - Moorsel Dorp"/>
    <s v="&lt;null&gt;"/>
    <s v="Kleine Ingreep"/>
    <s v="WOV/INV/N411/2"/>
    <b v="0"/>
    <s v="Ingreep wordt niet opgevolgd in BOD"/>
    <s v="&lt;null&gt;"/>
    <s v="&lt;null&gt;"/>
    <s v="&lt;null&gt;"/>
    <s v="&lt;null&gt;"/>
    <s v="&lt;null&gt;"/>
    <x v="0"/>
    <s v="&lt;null&gt;"/>
    <s v="&lt;null&gt;"/>
    <s v="&lt;null&gt;"/>
    <s v="&lt;null&gt;"/>
    <n v="100"/>
    <s v="&lt;null&gt;"/>
    <s v="&lt;null&gt;"/>
    <s v="&lt;null&gt;"/>
    <s v="&lt;null&gt;"/>
    <m/>
    <m/>
    <m/>
    <m/>
  </r>
  <r>
    <x v="1112"/>
    <x v="1112"/>
    <s v="Verkeersveiligheid"/>
    <x v="4"/>
    <n v="1269"/>
    <s v="IN/001198"/>
    <s v="Horizontale signalisatie in Horebeke op N454 tussen 'Ketse' en lagere school"/>
    <s v="&lt;null&gt;"/>
    <s v="Kleine Ingreep"/>
    <s v="WOV/INV/N454/8"/>
    <b v="0"/>
    <s v="Ingreep wordt niet opgevolgd in BOD"/>
    <s v="&lt;null&gt;"/>
    <s v="&lt;null&gt;"/>
    <s v="&lt;null&gt;"/>
    <s v="&lt;null&gt;"/>
    <s v="&lt;null&gt;"/>
    <x v="0"/>
    <s v="&lt;null&gt;"/>
    <s v="&lt;null&gt;"/>
    <s v="&lt;null&gt;"/>
    <s v="&lt;null&gt;"/>
    <n v="100"/>
    <s v="&lt;null&gt;"/>
    <s v="&lt;null&gt;"/>
    <s v="&lt;null&gt;"/>
    <s v="&lt;null&gt;"/>
    <m/>
    <m/>
    <m/>
    <m/>
  </r>
  <r>
    <x v="1113"/>
    <x v="1113"/>
    <s v="Verkeersveiligheid"/>
    <x v="4"/>
    <n v="1270"/>
    <s v="IN/001199"/>
    <s v="SRK: N43 Geraardsbergen: markeren fietspad"/>
    <s v="markeren fietspad op klinkers"/>
    <s v="Kleine Ingreep"/>
    <s v="WOV/INV/N42/8"/>
    <b v="1"/>
    <s v="Ingreep wordt opgevolgd in BOD"/>
    <n v="11864"/>
    <s v="AWV/INV/2021/3_P4"/>
    <n v="110851"/>
    <n v="21065760"/>
    <s v="&lt;p&gt;Schoolrouteknelpunten (2021 (op 230))&lt;/p&gt;"/>
    <x v="23"/>
    <n v="7658"/>
    <s v="Geraardsbergen fietspadmarkeringen N42"/>
    <s v="&lt;p&gt;Geraardsbergen aanbrengen fietspadmarkeringen N42&lt;/p&gt;"/>
    <s v="WOV/INV/N42/8"/>
    <n v="100"/>
    <n v="1500"/>
    <n v="1399.0409999999999"/>
    <n v="0"/>
    <n v="100.959"/>
    <n v="1500"/>
    <n v="1399.0409999999999"/>
    <n v="0"/>
    <n v="100.959"/>
  </r>
  <r>
    <x v="1114"/>
    <x v="1114"/>
    <s v="Verkeersveiligheid"/>
    <x v="4"/>
    <n v="1271"/>
    <s v="IN/001200"/>
    <s v="Ingreep schoolroute in Geraardsbergen op N460 - Aalstsesteenweg"/>
    <s v="&lt;null&gt;"/>
    <s v="Structurele Ingreep"/>
    <s v="&lt;null&gt;"/>
    <b v="0"/>
    <s v="Ingreep wordt niet opgevolgd in BOD"/>
    <s v="&lt;null&gt;"/>
    <s v="&lt;null&gt;"/>
    <s v="&lt;null&gt;"/>
    <s v="&lt;null&gt;"/>
    <s v="&lt;null&gt;"/>
    <x v="0"/>
    <s v="&lt;null&gt;"/>
    <s v="&lt;null&gt;"/>
    <s v="&lt;null&gt;"/>
    <s v="&lt;null&gt;"/>
    <n v="100"/>
    <s v="&lt;null&gt;"/>
    <s v="&lt;null&gt;"/>
    <s v="&lt;null&gt;"/>
    <s v="&lt;null&gt;"/>
    <m/>
    <m/>
    <m/>
    <m/>
  </r>
  <r>
    <x v="1115"/>
    <x v="1115"/>
    <s v="Verkeersveiligheid"/>
    <x v="4"/>
    <n v="1272"/>
    <s v="IN/001201"/>
    <s v="VERWIJDEREN inbegrepen in andere ingreep Ingreep schoolroute in Geraardsbergen op kruispunt N42/Molendreef"/>
    <s v="&lt;null&gt;"/>
    <s v="Structurele Ingreep"/>
    <s v="&lt;null&gt;"/>
    <b v="0"/>
    <s v="Ingreep wordt niet opgevolgd in BOD"/>
    <s v="&lt;null&gt;"/>
    <s v="&lt;null&gt;"/>
    <s v="&lt;null&gt;"/>
    <s v="&lt;null&gt;"/>
    <s v="&lt;null&gt;"/>
    <x v="0"/>
    <s v="&lt;null&gt;"/>
    <s v="&lt;null&gt;"/>
    <s v="&lt;null&gt;"/>
    <s v="&lt;null&gt;"/>
    <n v="100"/>
    <s v="&lt;null&gt;"/>
    <s v="&lt;null&gt;"/>
    <s v="&lt;null&gt;"/>
    <s v="&lt;null&gt;"/>
    <m/>
    <m/>
    <m/>
    <m/>
  </r>
  <r>
    <x v="441"/>
    <x v="441"/>
    <s v="Verkeersveiligheid"/>
    <x v="1"/>
    <n v="1273"/>
    <s v="IN/001202"/>
    <s v="Ingreep schoolroute in Geraardsbergen op Kruispunt N42 (Astridlaan)/ Felicien Cauwelstraat"/>
    <s v="&lt;null&gt;"/>
    <s v="Structurele Ingreep"/>
    <s v="WOV/INV/N42/2"/>
    <b v="0"/>
    <s v="Ingreep wordt niet opgevolgd in BOD"/>
    <s v="&lt;null&gt;"/>
    <s v="&lt;null&gt;"/>
    <s v="&lt;null&gt;"/>
    <s v="&lt;null&gt;"/>
    <s v="&lt;null&gt;"/>
    <x v="0"/>
    <s v="&lt;null&gt;"/>
    <s v="&lt;null&gt;"/>
    <s v="&lt;null&gt;"/>
    <s v="&lt;null&gt;"/>
    <n v="25"/>
    <s v="&lt;null&gt;"/>
    <s v="&lt;null&gt;"/>
    <s v="&lt;null&gt;"/>
    <s v="&lt;null&gt;"/>
    <m/>
    <m/>
    <m/>
    <m/>
  </r>
  <r>
    <x v="1115"/>
    <x v="1115"/>
    <s v="Verkeersveiligheid"/>
    <x v="4"/>
    <n v="1273"/>
    <s v="IN/001202"/>
    <s v="Ingreep schoolroute in Geraardsbergen op Kruispunt N42 (Astridlaan)/ Felicien Cauwelstraat"/>
    <s v="&lt;null&gt;"/>
    <s v="Structurele Ingreep"/>
    <s v="WOV/INV/N42/2"/>
    <b v="0"/>
    <s v="Ingreep wordt niet opgevolgd in BOD"/>
    <s v="&lt;null&gt;"/>
    <s v="&lt;null&gt;"/>
    <s v="&lt;null&gt;"/>
    <s v="&lt;null&gt;"/>
    <s v="&lt;null&gt;"/>
    <x v="0"/>
    <s v="&lt;null&gt;"/>
    <s v="&lt;null&gt;"/>
    <s v="&lt;null&gt;"/>
    <s v="&lt;null&gt;"/>
    <n v="25"/>
    <s v="&lt;null&gt;"/>
    <s v="&lt;null&gt;"/>
    <s v="&lt;null&gt;"/>
    <s v="&lt;null&gt;"/>
    <m/>
    <m/>
    <m/>
    <m/>
  </r>
  <r>
    <x v="1116"/>
    <x v="1116"/>
    <s v="Verkeersveiligheid"/>
    <x v="4"/>
    <n v="1273"/>
    <s v="IN/001202"/>
    <s v="Ingreep schoolroute in Geraardsbergen op Kruispunt N42 (Astridlaan)/ Felicien Cauwelstraat"/>
    <s v="&lt;null&gt;"/>
    <s v="Structurele Ingreep"/>
    <s v="WOV/INV/N42/2"/>
    <b v="0"/>
    <s v="Ingreep wordt niet opgevolgd in BOD"/>
    <s v="&lt;null&gt;"/>
    <s v="&lt;null&gt;"/>
    <s v="&lt;null&gt;"/>
    <s v="&lt;null&gt;"/>
    <s v="&lt;null&gt;"/>
    <x v="0"/>
    <s v="&lt;null&gt;"/>
    <s v="&lt;null&gt;"/>
    <s v="&lt;null&gt;"/>
    <s v="&lt;null&gt;"/>
    <n v="25"/>
    <s v="&lt;null&gt;"/>
    <s v="&lt;null&gt;"/>
    <s v="&lt;null&gt;"/>
    <s v="&lt;null&gt;"/>
    <m/>
    <m/>
    <m/>
    <m/>
  </r>
  <r>
    <x v="1117"/>
    <x v="1117"/>
    <s v="Verkeersveiligheid"/>
    <x v="4"/>
    <n v="1273"/>
    <s v="IN/001202"/>
    <s v="Ingreep schoolroute in Geraardsbergen op Kruispunt N42 (Astridlaan)/ Felicien Cauwelstraat"/>
    <s v="&lt;null&gt;"/>
    <s v="Structurele Ingreep"/>
    <s v="WOV/INV/N42/2"/>
    <b v="0"/>
    <s v="Ingreep wordt niet opgevolgd in BOD"/>
    <s v="&lt;null&gt;"/>
    <s v="&lt;null&gt;"/>
    <s v="&lt;null&gt;"/>
    <s v="&lt;null&gt;"/>
    <s v="&lt;null&gt;"/>
    <x v="0"/>
    <s v="&lt;null&gt;"/>
    <s v="&lt;null&gt;"/>
    <s v="&lt;null&gt;"/>
    <s v="&lt;null&gt;"/>
    <n v="25"/>
    <s v="&lt;null&gt;"/>
    <s v="&lt;null&gt;"/>
    <s v="&lt;null&gt;"/>
    <s v="&lt;null&gt;"/>
    <m/>
    <m/>
    <m/>
    <m/>
  </r>
  <r>
    <x v="1118"/>
    <x v="1118"/>
    <s v="Verkeersveiligheid"/>
    <x v="4"/>
    <n v="1274"/>
    <s v="IN/001203"/>
    <s v="Ingreep schoolroute in Lebbeke op Rondpunt Brusselsesteenweg - Flor Hofmanslaan"/>
    <s v="&lt;null&gt;"/>
    <s v="Kleine Ingreep"/>
    <s v="WOV/INV/N47/7"/>
    <b v="0"/>
    <s v="Ingreep wordt niet opgevolgd in BOD"/>
    <s v="&lt;null&gt;"/>
    <s v="&lt;null&gt;"/>
    <s v="&lt;null&gt;"/>
    <s v="&lt;null&gt;"/>
    <s v="&lt;null&gt;"/>
    <x v="0"/>
    <s v="&lt;null&gt;"/>
    <s v="&lt;null&gt;"/>
    <s v="&lt;null&gt;"/>
    <s v="&lt;null&gt;"/>
    <n v="100"/>
    <s v="&lt;null&gt;"/>
    <s v="&lt;null&gt;"/>
    <s v="&lt;null&gt;"/>
    <s v="&lt;null&gt;"/>
    <m/>
    <m/>
    <m/>
    <m/>
  </r>
  <r>
    <x v="1119"/>
    <x v="1119"/>
    <s v="Verkeersveiligheid"/>
    <x v="4"/>
    <n v="1275"/>
    <s v="IN/001204"/>
    <s v="Ingreep schoolroute in Ninove op Locatie – N405 Albertlaan (ter hoogte van Snoekgrachtweg)"/>
    <s v="&lt;null&gt;"/>
    <s v="Kleine Ingreep"/>
    <s v="&lt;null&gt;"/>
    <b v="0"/>
    <s v="Ingreep wordt niet opgevolgd in BOD"/>
    <s v="&lt;null&gt;"/>
    <s v="&lt;null&gt;"/>
    <s v="&lt;null&gt;"/>
    <s v="&lt;null&gt;"/>
    <s v="&lt;null&gt;"/>
    <x v="0"/>
    <s v="&lt;null&gt;"/>
    <s v="&lt;null&gt;"/>
    <s v="&lt;null&gt;"/>
    <s v="&lt;null&gt;"/>
    <n v="100"/>
    <s v="&lt;null&gt;"/>
    <s v="&lt;null&gt;"/>
    <s v="&lt;null&gt;"/>
    <s v="&lt;null&gt;"/>
    <m/>
    <m/>
    <m/>
    <m/>
  </r>
  <r>
    <x v="1120"/>
    <x v="1120"/>
    <s v="Verkeersveiligheid"/>
    <x v="4"/>
    <n v="1276"/>
    <s v="IN/001205"/>
    <s v="Gevleugeld zebrapad in Ninove op Locatie N405 Aalstersesteenweg ter hoogte van huisnummer 24"/>
    <s v="&lt;null&gt;"/>
    <s v="Kleine Ingreep"/>
    <s v="WOV/INV/N405/5"/>
    <b v="0"/>
    <s v="Ingreep wordt niet opgevolgd in BOD"/>
    <s v="&lt;null&gt;"/>
    <s v="&lt;null&gt;"/>
    <s v="&lt;null&gt;"/>
    <s v="&lt;null&gt;"/>
    <s v="&lt;null&gt;"/>
    <x v="0"/>
    <s v="&lt;null&gt;"/>
    <s v="&lt;null&gt;"/>
    <s v="&lt;null&gt;"/>
    <s v="&lt;null&gt;"/>
    <n v="100"/>
    <s v="&lt;null&gt;"/>
    <s v="&lt;null&gt;"/>
    <s v="&lt;null&gt;"/>
    <s v="&lt;null&gt;"/>
    <m/>
    <m/>
    <m/>
    <m/>
  </r>
  <r>
    <x v="1121"/>
    <x v="1121"/>
    <s v="Verkeersveiligheid"/>
    <x v="4"/>
    <n v="1277"/>
    <s v="IN/001206"/>
    <s v="Ingreep schoolroute in Ninove op Geraardsbergsesteenweg, thv De Hazelaar"/>
    <s v="&lt;null&gt;"/>
    <s v="Kleine Ingreep"/>
    <s v="WOV/INV/N460/7"/>
    <b v="0"/>
    <s v="Ingreep wordt niet opgevolgd in BOD"/>
    <s v="&lt;null&gt;"/>
    <s v="&lt;null&gt;"/>
    <s v="&lt;null&gt;"/>
    <s v="&lt;null&gt;"/>
    <s v="&lt;null&gt;"/>
    <x v="0"/>
    <s v="&lt;null&gt;"/>
    <s v="&lt;null&gt;"/>
    <s v="&lt;null&gt;"/>
    <s v="&lt;null&gt;"/>
    <n v="100"/>
    <s v="&lt;null&gt;"/>
    <s v="&lt;null&gt;"/>
    <s v="&lt;null&gt;"/>
    <s v="&lt;null&gt;"/>
    <m/>
    <m/>
    <m/>
    <m/>
  </r>
  <r>
    <x v="1122"/>
    <x v="1122"/>
    <s v="Verkeersveiligheid"/>
    <x v="4"/>
    <n v="1278"/>
    <s v="IN/001207"/>
    <s v="Ingreep schoolroute in Wetteren op Lokaal thv alle schoolomgevingen"/>
    <s v="&lt;null&gt;"/>
    <s v="Kleine Ingreep"/>
    <s v="WOV/INV/N400/2"/>
    <b v="0"/>
    <s v="Ingreep wordt niet opgevolgd in BOD"/>
    <s v="&lt;null&gt;"/>
    <s v="&lt;null&gt;"/>
    <s v="&lt;null&gt;"/>
    <s v="&lt;null&gt;"/>
    <s v="&lt;null&gt;"/>
    <x v="0"/>
    <s v="&lt;null&gt;"/>
    <s v="&lt;null&gt;"/>
    <s v="&lt;null&gt;"/>
    <s v="&lt;null&gt;"/>
    <n v="100"/>
    <s v="&lt;null&gt;"/>
    <s v="&lt;null&gt;"/>
    <s v="&lt;null&gt;"/>
    <s v="&lt;null&gt;"/>
    <m/>
    <m/>
    <m/>
    <m/>
  </r>
  <r>
    <x v="1123"/>
    <x v="1123"/>
    <s v="Verkeersveiligheid"/>
    <x v="4"/>
    <n v="1279"/>
    <s v="IN/001208"/>
    <s v="Ingreep schoolroute in Wetteren op Lokaal thv alle schoolomgevingen"/>
    <s v="&lt;null&gt;"/>
    <s v="Kleine Ingreep"/>
    <s v="WOV/INV/N407/3"/>
    <b v="0"/>
    <s v="Ingreep wordt niet opgevolgd in BOD"/>
    <s v="&lt;null&gt;"/>
    <s v="&lt;null&gt;"/>
    <s v="&lt;null&gt;"/>
    <s v="&lt;null&gt;"/>
    <s v="&lt;null&gt;"/>
    <x v="0"/>
    <s v="&lt;null&gt;"/>
    <s v="&lt;null&gt;"/>
    <s v="&lt;null&gt;"/>
    <s v="&lt;null&gt;"/>
    <n v="100"/>
    <s v="&lt;null&gt;"/>
    <s v="&lt;null&gt;"/>
    <s v="&lt;null&gt;"/>
    <s v="&lt;null&gt;"/>
    <m/>
    <m/>
    <m/>
    <m/>
  </r>
  <r>
    <x v="1124"/>
    <x v="1124"/>
    <s v="Verkeersveiligheid"/>
    <x v="4"/>
    <n v="1280"/>
    <s v="IN/001209"/>
    <s v="Ingreep schoolroute in Oudenaarde op Abdijstraat N46) x Lotharingenstraat"/>
    <s v="&lt;null&gt;"/>
    <s v="Kleine Ingreep"/>
    <s v="WOV/INV/N46/10"/>
    <b v="0"/>
    <s v="Ingreep wordt niet opgevolgd in BOD"/>
    <s v="&lt;null&gt;"/>
    <s v="&lt;null&gt;"/>
    <s v="&lt;null&gt;"/>
    <s v="&lt;null&gt;"/>
    <s v="&lt;null&gt;"/>
    <x v="0"/>
    <s v="&lt;null&gt;"/>
    <s v="&lt;null&gt;"/>
    <s v="&lt;null&gt;"/>
    <s v="&lt;null&gt;"/>
    <n v="100"/>
    <s v="&lt;null&gt;"/>
    <s v="&lt;null&gt;"/>
    <s v="&lt;null&gt;"/>
    <s v="&lt;null&gt;"/>
    <m/>
    <m/>
    <m/>
    <m/>
  </r>
  <r>
    <x v="1125"/>
    <x v="1125"/>
    <s v="Verkeersveiligheid"/>
    <x v="4"/>
    <n v="1281"/>
    <s v="IN/001210"/>
    <s v="Ingreep schoolroute in Oudenaarde op Weldenstraat (N46) x M. Lambrechtsstraat x Sleegstraat"/>
    <s v="&lt;null&gt;"/>
    <s v="Structurele Ingreep"/>
    <s v="WOV/INV/N46/4"/>
    <b v="0"/>
    <s v="Ingreep wordt niet opgevolgd in BOD"/>
    <s v="&lt;null&gt;"/>
    <s v="&lt;null&gt;"/>
    <s v="&lt;null&gt;"/>
    <s v="&lt;null&gt;"/>
    <s v="&lt;null&gt;"/>
    <x v="0"/>
    <s v="&lt;null&gt;"/>
    <s v="&lt;null&gt;"/>
    <s v="&lt;null&gt;"/>
    <s v="&lt;null&gt;"/>
    <n v="100"/>
    <s v="&lt;null&gt;"/>
    <s v="&lt;null&gt;"/>
    <s v="&lt;null&gt;"/>
    <s v="&lt;null&gt;"/>
    <m/>
    <m/>
    <m/>
    <m/>
  </r>
  <r>
    <x v="1126"/>
    <x v="1126"/>
    <s v="Verkeersveiligheid"/>
    <x v="4"/>
    <n v="1282"/>
    <s v="IN/001211"/>
    <s v="Ingreep schoolroute in Lede op Kruispunt N442 Wichelse steenweg x Meirveld"/>
    <s v="&lt;null&gt;"/>
    <s v="Kleine Ingreep"/>
    <s v="&lt;null&gt;"/>
    <b v="0"/>
    <s v="Ingreep wordt niet opgevolgd in BOD"/>
    <s v="&lt;null&gt;"/>
    <s v="&lt;null&gt;"/>
    <s v="&lt;null&gt;"/>
    <s v="&lt;null&gt;"/>
    <s v="&lt;null&gt;"/>
    <x v="0"/>
    <s v="&lt;null&gt;"/>
    <s v="&lt;null&gt;"/>
    <s v="&lt;null&gt;"/>
    <s v="&lt;null&gt;"/>
    <n v="100"/>
    <s v="&lt;null&gt;"/>
    <s v="&lt;null&gt;"/>
    <s v="&lt;null&gt;"/>
    <s v="&lt;null&gt;"/>
    <m/>
    <m/>
    <m/>
    <m/>
  </r>
  <r>
    <x v="1127"/>
    <x v="1127"/>
    <s v="Verkeersveiligheid"/>
    <x v="4"/>
    <n v="1283"/>
    <s v="IN/001212"/>
    <s v="Ingreep schoolroute in Gavere op Kruispunt N444 - N415 (Staatsbaan)"/>
    <s v="&lt;null&gt;"/>
    <s v="Kleine Ingreep"/>
    <s v="WOV/INV/N415/7"/>
    <b v="0"/>
    <s v="Ingreep wordt niet opgevolgd in BOD"/>
    <s v="&lt;null&gt;"/>
    <s v="&lt;null&gt;"/>
    <s v="&lt;null&gt;"/>
    <s v="&lt;null&gt;"/>
    <s v="&lt;null&gt;"/>
    <x v="0"/>
    <s v="&lt;null&gt;"/>
    <s v="&lt;null&gt;"/>
    <s v="&lt;null&gt;"/>
    <s v="&lt;null&gt;"/>
    <n v="100"/>
    <s v="&lt;null&gt;"/>
    <s v="&lt;null&gt;"/>
    <s v="&lt;null&gt;"/>
    <s v="&lt;null&gt;"/>
    <m/>
    <m/>
    <m/>
    <m/>
  </r>
  <r>
    <x v="1128"/>
    <x v="1128"/>
    <s v="Verkeersveiligheid"/>
    <x v="4"/>
    <n v="1284"/>
    <s v="IN/001213"/>
    <s v="Ingreep schoolroute in Brakel op Kruispunt N8-Heyveld"/>
    <s v="&lt;null&gt;"/>
    <s v="Kleine Ingreep"/>
    <s v="&lt;null&gt;"/>
    <b v="0"/>
    <s v="Ingreep wordt niet opgevolgd in BOD"/>
    <s v="&lt;null&gt;"/>
    <s v="&lt;null&gt;"/>
    <s v="&lt;null&gt;"/>
    <s v="&lt;null&gt;"/>
    <s v="&lt;null&gt;"/>
    <x v="0"/>
    <s v="&lt;null&gt;"/>
    <s v="&lt;null&gt;"/>
    <s v="&lt;null&gt;"/>
    <s v="&lt;null&gt;"/>
    <n v="100"/>
    <s v="&lt;null&gt;"/>
    <s v="&lt;null&gt;"/>
    <s v="&lt;null&gt;"/>
    <s v="&lt;null&gt;"/>
    <m/>
    <m/>
    <m/>
    <m/>
  </r>
  <r>
    <x v="1129"/>
    <x v="1129"/>
    <s v="Verkeersveiligheid"/>
    <x v="4"/>
    <n v="1285"/>
    <s v="IN/001214"/>
    <s v="Ingreep schoolroute in Brakel op Kruispunt N462-Driehoekstraat/Molenhoekstraat"/>
    <s v="&lt;null&gt;"/>
    <s v="Kleine Ingreep"/>
    <s v="WOV/INV/N462/5"/>
    <b v="0"/>
    <s v="Ingreep wordt niet opgevolgd in BOD"/>
    <s v="&lt;null&gt;"/>
    <s v="&lt;null&gt;"/>
    <s v="&lt;null&gt;"/>
    <s v="&lt;null&gt;"/>
    <s v="&lt;null&gt;"/>
    <x v="0"/>
    <s v="&lt;null&gt;"/>
    <s v="&lt;null&gt;"/>
    <s v="&lt;null&gt;"/>
    <s v="&lt;null&gt;"/>
    <n v="100"/>
    <s v="&lt;null&gt;"/>
    <s v="&lt;null&gt;"/>
    <s v="&lt;null&gt;"/>
    <s v="&lt;null&gt;"/>
    <m/>
    <m/>
    <m/>
    <m/>
  </r>
  <r>
    <x v="1130"/>
    <x v="1130"/>
    <s v="Verkeersveiligheid"/>
    <x v="4"/>
    <n v="1286"/>
    <s v="IN/001215"/>
    <s v="Ingreep schoolroute in Berlare op N445: Kruisstraat, Fortstraat, Burgs. De Lausnaystraat schoolomgeving vrije basisschool Sint-Jozef"/>
    <s v="&lt;null&gt;"/>
    <s v="Kleine Ingreep"/>
    <s v="WOV/INV/N445/4"/>
    <b v="0"/>
    <s v="Ingreep wordt niet opgevolgd in BOD"/>
    <s v="&lt;null&gt;"/>
    <s v="&lt;null&gt;"/>
    <s v="&lt;null&gt;"/>
    <s v="&lt;null&gt;"/>
    <s v="&lt;null&gt;"/>
    <x v="0"/>
    <s v="&lt;null&gt;"/>
    <s v="&lt;null&gt;"/>
    <s v="&lt;null&gt;"/>
    <s v="&lt;null&gt;"/>
    <n v="100"/>
    <s v="&lt;null&gt;"/>
    <s v="&lt;null&gt;"/>
    <s v="&lt;null&gt;"/>
    <s v="&lt;null&gt;"/>
    <m/>
    <m/>
    <m/>
    <m/>
  </r>
  <r>
    <x v="1131"/>
    <x v="1131"/>
    <s v="Verkeersveiligheid"/>
    <x v="4"/>
    <n v="1287"/>
    <s v="IN/001216"/>
    <s v="Ingreep schoolroute in Dendermonde op Kruispunt Mevrouw Courtmanspark - Ouburg"/>
    <s v="&lt;null&gt;"/>
    <s v="Kleine Ingreep"/>
    <s v="WOV/INV/N406/3"/>
    <b v="0"/>
    <s v="Ingreep wordt niet opgevolgd in BOD"/>
    <s v="&lt;null&gt;"/>
    <s v="&lt;null&gt;"/>
    <s v="&lt;null&gt;"/>
    <s v="&lt;null&gt;"/>
    <s v="&lt;null&gt;"/>
    <x v="0"/>
    <s v="&lt;null&gt;"/>
    <s v="&lt;null&gt;"/>
    <s v="&lt;null&gt;"/>
    <s v="&lt;null&gt;"/>
    <n v="100"/>
    <s v="&lt;null&gt;"/>
    <s v="&lt;null&gt;"/>
    <s v="&lt;null&gt;"/>
    <s v="&lt;null&gt;"/>
    <m/>
    <m/>
    <m/>
    <m/>
  </r>
  <r>
    <x v="1132"/>
    <x v="1132"/>
    <s v="Verkeersveiligheid"/>
    <x v="4"/>
    <n v="1288"/>
    <s v="IN/001217"/>
    <s v="Ingreep schoolroute in Dendermonde op Kruispunt Sint-Gillislaan - Weggevoerdenstraat - Cleophas Heyvaertstraat"/>
    <s v="&lt;null&gt;"/>
    <s v="Kleine Ingreep"/>
    <s v="&lt;null&gt;"/>
    <b v="0"/>
    <s v="Ingreep wordt niet opgevolgd in BOD"/>
    <s v="&lt;null&gt;"/>
    <s v="&lt;null&gt;"/>
    <s v="&lt;null&gt;"/>
    <s v="&lt;null&gt;"/>
    <s v="&lt;null&gt;"/>
    <x v="0"/>
    <s v="&lt;null&gt;"/>
    <s v="&lt;null&gt;"/>
    <s v="&lt;null&gt;"/>
    <s v="&lt;null&gt;"/>
    <n v="100"/>
    <s v="&lt;null&gt;"/>
    <s v="&lt;null&gt;"/>
    <s v="&lt;null&gt;"/>
    <s v="&lt;null&gt;"/>
    <m/>
    <m/>
    <m/>
    <m/>
  </r>
  <r>
    <x v="1133"/>
    <x v="1133"/>
    <s v="Verkeersveiligheid"/>
    <x v="4"/>
    <n v="1289"/>
    <s v="IN/001218"/>
    <s v="Ingreep schoolroute in Dendermonde op Kruispunt Tragel - Gentsesteenweg"/>
    <s v="&lt;null&gt;"/>
    <s v="Kleine Ingreep"/>
    <s v="WOV/INV/N406/4"/>
    <b v="0"/>
    <s v="Ingreep wordt niet opgevolgd in BOD"/>
    <s v="&lt;null&gt;"/>
    <s v="&lt;null&gt;"/>
    <s v="&lt;null&gt;"/>
    <s v="&lt;null&gt;"/>
    <s v="&lt;null&gt;"/>
    <x v="0"/>
    <s v="&lt;null&gt;"/>
    <s v="&lt;null&gt;"/>
    <s v="&lt;null&gt;"/>
    <s v="&lt;null&gt;"/>
    <n v="100"/>
    <s v="&lt;null&gt;"/>
    <s v="&lt;null&gt;"/>
    <s v="&lt;null&gt;"/>
    <s v="&lt;null&gt;"/>
    <m/>
    <m/>
    <m/>
    <m/>
  </r>
  <r>
    <x v="1134"/>
    <x v="1134"/>
    <s v="Verkeersveiligheid"/>
    <x v="4"/>
    <n v="1290"/>
    <s v="IN/001219"/>
    <s v="Ingreep schoolroute in Dendermonde op N416 (Bevrijdingslaan) tussen Vrijstraat en Lindestraat"/>
    <s v="&lt;null&gt;"/>
    <s v="Kleine Ingreep"/>
    <s v="WOV/INV/N416/5"/>
    <b v="0"/>
    <s v="Ingreep wordt niet opgevolgd in BOD"/>
    <s v="&lt;null&gt;"/>
    <s v="&lt;null&gt;"/>
    <s v="&lt;null&gt;"/>
    <s v="&lt;null&gt;"/>
    <s v="&lt;null&gt;"/>
    <x v="0"/>
    <s v="&lt;null&gt;"/>
    <s v="&lt;null&gt;"/>
    <s v="&lt;null&gt;"/>
    <s v="&lt;null&gt;"/>
    <n v="100"/>
    <s v="&lt;null&gt;"/>
    <s v="&lt;null&gt;"/>
    <s v="&lt;null&gt;"/>
    <s v="&lt;null&gt;"/>
    <m/>
    <m/>
    <m/>
    <m/>
  </r>
  <r>
    <x v="1135"/>
    <x v="1135"/>
    <s v="Verkeersveiligheid"/>
    <x v="4"/>
    <n v="1291"/>
    <s v="IN/001220"/>
    <s v="Ingreep schoolroute in Dendermonde op N470 (Grootzand) tussen Stuivenbergstraat en Zeelsebaan"/>
    <s v="&lt;null&gt;"/>
    <s v="Kleine Ingreep"/>
    <s v="WOV/INV/N470/6"/>
    <b v="0"/>
    <s v="Ingreep wordt niet opgevolgd in BOD"/>
    <s v="&lt;null&gt;"/>
    <s v="&lt;null&gt;"/>
    <s v="&lt;null&gt;"/>
    <s v="&lt;null&gt;"/>
    <s v="&lt;null&gt;"/>
    <x v="0"/>
    <s v="&lt;null&gt;"/>
    <s v="&lt;null&gt;"/>
    <s v="&lt;null&gt;"/>
    <s v="&lt;null&gt;"/>
    <n v="100"/>
    <s v="&lt;null&gt;"/>
    <s v="&lt;null&gt;"/>
    <s v="&lt;null&gt;"/>
    <s v="&lt;null&gt;"/>
    <m/>
    <m/>
    <m/>
    <m/>
  </r>
  <r>
    <x v="1136"/>
    <x v="1136"/>
    <s v="Verkeersveiligheid"/>
    <x v="4"/>
    <n v="1292"/>
    <s v="IN/001221"/>
    <s v="Ingreep schoolroute in Dendermonde op Kruispunt Baasrodestraat - Rosstraat"/>
    <s v="&lt;null&gt;"/>
    <s v="Kleine Ingreep"/>
    <s v="&lt;null&gt;"/>
    <b v="0"/>
    <s v="Ingreep wordt niet opgevolgd in BOD"/>
    <s v="&lt;null&gt;"/>
    <s v="&lt;null&gt;"/>
    <s v="&lt;null&gt;"/>
    <s v="&lt;null&gt;"/>
    <s v="&lt;null&gt;"/>
    <x v="0"/>
    <s v="&lt;null&gt;"/>
    <s v="&lt;null&gt;"/>
    <s v="&lt;null&gt;"/>
    <s v="&lt;null&gt;"/>
    <n v="100"/>
    <s v="&lt;null&gt;"/>
    <s v="&lt;null&gt;"/>
    <s v="&lt;null&gt;"/>
    <s v="&lt;null&gt;"/>
    <m/>
    <m/>
    <m/>
    <m/>
  </r>
  <r>
    <x v="1137"/>
    <x v="1137"/>
    <s v="Verkeersveiligheid"/>
    <x v="4"/>
    <n v="1293"/>
    <s v="IN/001222"/>
    <s v="Ingreep schoolroute in Assenede op Kruipunt Noordstraat (N458) met Graafjanstraat en Tingelhoek."/>
    <s v="&lt;null&gt;"/>
    <s v="Kleine Ingreep"/>
    <s v="WOV/INV/N458/7"/>
    <b v="0"/>
    <s v="Ingreep wordt niet opgevolgd in BOD"/>
    <s v="&lt;null&gt;"/>
    <s v="&lt;null&gt;"/>
    <s v="&lt;null&gt;"/>
    <s v="&lt;null&gt;"/>
    <s v="&lt;null&gt;"/>
    <x v="0"/>
    <s v="&lt;null&gt;"/>
    <s v="&lt;null&gt;"/>
    <s v="&lt;null&gt;"/>
    <s v="&lt;null&gt;"/>
    <n v="100"/>
    <s v="&lt;null&gt;"/>
    <s v="&lt;null&gt;"/>
    <s v="&lt;null&gt;"/>
    <s v="&lt;null&gt;"/>
    <m/>
    <m/>
    <m/>
    <m/>
  </r>
  <r>
    <x v="1138"/>
    <x v="1138"/>
    <s v="Verkeersveiligheid"/>
    <x v="4"/>
    <n v="1294"/>
    <s v="IN/001223"/>
    <s v="Ingreep schoolroute in Assenede op Kruispunt Ertveldesteenweg (N448) met Oosteeklodorp (N448) en Koning Albertstraat."/>
    <s v="&lt;null&gt;"/>
    <s v="Kleine Ingreep"/>
    <s v="&lt;null&gt;"/>
    <b v="0"/>
    <s v="Ingreep wordt niet opgevolgd in BOD"/>
    <s v="&lt;null&gt;"/>
    <s v="&lt;null&gt;"/>
    <s v="&lt;null&gt;"/>
    <s v="&lt;null&gt;"/>
    <s v="&lt;null&gt;"/>
    <x v="0"/>
    <s v="&lt;null&gt;"/>
    <s v="&lt;null&gt;"/>
    <s v="&lt;null&gt;"/>
    <s v="&lt;null&gt;"/>
    <n v="100"/>
    <s v="&lt;null&gt;"/>
    <s v="&lt;null&gt;"/>
    <s v="&lt;null&gt;"/>
    <s v="&lt;null&gt;"/>
    <m/>
    <m/>
    <m/>
    <m/>
  </r>
  <r>
    <x v="1139"/>
    <x v="1139"/>
    <s v="Verkeersveiligheid"/>
    <x v="4"/>
    <n v="1295"/>
    <s v="IN/001224"/>
    <s v="Ingreep schoolroute in Haaltert op Beekstraat/Kerkskendorp"/>
    <s v="&lt;null&gt;"/>
    <s v="Kleine Ingreep"/>
    <s v="WOV/INV/N460/8"/>
    <b v="0"/>
    <s v="Ingreep wordt niet opgevolgd in BOD"/>
    <s v="&lt;null&gt;"/>
    <s v="&lt;null&gt;"/>
    <s v="&lt;null&gt;"/>
    <s v="&lt;null&gt;"/>
    <s v="&lt;null&gt;"/>
    <x v="0"/>
    <s v="&lt;null&gt;"/>
    <s v="&lt;null&gt;"/>
    <s v="&lt;null&gt;"/>
    <s v="&lt;null&gt;"/>
    <n v="100"/>
    <s v="&lt;null&gt;"/>
    <s v="&lt;null&gt;"/>
    <s v="&lt;null&gt;"/>
    <s v="&lt;null&gt;"/>
    <m/>
    <m/>
    <m/>
    <m/>
  </r>
  <r>
    <x v="1140"/>
    <x v="1140"/>
    <s v="Verkeersveiligheid"/>
    <x v="4"/>
    <n v="1296"/>
    <s v="IN/001225"/>
    <s v="SRK: N9 Melle-Wetteren: fietspaden heraanleggen op Brusselsesteenweg tussen Oude Heirbaan en station Kwatrecht"/>
    <s v="&lt;null&gt;"/>
    <s v="Kleine Ingreep"/>
    <s v="WOV/INV/N9/21"/>
    <b v="1"/>
    <s v="Ingreep wordt opgevolgd in BOD"/>
    <n v="11864"/>
    <s v="AWV/INV/2021/3_P4"/>
    <n v="110851"/>
    <n v="21065760"/>
    <s v="&lt;p&gt;Schoolrouteknelpunten (2021 (op 230))&lt;/p&gt;"/>
    <x v="23"/>
    <n v="7569"/>
    <s v="N9 Heirbaan-Station Kwatrecht"/>
    <s v="&lt;p&gt;Schoolroute N9 Heirbaan-Station Kwatrecht&lt;/p&gt;"/>
    <s v="WOV/INV/N9/21"/>
    <n v="100"/>
    <n v="100000"/>
    <n v="0"/>
    <n v="0"/>
    <n v="63132.37"/>
    <n v="100000"/>
    <n v="0"/>
    <n v="0"/>
    <n v="63132.37"/>
  </r>
  <r>
    <x v="1141"/>
    <x v="1141"/>
    <s v="Verkeersveiligheid"/>
    <x v="4"/>
    <n v="1297"/>
    <s v="IN/001226"/>
    <s v="Ingreep schoolroute in Melle op Fietspaden Brusselsesteenweg tussen Ringvaart en Melle Leeuw"/>
    <s v="&lt;null&gt;"/>
    <s v="Kleine Ingreep"/>
    <s v="WOV/INV/N9/22"/>
    <b v="0"/>
    <s v="Ingreep wordt niet opgevolgd in BOD"/>
    <s v="&lt;null&gt;"/>
    <s v="&lt;null&gt;"/>
    <s v="&lt;null&gt;"/>
    <s v="&lt;null&gt;"/>
    <s v="&lt;null&gt;"/>
    <x v="0"/>
    <s v="&lt;null&gt;"/>
    <s v="&lt;null&gt;"/>
    <s v="&lt;null&gt;"/>
    <s v="&lt;null&gt;"/>
    <n v="100"/>
    <s v="&lt;null&gt;"/>
    <s v="&lt;null&gt;"/>
    <s v="&lt;null&gt;"/>
    <s v="&lt;null&gt;"/>
    <m/>
    <m/>
    <m/>
    <m/>
  </r>
  <r>
    <x v="1142"/>
    <x v="1142"/>
    <s v="Verkeersveiligheid"/>
    <x v="4"/>
    <n v="1298"/>
    <s v="IN/001227"/>
    <s v="Ingreep schoolroute in Melle op Geraardsbergsesteenweg doortocht Gontrode"/>
    <s v="&lt;null&gt;"/>
    <s v="Kleine Ingreep"/>
    <s v="WOV/INV/N465/4"/>
    <b v="0"/>
    <s v="Ingreep wordt niet opgevolgd in BOD"/>
    <n v="11864"/>
    <s v="AWV/INV/2021/3_P4"/>
    <n v="110851"/>
    <n v="21065760"/>
    <s v="&lt;p&gt;Schoolrouteknelpunten (2021 (op 230))&lt;/p&gt;"/>
    <x v="23"/>
    <n v="7566"/>
    <s v="Doortocht Gontrode"/>
    <s v="&lt;p&gt;Schoolroute Doortocht Gontrode D411&lt;/p&gt;"/>
    <s v="WOV/INV/N465/4"/>
    <n v="100"/>
    <n v="120000"/>
    <n v="106193.90150000001"/>
    <n v="88.16"/>
    <n v="13717.9385"/>
    <n v="120000"/>
    <n v="106193.90150000001"/>
    <n v="88.16"/>
    <n v="13717.9385"/>
  </r>
  <r>
    <x v="1143"/>
    <x v="1143"/>
    <s v="Verkeersveiligheid"/>
    <x v="4"/>
    <n v="1299"/>
    <s v="IN/001228"/>
    <s v="Ingreep schoolroute in Aalst op N406 - Gijzegem-Dorp/Pachthofstraat"/>
    <s v="&lt;null&gt;"/>
    <s v="Kleine Ingreep"/>
    <s v="WOV/INV/N406/5"/>
    <b v="0"/>
    <s v="Ingreep wordt niet opgevolgd in BOD"/>
    <s v="&lt;null&gt;"/>
    <s v="&lt;null&gt;"/>
    <s v="&lt;null&gt;"/>
    <s v="&lt;null&gt;"/>
    <s v="&lt;null&gt;"/>
    <x v="0"/>
    <s v="&lt;null&gt;"/>
    <s v="&lt;null&gt;"/>
    <s v="&lt;null&gt;"/>
    <s v="&lt;null&gt;"/>
    <n v="100"/>
    <s v="&lt;null&gt;"/>
    <s v="&lt;null&gt;"/>
    <s v="&lt;null&gt;"/>
    <s v="&lt;null&gt;"/>
    <m/>
    <m/>
    <m/>
    <m/>
  </r>
  <r>
    <x v="18"/>
    <x v="18"/>
    <s v="&lt;null&gt;"/>
    <x v="3"/>
    <n v="1300"/>
    <s v="IN/001229"/>
    <s v="Ingreep schoolroute in Geraardsbergen op N493 - Oudenaardsestraat"/>
    <s v="&lt;null&gt;"/>
    <s v="Kleine Ingreep"/>
    <s v="WOV/INV/N493/1"/>
    <b v="0"/>
    <s v="Ingreep wordt niet opgevolgd in BOD"/>
    <s v="&lt;null&gt;"/>
    <s v="&lt;null&gt;"/>
    <s v="&lt;null&gt;"/>
    <s v="&lt;null&gt;"/>
    <s v="&lt;null&gt;"/>
    <x v="0"/>
    <s v="&lt;null&gt;"/>
    <s v="&lt;null&gt;"/>
    <s v="&lt;null&gt;"/>
    <s v="&lt;null&gt;"/>
    <s v="&lt;null&gt;"/>
    <s v="&lt;null&gt;"/>
    <s v="&lt;null&gt;"/>
    <s v="&lt;null&gt;"/>
    <s v="&lt;null&gt;"/>
    <m/>
    <m/>
    <m/>
    <m/>
  </r>
  <r>
    <x v="1144"/>
    <x v="1144"/>
    <s v="Verkeersveiligheid"/>
    <x v="4"/>
    <n v="1301"/>
    <s v="IN/001230"/>
    <s v="SRK: N493 Geraardsbergen: verlagen boordsteen"/>
    <s v="&lt;null&gt;"/>
    <s v="Kleine Ingreep"/>
    <s v="WOV/INV/N493/2"/>
    <b v="0"/>
    <s v="Ingreep wordt niet opgevolgd in BOD"/>
    <s v="&lt;null&gt;"/>
    <s v="&lt;null&gt;"/>
    <s v="&lt;null&gt;"/>
    <s v="&lt;null&gt;"/>
    <s v="&lt;null&gt;"/>
    <x v="0"/>
    <s v="&lt;null&gt;"/>
    <s v="&lt;null&gt;"/>
    <s v="&lt;null&gt;"/>
    <s v="&lt;null&gt;"/>
    <n v="100"/>
    <s v="&lt;null&gt;"/>
    <s v="&lt;null&gt;"/>
    <s v="&lt;null&gt;"/>
    <s v="&lt;null&gt;"/>
    <m/>
    <m/>
    <m/>
    <m/>
  </r>
  <r>
    <x v="1145"/>
    <x v="1145"/>
    <s v="Verkeersveiligheid"/>
    <x v="4"/>
    <n v="1302"/>
    <s v="IN/001231"/>
    <s v="Ingreep schoolroute in Geraardsbergen op N493 - Oudenaardsestraat"/>
    <s v="&lt;null&gt;"/>
    <s v="Kleine Ingreep"/>
    <s v="WOV/INV/N493/3"/>
    <b v="0"/>
    <s v="Ingreep wordt niet opgevolgd in BOD"/>
    <s v="&lt;null&gt;"/>
    <s v="&lt;null&gt;"/>
    <s v="&lt;null&gt;"/>
    <s v="&lt;null&gt;"/>
    <s v="&lt;null&gt;"/>
    <x v="0"/>
    <s v="&lt;null&gt;"/>
    <s v="&lt;null&gt;"/>
    <s v="&lt;null&gt;"/>
    <s v="&lt;null&gt;"/>
    <n v="100"/>
    <s v="&lt;null&gt;"/>
    <s v="&lt;null&gt;"/>
    <s v="&lt;null&gt;"/>
    <s v="&lt;null&gt;"/>
    <m/>
    <m/>
    <m/>
    <m/>
  </r>
  <r>
    <x v="18"/>
    <x v="18"/>
    <s v="&lt;null&gt;"/>
    <x v="3"/>
    <n v="1303"/>
    <s v="IN/001232"/>
    <s v="Ingreep schoolroute in Geraardsbergen op N495 - Edingseweg - Zonnebloemstraat"/>
    <s v="&lt;null&gt;"/>
    <s v="Kleine Ingreep"/>
    <s v="WOV/INV/N495/2"/>
    <b v="0"/>
    <s v="Ingreep wordt niet opgevolgd in BOD"/>
    <s v="&lt;null&gt;"/>
    <s v="&lt;null&gt;"/>
    <s v="&lt;null&gt;"/>
    <s v="&lt;null&gt;"/>
    <s v="&lt;null&gt;"/>
    <x v="0"/>
    <s v="&lt;null&gt;"/>
    <s v="&lt;null&gt;"/>
    <s v="&lt;null&gt;"/>
    <s v="&lt;null&gt;"/>
    <s v="&lt;null&gt;"/>
    <s v="&lt;null&gt;"/>
    <s v="&lt;null&gt;"/>
    <s v="&lt;null&gt;"/>
    <s v="&lt;null&gt;"/>
    <m/>
    <m/>
    <m/>
    <m/>
  </r>
  <r>
    <x v="1146"/>
    <x v="1146"/>
    <s v="Verkeersveiligheid"/>
    <x v="4"/>
    <n v="1304"/>
    <s v="IN/001233"/>
    <s v="Ingreep schoolroute in Geraardsbergen op N495 - Edingseweg - Zonnebloemstraat"/>
    <s v="&lt;null&gt;"/>
    <s v="Kleine Ingreep"/>
    <s v="WOV/INV/N495/3"/>
    <b v="0"/>
    <s v="Ingreep wordt niet opgevolgd in BOD"/>
    <s v="&lt;null&gt;"/>
    <s v="&lt;null&gt;"/>
    <s v="&lt;null&gt;"/>
    <s v="&lt;null&gt;"/>
    <s v="&lt;null&gt;"/>
    <x v="0"/>
    <s v="&lt;null&gt;"/>
    <s v="&lt;null&gt;"/>
    <s v="&lt;null&gt;"/>
    <s v="&lt;null&gt;"/>
    <n v="100"/>
    <s v="&lt;null&gt;"/>
    <s v="&lt;null&gt;"/>
    <s v="&lt;null&gt;"/>
    <s v="&lt;null&gt;"/>
    <m/>
    <m/>
    <m/>
    <m/>
  </r>
  <r>
    <x v="1147"/>
    <x v="1147"/>
    <s v="Verkeersveiligheid"/>
    <x v="4"/>
    <n v="1305"/>
    <s v="IN/001234"/>
    <s v="Ingreep schoolroute in Geraardsbergen op N495 - Edingseweg - Zonnebloemstraat"/>
    <s v="&lt;null&gt;"/>
    <s v="Kleine Ingreep"/>
    <s v="WOV/INV/N495/4"/>
    <b v="0"/>
    <s v="Ingreep wordt niet opgevolgd in BOD"/>
    <s v="&lt;null&gt;"/>
    <s v="&lt;null&gt;"/>
    <s v="&lt;null&gt;"/>
    <s v="&lt;null&gt;"/>
    <s v="&lt;null&gt;"/>
    <x v="0"/>
    <s v="&lt;null&gt;"/>
    <s v="&lt;null&gt;"/>
    <s v="&lt;null&gt;"/>
    <s v="&lt;null&gt;"/>
    <n v="100"/>
    <s v="&lt;null&gt;"/>
    <s v="&lt;null&gt;"/>
    <s v="&lt;null&gt;"/>
    <s v="&lt;null&gt;"/>
    <m/>
    <m/>
    <m/>
    <m/>
  </r>
  <r>
    <x v="1148"/>
    <x v="1148"/>
    <s v="Verkeersveiligheid"/>
    <x v="4"/>
    <n v="1306"/>
    <s v="IN/001235"/>
    <s v="SRK: N8 Geraardsbergen: fietsoversteken over dit kruispunt accentueren"/>
    <s v="&lt;null&gt;"/>
    <s v="Kleine Ingreep"/>
    <s v="WOV/INV/N8/11"/>
    <b v="0"/>
    <s v="Ingreep wordt niet opgevolgd in BOD"/>
    <s v="&lt;null&gt;"/>
    <s v="&lt;null&gt;"/>
    <s v="&lt;null&gt;"/>
    <s v="&lt;null&gt;"/>
    <s v="&lt;null&gt;"/>
    <x v="0"/>
    <s v="&lt;null&gt;"/>
    <s v="&lt;null&gt;"/>
    <s v="&lt;null&gt;"/>
    <s v="&lt;null&gt;"/>
    <n v="100"/>
    <s v="&lt;null&gt;"/>
    <s v="&lt;null&gt;"/>
    <s v="&lt;null&gt;"/>
    <s v="&lt;null&gt;"/>
    <m/>
    <m/>
    <m/>
    <m/>
  </r>
  <r>
    <x v="1149"/>
    <x v="1149"/>
    <s v="Verkeersveiligheid"/>
    <x v="4"/>
    <n v="1307"/>
    <s v="IN/001236"/>
    <s v="SRK: N70 Sint-Niklaas: aanpassing VRI"/>
    <s v="&lt;null&gt;"/>
    <s v="Kleine Ingreep"/>
    <s v="WOV/INV/NX/5"/>
    <b v="0"/>
    <s v="Ingreep wordt niet opgevolgd in BOD"/>
    <s v="&lt;null&gt;"/>
    <s v="&lt;null&gt;"/>
    <s v="&lt;null&gt;"/>
    <s v="&lt;null&gt;"/>
    <s v="&lt;null&gt;"/>
    <x v="0"/>
    <s v="&lt;null&gt;"/>
    <s v="&lt;null&gt;"/>
    <s v="&lt;null&gt;"/>
    <s v="&lt;null&gt;"/>
    <n v="100"/>
    <s v="&lt;null&gt;"/>
    <s v="&lt;null&gt;"/>
    <s v="&lt;null&gt;"/>
    <s v="&lt;null&gt;"/>
    <m/>
    <m/>
    <m/>
    <m/>
  </r>
  <r>
    <x v="1150"/>
    <x v="1150"/>
    <s v="Verkeersveiligheid"/>
    <x v="4"/>
    <n v="1308"/>
    <s v="IN/001237"/>
    <s v="Ingreep schoolroute in Oudenaarde op Deinzestraat (N459) x Industriepark De Bruwaan"/>
    <s v="&lt;null&gt;"/>
    <s v="Kleine Ingreep"/>
    <s v="&lt;null&gt;"/>
    <b v="0"/>
    <s v="Ingreep wordt niet opgevolgd in BOD"/>
    <s v="&lt;null&gt;"/>
    <s v="&lt;null&gt;"/>
    <s v="&lt;null&gt;"/>
    <s v="&lt;null&gt;"/>
    <s v="&lt;null&gt;"/>
    <x v="0"/>
    <s v="&lt;null&gt;"/>
    <s v="&lt;null&gt;"/>
    <s v="&lt;null&gt;"/>
    <s v="&lt;null&gt;"/>
    <n v="100"/>
    <s v="&lt;null&gt;"/>
    <s v="&lt;null&gt;"/>
    <s v="&lt;null&gt;"/>
    <s v="&lt;null&gt;"/>
    <m/>
    <m/>
    <m/>
    <m/>
  </r>
  <r>
    <x v="1151"/>
    <x v="1151"/>
    <s v="Verkeersveiligheid"/>
    <x v="4"/>
    <n v="1309"/>
    <s v="IN/001238"/>
    <s v="Ingreep schoolroute in Lede op Kruispunt N442 Markt met Nieuwstraat"/>
    <s v="&lt;null&gt;"/>
    <s v="Kleine Ingreep"/>
    <s v="WOV/INV/N442/3"/>
    <b v="0"/>
    <s v="Ingreep wordt niet opgevolgd in BOD"/>
    <s v="&lt;null&gt;"/>
    <s v="&lt;null&gt;"/>
    <s v="&lt;null&gt;"/>
    <s v="&lt;null&gt;"/>
    <s v="&lt;null&gt;"/>
    <x v="0"/>
    <s v="&lt;null&gt;"/>
    <s v="&lt;null&gt;"/>
    <s v="&lt;null&gt;"/>
    <s v="&lt;null&gt;"/>
    <n v="100"/>
    <s v="&lt;null&gt;"/>
    <s v="&lt;null&gt;"/>
    <s v="&lt;null&gt;"/>
    <s v="&lt;null&gt;"/>
    <m/>
    <m/>
    <m/>
    <m/>
  </r>
  <r>
    <x v="1152"/>
    <x v="1152"/>
    <s v="Verkeersveiligheid"/>
    <x v="4"/>
    <n v="1310"/>
    <s v="IN/001239"/>
    <s v="Ingreep schoolroute in Lede op kruispunt Hoogstraat (N442) met Julius De Geyterstraat"/>
    <s v="&lt;null&gt;"/>
    <s v="Kleine Ingreep"/>
    <s v="WOV/INV/N442/4"/>
    <b v="0"/>
    <s v="Ingreep wordt niet opgevolgd in BOD"/>
    <s v="&lt;null&gt;"/>
    <s v="&lt;null&gt;"/>
    <s v="&lt;null&gt;"/>
    <s v="&lt;null&gt;"/>
    <s v="&lt;null&gt;"/>
    <x v="0"/>
    <s v="&lt;null&gt;"/>
    <s v="&lt;null&gt;"/>
    <s v="&lt;null&gt;"/>
    <s v="&lt;null&gt;"/>
    <n v="100"/>
    <s v="&lt;null&gt;"/>
    <s v="&lt;null&gt;"/>
    <s v="&lt;null&gt;"/>
    <s v="&lt;null&gt;"/>
    <m/>
    <m/>
    <m/>
    <m/>
  </r>
  <r>
    <x v="1153"/>
    <x v="1153"/>
    <s v="Verkeersveiligheid"/>
    <x v="4"/>
    <n v="1352"/>
    <s v="IN/001240"/>
    <s v="Plaatsing VVOP"/>
    <s v="&lt;null&gt;"/>
    <s v="Kleine Ingreep"/>
    <s v="WA/INV/N18/16"/>
    <b v="0"/>
    <s v="Ingreep wordt niet opgevolgd in BOD"/>
    <s v="&lt;null&gt;"/>
    <s v="&lt;null&gt;"/>
    <s v="&lt;null&gt;"/>
    <s v="&lt;null&gt;"/>
    <s v="&lt;null&gt;"/>
    <x v="0"/>
    <s v="&lt;null&gt;"/>
    <s v="&lt;null&gt;"/>
    <s v="&lt;null&gt;"/>
    <s v="&lt;null&gt;"/>
    <n v="100"/>
    <s v="&lt;null&gt;"/>
    <s v="&lt;null&gt;"/>
    <s v="&lt;null&gt;"/>
    <s v="&lt;null&gt;"/>
    <m/>
    <m/>
    <m/>
    <m/>
  </r>
  <r>
    <x v="559"/>
    <x v="559"/>
    <s v="Verkeersveiligheid"/>
    <x v="1"/>
    <n v="1353"/>
    <s v="IN/001241"/>
    <s v="plaatsing VVOP"/>
    <s v="&lt;null&gt;"/>
    <s v="Kleine Ingreep"/>
    <s v="&lt;null&gt;"/>
    <b v="0"/>
    <s v="Ingreep wordt niet opgevolgd in BOD"/>
    <s v="&lt;null&gt;"/>
    <s v="&lt;null&gt;"/>
    <s v="&lt;null&gt;"/>
    <s v="&lt;null&gt;"/>
    <s v="&lt;null&gt;"/>
    <x v="0"/>
    <s v="&lt;null&gt;"/>
    <s v="&lt;null&gt;"/>
    <s v="&lt;null&gt;"/>
    <s v="&lt;null&gt;"/>
    <n v="50"/>
    <s v="&lt;null&gt;"/>
    <s v="&lt;null&gt;"/>
    <s v="&lt;null&gt;"/>
    <s v="&lt;null&gt;"/>
    <m/>
    <m/>
    <m/>
    <m/>
  </r>
  <r>
    <x v="1154"/>
    <x v="1154"/>
    <s v="Verkeersveiligheid"/>
    <x v="4"/>
    <n v="1353"/>
    <s v="IN/001241"/>
    <s v="plaatsing VVOP"/>
    <s v="&lt;null&gt;"/>
    <s v="Kleine Ingreep"/>
    <s v="&lt;null&gt;"/>
    <b v="0"/>
    <s v="Ingreep wordt niet opgevolgd in BOD"/>
    <s v="&lt;null&gt;"/>
    <s v="&lt;null&gt;"/>
    <s v="&lt;null&gt;"/>
    <s v="&lt;null&gt;"/>
    <s v="&lt;null&gt;"/>
    <x v="0"/>
    <s v="&lt;null&gt;"/>
    <s v="&lt;null&gt;"/>
    <s v="&lt;null&gt;"/>
    <s v="&lt;null&gt;"/>
    <n v="50"/>
    <s v="&lt;null&gt;"/>
    <s v="&lt;null&gt;"/>
    <s v="&lt;null&gt;"/>
    <s v="&lt;null&gt;"/>
    <m/>
    <m/>
    <m/>
    <m/>
  </r>
  <r>
    <x v="18"/>
    <x v="18"/>
    <s v="&lt;null&gt;"/>
    <x v="3"/>
    <n v="1354"/>
    <s v="IN/001242"/>
    <s v="Bypassen worden weggewerkt, mee onder de VRI"/>
    <s v="&lt;null&gt;"/>
    <s v="Structurele Ingreep"/>
    <s v="&lt;null&gt;"/>
    <b v="0"/>
    <s v="Ingreep wordt niet opgevolgd in BOD"/>
    <s v="&lt;null&gt;"/>
    <s v="&lt;null&gt;"/>
    <s v="&lt;null&gt;"/>
    <s v="&lt;null&gt;"/>
    <s v="&lt;null&gt;"/>
    <x v="0"/>
    <s v="&lt;null&gt;"/>
    <s v="&lt;null&gt;"/>
    <s v="&lt;null&gt;"/>
    <s v="&lt;null&gt;"/>
    <s v="&lt;null&gt;"/>
    <s v="&lt;null&gt;"/>
    <s v="&lt;null&gt;"/>
    <s v="&lt;null&gt;"/>
    <s v="&lt;null&gt;"/>
    <m/>
    <m/>
    <m/>
    <m/>
  </r>
  <r>
    <x v="1155"/>
    <x v="1155"/>
    <s v="Verkeersveiligheid"/>
    <x v="4"/>
    <n v="1355"/>
    <s v="IN/001243"/>
    <s v="Ingreep schoolroute KS390 - Naamsesteenweg"/>
    <s v="- vervolledigen VVOP\n\n"/>
    <s v="Kleine Ingreep"/>
    <s v="WL/INV/N80/4"/>
    <b v="0"/>
    <s v="Ingreep wordt niet opgevolgd in BOD"/>
    <s v="&lt;null&gt;"/>
    <s v="&lt;null&gt;"/>
    <s v="&lt;null&gt;"/>
    <s v="&lt;null&gt;"/>
    <s v="&lt;null&gt;"/>
    <x v="0"/>
    <s v="&lt;null&gt;"/>
    <s v="&lt;null&gt;"/>
    <s v="&lt;null&gt;"/>
    <s v="&lt;null&gt;"/>
    <n v="100"/>
    <s v="&lt;null&gt;"/>
    <s v="&lt;null&gt;"/>
    <s v="&lt;null&gt;"/>
    <s v="&lt;null&gt;"/>
    <m/>
    <m/>
    <m/>
    <m/>
  </r>
  <r>
    <x v="18"/>
    <x v="18"/>
    <s v="&lt;null&gt;"/>
    <x v="3"/>
    <n v="1402"/>
    <s v="IN/001244"/>
    <s v="nieuwe ingreep"/>
    <s v="&lt;null&gt;"/>
    <s v="Kleine Ingreep"/>
    <s v="&lt;null&gt;"/>
    <b v="0"/>
    <s v="Ingreep wordt niet opgevolgd in BOD"/>
    <s v="&lt;null&gt;"/>
    <s v="&lt;null&gt;"/>
    <s v="&lt;null&gt;"/>
    <s v="&lt;null&gt;"/>
    <s v="&lt;null&gt;"/>
    <x v="0"/>
    <s v="&lt;null&gt;"/>
    <s v="&lt;null&gt;"/>
    <s v="&lt;null&gt;"/>
    <s v="&lt;null&gt;"/>
    <s v="&lt;null&gt;"/>
    <s v="&lt;null&gt;"/>
    <s v="&lt;null&gt;"/>
    <s v="&lt;null&gt;"/>
    <s v="&lt;null&gt;"/>
    <m/>
    <m/>
    <m/>
    <m/>
  </r>
  <r>
    <x v="1091"/>
    <x v="1091"/>
    <s v="Verkeersveiligheid"/>
    <x v="4"/>
    <n v="1403"/>
    <s v="IN/001245"/>
    <s v="SRK: N494 Wortegem-Petegem: aanleg fietssuggestiestroken"/>
    <s v="Aanleg fietssuggestiestroken;\nAanpassing wegbeeld (gevat in ks 375)."/>
    <s v="Kleine Ingreep"/>
    <s v="WOV/INV/N494/4"/>
    <b v="0"/>
    <s v="Ingreep wordt niet opgevolgd in BOD"/>
    <s v="&lt;null&gt;"/>
    <s v="&lt;null&gt;"/>
    <s v="&lt;null&gt;"/>
    <s v="&lt;null&gt;"/>
    <s v="&lt;null&gt;"/>
    <x v="0"/>
    <s v="&lt;null&gt;"/>
    <s v="&lt;null&gt;"/>
    <s v="&lt;null&gt;"/>
    <s v="&lt;null&gt;"/>
    <n v="100"/>
    <s v="&lt;null&gt;"/>
    <s v="&lt;null&gt;"/>
    <s v="&lt;null&gt;"/>
    <s v="&lt;null&gt;"/>
    <m/>
    <m/>
    <m/>
    <m/>
  </r>
  <r>
    <x v="1156"/>
    <x v="1156"/>
    <s v="Verkeersveiligheid"/>
    <x v="5"/>
    <n v="1404"/>
    <s v="IN/001246"/>
    <s v="Kruispunt N399 met Baronielaan te Meulebeke - fietsoversteek"/>
    <s v="Kruispunt N399 met Baronielaan te Meulebeke - fietsoversteek"/>
    <s v="Kleine Ingreep"/>
    <s v="WWV/INV/N399/2"/>
    <b v="1"/>
    <s v="Ingreep wordt opgevolgd in BOD"/>
    <n v="11568"/>
    <s v="WWV/INV/2021/10-3"/>
    <n v="96101"/>
    <n v="21050402"/>
    <s v="&lt;p&gt;Relance proefproject wegen West-Vlaanderen (MIA) Perceel 3: Regio Midwest - fiets&lt;/p&gt;"/>
    <x v="2"/>
    <n v="6792"/>
    <s v="Project N399 Baronielaan Meulebeke"/>
    <s v="&lt;null&gt;"/>
    <s v="WWV/INV/N399/2"/>
    <n v="100"/>
    <n v="41824.07"/>
    <n v="24000"/>
    <n v="0"/>
    <n v="17824.07"/>
    <n v="41824.07"/>
    <n v="24000"/>
    <n v="0"/>
    <n v="17824.07"/>
  </r>
  <r>
    <x v="1157"/>
    <x v="1157"/>
    <s v="Verkeersveiligheid"/>
    <x v="5"/>
    <n v="1405"/>
    <s v="IN/001247"/>
    <s v="Beveiliging oversteken Bijlanderpad"/>
    <s v="Uitvoering conform PCV"/>
    <s v="Kleine Ingreep"/>
    <s v="WWV/INV/N331/2"/>
    <b v="1"/>
    <s v="Ingreep wordt opgevolgd in BOD"/>
    <n v="11566"/>
    <s v="WWV/INV/2021/10-1"/>
    <n v="95901"/>
    <n v="21052434"/>
    <s v="&lt;p&gt;Relance gevaarlijke punten proefproject wegen West-Vlaanderen (MIA) Perceel 1: Regio Westhoek- wegenis&lt;/p&gt;"/>
    <x v="10"/>
    <n v="7180"/>
    <s v="Bijlanderpad Ieper N331/N336 Kemmelseweg en Rijselseweg"/>
    <s v="&lt;null&gt;"/>
    <s v="WWV/INV/N331/2"/>
    <n v="100"/>
    <n v="183000"/>
    <n v="9200"/>
    <n v="0"/>
    <n v="0"/>
    <n v="183000"/>
    <n v="9200"/>
    <n v="0"/>
    <n v="0"/>
  </r>
  <r>
    <x v="1158"/>
    <x v="1158"/>
    <s v="Verkeersveiligheid"/>
    <x v="5"/>
    <n v="1406"/>
    <s v="IN/001248"/>
    <s v="Poorteffect N314 Mesen"/>
    <s v="Aanleg van een poorteffect op de N314 bij het binnenrijden van Mesen, vóór Covameat."/>
    <s v="Kleine Ingreep"/>
    <s v="WWV/INV/N314/2"/>
    <b v="1"/>
    <s v="Ingreep wordt opgevolgd in BOD"/>
    <n v="11566"/>
    <s v="WWV/INV/2021/10-1"/>
    <n v="95901"/>
    <n v="21052434"/>
    <s v="&lt;p&gt;Relance gevaarlijke punten proefproject wegen West-Vlaanderen (MIA) Perceel 1: Regio Westhoek- wegenis&lt;/p&gt;"/>
    <x v="10"/>
    <n v="7181"/>
    <s v="Poorteffect N314 Mesen"/>
    <s v="&lt;null&gt;"/>
    <s v="WWV/INV/N314/2"/>
    <n v="100"/>
    <n v="83000"/>
    <n v="0"/>
    <n v="0"/>
    <n v="21874"/>
    <n v="83000"/>
    <n v="0"/>
    <n v="0"/>
    <n v="21874"/>
  </r>
  <r>
    <x v="1159"/>
    <x v="1159"/>
    <s v="Verkeersveiligheid"/>
    <x v="5"/>
    <n v="1407"/>
    <s v="IN/001249"/>
    <s v="Verbeteren oversteekbaarheid fietsers N38"/>
    <s v="Verplaatsen fietspad, creëren nieuwe oversteek over de N38 en over de N313 conform PCV. Aanleg nieuwe bushaltes ikv nieuwe lijnvoering."/>
    <s v="Kleine Ingreep"/>
    <s v="WWV/INV/N38/3"/>
    <b v="1"/>
    <s v="Ingreep wordt opgevolgd in BOD"/>
    <n v="11566"/>
    <s v="WWV/INV/2021/10-1"/>
    <n v="95851"/>
    <n v="21050442"/>
    <s v="&lt;p&gt;Relance proefproject wegen West-Vlaanderen (MIA) Perceel 1: Regio Westhoek - fietspaden&lt;/p&gt;"/>
    <x v="2"/>
    <n v="7183"/>
    <s v="Hogeziekenweg N38/N313 Langemark Poelkapelle"/>
    <s v="&lt;null&gt;"/>
    <s v="WWV/INV/N38/3"/>
    <n v="100"/>
    <n v="225000"/>
    <n v="0"/>
    <n v="0"/>
    <n v="194300"/>
    <n v="225000"/>
    <n v="0"/>
    <n v="0"/>
    <n v="194300"/>
  </r>
  <r>
    <x v="1160"/>
    <x v="1160"/>
    <s v="Verkeersveiligheid"/>
    <x v="5"/>
    <n v="1408"/>
    <s v="IN/001250"/>
    <s v="Vrijliggend maken fietspaden op rotonde."/>
    <s v="&lt;null&gt;"/>
    <s v="Kleine Ingreep"/>
    <s v="WWV/INV/N313/4"/>
    <b v="1"/>
    <s v="Ingreep wordt opgevolgd in BOD"/>
    <n v="11566"/>
    <s v="WWV/INV/2021/10-1"/>
    <n v="95851"/>
    <n v="21050442"/>
    <s v="&lt;p&gt;Relance proefproject wegen West-Vlaanderen (MIA) Perceel 1: Regio Westhoek - fietspaden&lt;/p&gt;"/>
    <x v="2"/>
    <n v="7184"/>
    <s v="Guynemer N313 Langemark Poelkapelle"/>
    <s v="&lt;null&gt;"/>
    <s v="WWV/INV/N313/4"/>
    <n v="100"/>
    <n v="40000"/>
    <n v="0"/>
    <n v="0"/>
    <n v="40000"/>
    <n v="40000"/>
    <n v="0"/>
    <n v="0"/>
    <n v="40000"/>
  </r>
  <r>
    <x v="1160"/>
    <x v="1160"/>
    <s v="Verkeersveiligheid"/>
    <x v="5"/>
    <n v="1408"/>
    <s v="IN/001250"/>
    <s v="Vrijliggend maken fietspaden op rotonde."/>
    <s v="&lt;null&gt;"/>
    <s v="Kleine Ingreep"/>
    <s v="WWV/INV/N313/4"/>
    <b v="1"/>
    <s v="Ingreep wordt opgevolgd in BOD"/>
    <n v="10520"/>
    <s v="VWT/WU/2020/007.005"/>
    <n v="106851"/>
    <s v="21013956-bis"/>
    <s v="&lt;p&gt;2021 Basisvastleggingen op 3MH210 - lijn 41280-2&lt;/p&gt;"/>
    <x v="0"/>
    <n v="9948"/>
    <s v="VVOP N313 kmp. 8,94 Guynemerplein t.h.v. huisnr. 6 Langemark-Poelkapelle"/>
    <s v="&lt;p&gt;KP/001699 - IN/001250 - MIA&lt;/p&gt;"/>
    <s v="WWV/INV/N313/4"/>
    <n v="100"/>
    <n v="26000"/>
    <n v="0"/>
    <n v="0"/>
    <n v="21124.51"/>
    <n v="26000"/>
    <n v="0"/>
    <n v="0"/>
    <n v="21124.51"/>
  </r>
  <r>
    <x v="1161"/>
    <x v="1161"/>
    <s v="Verkeersveiligheid"/>
    <x v="5"/>
    <n v="1409"/>
    <s v="IN/001251"/>
    <s v="Poorteffect Geluwe"/>
    <s v="Poorteffect bij het binnenrijden van de bebouwde kom Geluwe."/>
    <s v="Kleine Ingreep"/>
    <s v="WWV/INV/N8/29"/>
    <b v="1"/>
    <s v="Ingreep wordt opgevolgd in BOD"/>
    <n v="11566"/>
    <s v="WWV/INV/2021/10-1"/>
    <n v="95901"/>
    <n v="21052434"/>
    <s v="&lt;p&gt;Relance gevaarlijke punten proefproject wegen West-Vlaanderen (MIA) Perceel 1: Regio Westhoek- wegenis&lt;/p&gt;"/>
    <x v="10"/>
    <n v="7182"/>
    <s v="Poorteffect Geluwe"/>
    <s v="&lt;null&gt;"/>
    <s v="WWV/INV/N8/29"/>
    <n v="100"/>
    <n v="161000"/>
    <n v="161000"/>
    <n v="0"/>
    <n v="0"/>
    <n v="161000"/>
    <n v="161000"/>
    <n v="0"/>
    <n v="0"/>
  </r>
  <r>
    <x v="1162"/>
    <x v="1162"/>
    <s v="Verkeersveiligheid"/>
    <x v="5"/>
    <n v="1410"/>
    <s v="IN/001252"/>
    <s v="Aanleg dubbelrichtingsfietspad tussen de Victoriastraat en de Galooiestraat"/>
    <s v="Missing link lokaal fietsnetwerk."/>
    <s v="Kleine Ingreep"/>
    <s v="WWV/INV/N322/3"/>
    <b v="1"/>
    <s v="Ingreep wordt opgevolgd in BOD"/>
    <n v="11566"/>
    <s v="WWV/INV/2021/10-1"/>
    <n v="95851"/>
    <n v="21050442"/>
    <s v="&lt;p&gt;Relance proefproject wegen West-Vlaanderen (MIA) Perceel 1: Regio Westhoek - fietspaden&lt;/p&gt;"/>
    <x v="2"/>
    <n v="7185"/>
    <s v="N322 Heuvelland verbinding fietsroutes"/>
    <s v="&lt;null&gt;"/>
    <s v="WWV/INV/N322/3"/>
    <n v="100"/>
    <n v="180000"/>
    <n v="0"/>
    <n v="0"/>
    <n v="149300"/>
    <n v="180000"/>
    <n v="0"/>
    <n v="0"/>
    <n v="149300"/>
  </r>
  <r>
    <x v="1163"/>
    <x v="1163"/>
    <s v="Verkeersveiligheid"/>
    <x v="4"/>
    <n v="1411"/>
    <s v="IN/001253"/>
    <s v="Fietsoversteek Bovekerkestraat"/>
    <s v="Creëren fietsoversteek met rustpunt ter hoogte van de Bovekerkestraat"/>
    <s v="Kleine Ingreep"/>
    <s v="WWV/INV/N363/2"/>
    <b v="1"/>
    <s v="Ingreep wordt opgevolgd in BOD"/>
    <n v="11566"/>
    <s v="WWV/INV/2021/10-1"/>
    <n v="95851"/>
    <n v="21050442"/>
    <s v="&lt;p&gt;Relance proefproject wegen West-Vlaanderen (MIA) Perceel 1: Regio Westhoek - fietspaden&lt;/p&gt;"/>
    <x v="2"/>
    <n v="7186"/>
    <s v="N363 Koekelare"/>
    <s v="&lt;null&gt;"/>
    <s v="WWV/INV/N363/2"/>
    <n v="0"/>
    <n v="183881.5"/>
    <n v="183881.5"/>
    <n v="0"/>
    <n v="0"/>
    <n v="0"/>
    <n v="0"/>
    <n v="0"/>
    <n v="0"/>
  </r>
  <r>
    <x v="1164"/>
    <x v="1164"/>
    <s v="Verkeersveiligheid"/>
    <x v="5"/>
    <n v="1411"/>
    <s v="IN/001253"/>
    <s v="Fietsoversteek Bovekerkestraat"/>
    <s v="Creëren fietsoversteek met rustpunt ter hoogte van de Bovekerkestraat"/>
    <s v="Kleine Ingreep"/>
    <s v="WWV/INV/N363/2"/>
    <b v="1"/>
    <s v="Ingreep wordt opgevolgd in BOD"/>
    <n v="11566"/>
    <s v="WWV/INV/2021/10-1"/>
    <n v="95851"/>
    <n v="21050442"/>
    <s v="&lt;p&gt;Relance proefproject wegen West-Vlaanderen (MIA) Perceel 1: Regio Westhoek - fietspaden&lt;/p&gt;"/>
    <x v="2"/>
    <n v="7186"/>
    <s v="N363 Koekelare"/>
    <s v="&lt;null&gt;"/>
    <s v="WWV/INV/N363/2"/>
    <n v="100"/>
    <n v="183881.5"/>
    <n v="183881.5"/>
    <n v="0"/>
    <n v="0"/>
    <n v="183881.5"/>
    <n v="183881.5"/>
    <n v="0"/>
    <n v="0"/>
  </r>
  <r>
    <x v="1165"/>
    <x v="1165"/>
    <s v="Verkeersveiligheid"/>
    <x v="5"/>
    <n v="1412"/>
    <s v="IN/001254"/>
    <s v="Beveiligen kruispunt Eikenlaan"/>
    <s v="Aanleg in- en uitvoegstrook van en naar de Eikenlaan"/>
    <s v="Kleine Ingreep"/>
    <s v="WWV/INV/N382/12"/>
    <b v="1"/>
    <s v="Ingreep wordt opgevolgd in BOD"/>
    <n v="11567"/>
    <s v="WWV/INV/2021/10-2"/>
    <n v="96001"/>
    <n v="21052437"/>
    <s v="&lt;p&gt;Relance gevaarlijke punten proefproject wegen West-Vlaanderen (MIA) Perceel 2: Regio Kortrijk&lt;/p&gt;"/>
    <x v="10"/>
    <n v="7178"/>
    <s v="Renthuisstraat Eikenlaan N382 Wevelgem"/>
    <s v="&lt;null&gt;"/>
    <s v="WWV/INV/N382/12"/>
    <n v="100"/>
    <n v="300000"/>
    <n v="0"/>
    <n v="0"/>
    <n v="282272"/>
    <n v="300000"/>
    <n v="0"/>
    <n v="0"/>
    <n v="282272"/>
  </r>
  <r>
    <x v="1035"/>
    <x v="1035"/>
    <s v="Verkeersveiligheid"/>
    <x v="4"/>
    <n v="1413"/>
    <s v="IN/001255"/>
    <s v="Herindeling wegvak N494 Wortegemsesteenweg"/>
    <s v="Versmallen rijweg, asverschuivingen, herindeling rijweg. Binnen bebouwde kom."/>
    <s v="Kleine Ingreep"/>
    <s v="WWV/INV/N494/2"/>
    <b v="1"/>
    <s v="Ingreep wordt opgevolgd in BOD"/>
    <n v="11567"/>
    <s v="WWV/INV/2021/10-2"/>
    <n v="95951"/>
    <n v="21050452"/>
    <s v="&lt;p&gt;Relance proefproject wegen West-Vlaanderen (MIA) Perceel 2: Regio Kortrijk - fiets&lt;/p&gt;"/>
    <x v="2"/>
    <n v="7173"/>
    <s v="N494 Anzegem binnen bebouwde kom"/>
    <s v="&lt;null&gt;"/>
    <s v="WWV/INV/N494/2"/>
    <n v="50"/>
    <n v="320000"/>
    <n v="0"/>
    <n v="36104.741900000001"/>
    <n v="283895.25809999998"/>
    <n v="160000"/>
    <n v="0"/>
    <n v="18052.37095"/>
    <n v="141947.62904999999"/>
  </r>
  <r>
    <x v="1166"/>
    <x v="1166"/>
    <s v="Verkeersveiligheid"/>
    <x v="5"/>
    <n v="1413"/>
    <s v="IN/001255"/>
    <s v="Herindeling wegvak N494 Wortegemsesteenweg"/>
    <s v="Versmallen rijweg, asverschuivingen, herindeling rijweg. Binnen bebouwde kom."/>
    <s v="Kleine Ingreep"/>
    <s v="WWV/INV/N494/2"/>
    <b v="1"/>
    <s v="Ingreep wordt opgevolgd in BOD"/>
    <n v="11567"/>
    <s v="WWV/INV/2021/10-2"/>
    <n v="95951"/>
    <n v="21050452"/>
    <s v="&lt;p&gt;Relance proefproject wegen West-Vlaanderen (MIA) Perceel 2: Regio Kortrijk - fiets&lt;/p&gt;"/>
    <x v="2"/>
    <n v="7173"/>
    <s v="N494 Anzegem binnen bebouwde kom"/>
    <s v="&lt;null&gt;"/>
    <s v="WWV/INV/N494/2"/>
    <n v="50"/>
    <n v="320000"/>
    <n v="0"/>
    <n v="36104.741900000001"/>
    <n v="283895.25809999998"/>
    <n v="160000"/>
    <n v="0"/>
    <n v="18052.37095"/>
    <n v="141947.62904999999"/>
  </r>
  <r>
    <x v="1167"/>
    <x v="1167"/>
    <s v="Verkeersveiligheid"/>
    <x v="5"/>
    <n v="1414"/>
    <s v="IN/001256"/>
    <s v="Beveiligen ontsluiting Menen-Grensland"/>
    <s v="&lt;null&gt;"/>
    <s v="Kleine Ingreep"/>
    <s v="WWV/INV/N338/1"/>
    <b v="1"/>
    <s v="Ingreep wordt opgevolgd in BOD"/>
    <s v="&lt;null&gt;"/>
    <s v="&lt;null&gt;"/>
    <n v="95951"/>
    <n v="21050452"/>
    <s v="&lt;p&gt;Relance proefproject wegen West-Vlaanderen (MIA) Perceel 2: Regio Kortrijk - fiets&lt;/p&gt;"/>
    <x v="2"/>
    <n v="7174"/>
    <s v="N338 Ontsluiting Menen Grensland"/>
    <s v="&lt;null&gt;"/>
    <s v="WWV/INV/N338/1"/>
    <n v="100"/>
    <n v="60000"/>
    <n v="0"/>
    <n v="0"/>
    <n v="60000"/>
    <n v="60000"/>
    <n v="0"/>
    <n v="0"/>
    <n v="60000"/>
  </r>
  <r>
    <x v="1168"/>
    <x v="1168"/>
    <s v="Verkeersveiligheid"/>
    <x v="5"/>
    <n v="1415"/>
    <s v="IN/001257"/>
    <s v="Beveiligen wegvak tussen Lendelede en Kuurne"/>
    <s v="Aanleg middenberm om inhaalmanoeuvres die aanleiding geven tot frontale ongevallen uit te sluiten."/>
    <s v="Kleine Ingreep"/>
    <s v="WWV/INV/N36/11"/>
    <b v="1"/>
    <s v="Ingreep wordt opgevolgd in BOD"/>
    <n v="11567"/>
    <s v="WWV/INV/2021/10-2"/>
    <n v="96001"/>
    <n v="21052437"/>
    <s v="&lt;p&gt;Relance gevaarlijke punten proefproject wegen West-Vlaanderen (MIA) Perceel 2: Regio Kortrijk&lt;/p&gt;"/>
    <x v="10"/>
    <n v="7179"/>
    <s v="N36 Lendelede"/>
    <s v="&lt;null&gt;"/>
    <s v="WWV/INV/N36/11"/>
    <n v="100"/>
    <n v="195000"/>
    <n v="0"/>
    <n v="0"/>
    <n v="177272"/>
    <n v="195000"/>
    <n v="0"/>
    <n v="0"/>
    <n v="177272"/>
  </r>
  <r>
    <x v="1169"/>
    <x v="1169"/>
    <s v="Verkeersveiligheid"/>
    <x v="5"/>
    <n v="1416"/>
    <s v="IN/001258"/>
    <s v="Optimaliseren kruispunt"/>
    <s v="Naar aanleiding van de afbraak van het hoekgebouw in de noordwestelijke hoek van het kruispunt wordt het kruispunt geoptimaliseerd."/>
    <s v="Kleine Ingreep"/>
    <s v="WWV/INV/N8/28"/>
    <b v="1"/>
    <s v="Ingreep wordt opgevolgd in BOD"/>
    <s v="&lt;null&gt;"/>
    <s v="&lt;null&gt;"/>
    <n v="95951"/>
    <n v="21050452"/>
    <s v="&lt;p&gt;Relance proefproject wegen West-Vlaanderen (MIA) Perceel 2: Regio Kortrijk - fiets&lt;/p&gt;"/>
    <x v="2"/>
    <n v="7175"/>
    <s v="N8 Wevelgem Moorselestraat"/>
    <s v="&lt;null&gt;"/>
    <s v="WWV/INV/N8/28"/>
    <n v="100"/>
    <n v="60000"/>
    <n v="0"/>
    <n v="0"/>
    <n v="60000"/>
    <n v="60000"/>
    <n v="0"/>
    <n v="0"/>
    <n v="60000"/>
  </r>
  <r>
    <x v="1170"/>
    <x v="1170"/>
    <s v="Verkeersveiligheid"/>
    <x v="5"/>
    <n v="1417"/>
    <s v="IN/001259"/>
    <s v="aanleg oversteken en fietspad tussen Schelde en Nijverheidslaan"/>
    <s v="Aanleg dubbelrichtingsfietspad en oversteken."/>
    <s v="Kleine Ingreep"/>
    <s v="WWV/INV/N391/2"/>
    <b v="1"/>
    <s v="Ingreep wordt opgevolgd in BOD"/>
    <n v="11567"/>
    <s v="WWV/INV/2021/10-2"/>
    <n v="95951"/>
    <n v="21050452"/>
    <s v="&lt;p&gt;Relance proefproject wegen West-Vlaanderen (MIA) Perceel 2: Regio Kortrijk - fiets&lt;/p&gt;"/>
    <x v="2"/>
    <n v="7176"/>
    <s v="N391a Balcaenstraat Nijverheidslaan Avelgem"/>
    <s v="&lt;null&gt;"/>
    <s v="WWV/INV/N391/2"/>
    <n v="100"/>
    <n v="160000"/>
    <n v="0"/>
    <n v="0"/>
    <n v="142272"/>
    <n v="160000"/>
    <n v="0"/>
    <n v="0"/>
    <n v="142272"/>
  </r>
  <r>
    <x v="1171"/>
    <x v="1171"/>
    <s v="Verkeersveiligheid"/>
    <x v="5"/>
    <n v="1418"/>
    <s v="IN/001260"/>
    <s v="herindeling wegvak"/>
    <s v="markeren ontbrekend stuk fietspad, herindelen openbare weg, oversteek Guldensporenpad."/>
    <s v="Kleine Ingreep"/>
    <s v="WWV/INV/N353/3"/>
    <b v="1"/>
    <s v="Ingreep wordt opgevolgd in BOD"/>
    <n v="11567"/>
    <s v="WWV/INV/2021/10-2"/>
    <n v="95951"/>
    <n v="21050452"/>
    <s v="&lt;p&gt;Relance proefproject wegen West-Vlaanderen (MIA) Perceel 2: Regio Kortrijk - fiets&lt;/p&gt;"/>
    <x v="14"/>
    <n v="7177"/>
    <s v="N353 N8 middengeleiders Avelgem"/>
    <s v="&lt;null&gt;"/>
    <s v="WWV/INV/N353/3"/>
    <n v="100"/>
    <n v="70000"/>
    <n v="0"/>
    <n v="70000"/>
    <n v="0"/>
    <n v="70000"/>
    <n v="0"/>
    <n v="70000"/>
    <n v="0"/>
  </r>
  <r>
    <x v="1171"/>
    <x v="1171"/>
    <s v="Verkeersveiligheid"/>
    <x v="5"/>
    <n v="1418"/>
    <s v="IN/001260"/>
    <s v="herindeling wegvak"/>
    <s v="markeren ontbrekend stuk fietspad, herindelen openbare weg, oversteek Guldensporenpad."/>
    <s v="Kleine Ingreep"/>
    <s v="WWV/INV/N353/3"/>
    <b v="1"/>
    <s v="Ingreep wordt opgevolgd in BOD"/>
    <n v="10520"/>
    <s v="VWT/WU/2020/007.005"/>
    <n v="124951"/>
    <n v="22018475"/>
    <s v="&lt;p&gt;Avelgem - N353 - Doorniksesteenweg t.h.v. kmp. 0,3 - Voorzien van een punctuele verlichting voor een gecombineerde oversteek voor fietsers en voetgangers t.h.v. de fietssnelweg F45.&lt;/p&gt;&lt;p&gt;KP/001709 - IN/001260 - Programmanummer 41886-1.&lt;/p&gt;"/>
    <x v="2"/>
    <n v="8555"/>
    <s v="&lt;null&gt;"/>
    <s v="&lt;p&gt;Avelgem - N353 - Doorniksesteenweg t.h.v. kmp. 0,3 - Voorzien van een punctuele verlichting voor een gecombineerde oversteek voor fietsers en voetgangers t.h.v. de fietssnelweg F45.&lt;/p&gt;&lt;p&gt;KP/001709 - IN/001260 - Programmanummer 41886-1.&lt;/p&gt;"/>
    <s v="WWV/INV/N353/3"/>
    <n v="100"/>
    <n v="24025.8"/>
    <n v="0"/>
    <n v="0"/>
    <n v="0"/>
    <n v="24025.8"/>
    <n v="0"/>
    <n v="0"/>
    <n v="0"/>
  </r>
  <r>
    <x v="1172"/>
    <x v="1172"/>
    <s v="Verkeersveiligheid"/>
    <x v="5"/>
    <n v="1419"/>
    <s v="IN/001261"/>
    <s v="Aanpassing fietsinfrastructuur op het lichtengeregeld kruispunt"/>
    <s v="Herinrichting kruispunt N399/N327"/>
    <s v="Kleine Ingreep"/>
    <s v="WWV/INV/N327/4"/>
    <b v="1"/>
    <s v="Ingreep wordt opgevolgd in BOD"/>
    <s v="&lt;null&gt;"/>
    <s v="&lt;null&gt;"/>
    <n v="96051"/>
    <n v="21052431"/>
    <s v="&lt;p&gt;Relance gevaarlijke punten proefproject wegen West-Vlaanderen (MIA) Perceel 3: Regio Midwest&lt;/p&gt;"/>
    <x v="10"/>
    <n v="9206"/>
    <s v="N327/N399 Tielt"/>
    <s v="&lt;null&gt;"/>
    <s v="WWV/INV/N327/4"/>
    <n v="100"/>
    <n v="345867.77"/>
    <n v="0"/>
    <n v="0"/>
    <n v="345867.77"/>
    <n v="345867.77"/>
    <n v="0"/>
    <n v="0"/>
    <n v="345867.77"/>
  </r>
  <r>
    <x v="1173"/>
    <x v="1173"/>
    <s v="Verkeersveiligheid"/>
    <x v="4"/>
    <n v="1420"/>
    <s v="IN/001262"/>
    <s v="Creëren rustpunt tvv fietssnelweg F351"/>
    <s v="Sluit aan op fietspadenproject provincie"/>
    <s v="Kleine Ingreep"/>
    <s v="WWV/INV/N36/10"/>
    <b v="1"/>
    <s v="Ingreep wordt opgevolgd in BOD"/>
    <n v="11568"/>
    <s v="WWV/INV/2021/10-3"/>
    <n v="96101"/>
    <n v="21050402"/>
    <s v="&lt;p&gt;Relance proefproject wegen West-Vlaanderen (MIA) Perceel 3: Regio Midwest - fiets&lt;/p&gt;"/>
    <x v="2"/>
    <n v="6838"/>
    <s v="N36 fietsoversteek Staden"/>
    <s v="&lt;null&gt;"/>
    <s v="WWV/INV/N36/10"/>
    <n v="10"/>
    <n v="53058.2"/>
    <n v="33952.879999999997"/>
    <n v="0"/>
    <n v="19105.32"/>
    <n v="5305.82"/>
    <n v="3395.288"/>
    <n v="0"/>
    <n v="1910.5319999999999"/>
  </r>
  <r>
    <x v="1174"/>
    <x v="1174"/>
    <s v="Verkeersveiligheid"/>
    <x v="5"/>
    <n v="1420"/>
    <s v="IN/001262"/>
    <s v="Creëren rustpunt tvv fietssnelweg F351"/>
    <s v="Sluit aan op fietspadenproject provincie"/>
    <s v="Kleine Ingreep"/>
    <s v="WWV/INV/N36/10"/>
    <b v="1"/>
    <s v="Ingreep wordt opgevolgd in BOD"/>
    <n v="11568"/>
    <s v="WWV/INV/2021/10-3"/>
    <n v="96101"/>
    <n v="21050402"/>
    <s v="&lt;p&gt;Relance proefproject wegen West-Vlaanderen (MIA) Perceel 3: Regio Midwest - fiets&lt;/p&gt;"/>
    <x v="2"/>
    <n v="6838"/>
    <s v="N36 fietsoversteek Staden"/>
    <s v="&lt;null&gt;"/>
    <s v="WWV/INV/N36/10"/>
    <n v="90"/>
    <n v="53058.2"/>
    <n v="33952.879999999997"/>
    <n v="0"/>
    <n v="19105.32"/>
    <n v="47752.38"/>
    <n v="30557.592000000001"/>
    <n v="0"/>
    <n v="17194.788"/>
  </r>
  <r>
    <x v="1175"/>
    <x v="1175"/>
    <s v="Verkeersveiligheid"/>
    <x v="4"/>
    <n v="1421"/>
    <s v="IN/001263"/>
    <s v="Kruispunt N50904 - N357"/>
    <s v="Beveiligen kruispunt N357 met de Spoorwegstraat"/>
    <s v="Kleine Ingreep"/>
    <s v="WWV/INV/N357/7"/>
    <b v="1"/>
    <s v="Ingreep wordt opgevolgd in BOD"/>
    <n v="11568"/>
    <s v="WWV/INV/2021/10-3"/>
    <n v="96051"/>
    <n v="21052431"/>
    <s v="&lt;p&gt;Relance gevaarlijke punten proefproject wegen West-Vlaanderen (MIA) Perceel 3: Regio Midwest&lt;/p&gt;"/>
    <x v="10"/>
    <n v="6953"/>
    <s v="N50d/N357 Ingelmunster"/>
    <s v="&lt;null&gt;"/>
    <s v="WWV/INV/N357/7"/>
    <n v="5"/>
    <n v="100000"/>
    <n v="0"/>
    <n v="0"/>
    <n v="58248.27"/>
    <n v="5000"/>
    <n v="0"/>
    <n v="0"/>
    <n v="2912.4135000000001"/>
  </r>
  <r>
    <x v="1176"/>
    <x v="1176"/>
    <s v="Verkeersveiligheid"/>
    <x v="4"/>
    <n v="1421"/>
    <s v="IN/001263"/>
    <s v="Kruispunt N50904 - N357"/>
    <s v="Beveiligen kruispunt N357 met de Spoorwegstraat"/>
    <s v="Kleine Ingreep"/>
    <s v="WWV/INV/N357/7"/>
    <b v="1"/>
    <s v="Ingreep wordt opgevolgd in BOD"/>
    <n v="11568"/>
    <s v="WWV/INV/2021/10-3"/>
    <n v="96051"/>
    <n v="21052431"/>
    <s v="&lt;p&gt;Relance gevaarlijke punten proefproject wegen West-Vlaanderen (MIA) Perceel 3: Regio Midwest&lt;/p&gt;"/>
    <x v="10"/>
    <n v="6953"/>
    <s v="N50d/N357 Ingelmunster"/>
    <s v="&lt;null&gt;"/>
    <s v="WWV/INV/N357/7"/>
    <n v="5"/>
    <n v="100000"/>
    <n v="0"/>
    <n v="0"/>
    <n v="58248.27"/>
    <n v="5000"/>
    <n v="0"/>
    <n v="0"/>
    <n v="2912.4135000000001"/>
  </r>
  <r>
    <x v="1177"/>
    <x v="1177"/>
    <s v="Verkeersveiligheid"/>
    <x v="5"/>
    <n v="1421"/>
    <s v="IN/001263"/>
    <s v="Kruispunt N50904 - N357"/>
    <s v="Beveiligen kruispunt N357 met de Spoorwegstraat"/>
    <s v="Kleine Ingreep"/>
    <s v="WWV/INV/N357/7"/>
    <b v="1"/>
    <s v="Ingreep wordt opgevolgd in BOD"/>
    <n v="11568"/>
    <s v="WWV/INV/2021/10-3"/>
    <n v="96051"/>
    <n v="21052431"/>
    <s v="&lt;p&gt;Relance gevaarlijke punten proefproject wegen West-Vlaanderen (MIA) Perceel 3: Regio Midwest&lt;/p&gt;"/>
    <x v="10"/>
    <n v="6953"/>
    <s v="N50d/N357 Ingelmunster"/>
    <s v="&lt;null&gt;"/>
    <s v="WWV/INV/N357/7"/>
    <n v="90"/>
    <n v="100000"/>
    <n v="0"/>
    <n v="0"/>
    <n v="58248.27"/>
    <n v="90000"/>
    <n v="0"/>
    <n v="0"/>
    <n v="52423.442999999999"/>
  </r>
  <r>
    <x v="1178"/>
    <x v="1178"/>
    <s v="Fiets"/>
    <x v="0"/>
    <n v="1422"/>
    <s v="IN/001264"/>
    <s v="Fietsrelance R22 VIlvoorde / Grimbergen- overlagen vrijliggende fietspaden"/>
    <s v="R22 Vilvoorde / Grimbergen - frezen 3cm beton en aanlag toplaag AB-4D 3 cm"/>
    <s v="Kleine Ingreep"/>
    <s v="WVB/INV/R22/3"/>
    <b v="1"/>
    <s v="Ingreep wordt opgevolgd in BOD"/>
    <n v="10964"/>
    <s v="AWV/INV/2021/1_P2"/>
    <n v="82601"/>
    <n v="21022713"/>
    <s v="&lt;p&gt;Relance fiets&lt;/p&gt;"/>
    <x v="0"/>
    <n v="6836"/>
    <s v="R22 Vilvoorde / Grimbergen - Tim Ver Eycken"/>
    <s v="&lt;null&gt;"/>
    <s v="WVB/INV/R22/3"/>
    <n v="100"/>
    <n v="207000"/>
    <n v="197176.3498"/>
    <n v="0"/>
    <n v="2762.1"/>
    <n v="207000"/>
    <n v="197176.3498"/>
    <n v="0"/>
    <n v="2762.1"/>
  </r>
  <r>
    <x v="1179"/>
    <x v="1179"/>
    <s v="Fiets"/>
    <x v="0"/>
    <n v="1423"/>
    <s v="IN/001265"/>
    <s v="Fietsrelance N4 - vervangen klinkers door asfaltverharding"/>
    <s v="N4 Overijse - uitbreken klinkers en aanleg verharding KWS - Plaatselijk aanleg / vervangen boordstenen"/>
    <s v="Kleine Ingreep"/>
    <s v="WVB/INV/N4/7"/>
    <b v="1"/>
    <s v="Ingreep wordt opgevolgd in BOD"/>
    <n v="10964"/>
    <s v="AWV/INV/2021/1_P2"/>
    <n v="82601"/>
    <n v="21022713"/>
    <s v="&lt;p&gt;Relance fiets&lt;/p&gt;"/>
    <x v="0"/>
    <n v="6837"/>
    <s v="N4 Overijse Tim Ver Eycken / Jeroen Bollion"/>
    <s v="&lt;null&gt;"/>
    <s v="WVB/INV/N4/7"/>
    <n v="100"/>
    <n v="339367.09"/>
    <n v="0"/>
    <n v="0"/>
    <n v="0"/>
    <n v="339367.09"/>
    <n v="0"/>
    <n v="0"/>
    <n v="0"/>
  </r>
  <r>
    <x v="18"/>
    <x v="18"/>
    <s v="&lt;null&gt;"/>
    <x v="3"/>
    <n v="1424"/>
    <s v="IN/001266"/>
    <s v="DUBBEL AANGEMAAKT - MAG VERWIJERD WORDEN"/>
    <s v="N26 - Aanleg vrijliggende fietspaden tussen Pontstraat/Audenhovelaan en Kallebeekstraat\n        - Aanpassen kruispunten nav VT/PCV/BOO/N26/2238"/>
    <s v="Structurele Ingreep"/>
    <s v="&lt;null&gt;"/>
    <b v="0"/>
    <s v="Ingreep wordt niet opgevolgd in BOD"/>
    <s v="&lt;null&gt;"/>
    <s v="&lt;null&gt;"/>
    <s v="&lt;null&gt;"/>
    <s v="&lt;null&gt;"/>
    <s v="&lt;null&gt;"/>
    <x v="0"/>
    <s v="&lt;null&gt;"/>
    <s v="&lt;null&gt;"/>
    <s v="&lt;null&gt;"/>
    <s v="&lt;null&gt;"/>
    <s v="&lt;null&gt;"/>
    <s v="&lt;null&gt;"/>
    <s v="&lt;null&gt;"/>
    <s v="&lt;null&gt;"/>
    <s v="&lt;null&gt;"/>
    <m/>
    <m/>
    <m/>
    <m/>
  </r>
  <r>
    <x v="1180"/>
    <x v="1180"/>
    <s v="Verkeersveiligheid"/>
    <x v="4"/>
    <n v="1425"/>
    <s v="IN/001267"/>
    <s v="Fietsrelance N26 Boortmeerbeek  - Aanleggen vrijliggende fietspaden + aanpassen kruispunten nav PCV Tussen Pontsraat/Audenhovenlaan en Kallebeekstraat"/>
    <s v="N26 Boortmeerbeek  - Aanleggen vrijliggende fietspaden + aanpassen kruispunten nav PCV Tussen Pontsraat/Audenhovenlaan en Kallebeekstraat\nVT/PCV/BOO/N26/2238"/>
    <s v="Kleine Ingreep"/>
    <s v="WVB/INV/N26/15"/>
    <b v="1"/>
    <s v="Ingreep wordt opgevolgd in BOD"/>
    <n v="11865"/>
    <s v="AWV/INV/2021/3_P2"/>
    <n v="113351"/>
    <n v="21064994"/>
    <s v="&lt;p&gt;relance schoolroutes&lt;/p&gt;"/>
    <x v="9"/>
    <n v="7733"/>
    <s v="IN/001267 N26 Boortmeerbeek"/>
    <s v="&lt;null&gt;"/>
    <s v="WVB/INV/N26/15"/>
    <n v="30"/>
    <n v="500000"/>
    <n v="0"/>
    <n v="0"/>
    <n v="500000"/>
    <n v="150000"/>
    <n v="0"/>
    <n v="0"/>
    <n v="150000"/>
  </r>
  <r>
    <x v="1181"/>
    <x v="1181"/>
    <s v="Fiets"/>
    <x v="0"/>
    <n v="1425"/>
    <s v="IN/001267"/>
    <s v="Fietsrelance N26 Boortmeerbeek  - Aanleggen vrijliggende fietspaden + aanpassen kruispunten nav PCV Tussen Pontsraat/Audenhovenlaan en Kallebeekstraat"/>
    <s v="N26 Boortmeerbeek  - Aanleggen vrijliggende fietspaden + aanpassen kruispunten nav PCV Tussen Pontsraat/Audenhovenlaan en Kallebeekstraat\nVT/PCV/BOO/N26/2238"/>
    <s v="Kleine Ingreep"/>
    <s v="WVB/INV/N26/15"/>
    <b v="1"/>
    <s v="Ingreep wordt opgevolgd in BOD"/>
    <n v="11865"/>
    <s v="AWV/INV/2021/3_P2"/>
    <n v="113351"/>
    <n v="21064994"/>
    <s v="&lt;p&gt;relance schoolroutes&lt;/p&gt;"/>
    <x v="9"/>
    <n v="7733"/>
    <s v="IN/001267 N26 Boortmeerbeek"/>
    <s v="&lt;null&gt;"/>
    <s v="WVB/INV/N26/15"/>
    <n v="70"/>
    <n v="500000"/>
    <n v="0"/>
    <n v="0"/>
    <n v="500000"/>
    <n v="350000"/>
    <n v="0"/>
    <n v="0"/>
    <n v="350000"/>
  </r>
  <r>
    <x v="217"/>
    <x v="217"/>
    <s v="Fiets"/>
    <x v="0"/>
    <n v="1426"/>
    <s v="IN/001268"/>
    <s v="Fietsrelance N207 Liedekerke - Muilestraat aanpassen fietspaden"/>
    <s v="Fietsrelance N207 Liedekerke - Muilestraat aanpassen fietspaden na werken EW"/>
    <s v="Kleine Ingreep"/>
    <s v="WVB/INV/N207/4"/>
    <b v="1"/>
    <s v="Ingreep wordt opgevolgd in BOD"/>
    <n v="10964"/>
    <s v="AWV/INV/2021/1_P2"/>
    <n v="82601"/>
    <n v="21022713"/>
    <s v="&lt;p&gt;Relance fiets&lt;/p&gt;"/>
    <x v="0"/>
    <n v="5661"/>
    <s v="N207 Muilenstraat - Fabien Stiénon"/>
    <s v="&lt;null&gt;"/>
    <s v="WVB/INV/N207/4"/>
    <n v="100"/>
    <n v="90125.97"/>
    <n v="0"/>
    <n v="0"/>
    <n v="90125.97"/>
    <n v="90125.97"/>
    <n v="0"/>
    <n v="0"/>
    <n v="90125.97"/>
  </r>
  <r>
    <x v="217"/>
    <x v="217"/>
    <s v="Fiets"/>
    <x v="0"/>
    <n v="1427"/>
    <s v="IN/001269"/>
    <s v="Fietsrelance N207 Liedekerke - Kleemputtenstraat aanpassen fietspaden na werken EW"/>
    <s v="Liedekerke aanpassingen van fietspaden nav aanpassingen VRI-installatie"/>
    <s v="Kleine Ingreep"/>
    <s v="WVB/INV/N207/5"/>
    <b v="0"/>
    <s v="Ingreep wordt niet opgevolgd in BOD"/>
    <s v="&lt;null&gt;"/>
    <s v="&lt;null&gt;"/>
    <n v="79501"/>
    <n v="21042826"/>
    <s v="&lt;p&gt;Relance fiets Vlaams-Brabant: installaties N231xLotsesteenweg 176C7, N231xBrouwerijstraat 179C4, &amp;nbsp;N29 Windberg x Rassel 194C5, N285x Kerkstraat 196C9&lt;/p&gt;"/>
    <x v="2"/>
    <n v="5359"/>
    <s v="Installatie 978C8 - N207 x Kleemputtenstraat - LIEDEKERKE"/>
    <s v="&lt;null&gt;"/>
    <s v="WVB/INV/N207/5"/>
    <n v="100"/>
    <n v="17533.63"/>
    <n v="0"/>
    <n v="0"/>
    <n v="17533.63"/>
    <n v="17533.63"/>
    <n v="0"/>
    <n v="0"/>
    <n v="17533.63"/>
  </r>
  <r>
    <x v="217"/>
    <x v="217"/>
    <s v="Fiets"/>
    <x v="0"/>
    <n v="1427"/>
    <s v="IN/001269"/>
    <s v="Fietsrelance N207 Liedekerke - Kleemputtenstraat aanpassen fietspaden na werken EW"/>
    <s v="Liedekerke aanpassingen van fietspaden nav aanpassingen VRI-installatie"/>
    <s v="Kleine Ingreep"/>
    <s v="WVB/INV/N207/5"/>
    <b v="0"/>
    <s v="Ingreep wordt niet opgevolgd in BOD"/>
    <n v="10964"/>
    <s v="AWV/INV/2021/1_P2"/>
    <n v="82601"/>
    <n v="21022713"/>
    <s v="&lt;p&gt;Relance fiets&lt;/p&gt;"/>
    <x v="0"/>
    <n v="5662"/>
    <s v="N207 Kleemputtenstraat - Fabien Stiénon"/>
    <s v="&lt;null&gt;"/>
    <s v="WVB/INV/N207/5"/>
    <n v="100"/>
    <n v="165484"/>
    <n v="50576.548900000002"/>
    <n v="0"/>
    <n v="23847.481100000001"/>
    <n v="165484"/>
    <n v="50576.548900000002"/>
    <n v="0"/>
    <n v="23847.481100000001"/>
  </r>
  <r>
    <x v="1182"/>
    <x v="1182"/>
    <s v="Verkeersveiligheid"/>
    <x v="4"/>
    <n v="1428"/>
    <s v="IN/001270"/>
    <s v="fietsoversteken met middengeleider (PM studiebureau aan te stellen MC3)"/>
    <m/>
    <s v="Kleine Ingreep"/>
    <s v="WL/INV/N762/5"/>
    <b v="0"/>
    <s v="Ingreep wordt niet opgevolgd in BOD"/>
    <s v="&lt;null&gt;"/>
    <s v="&lt;null&gt;"/>
    <s v="&lt;null&gt;"/>
    <s v="&lt;null&gt;"/>
    <s v="&lt;null&gt;"/>
    <x v="0"/>
    <s v="&lt;null&gt;"/>
    <s v="&lt;null&gt;"/>
    <s v="&lt;null&gt;"/>
    <s v="&lt;null&gt;"/>
    <n v="100"/>
    <s v="&lt;null&gt;"/>
    <s v="&lt;null&gt;"/>
    <s v="&lt;null&gt;"/>
    <s v="&lt;null&gt;"/>
    <m/>
    <m/>
    <m/>
    <m/>
  </r>
  <r>
    <x v="1183"/>
    <x v="1183"/>
    <s v="Verkeersveiligheid"/>
    <x v="4"/>
    <n v="1429"/>
    <s v="IN/001271"/>
    <s v="Knelpunt op schoolroute: aanleg ontbrekend stuk voetpad"/>
    <s v="voetpad"/>
    <s v="Kleine Ingreep"/>
    <s v="WL/INV/N730/24"/>
    <b v="1"/>
    <s v="Ingreep wordt opgevolgd in BOD"/>
    <n v="12817"/>
    <s v="AWV/INV/2021/3_P5"/>
    <n v="135951"/>
    <n v="22015560"/>
    <s v="&lt;p&gt;gevaarlijke punten, scholenroutes&lt;/p&gt;"/>
    <x v="14"/>
    <n v="9826"/>
    <s v="Oudsbergen_N730_KS240_37.315"/>
    <s v="&lt;null&gt;"/>
    <s v="WL/INV/N730/24"/>
    <n v="100"/>
    <n v="13000"/>
    <n v="0"/>
    <n v="0"/>
    <n v="108.87"/>
    <n v="13000"/>
    <n v="0"/>
    <n v="0"/>
    <n v="108.87"/>
  </r>
  <r>
    <x v="1184"/>
    <x v="1184"/>
    <s v="Verkeersveiligheid"/>
    <x v="5"/>
    <n v="1430"/>
    <s v="IN/001272"/>
    <s v="Hermarkeren van linksafslagstrook"/>
    <s v="Verbeteren verkeersveiligheid gemotoriseerd verkeer."/>
    <s v="Kleine Ingreep"/>
    <s v="WL/INV/N2/14"/>
    <b v="1"/>
    <s v="Ingreep wordt opgevolgd in BOD"/>
    <n v="11575"/>
    <s v="WL/INV/2021/8_P2"/>
    <n v="98751"/>
    <n v="21067071"/>
    <s v="&lt;p&gt;werken van Eikenaar in district West&lt;/p&gt;"/>
    <x v="0"/>
    <n v="6872"/>
    <s v="hermarkeren linksafslagstrook N2 Herk-de-Stad"/>
    <s v="&lt;p&gt;Hermarkeren van linksafslagstrook&lt;/p&gt;"/>
    <s v="WL/INV/N2/14"/>
    <n v="100"/>
    <n v="21043.02"/>
    <n v="10000"/>
    <n v="0"/>
    <n v="11043.02"/>
    <n v="21043.02"/>
    <n v="10000"/>
    <n v="0"/>
    <n v="11043.02"/>
  </r>
  <r>
    <x v="1185"/>
    <x v="1185"/>
    <s v="Fiets"/>
    <x v="0"/>
    <n v="1431"/>
    <s v="IN/001273"/>
    <s v="N285 Fietspaden relanceplan 2021"/>
    <s v="Aanpak aanliggende fietspaden in Ternat opN285 5.3 - 9.4\n\nverhoogd fietspad maken en lijnvormig element tussen rijbaan en fietspad (excl. stukken die reeds vernieuwd werden) + aanpassen kruispunt Kraanstraat, aanleg beveiligde fietsoversteek\n"/>
    <s v="Structurele Ingreep"/>
    <s v="WVB/INV/N285/7"/>
    <b v="0"/>
    <s v="Ingreep wordt niet opgevolgd in BOD"/>
    <s v="&lt;null&gt;"/>
    <s v="&lt;null&gt;"/>
    <s v="&lt;null&gt;"/>
    <s v="&lt;null&gt;"/>
    <s v="&lt;null&gt;"/>
    <x v="0"/>
    <s v="&lt;null&gt;"/>
    <s v="&lt;null&gt;"/>
    <s v="&lt;null&gt;"/>
    <s v="&lt;null&gt;"/>
    <n v="100"/>
    <s v="&lt;null&gt;"/>
    <s v="&lt;null&gt;"/>
    <s v="&lt;null&gt;"/>
    <s v="&lt;null&gt;"/>
    <m/>
    <m/>
    <m/>
    <m/>
  </r>
  <r>
    <x v="29"/>
    <x v="29"/>
    <s v="Fiets"/>
    <x v="0"/>
    <n v="1452"/>
    <s v="IN/001274"/>
    <s v="N355 Relance fiets Koksijde"/>
    <s v="&lt;null&gt;"/>
    <s v="Kleine Ingreep"/>
    <s v="WWV/INV/N355/1"/>
    <b v="1"/>
    <s v="Ingreep wordt opgevolgd in BOD"/>
    <n v="11516"/>
    <s v="AWV/INV/2021/1_P3"/>
    <n v="94301"/>
    <n v="21022935"/>
    <s v="&lt;p&gt;Structureel onderhoud fietspaden ikv relancemaatregelen - Perceel 3: vervoerregio's Westhoek, Oostende, Brugge, Roeselare en Kortrijk&lt;/p&gt;"/>
    <x v="2"/>
    <n v="6875"/>
    <s v="Project 4 N355 Koksijde"/>
    <s v="&lt;null&gt;"/>
    <s v="WWV/INV/N355/1"/>
    <n v="100"/>
    <n v="350000"/>
    <n v="192743.5986"/>
    <n v="0"/>
    <n v="0"/>
    <n v="350000"/>
    <n v="192743.5986"/>
    <n v="0"/>
    <n v="0"/>
  </r>
  <r>
    <x v="29"/>
    <x v="29"/>
    <s v="Fiets"/>
    <x v="0"/>
    <n v="1452"/>
    <s v="IN/001274"/>
    <s v="N355 Relance fiets Koksijde"/>
    <s v="&lt;null&gt;"/>
    <s v="Kleine Ingreep"/>
    <s v="WWV/INV/N355/1"/>
    <b v="1"/>
    <s v="Ingreep wordt opgevolgd in BOD"/>
    <n v="11516"/>
    <s v="AWV/INV/2021/1_P3"/>
    <n v="94301"/>
    <n v="21022935"/>
    <s v="&lt;p&gt;Structureel onderhoud fietspaden ikv relancemaatregelen - Perceel 3: vervoerregio's Westhoek, Oostende, Brugge, Roeselare en Kortrijk&lt;/p&gt;"/>
    <x v="2"/>
    <n v="8556"/>
    <s v="Project 4bis N355 (voetpaden)"/>
    <s v="&lt;p&gt;aandeel voetpaden&lt;/p&gt;"/>
    <s v="WWV/INV/N355/1"/>
    <n v="100"/>
    <n v="129488.36"/>
    <n v="129488.36"/>
    <n v="0"/>
    <n v="0"/>
    <n v="129488.36"/>
    <n v="129488.36"/>
    <n v="0"/>
    <n v="0"/>
  </r>
  <r>
    <x v="18"/>
    <x v="18"/>
    <s v="&lt;null&gt;"/>
    <x v="3"/>
    <n v="1453"/>
    <s v="IN/001275"/>
    <s v="VVOP/VFOP Schoolroute"/>
    <s v="&lt;null&gt;"/>
    <s v="Kleine Ingreep"/>
    <s v="&lt;null&gt;"/>
    <b v="0"/>
    <s v="Ingreep wordt niet opgevolgd in BOD"/>
    <s v="&lt;null&gt;"/>
    <s v="&lt;null&gt;"/>
    <s v="&lt;null&gt;"/>
    <s v="&lt;null&gt;"/>
    <s v="&lt;null&gt;"/>
    <x v="0"/>
    <s v="&lt;null&gt;"/>
    <s v="&lt;null&gt;"/>
    <s v="&lt;null&gt;"/>
    <s v="&lt;null&gt;"/>
    <s v="&lt;null&gt;"/>
    <s v="&lt;null&gt;"/>
    <s v="&lt;null&gt;"/>
    <s v="&lt;null&gt;"/>
    <s v="&lt;null&gt;"/>
    <m/>
    <m/>
    <m/>
    <m/>
  </r>
  <r>
    <x v="1186"/>
    <x v="1186"/>
    <s v="Verkeersveiligheid"/>
    <x v="5"/>
    <n v="1502"/>
    <s v="IN/001276"/>
    <s v="Renovatie wegdek bruggen over E313"/>
    <s v="Verbeteren comfort voetganger en fietser. Verbeteren verkeersveiligheid onderdoorgaand gemotoriseerd verkeer."/>
    <s v="Kleine Ingreep"/>
    <s v="WL/INV/A13/6"/>
    <b v="1"/>
    <s v="Ingreep wordt opgevolgd in BOD"/>
    <n v="11586"/>
    <s v="WL/INV/2021/10_P2"/>
    <n v="99251"/>
    <n v="21066886"/>
    <s v="&lt;p&gt;renovatie wegdek bruggen over E313&lt;/p&gt;"/>
    <x v="12"/>
    <n v="6885"/>
    <s v="&lt;null&gt;"/>
    <s v="&lt;p&gt;renovatie wegdek bruggen over E313&lt;/p&gt;"/>
    <s v="WL/INV/A13/6"/>
    <n v="25"/>
    <n v="272288.86"/>
    <n v="272288.864"/>
    <n v="-4.0000000000000001E-3"/>
    <n v="0"/>
    <n v="68072.214999999997"/>
    <n v="68072.216"/>
    <n v="-1E-3"/>
    <n v="0"/>
  </r>
  <r>
    <x v="1187"/>
    <x v="1187"/>
    <s v="Verkeersveiligheid"/>
    <x v="5"/>
    <n v="1502"/>
    <s v="IN/001276"/>
    <s v="Renovatie wegdek bruggen over E313"/>
    <s v="Verbeteren comfort voetganger en fietser. Verbeteren verkeersveiligheid onderdoorgaand gemotoriseerd verkeer."/>
    <s v="Kleine Ingreep"/>
    <s v="WL/INV/A13/6"/>
    <b v="1"/>
    <s v="Ingreep wordt opgevolgd in BOD"/>
    <n v="11586"/>
    <s v="WL/INV/2021/10_P2"/>
    <n v="99251"/>
    <n v="21066886"/>
    <s v="&lt;p&gt;renovatie wegdek bruggen over E313&lt;/p&gt;"/>
    <x v="12"/>
    <n v="6885"/>
    <s v="&lt;null&gt;"/>
    <s v="&lt;p&gt;renovatie wegdek bruggen over E313&lt;/p&gt;"/>
    <s v="WL/INV/A13/6"/>
    <n v="25"/>
    <n v="272288.86"/>
    <n v="272288.864"/>
    <n v="-4.0000000000000001E-3"/>
    <n v="0"/>
    <n v="68072.214999999997"/>
    <n v="68072.216"/>
    <n v="-1E-3"/>
    <n v="0"/>
  </r>
  <r>
    <x v="1188"/>
    <x v="1188"/>
    <s v="Verkeersveiligheid"/>
    <x v="5"/>
    <n v="1502"/>
    <s v="IN/001276"/>
    <s v="Renovatie wegdek bruggen over E313"/>
    <s v="Verbeteren comfort voetganger en fietser. Verbeteren verkeersveiligheid onderdoorgaand gemotoriseerd verkeer."/>
    <s v="Kleine Ingreep"/>
    <s v="WL/INV/A13/6"/>
    <b v="1"/>
    <s v="Ingreep wordt opgevolgd in BOD"/>
    <n v="11586"/>
    <s v="WL/INV/2021/10_P2"/>
    <n v="99251"/>
    <n v="21066886"/>
    <s v="&lt;p&gt;renovatie wegdek bruggen over E313&lt;/p&gt;"/>
    <x v="12"/>
    <n v="6885"/>
    <s v="&lt;null&gt;"/>
    <s v="&lt;p&gt;renovatie wegdek bruggen over E313&lt;/p&gt;"/>
    <s v="WL/INV/A13/6"/>
    <n v="25"/>
    <n v="272288.86"/>
    <n v="272288.864"/>
    <n v="-4.0000000000000001E-3"/>
    <n v="0"/>
    <n v="68072.214999999997"/>
    <n v="68072.216"/>
    <n v="-1E-3"/>
    <n v="0"/>
  </r>
  <r>
    <x v="1189"/>
    <x v="1189"/>
    <s v="Verkeersveiligheid"/>
    <x v="5"/>
    <n v="1502"/>
    <s v="IN/001276"/>
    <s v="Renovatie wegdek bruggen over E313"/>
    <s v="Verbeteren comfort voetganger en fietser. Verbeteren verkeersveiligheid onderdoorgaand gemotoriseerd verkeer."/>
    <s v="Kleine Ingreep"/>
    <s v="WL/INV/A13/6"/>
    <b v="1"/>
    <s v="Ingreep wordt opgevolgd in BOD"/>
    <n v="11586"/>
    <s v="WL/INV/2021/10_P2"/>
    <n v="99251"/>
    <n v="21066886"/>
    <s v="&lt;p&gt;renovatie wegdek bruggen over E313&lt;/p&gt;"/>
    <x v="12"/>
    <n v="6885"/>
    <s v="&lt;null&gt;"/>
    <s v="&lt;p&gt;renovatie wegdek bruggen over E313&lt;/p&gt;"/>
    <s v="WL/INV/A13/6"/>
    <n v="25"/>
    <n v="272288.86"/>
    <n v="272288.864"/>
    <n v="-4.0000000000000001E-3"/>
    <n v="0"/>
    <n v="68072.214999999997"/>
    <n v="68072.216"/>
    <n v="-1E-3"/>
    <n v="0"/>
  </r>
  <r>
    <x v="1190"/>
    <x v="1190"/>
    <s v="Verkeersveiligheid"/>
    <x v="5"/>
    <n v="1503"/>
    <s v="IN/001277"/>
    <s v="Heraanleg fietspad"/>
    <s v="Verbeteren verkeersveiligheid en comfort fietser."/>
    <s v="Kleine Ingreep"/>
    <s v="WL/INV/N77/4"/>
    <b v="1"/>
    <s v="Ingreep wordt opgevolgd in BOD"/>
    <n v="11583"/>
    <s v="WL/INV/2021/9_P4"/>
    <n v="99401"/>
    <n v="21066897"/>
    <s v="&lt;p&gt;Heraanleg fietspad&lt;/p&gt;"/>
    <x v="12"/>
    <n v="6891"/>
    <s v="&lt;null&gt;"/>
    <s v="&lt;p&gt;Heraanleg fietspad&lt;/p&gt;"/>
    <s v="WL/INV/N77/4"/>
    <n v="100"/>
    <n v="85953.95"/>
    <n v="82644.619699999996"/>
    <n v="0"/>
    <n v="3309.3303000000001"/>
    <n v="85953.95"/>
    <n v="82644.619699999996"/>
    <n v="0"/>
    <n v="3309.3303000000001"/>
  </r>
  <r>
    <x v="1191"/>
    <x v="1191"/>
    <s v="Verkeersveiligheid"/>
    <x v="4"/>
    <n v="1552"/>
    <s v="IN/001278"/>
    <s v="aanpassen markeringen N416 Moleneinde"/>
    <s v="aanpassen markeringen conform plan J Van Lokeren"/>
    <s v="Kleine Ingreep"/>
    <s v="&lt;null&gt;"/>
    <b v="0"/>
    <s v="Ingreep wordt niet opgevolgd in BOD"/>
    <s v="&lt;null&gt;"/>
    <s v="&lt;null&gt;"/>
    <s v="&lt;null&gt;"/>
    <s v="&lt;null&gt;"/>
    <s v="&lt;null&gt;"/>
    <x v="0"/>
    <s v="&lt;null&gt;"/>
    <s v="&lt;null&gt;"/>
    <s v="&lt;null&gt;"/>
    <s v="&lt;null&gt;"/>
    <n v="100"/>
    <s v="&lt;null&gt;"/>
    <s v="&lt;null&gt;"/>
    <s v="&lt;null&gt;"/>
    <s v="&lt;null&gt;"/>
    <m/>
    <m/>
    <m/>
    <m/>
  </r>
  <r>
    <x v="1192"/>
    <x v="1192"/>
    <s v="Verkeersveiligheid"/>
    <x v="1"/>
    <n v="1553"/>
    <s v="IN/001279"/>
    <s v="ombouw VRI naar Actieplan"/>
    <s v="&lt;null&gt;"/>
    <s v="Kleine Ingreep"/>
    <s v="&lt;null&gt;"/>
    <b v="0"/>
    <s v="Ingreep wordt niet opgevolgd in BOD"/>
    <s v="&lt;null&gt;"/>
    <s v="&lt;null&gt;"/>
    <s v="&lt;null&gt;"/>
    <s v="&lt;null&gt;"/>
    <s v="&lt;null&gt;"/>
    <x v="0"/>
    <s v="&lt;null&gt;"/>
    <s v="&lt;null&gt;"/>
    <s v="&lt;null&gt;"/>
    <s v="&lt;null&gt;"/>
    <n v="100"/>
    <s v="&lt;null&gt;"/>
    <s v="&lt;null&gt;"/>
    <s v="&lt;null&gt;"/>
    <s v="&lt;null&gt;"/>
    <m/>
    <m/>
    <m/>
    <m/>
  </r>
  <r>
    <x v="1193"/>
    <x v="1193"/>
    <s v="Verkeersveiligheid"/>
    <x v="1"/>
    <n v="1554"/>
    <s v="IN/001280"/>
    <s v="Actieplan VRI"/>
    <s v="Linksaf conflict vrijmaken met dubbelrichtingsfietspad"/>
    <s v="Kleine Ingreep"/>
    <s v="WA/INV/N177/11"/>
    <b v="0"/>
    <s v="Ingreep wordt niet opgevolgd in BOD"/>
    <s v="&lt;null&gt;"/>
    <s v="&lt;null&gt;"/>
    <s v="&lt;null&gt;"/>
    <s v="&lt;null&gt;"/>
    <s v="&lt;null&gt;"/>
    <x v="0"/>
    <s v="&lt;null&gt;"/>
    <s v="&lt;null&gt;"/>
    <s v="&lt;null&gt;"/>
    <s v="&lt;null&gt;"/>
    <n v="100"/>
    <s v="&lt;null&gt;"/>
    <s v="&lt;null&gt;"/>
    <s v="&lt;null&gt;"/>
    <s v="&lt;null&gt;"/>
    <m/>
    <m/>
    <m/>
    <m/>
  </r>
  <r>
    <x v="793"/>
    <x v="793"/>
    <s v="Verkeersveiligheid"/>
    <x v="4"/>
    <n v="1555"/>
    <s v="IN/001281"/>
    <s v="Punctuele verlichting"/>
    <s v="&lt;null&gt;"/>
    <s v="Kleine Ingreep"/>
    <s v="WL/INV/N719/9"/>
    <b v="0"/>
    <s v="Ingreep wordt niet opgevolgd in BOD"/>
    <s v="&lt;null&gt;"/>
    <s v="&lt;null&gt;"/>
    <s v="&lt;null&gt;"/>
    <s v="&lt;null&gt;"/>
    <s v="&lt;null&gt;"/>
    <x v="0"/>
    <s v="&lt;null&gt;"/>
    <s v="&lt;null&gt;"/>
    <s v="&lt;null&gt;"/>
    <s v="&lt;null&gt;"/>
    <n v="100"/>
    <s v="&lt;null&gt;"/>
    <s v="&lt;null&gt;"/>
    <s v="&lt;null&gt;"/>
    <s v="&lt;null&gt;"/>
    <m/>
    <m/>
    <m/>
    <m/>
  </r>
  <r>
    <x v="293"/>
    <x v="293"/>
    <s v="Verkeersveiligheid"/>
    <x v="1"/>
    <n v="1556"/>
    <s v="IN/001282"/>
    <s v="Aanpassen kruispunt N184 Luitenant Lippenslaan x Dokter Van de Perrelei"/>
    <s v="Fietsinfrastructuur voorzien op kruispunt. (huidig rijden fietsers gemengd vanuit de zijstraat)\nPCV AN-282\nhttps://service.projectplace.com/#direct/card/12506414"/>
    <s v="Kleine Ingreep"/>
    <s v="WA/INV/N184/1"/>
    <b v="1"/>
    <s v="Ingreep wordt opgevolgd in BOD"/>
    <n v="12666"/>
    <s v="AWV/INV/2021/3_P1"/>
    <n v="130201"/>
    <n v="21064980"/>
    <s v="&lt;p&gt;vastlegging gevaarlijke punten (2021)&lt;/p&gt;"/>
    <x v="10"/>
    <n v="10440"/>
    <s v="Dr Van de Perrelei, deel rijweg"/>
    <s v="&lt;null&gt;"/>
    <s v="WA/INV/N184/1"/>
    <n v="100"/>
    <n v="206236"/>
    <n v="0"/>
    <n v="0"/>
    <n v="0.34"/>
    <n v="206236"/>
    <n v="0"/>
    <n v="0"/>
    <n v="0.34"/>
  </r>
  <r>
    <x v="1194"/>
    <x v="1194"/>
    <s v="Verkeersveiligheid"/>
    <x v="1"/>
    <n v="1557"/>
    <s v="IN/001283"/>
    <s v="Aanpassingen in- en uitrit containerpark"/>
    <s v="&lt;null&gt;"/>
    <s v="Kleine Ingreep"/>
    <s v="WA/INV/R10/5"/>
    <b v="0"/>
    <s v="Ingreep wordt niet opgevolgd in BOD"/>
    <s v="&lt;null&gt;"/>
    <s v="&lt;null&gt;"/>
    <s v="&lt;null&gt;"/>
    <s v="&lt;null&gt;"/>
    <s v="&lt;null&gt;"/>
    <x v="0"/>
    <s v="&lt;null&gt;"/>
    <s v="&lt;null&gt;"/>
    <s v="&lt;null&gt;"/>
    <s v="&lt;null&gt;"/>
    <n v="100"/>
    <s v="&lt;null&gt;"/>
    <s v="&lt;null&gt;"/>
    <s v="&lt;null&gt;"/>
    <s v="&lt;null&gt;"/>
    <m/>
    <m/>
    <m/>
    <m/>
  </r>
  <r>
    <x v="314"/>
    <x v="314"/>
    <s v="Verkeersveiligheid"/>
    <x v="1"/>
    <n v="1558"/>
    <s v="IN/001284"/>
    <s v="Inrichting Fietsstraat"/>
    <s v="Inrichting als fietsstraat"/>
    <s v="Kleine Ingreep"/>
    <s v="WA/INV/N12/15"/>
    <b v="0"/>
    <s v="Ingreep wordt niet opgevolgd in BOD"/>
    <s v="&lt;null&gt;"/>
    <s v="&lt;null&gt;"/>
    <s v="&lt;null&gt;"/>
    <s v="&lt;null&gt;"/>
    <s v="&lt;null&gt;"/>
    <x v="0"/>
    <s v="&lt;null&gt;"/>
    <s v="&lt;null&gt;"/>
    <s v="&lt;null&gt;"/>
    <s v="&lt;null&gt;"/>
    <n v="15"/>
    <s v="&lt;null&gt;"/>
    <s v="&lt;null&gt;"/>
    <s v="&lt;null&gt;"/>
    <s v="&lt;null&gt;"/>
    <m/>
    <m/>
    <m/>
    <m/>
  </r>
  <r>
    <x v="1195"/>
    <x v="1195"/>
    <s v="Verkeersveiligheid"/>
    <x v="1"/>
    <n v="1558"/>
    <s v="IN/001284"/>
    <s v="Inrichting Fietsstraat"/>
    <s v="Inrichting als fietsstraat"/>
    <s v="Kleine Ingreep"/>
    <s v="WA/INV/N12/15"/>
    <b v="0"/>
    <s v="Ingreep wordt niet opgevolgd in BOD"/>
    <s v="&lt;null&gt;"/>
    <s v="&lt;null&gt;"/>
    <s v="&lt;null&gt;"/>
    <s v="&lt;null&gt;"/>
    <s v="&lt;null&gt;"/>
    <x v="0"/>
    <s v="&lt;null&gt;"/>
    <s v="&lt;null&gt;"/>
    <s v="&lt;null&gt;"/>
    <s v="&lt;null&gt;"/>
    <n v="15"/>
    <s v="&lt;null&gt;"/>
    <s v="&lt;null&gt;"/>
    <s v="&lt;null&gt;"/>
    <s v="&lt;null&gt;"/>
    <m/>
    <m/>
    <m/>
    <m/>
  </r>
  <r>
    <x v="1196"/>
    <x v="1196"/>
    <s v="Verkeersveiligheid"/>
    <x v="1"/>
    <n v="1558"/>
    <s v="IN/001284"/>
    <s v="Inrichting Fietsstraat"/>
    <s v="Inrichting als fietsstraat"/>
    <s v="Kleine Ingreep"/>
    <s v="WA/INV/N12/15"/>
    <b v="0"/>
    <s v="Ingreep wordt niet opgevolgd in BOD"/>
    <s v="&lt;null&gt;"/>
    <s v="&lt;null&gt;"/>
    <s v="&lt;null&gt;"/>
    <s v="&lt;null&gt;"/>
    <s v="&lt;null&gt;"/>
    <x v="0"/>
    <s v="&lt;null&gt;"/>
    <s v="&lt;null&gt;"/>
    <s v="&lt;null&gt;"/>
    <s v="&lt;null&gt;"/>
    <n v="15"/>
    <s v="&lt;null&gt;"/>
    <s v="&lt;null&gt;"/>
    <s v="&lt;null&gt;"/>
    <s v="&lt;null&gt;"/>
    <m/>
    <m/>
    <m/>
    <m/>
  </r>
  <r>
    <x v="1197"/>
    <x v="1197"/>
    <s v="Verkeersveiligheid"/>
    <x v="1"/>
    <n v="1558"/>
    <s v="IN/001284"/>
    <s v="Inrichting Fietsstraat"/>
    <s v="Inrichting als fietsstraat"/>
    <s v="Kleine Ingreep"/>
    <s v="WA/INV/N12/15"/>
    <b v="0"/>
    <s v="Ingreep wordt niet opgevolgd in BOD"/>
    <s v="&lt;null&gt;"/>
    <s v="&lt;null&gt;"/>
    <s v="&lt;null&gt;"/>
    <s v="&lt;null&gt;"/>
    <s v="&lt;null&gt;"/>
    <x v="0"/>
    <s v="&lt;null&gt;"/>
    <s v="&lt;null&gt;"/>
    <s v="&lt;null&gt;"/>
    <s v="&lt;null&gt;"/>
    <n v="15"/>
    <s v="&lt;null&gt;"/>
    <s v="&lt;null&gt;"/>
    <s v="&lt;null&gt;"/>
    <s v="&lt;null&gt;"/>
    <m/>
    <m/>
    <m/>
    <m/>
  </r>
  <r>
    <x v="1198"/>
    <x v="1198"/>
    <s v="Verkeersveiligheid"/>
    <x v="1"/>
    <n v="1558"/>
    <s v="IN/001284"/>
    <s v="Inrichting Fietsstraat"/>
    <s v="Inrichting als fietsstraat"/>
    <s v="Kleine Ingreep"/>
    <s v="WA/INV/N12/15"/>
    <b v="0"/>
    <s v="Ingreep wordt niet opgevolgd in BOD"/>
    <s v="&lt;null&gt;"/>
    <s v="&lt;null&gt;"/>
    <s v="&lt;null&gt;"/>
    <s v="&lt;null&gt;"/>
    <s v="&lt;null&gt;"/>
    <x v="0"/>
    <s v="&lt;null&gt;"/>
    <s v="&lt;null&gt;"/>
    <s v="&lt;null&gt;"/>
    <s v="&lt;null&gt;"/>
    <n v="20"/>
    <s v="&lt;null&gt;"/>
    <s v="&lt;null&gt;"/>
    <s v="&lt;null&gt;"/>
    <s v="&lt;null&gt;"/>
    <m/>
    <m/>
    <m/>
    <m/>
  </r>
  <r>
    <x v="1199"/>
    <x v="1199"/>
    <s v="Verkeersveiligheid"/>
    <x v="1"/>
    <n v="1558"/>
    <s v="IN/001284"/>
    <s v="Inrichting Fietsstraat"/>
    <s v="Inrichting als fietsstraat"/>
    <s v="Kleine Ingreep"/>
    <s v="WA/INV/N12/15"/>
    <b v="0"/>
    <s v="Ingreep wordt niet opgevolgd in BOD"/>
    <s v="&lt;null&gt;"/>
    <s v="&lt;null&gt;"/>
    <s v="&lt;null&gt;"/>
    <s v="&lt;null&gt;"/>
    <s v="&lt;null&gt;"/>
    <x v="0"/>
    <s v="&lt;null&gt;"/>
    <s v="&lt;null&gt;"/>
    <s v="&lt;null&gt;"/>
    <s v="&lt;null&gt;"/>
    <n v="20"/>
    <s v="&lt;null&gt;"/>
    <s v="&lt;null&gt;"/>
    <s v="&lt;null&gt;"/>
    <s v="&lt;null&gt;"/>
    <m/>
    <m/>
    <m/>
    <m/>
  </r>
  <r>
    <x v="1200"/>
    <x v="1200"/>
    <s v="Verkeersveiligheid"/>
    <x v="1"/>
    <n v="1602"/>
    <s v="IN/001285"/>
    <s v="Aanpassen VRI + Infrawerken"/>
    <s v="Besluit PCV 05-10-2021:\nDe rechtafslagbewegingen vanaf de N60 worden opgenomen in de verkeerslichten. De bypassen worden verwijderd. De verkeerslichten op de N60 krijgen een conflictvrije regeling. De zijtakken worden niet uitgerust met een conflictvrije"/>
    <s v="Kleine Ingreep"/>
    <s v="WOV/INV/N452/1"/>
    <b v="0"/>
    <s v="Ingreep wordt niet opgevolgd in BOD"/>
    <s v="&lt;null&gt;"/>
    <s v="&lt;null&gt;"/>
    <s v="&lt;null&gt;"/>
    <s v="&lt;null&gt;"/>
    <s v="&lt;null&gt;"/>
    <x v="0"/>
    <s v="&lt;null&gt;"/>
    <s v="&lt;null&gt;"/>
    <s v="&lt;null&gt;"/>
    <s v="&lt;null&gt;"/>
    <n v="0"/>
    <s v="&lt;null&gt;"/>
    <s v="&lt;null&gt;"/>
    <s v="&lt;null&gt;"/>
    <s v="&lt;null&gt;"/>
    <m/>
    <m/>
    <m/>
    <m/>
  </r>
  <r>
    <x v="1201"/>
    <x v="1201"/>
    <s v="Verkeersveiligheid"/>
    <x v="4"/>
    <n v="1602"/>
    <s v="IN/001285"/>
    <s v="Aanpassen VRI + Infrawerken"/>
    <s v="Besluit PCV 05-10-2021:\nDe rechtafslagbewegingen vanaf de N60 worden opgenomen in de verkeerslichten. De bypassen worden verwijderd. De verkeerslichten op de N60 krijgen een conflictvrije regeling. De zijtakken worden niet uitgerust met een conflictvrije"/>
    <s v="Kleine Ingreep"/>
    <s v="WOV/INV/N452/1"/>
    <b v="0"/>
    <s v="Ingreep wordt niet opgevolgd in BOD"/>
    <s v="&lt;null&gt;"/>
    <s v="&lt;null&gt;"/>
    <s v="&lt;null&gt;"/>
    <s v="&lt;null&gt;"/>
    <s v="&lt;null&gt;"/>
    <x v="0"/>
    <s v="&lt;null&gt;"/>
    <s v="&lt;null&gt;"/>
    <s v="&lt;null&gt;"/>
    <s v="&lt;null&gt;"/>
    <n v="100"/>
    <s v="&lt;null&gt;"/>
    <s v="&lt;null&gt;"/>
    <s v="&lt;null&gt;"/>
    <s v="&lt;null&gt;"/>
    <m/>
    <m/>
    <m/>
    <m/>
  </r>
  <r>
    <x v="1202"/>
    <x v="1202"/>
    <s v="Verkeersveiligheid"/>
    <x v="4"/>
    <n v="1603"/>
    <s v="IN/001286"/>
    <s v="SRK: N35 Nazareth: fietsoversteekplaats"/>
    <s v="Besluit PCV 05-10-2021 : Er worden 2 fietsoversteken aangebracht ter hoogte van de Warandestraat (zie plan dossier). De linksafslagstroken worden ingekort om deze fietsoversteken te kunnen realiseren.\n\nhttps://apps.mow.vlaanderen.be/pcv/#/dossiers/OV-61"/>
    <s v="Kleine Ingreep"/>
    <s v="WOV/INV/N35/2"/>
    <b v="1"/>
    <s v="Ingreep wordt opgevolgd in BOD"/>
    <n v="7964"/>
    <s v="X40/D400/48"/>
    <n v="91051"/>
    <n v="21046182"/>
    <s v="&lt;p&gt;extra vastlegging - relancebudget - WARANDESTRAAT EN KRAANKINDERSTRAAT&lt;/p&gt;"/>
    <x v="2"/>
    <n v="7123"/>
    <s v="Warandestraat"/>
    <s v="&lt;p&gt;Warandestraat - extra vastlegging - relancebudget&lt;/p&gt;"/>
    <s v="WOV/INV/N35/2"/>
    <n v="100"/>
    <n v="37121.25"/>
    <n v="37121.25"/>
    <n v="0"/>
    <n v="0"/>
    <n v="37121.25"/>
    <n v="37121.25"/>
    <n v="0"/>
    <n v="0"/>
  </r>
  <r>
    <x v="18"/>
    <x v="18"/>
    <s v="&lt;null&gt;"/>
    <x v="3"/>
    <n v="1604"/>
    <s v="IN/001287"/>
    <s v="Fietspaden accentueren (WOV/INV/R4/5 - AID reeds reeds toegewezen)"/>
    <s v="Het AWV zal de fietspaden over dit kruispunt accentueren"/>
    <s v="Kleine Ingreep"/>
    <s v="&lt;null&gt;"/>
    <b v="0"/>
    <s v="Ingreep wordt niet opgevolgd in BOD"/>
    <s v="&lt;null&gt;"/>
    <s v="&lt;null&gt;"/>
    <s v="&lt;null&gt;"/>
    <s v="&lt;null&gt;"/>
    <s v="&lt;null&gt;"/>
    <x v="0"/>
    <s v="&lt;null&gt;"/>
    <s v="&lt;null&gt;"/>
    <s v="&lt;null&gt;"/>
    <s v="&lt;null&gt;"/>
    <s v="&lt;null&gt;"/>
    <s v="&lt;null&gt;"/>
    <s v="&lt;null&gt;"/>
    <s v="&lt;null&gt;"/>
    <s v="&lt;null&gt;"/>
    <m/>
    <m/>
    <m/>
    <m/>
  </r>
  <r>
    <x v="1203"/>
    <x v="1203"/>
    <s v="Verkeersveiligheid"/>
    <x v="4"/>
    <n v="1605"/>
    <s v="IN/001288"/>
    <s v="QW schoolroutes: verharden kasseistrook voor extra opstelruimte"/>
    <s v="&lt;null&gt;"/>
    <s v="Kleine Ingreep"/>
    <s v="&lt;null&gt;"/>
    <b v="0"/>
    <s v="Ingreep wordt niet opgevolgd in BOD"/>
    <s v="&lt;null&gt;"/>
    <s v="&lt;null&gt;"/>
    <s v="&lt;null&gt;"/>
    <s v="&lt;null&gt;"/>
    <s v="&lt;null&gt;"/>
    <x v="0"/>
    <s v="&lt;null&gt;"/>
    <s v="&lt;null&gt;"/>
    <s v="&lt;null&gt;"/>
    <s v="&lt;null&gt;"/>
    <n v="100"/>
    <s v="&lt;null&gt;"/>
    <s v="&lt;null&gt;"/>
    <s v="&lt;null&gt;"/>
    <s v="&lt;null&gt;"/>
    <m/>
    <m/>
    <m/>
    <m/>
  </r>
  <r>
    <x v="571"/>
    <x v="571"/>
    <s v="Verkeersveiligheid"/>
    <x v="1"/>
    <n v="1606"/>
    <s v="IN/001289"/>
    <s v="R42 met Raapstraat : Conflictvrij maken. Sint-Niklaas. (Relance Raamcontract)"/>
    <m/>
    <s v="Kleine Ingreep"/>
    <s v="&lt;null&gt;"/>
    <b v="0"/>
    <s v="Ingreep wordt niet opgevolgd in BOD"/>
    <s v="&lt;null&gt;"/>
    <s v="&lt;null&gt;"/>
    <s v="&lt;null&gt;"/>
    <s v="&lt;null&gt;"/>
    <s v="&lt;null&gt;"/>
    <x v="0"/>
    <s v="&lt;null&gt;"/>
    <s v="&lt;null&gt;"/>
    <s v="&lt;null&gt;"/>
    <s v="&lt;null&gt;"/>
    <n v="100"/>
    <s v="&lt;null&gt;"/>
    <s v="&lt;null&gt;"/>
    <s v="&lt;null&gt;"/>
    <s v="&lt;null&gt;"/>
    <m/>
    <m/>
    <m/>
    <m/>
  </r>
  <r>
    <x v="415"/>
    <x v="415"/>
    <s v="Verkeersveiligheid"/>
    <x v="1"/>
    <n v="1607"/>
    <s v="IN/001290"/>
    <s v="N70 x Oude Bareelstraat: Veilige oversteek. (Relance Raamcontract)"/>
    <s v="VRI plaatsen"/>
    <s v="Kleine Ingreep"/>
    <s v="WOV/INV/N70/17"/>
    <b v="0"/>
    <s v="Ingreep wordt niet opgevolgd in BOD"/>
    <s v="&lt;null&gt;"/>
    <s v="&lt;null&gt;"/>
    <s v="&lt;null&gt;"/>
    <s v="&lt;null&gt;"/>
    <s v="&lt;null&gt;"/>
    <x v="0"/>
    <s v="&lt;null&gt;"/>
    <s v="&lt;null&gt;"/>
    <s v="&lt;null&gt;"/>
    <s v="&lt;null&gt;"/>
    <n v="100"/>
    <s v="&lt;null&gt;"/>
    <s v="&lt;null&gt;"/>
    <s v="&lt;null&gt;"/>
    <s v="&lt;null&gt;"/>
    <m/>
    <m/>
    <m/>
    <m/>
  </r>
  <r>
    <x v="18"/>
    <x v="18"/>
    <s v="&lt;null&gt;"/>
    <x v="3"/>
    <n v="1608"/>
    <s v="IN/001291"/>
    <s v="VRI: nieuwe installatie plaatsen in Zelzate : R4 Kanaalstraat met Vredekaai en Westkade. (Relance Raamcontract)"/>
    <s v="iVRI"/>
    <s v="Kleine Ingreep"/>
    <s v="WOV/INV/R4/8"/>
    <b v="0"/>
    <s v="Ingreep wordt niet opgevolgd in BOD"/>
    <s v="&lt;null&gt;"/>
    <s v="&lt;null&gt;"/>
    <s v="&lt;null&gt;"/>
    <s v="&lt;null&gt;"/>
    <s v="&lt;null&gt;"/>
    <x v="0"/>
    <s v="&lt;null&gt;"/>
    <s v="&lt;null&gt;"/>
    <s v="&lt;null&gt;"/>
    <s v="&lt;null&gt;"/>
    <s v="&lt;null&gt;"/>
    <s v="&lt;null&gt;"/>
    <s v="&lt;null&gt;"/>
    <s v="&lt;null&gt;"/>
    <s v="&lt;null&gt;"/>
    <m/>
    <m/>
    <m/>
    <m/>
  </r>
  <r>
    <x v="1204"/>
    <x v="1204"/>
    <s v="Verkeersveiligheid"/>
    <x v="4"/>
    <n v="1609"/>
    <s v="IN/001292"/>
    <s v="SRK: N493 Geraardsbergen: verlagen boordsteen en afvlakken holle greppel"/>
    <s v="&lt;null&gt;"/>
    <s v="Kleine Ingreep"/>
    <s v="WOV/INV/N493/5"/>
    <b v="0"/>
    <s v="Ingreep wordt niet opgevolgd in BOD"/>
    <s v="&lt;null&gt;"/>
    <s v="&lt;null&gt;"/>
    <s v="&lt;null&gt;"/>
    <s v="&lt;null&gt;"/>
    <s v="&lt;null&gt;"/>
    <x v="0"/>
    <s v="&lt;null&gt;"/>
    <s v="&lt;null&gt;"/>
    <s v="&lt;null&gt;"/>
    <s v="&lt;null&gt;"/>
    <n v="100"/>
    <s v="&lt;null&gt;"/>
    <s v="&lt;null&gt;"/>
    <s v="&lt;null&gt;"/>
    <s v="&lt;null&gt;"/>
    <m/>
    <m/>
    <m/>
    <m/>
  </r>
  <r>
    <x v="1145"/>
    <x v="1145"/>
    <s v="Verkeersveiligheid"/>
    <x v="4"/>
    <n v="1610"/>
    <s v="IN/001293"/>
    <s v="SRK: N493 Geraardsbergen: aanpassing fietspad"/>
    <s v="Verlagen boordsteen, aanpassen weggoot"/>
    <s v="Kleine Ingreep"/>
    <s v="WOV/INV/N493/4"/>
    <b v="0"/>
    <s v="Ingreep wordt niet opgevolgd in BOD"/>
    <s v="&lt;null&gt;"/>
    <s v="&lt;null&gt;"/>
    <s v="&lt;null&gt;"/>
    <s v="&lt;null&gt;"/>
    <s v="&lt;null&gt;"/>
    <x v="0"/>
    <s v="&lt;null&gt;"/>
    <s v="&lt;null&gt;"/>
    <s v="&lt;null&gt;"/>
    <s v="&lt;null&gt;"/>
    <n v="100"/>
    <s v="&lt;null&gt;"/>
    <s v="&lt;null&gt;"/>
    <s v="&lt;null&gt;"/>
    <s v="&lt;null&gt;"/>
    <m/>
    <m/>
    <m/>
    <m/>
  </r>
  <r>
    <x v="1205"/>
    <x v="1205"/>
    <s v="Verkeersveiligheid"/>
    <x v="1"/>
    <n v="1611"/>
    <s v="IN/001294"/>
    <s v="Gaston Roelandtsstraat, Kanaalstraat"/>
    <s v="snelheidsverlaging - middengeleider als rustpunt voetgangers en verbetering oversteekbaarheid oprijdende voertuigen, markeringen"/>
    <s v="Kleine Ingreep"/>
    <s v="WWV/INV/N50/11"/>
    <b v="0"/>
    <s v="Ingreep wordt niet opgevolgd in BOD"/>
    <s v="&lt;null&gt;"/>
    <s v="&lt;null&gt;"/>
    <s v="&lt;null&gt;"/>
    <s v="&lt;null&gt;"/>
    <s v="&lt;null&gt;"/>
    <x v="0"/>
    <s v="&lt;null&gt;"/>
    <s v="&lt;null&gt;"/>
    <s v="&lt;null&gt;"/>
    <s v="&lt;null&gt;"/>
    <n v="100"/>
    <s v="&lt;null&gt;"/>
    <s v="&lt;null&gt;"/>
    <s v="&lt;null&gt;"/>
    <s v="&lt;null&gt;"/>
    <m/>
    <m/>
    <m/>
    <m/>
  </r>
  <r>
    <x v="1206"/>
    <x v="1206"/>
    <s v="Verkeersveiligheid"/>
    <x v="1"/>
    <n v="1612"/>
    <s v="IN/001295"/>
    <s v="Heusden-Zolder : Brugstraat, Koerselsebaan, Poorthoevestraat, Sint-Willibrordusplein"/>
    <s v="Fietser uit voorrang op rotonde"/>
    <s v="Kleine Ingreep"/>
    <s v="WL/INV/NX/1"/>
    <b v="0"/>
    <s v="Ingreep wordt niet opgevolgd in BOD"/>
    <s v="&lt;null&gt;"/>
    <s v="&lt;null&gt;"/>
    <s v="&lt;null&gt;"/>
    <s v="&lt;null&gt;"/>
    <s v="&lt;null&gt;"/>
    <x v="0"/>
    <s v="&lt;null&gt;"/>
    <s v="&lt;null&gt;"/>
    <s v="&lt;null&gt;"/>
    <s v="&lt;null&gt;"/>
    <n v="100"/>
    <s v="&lt;null&gt;"/>
    <s v="&lt;null&gt;"/>
    <s v="&lt;null&gt;"/>
    <s v="&lt;null&gt;"/>
    <m/>
    <m/>
    <m/>
    <m/>
  </r>
  <r>
    <x v="1207"/>
    <x v="1207"/>
    <s v="Verkeersveiligheid"/>
    <x v="1"/>
    <n v="1613"/>
    <s v="IN/001296"/>
    <s v="Genk : Halmstraat, Onderwijslaan"/>
    <s v="in 2020 middenberm gesloten thv Halmstraat + flankerende maatregelen op nabij kruispunt met Putmosstraat"/>
    <s v="Kleine Ingreep"/>
    <s v="WL/INV/N744/4"/>
    <b v="0"/>
    <s v="Ingreep wordt niet opgevolgd in BOD"/>
    <s v="&lt;null&gt;"/>
    <s v="&lt;null&gt;"/>
    <s v="&lt;null&gt;"/>
    <s v="&lt;null&gt;"/>
    <s v="&lt;null&gt;"/>
    <x v="0"/>
    <s v="&lt;null&gt;"/>
    <s v="&lt;null&gt;"/>
    <s v="&lt;null&gt;"/>
    <s v="&lt;null&gt;"/>
    <n v="100"/>
    <s v="&lt;null&gt;"/>
    <s v="&lt;null&gt;"/>
    <s v="&lt;null&gt;"/>
    <s v="&lt;null&gt;"/>
    <m/>
    <m/>
    <m/>
    <m/>
  </r>
  <r>
    <x v="1208"/>
    <x v="1208"/>
    <s v="Fiets"/>
    <x v="0"/>
    <n v="1614"/>
    <s v="IN/001297"/>
    <s v="Fiets: N28 Ninove: vernieuwen van fietspad"/>
    <s v="vernieuwen van fietspad in afwachting van herinrichting"/>
    <s v="Kleine Ingreep"/>
    <s v="WOV/INV/N28/3"/>
    <b v="0"/>
    <s v="Ingreep wordt niet opgevolgd in BOD"/>
    <s v="&lt;null&gt;"/>
    <s v="&lt;null&gt;"/>
    <s v="&lt;null&gt;"/>
    <s v="&lt;null&gt;"/>
    <s v="&lt;null&gt;"/>
    <x v="0"/>
    <s v="&lt;null&gt;"/>
    <s v="&lt;null&gt;"/>
    <s v="&lt;null&gt;"/>
    <s v="&lt;null&gt;"/>
    <n v="100"/>
    <s v="&lt;null&gt;"/>
    <s v="&lt;null&gt;"/>
    <s v="&lt;null&gt;"/>
    <s v="&lt;null&gt;"/>
    <m/>
    <m/>
    <m/>
    <m/>
  </r>
  <r>
    <x v="1130"/>
    <x v="1130"/>
    <s v="Verkeersveiligheid"/>
    <x v="4"/>
    <n v="1615"/>
    <s v="IN/001298"/>
    <s v="SRK: N445 Berlare: aanbrengen oversteekplaats ter hoogte van schooluitgang"/>
    <s v="zebrapad aanbrengen"/>
    <s v="Kleine Ingreep"/>
    <s v="WOV/INV/N445/5"/>
    <b v="0"/>
    <s v="Ingreep wordt niet opgevolgd in BOD"/>
    <s v="&lt;null&gt;"/>
    <s v="&lt;null&gt;"/>
    <s v="&lt;null&gt;"/>
    <s v="&lt;null&gt;"/>
    <s v="&lt;null&gt;"/>
    <x v="0"/>
    <s v="&lt;null&gt;"/>
    <s v="&lt;null&gt;"/>
    <s v="&lt;null&gt;"/>
    <s v="&lt;null&gt;"/>
    <n v="100"/>
    <s v="&lt;null&gt;"/>
    <s v="&lt;null&gt;"/>
    <s v="&lt;null&gt;"/>
    <s v="&lt;null&gt;"/>
    <m/>
    <m/>
    <m/>
    <m/>
  </r>
  <r>
    <x v="1209"/>
    <x v="1209"/>
    <s v="Verkeersveiligheid"/>
    <x v="1"/>
    <n v="1616"/>
    <s v="IN/001299"/>
    <s v="Uitvoering PCV WV-146"/>
    <s v="plaatsen LED-verlichting op rotonde, aanpassen bestaande verlichting, verhogen middeneiland, aanpakken toeleidende rijstroken vanuit Wallonië, aanpak afrit snelweg vanuit Frankrijk.\n\n\nDe stad vraagt om in 2e instantie ook voor deze omgeving en cfr stud"/>
    <s v="Kleine Ingreep"/>
    <s v="WWV/INV/N58/2"/>
    <b v="1"/>
    <s v="Ingreep wordt opgevolgd in BOD"/>
    <n v="12024"/>
    <s v="AWV/INV/2021/3_P3"/>
    <n v="118201"/>
    <n v="21065772"/>
    <s v="&lt;p&gt;OF AWV/INV/2021/3 P3 3mh229 - gevaarlijke punten&lt;/p&gt;"/>
    <x v="10"/>
    <n v="8163"/>
    <s v="N58 Menen"/>
    <s v="&lt;null&gt;"/>
    <s v="WWV/INV/N58/2"/>
    <n v="100"/>
    <n v="350000"/>
    <n v="110895.67999999999"/>
    <n v="0"/>
    <n v="239104.32"/>
    <n v="350000"/>
    <n v="110895.67999999999"/>
    <n v="0"/>
    <n v="239104.32"/>
  </r>
  <r>
    <x v="1210"/>
    <x v="1210"/>
    <s v="Verkeersveiligheid"/>
    <x v="6"/>
    <n v="1617"/>
    <s v="IN/001300"/>
    <s v="aanpassen markeringen en uitbuigen fietspad"/>
    <s v="fietspad meer in het zicht van het autoverkeer brengen"/>
    <s v="Kleine Ingreep"/>
    <s v="WOV/INV/N17/5"/>
    <b v="0"/>
    <s v="Ingreep wordt niet opgevolgd in BOD"/>
    <s v="&lt;null&gt;"/>
    <s v="&lt;null&gt;"/>
    <s v="&lt;null&gt;"/>
    <s v="&lt;null&gt;"/>
    <s v="&lt;null&gt;"/>
    <x v="0"/>
    <s v="&lt;null&gt;"/>
    <s v="&lt;null&gt;"/>
    <s v="&lt;null&gt;"/>
    <s v="&lt;null&gt;"/>
    <n v="100"/>
    <s v="&lt;null&gt;"/>
    <s v="&lt;null&gt;"/>
    <s v="&lt;null&gt;"/>
    <s v="&lt;null&gt;"/>
    <m/>
    <m/>
    <m/>
    <m/>
  </r>
  <r>
    <x v="18"/>
    <x v="18"/>
    <s v="&lt;null&gt;"/>
    <x v="3"/>
    <n v="1618"/>
    <s v="IN/001301"/>
    <s v="Turnhout: Graatakker, Parklaan, Steenweg op Zevendonk"/>
    <s v="weghalen voorlooppijl (gelijktijdig groen voor bestuurders en fietsers)"/>
    <s v="Kleine Ingreep"/>
    <s v="WA/INV/N19/9"/>
    <b v="0"/>
    <s v="Ingreep wordt niet opgevolgd in BOD"/>
    <s v="&lt;null&gt;"/>
    <s v="&lt;null&gt;"/>
    <s v="&lt;null&gt;"/>
    <s v="&lt;null&gt;"/>
    <s v="&lt;null&gt;"/>
    <x v="0"/>
    <s v="&lt;null&gt;"/>
    <s v="&lt;null&gt;"/>
    <s v="&lt;null&gt;"/>
    <s v="&lt;null&gt;"/>
    <s v="&lt;null&gt;"/>
    <s v="&lt;null&gt;"/>
    <s v="&lt;null&gt;"/>
    <s v="&lt;null&gt;"/>
    <s v="&lt;null&gt;"/>
    <m/>
    <m/>
    <m/>
    <m/>
  </r>
  <r>
    <x v="1211"/>
    <x v="1211"/>
    <s v="Verkeersveiligheid"/>
    <x v="1"/>
    <n v="1619"/>
    <s v="IN/001302"/>
    <s v="VRI conform actieplan Oude Menenpoort"/>
    <s v="&lt;null&gt;"/>
    <s v="Kleine Ingreep"/>
    <s v="&lt;null&gt;"/>
    <b v="0"/>
    <s v="Ingreep wordt niet opgevolgd in BOD"/>
    <s v="&lt;null&gt;"/>
    <s v="&lt;null&gt;"/>
    <s v="&lt;null&gt;"/>
    <s v="&lt;null&gt;"/>
    <s v="&lt;null&gt;"/>
    <x v="0"/>
    <s v="&lt;null&gt;"/>
    <s v="&lt;null&gt;"/>
    <s v="&lt;null&gt;"/>
    <s v="&lt;null&gt;"/>
    <n v="100"/>
    <s v="&lt;null&gt;"/>
    <s v="&lt;null&gt;"/>
    <s v="&lt;null&gt;"/>
    <s v="&lt;null&gt;"/>
    <m/>
    <m/>
    <m/>
    <m/>
  </r>
  <r>
    <x v="1212"/>
    <x v="1212"/>
    <s v="Verkeersveiligheid"/>
    <x v="1"/>
    <n v="1620"/>
    <s v="IN/001303"/>
    <s v="VRI volgens actieplan Lappersfort"/>
    <s v="&lt;null&gt;"/>
    <s v="Kleine Ingreep"/>
    <s v="&lt;null&gt;"/>
    <b v="0"/>
    <s v="Ingreep wordt niet opgevolgd in BOD"/>
    <s v="&lt;null&gt;"/>
    <s v="&lt;null&gt;"/>
    <s v="&lt;null&gt;"/>
    <s v="&lt;null&gt;"/>
    <s v="&lt;null&gt;"/>
    <x v="0"/>
    <s v="&lt;null&gt;"/>
    <s v="&lt;null&gt;"/>
    <s v="&lt;null&gt;"/>
    <s v="&lt;null&gt;"/>
    <n v="100"/>
    <s v="&lt;null&gt;"/>
    <s v="&lt;null&gt;"/>
    <s v="&lt;null&gt;"/>
    <s v="&lt;null&gt;"/>
    <m/>
    <m/>
    <m/>
    <m/>
  </r>
  <r>
    <x v="1213"/>
    <x v="1213"/>
    <s v="Fiets"/>
    <x v="0"/>
    <n v="1652"/>
    <s v="IN/001304"/>
    <s v="Ingreep fietspad Relance N4 Overijse"/>
    <s v="huidige enkelrichtingsfietspaden zijn in zeer slechte staat\nDit is het wegvak tussen Jezus-Eik en Overijse. Voor scholieren naar de middelbare scholen in Overijse, voor werknemers naar de bedrijven langs en de directe omgeving van de N4 en voor fietsers "/>
    <s v="Kleine Ingreep"/>
    <s v="&lt;null&gt;"/>
    <b v="0"/>
    <s v="Ingreep wordt niet opgevolgd in BOD"/>
    <s v="&lt;null&gt;"/>
    <s v="&lt;null&gt;"/>
    <s v="&lt;null&gt;"/>
    <s v="&lt;null&gt;"/>
    <s v="&lt;null&gt;"/>
    <x v="0"/>
    <s v="&lt;null&gt;"/>
    <s v="&lt;null&gt;"/>
    <s v="&lt;null&gt;"/>
    <s v="&lt;null&gt;"/>
    <n v="100"/>
    <s v="&lt;null&gt;"/>
    <s v="&lt;null&gt;"/>
    <s v="&lt;null&gt;"/>
    <s v="&lt;null&gt;"/>
    <m/>
    <m/>
    <m/>
    <m/>
  </r>
  <r>
    <x v="1214"/>
    <x v="1214"/>
    <s v="Fiets"/>
    <x v="0"/>
    <n v="1653"/>
    <s v="IN/001305"/>
    <s v="N3 Bertem Relance Fiets"/>
    <s v="tussen kilometerpunt 22,0 en 24,3\nhuidige enkelrichtingsfietspaden zijn in zeer slechte staat\nDit is het wegvak tussen Bertem- en Leuven. Voor scholieren en studenten naar campussen en middelbare scholen in Leuven, voor werknemers naar UZ Gasthuisberg o"/>
    <s v="Kleine Ingreep"/>
    <s v="WVB/INV/N3/15"/>
    <b v="1"/>
    <s v="Ingreep wordt opgevolgd in BOD"/>
    <n v="10964"/>
    <s v="AWV/INV/2021/1_P2"/>
    <n v="82601"/>
    <n v="21022713"/>
    <s v="&lt;p&gt;Relance fiets&lt;/p&gt;"/>
    <x v="0"/>
    <n v="8945"/>
    <s v="N3 Bertem Tim Ver Eycken"/>
    <s v="&lt;null&gt;"/>
    <s v="WVB/INV/N3/15"/>
    <n v="100"/>
    <n v="152898.87"/>
    <n v="0"/>
    <n v="0"/>
    <n v="0"/>
    <n v="152898.87"/>
    <n v="0"/>
    <n v="0"/>
    <n v="0"/>
  </r>
  <r>
    <x v="18"/>
    <x v="18"/>
    <s v="&lt;null&gt;"/>
    <x v="3"/>
    <n v="1654"/>
    <s v="IN/001306"/>
    <s v="Brusselsesteenweg:aanleg fietspaden tussen Walton en Termerestraat Relance Fiets"/>
    <s v="Brusselsesteenweg:aanleg fietspaden tussen Walton en Termerestraat\n\nOndertussen hebben wij vastgesteld dat het aantal onteigeningen voor dit project beperkt zijn tot 15 stuks. Voor dit project waren middelen voorzien in 2023. Volgens onze huidige planni"/>
    <s v="Kleine Ingreep"/>
    <s v="&lt;null&gt;"/>
    <b v="0"/>
    <s v="Ingreep wordt niet opgevolgd in BOD"/>
    <s v="&lt;null&gt;"/>
    <s v="&lt;null&gt;"/>
    <s v="&lt;null&gt;"/>
    <s v="&lt;null&gt;"/>
    <s v="&lt;null&gt;"/>
    <x v="0"/>
    <s v="&lt;null&gt;"/>
    <s v="&lt;null&gt;"/>
    <s v="&lt;null&gt;"/>
    <s v="&lt;null&gt;"/>
    <s v="&lt;null&gt;"/>
    <s v="&lt;null&gt;"/>
    <s v="&lt;null&gt;"/>
    <s v="&lt;null&gt;"/>
    <s v="&lt;null&gt;"/>
    <m/>
    <m/>
    <m/>
    <m/>
  </r>
  <r>
    <x v="1215"/>
    <x v="1215"/>
    <s v="Verkeersveiligheid"/>
    <x v="5"/>
    <n v="1655"/>
    <s v="IN/001307"/>
    <s v="Aanpak voetpaden brug N744 over E314"/>
    <s v="asfalteren van de voetpaden op de brug van de N744 over E314. Verbeteren verkeersveiligheid en comfort voetganger, en veiligheid onderdoorgaand gemotoriseerd verkeer."/>
    <s v="Kleine Ingreep"/>
    <s v="WL/INV/N744/5"/>
    <b v="1"/>
    <s v="Ingreep wordt opgevolgd in BOD"/>
    <n v="11589"/>
    <s v="WL/INV/2021/10_P5"/>
    <n v="105401"/>
    <n v="21066891"/>
    <s v="&lt;p&gt;Aanpak voetpaden brug N744 over E314&lt;/p&gt;"/>
    <x v="10"/>
    <n v="7192"/>
    <s v="Genk: Aanpak voetpaden brug N744 over E314"/>
    <s v="&lt;p&gt;Aanpak voetpaden brug N744 over E314&lt;/p&gt;"/>
    <s v="WL/INV/N744/5"/>
    <n v="100"/>
    <n v="33780.68"/>
    <n v="0"/>
    <n v="0"/>
    <n v="0"/>
    <n v="33780.68"/>
    <n v="0"/>
    <n v="0"/>
    <n v="0"/>
  </r>
  <r>
    <x v="1216"/>
    <x v="1216"/>
    <s v="Stimuleren Combimobiliteit"/>
    <x v="7"/>
    <n v="1656"/>
    <s v="IN/001308"/>
    <s v="Heraanleg bushaltes N9 Asse Ter Heide (kerk / Buda / Heuvelstraat)"/>
    <s v="Aanpassen huidige verouderde haltes"/>
    <s v="Kleine Ingreep"/>
    <s v="WVB/INV/N9/4"/>
    <b v="1"/>
    <s v="Ingreep wordt opgevolgd in BOD"/>
    <n v="10663"/>
    <s v="X21/0/490"/>
    <n v="93251"/>
    <n v="21069350"/>
    <s v="&lt;p&gt;relance / 5 bushaltes N9 Asse Ter Heide&lt;/p&gt;"/>
    <x v="24"/>
    <n v="6661"/>
    <s v="&lt;null&gt;"/>
    <s v="&lt;p&gt;relance bus / 5 bushaltes N9 Asse Ter Heide&lt;/p&gt;"/>
    <s v="WVB/INV/N9/4"/>
    <n v="100"/>
    <n v="322314.05"/>
    <n v="322314.05031999998"/>
    <n v="-3.2000000000000003E-4"/>
    <n v="0"/>
    <n v="322314.05"/>
    <n v="322314.05031999998"/>
    <n v="-3.2000000000000003E-4"/>
    <n v="0"/>
  </r>
  <r>
    <x v="1217"/>
    <x v="1217"/>
    <s v="Verkeersveiligheid"/>
    <x v="4"/>
    <n v="1657"/>
    <s v="IN/001309"/>
    <s v="Herent VVOP N2 x Van Couwenhovelaan"/>
    <s v="VVOP plaatsen"/>
    <s v="Kleine Ingreep"/>
    <s v="WVB/INV/N2/23"/>
    <b v="0"/>
    <s v="Ingreep wordt niet opgevolgd in BOD"/>
    <s v="&lt;null&gt;"/>
    <s v="&lt;null&gt;"/>
    <s v="&lt;null&gt;"/>
    <s v="&lt;null&gt;"/>
    <s v="&lt;null&gt;"/>
    <x v="0"/>
    <s v="&lt;null&gt;"/>
    <s v="&lt;null&gt;"/>
    <s v="&lt;null&gt;"/>
    <s v="&lt;null&gt;"/>
    <n v="100"/>
    <s v="&lt;null&gt;"/>
    <s v="&lt;null&gt;"/>
    <s v="&lt;null&gt;"/>
    <s v="&lt;null&gt;"/>
    <m/>
    <m/>
    <m/>
    <m/>
  </r>
  <r>
    <x v="1218"/>
    <x v="1218"/>
    <s v="Verkeersveiligheid"/>
    <x v="4"/>
    <n v="1658"/>
    <s v="IN/001310"/>
    <s v="Herent VVOP N2 x Grote molenweg"/>
    <s v="VVOP plaatsen"/>
    <s v="Kleine Ingreep"/>
    <s v="WVB/INV/N2/22"/>
    <b v="0"/>
    <s v="Ingreep wordt niet opgevolgd in BOD"/>
    <s v="&lt;null&gt;"/>
    <s v="&lt;null&gt;"/>
    <s v="&lt;null&gt;"/>
    <s v="&lt;null&gt;"/>
    <s v="&lt;null&gt;"/>
    <x v="0"/>
    <s v="&lt;null&gt;"/>
    <s v="&lt;null&gt;"/>
    <s v="&lt;null&gt;"/>
    <s v="&lt;null&gt;"/>
    <n v="100"/>
    <s v="&lt;null&gt;"/>
    <s v="&lt;null&gt;"/>
    <s v="&lt;null&gt;"/>
    <s v="&lt;null&gt;"/>
    <m/>
    <m/>
    <m/>
    <m/>
  </r>
  <r>
    <x v="763"/>
    <x v="763"/>
    <s v="Verkeersveiligheid"/>
    <x v="4"/>
    <n v="1659"/>
    <s v="IN/001311"/>
    <s v="Boortmeerbeek VRI plaatsen kruispunt Bieststraat"/>
    <s v="VRI plaatsen\nPCV VB-328"/>
    <s v="Kleine Ingreep"/>
    <s v="WVB/INV/N26/17"/>
    <b v="0"/>
    <s v="Ingreep wordt niet opgevolgd in BOD"/>
    <s v="&lt;null&gt;"/>
    <s v="&lt;null&gt;"/>
    <s v="&lt;null&gt;"/>
    <s v="&lt;null&gt;"/>
    <s v="&lt;null&gt;"/>
    <x v="0"/>
    <s v="&lt;null&gt;"/>
    <s v="&lt;null&gt;"/>
    <s v="&lt;null&gt;"/>
    <s v="&lt;null&gt;"/>
    <n v="100"/>
    <s v="&lt;null&gt;"/>
    <s v="&lt;null&gt;"/>
    <s v="&lt;null&gt;"/>
    <s v="&lt;null&gt;"/>
    <m/>
    <m/>
    <m/>
    <m/>
  </r>
  <r>
    <x v="762"/>
    <x v="762"/>
    <s v="Verkeersveiligheid"/>
    <x v="4"/>
    <n v="1660"/>
    <s v="IN/001312"/>
    <s v="Boortmeerbeek VVOP plaatsen kruispunt Guido Gezellestraat"/>
    <s v="VVOP"/>
    <s v="Kleine Ingreep"/>
    <s v="WVB/INV/N26/16"/>
    <b v="0"/>
    <s v="Ingreep wordt niet opgevolgd in BOD"/>
    <s v="&lt;null&gt;"/>
    <s v="&lt;null&gt;"/>
    <s v="&lt;null&gt;"/>
    <s v="&lt;null&gt;"/>
    <s v="&lt;null&gt;"/>
    <x v="0"/>
    <s v="&lt;null&gt;"/>
    <s v="&lt;null&gt;"/>
    <s v="&lt;null&gt;"/>
    <s v="&lt;null&gt;"/>
    <n v="100"/>
    <s v="&lt;null&gt;"/>
    <s v="&lt;null&gt;"/>
    <s v="&lt;null&gt;"/>
    <s v="&lt;null&gt;"/>
    <m/>
    <m/>
    <m/>
    <m/>
  </r>
  <r>
    <x v="1219"/>
    <x v="1219"/>
    <s v="Verkeersveiligheid"/>
    <x v="4"/>
    <n v="1661"/>
    <s v="IN/001313"/>
    <s v="Onderbord verwijderen en vervangen"/>
    <s v="Onderbord verwijderen en vervangen"/>
    <s v="Kleine Ingreep"/>
    <s v="WVB/INV/N3/13"/>
    <b v="0"/>
    <s v="Ingreep wordt niet opgevolgd in BOD"/>
    <s v="&lt;null&gt;"/>
    <s v="&lt;null&gt;"/>
    <s v="&lt;null&gt;"/>
    <s v="&lt;null&gt;"/>
    <s v="&lt;null&gt;"/>
    <x v="0"/>
    <s v="&lt;null&gt;"/>
    <s v="&lt;null&gt;"/>
    <s v="&lt;null&gt;"/>
    <s v="&lt;null&gt;"/>
    <n v="100"/>
    <s v="&lt;null&gt;"/>
    <s v="&lt;null&gt;"/>
    <s v="&lt;null&gt;"/>
    <s v="&lt;null&gt;"/>
    <m/>
    <m/>
    <m/>
    <m/>
  </r>
  <r>
    <x v="1220"/>
    <x v="1220"/>
    <s v="Verkeersveiligheid"/>
    <x v="6"/>
    <n v="1662"/>
    <s v="IN/001314"/>
    <s v="dubbelrichtingsfietspad + oversteek"/>
    <s v="dubbelrichtingsfietpad achter groenstrook aanleggen + oversteek naar overzijde\n\nOPW legt fietssuggestiestroken aan"/>
    <s v="Kleine Ingreep"/>
    <s v="WVB/INV/N211/4"/>
    <b v="1"/>
    <s v="Ingreep wordt opgevolgd in BOD"/>
    <n v="7663"/>
    <s v="X21/0/461-perceel 2"/>
    <n v="80651"/>
    <n v="20054464"/>
    <s v="&lt;p&gt;jaar C - X21/0/461 P2 (V02)&lt;/p&gt;"/>
    <x v="22"/>
    <n v="7801"/>
    <s v="IN/001314 Opwijk St Jansstraat"/>
    <s v="&lt;null&gt;"/>
    <s v="WVB/INV/N211/4"/>
    <n v="100"/>
    <n v="20000"/>
    <n v="19887.74368"/>
    <n v="0"/>
    <n v="112.25632"/>
    <n v="20000"/>
    <n v="19887.74368"/>
    <n v="0"/>
    <n v="112.25632"/>
  </r>
  <r>
    <x v="1007"/>
    <x v="1007"/>
    <s v="Verkeersveiligheid"/>
    <x v="4"/>
    <n v="1663"/>
    <s v="IN/001315"/>
    <s v="Verlagen boordstenen oversteekplaats"/>
    <s v="&lt;null&gt;"/>
    <s v="Kleine Ingreep"/>
    <s v="WL/INV/N730/12"/>
    <b v="1"/>
    <s v="Ingreep wordt opgevolgd in BOD"/>
    <n v="7214"/>
    <s v="O70/0/753"/>
    <n v="71351"/>
    <n v="20031678"/>
    <s v="&lt;p&gt;VL O70/0/753 1M3D8G/18/47 3de jaar Clusterbestek wegenonderhoud onderhoudswerken herstellingswerken en herstellen van geleideconstructies District Zuid-Limburg - verlenging&lt;/p&gt;"/>
    <x v="20"/>
    <n v="6304"/>
    <s v="Schoolroute - KS549 - Bilzen - Aanpassen verharding VOP"/>
    <s v="&lt;null&gt;"/>
    <s v="WL/INV/N730/12"/>
    <n v="100"/>
    <n v="2342.86"/>
    <n v="2342.86"/>
    <n v="0"/>
    <n v="0"/>
    <n v="2342.86"/>
    <n v="2342.86"/>
    <n v="0"/>
    <n v="0"/>
  </r>
  <r>
    <x v="744"/>
    <x v="744"/>
    <s v="Verkeersveiligheid"/>
    <x v="4"/>
    <n v="1664"/>
    <s v="IN/001316"/>
    <s v="Verbetering oversteekvoorzieningen (olv PM studiebureau MC3; aan te stellen)"/>
    <s v="zebrapad verplaatsen; punctueel verlichten; voetpad vrij van obstakels maken"/>
    <s v="Kleine Ingreep"/>
    <s v="WL/INV/N76/27"/>
    <b v="0"/>
    <s v="Ingreep wordt niet opgevolgd in BOD"/>
    <s v="&lt;null&gt;"/>
    <s v="&lt;null&gt;"/>
    <s v="&lt;null&gt;"/>
    <s v="&lt;null&gt;"/>
    <s v="&lt;null&gt;"/>
    <x v="0"/>
    <s v="&lt;null&gt;"/>
    <s v="&lt;null&gt;"/>
    <s v="&lt;null&gt;"/>
    <s v="&lt;null&gt;"/>
    <n v="100"/>
    <s v="&lt;null&gt;"/>
    <s v="&lt;null&gt;"/>
    <s v="&lt;null&gt;"/>
    <s v="&lt;null&gt;"/>
    <m/>
    <m/>
    <m/>
    <m/>
  </r>
  <r>
    <x v="1221"/>
    <x v="1221"/>
    <s v="Verkeersveiligheid"/>
    <x v="4"/>
    <n v="1665"/>
    <s v="IN/001317"/>
    <s v="Verlagen van boordstenen"/>
    <s v="uitgevoerd op relancebudget bestek oneffenheden"/>
    <s v="Kleine Ingreep"/>
    <s v="WL/INV/N730/23"/>
    <b v="0"/>
    <s v="Ingreep wordt niet opgevolgd in BOD"/>
    <s v="&lt;null&gt;"/>
    <s v="&lt;null&gt;"/>
    <s v="&lt;null&gt;"/>
    <s v="&lt;null&gt;"/>
    <s v="&lt;null&gt;"/>
    <x v="0"/>
    <s v="&lt;null&gt;"/>
    <s v="&lt;null&gt;"/>
    <s v="&lt;null&gt;"/>
    <s v="&lt;null&gt;"/>
    <n v="100"/>
    <s v="&lt;null&gt;"/>
    <s v="&lt;null&gt;"/>
    <s v="&lt;null&gt;"/>
    <s v="&lt;null&gt;"/>
    <m/>
    <m/>
    <m/>
    <m/>
  </r>
  <r>
    <x v="362"/>
    <x v="362"/>
    <s v="Verkeersveiligheid"/>
    <x v="1"/>
    <n v="1666"/>
    <s v="IN/001318"/>
    <s v="Conflictvrije fietsoversteek R30 - fietssnelweg F31"/>
    <s v="Verkeerslichten in afstemming met vlaamse waterweg"/>
    <s v="Kleine Ingreep"/>
    <s v="&lt;null&gt;"/>
    <b v="0"/>
    <s v="Ingreep wordt niet opgevolgd in BOD"/>
    <s v="&lt;null&gt;"/>
    <s v="&lt;null&gt;"/>
    <s v="&lt;null&gt;"/>
    <s v="&lt;null&gt;"/>
    <s v="&lt;null&gt;"/>
    <x v="0"/>
    <s v="&lt;null&gt;"/>
    <s v="&lt;null&gt;"/>
    <s v="&lt;null&gt;"/>
    <s v="&lt;null&gt;"/>
    <n v="100"/>
    <s v="&lt;null&gt;"/>
    <s v="&lt;null&gt;"/>
    <s v="&lt;null&gt;"/>
    <s v="&lt;null&gt;"/>
    <m/>
    <m/>
    <m/>
    <m/>
  </r>
  <r>
    <x v="1222"/>
    <x v="1222"/>
    <s v="Verkeersveiligheid"/>
    <x v="5"/>
    <n v="1667"/>
    <s v="IN/001319"/>
    <s v="N327 Tielt Gruuthusestraat"/>
    <s v="Vernieuwen fietspaden, parkeerstroken in samenwerking met stad Tielt (vernieuwen voetpaden) naar aanleiding van invoeren éénrichtingsverkeer"/>
    <s v="Kleine Ingreep"/>
    <s v="WWV/INV/N327/5"/>
    <b v="1"/>
    <s v="Ingreep wordt opgevolgd in BOD"/>
    <n v="11568"/>
    <s v="WWV/INV/2021/10-3"/>
    <n v="96101"/>
    <n v="21050402"/>
    <s v="&lt;p&gt;Relance proefproject wegen West-Vlaanderen (MIA) Perceel 3: Regio Midwest - fiets&lt;/p&gt;"/>
    <x v="2"/>
    <n v="7171"/>
    <s v="N327 Gruuthusestraat Tielt"/>
    <s v="&lt;null&gt;"/>
    <s v="WWV/INV/N327/5"/>
    <n v="100"/>
    <n v="480600"/>
    <n v="0"/>
    <n v="0"/>
    <n v="448365"/>
    <n v="480600"/>
    <n v="0"/>
    <n v="0"/>
    <n v="448365"/>
  </r>
  <r>
    <x v="1223"/>
    <x v="1223"/>
    <s v="Fiets"/>
    <x v="0"/>
    <n v="1668"/>
    <s v="IN/001320"/>
    <s v="N311"/>
    <s v="Plaatselijke herstelling betonplaten"/>
    <s v="Kleine Ingreep"/>
    <s v="WWV/INV/N311/2"/>
    <b v="0"/>
    <s v="Ingreep wordt niet opgevolgd in BOD"/>
    <s v="&lt;null&gt;"/>
    <s v="&lt;null&gt;"/>
    <s v="&lt;null&gt;"/>
    <s v="&lt;null&gt;"/>
    <s v="&lt;null&gt;"/>
    <x v="0"/>
    <s v="&lt;null&gt;"/>
    <s v="&lt;null&gt;"/>
    <s v="&lt;null&gt;"/>
    <s v="&lt;null&gt;"/>
    <n v="100"/>
    <s v="&lt;null&gt;"/>
    <s v="&lt;null&gt;"/>
    <s v="&lt;null&gt;"/>
    <s v="&lt;null&gt;"/>
    <m/>
    <m/>
    <m/>
    <m/>
  </r>
  <r>
    <x v="18"/>
    <x v="18"/>
    <s v="&lt;null&gt;"/>
    <x v="3"/>
    <n v="1669"/>
    <s v="IN/001321"/>
    <s v="N36 - Plaatselijke herstel kmpnt 5.1 - 5.25 (relance)"/>
    <s v="Plaatselijk herstel fietspad thv kmpnt 5.1-5.25\n- Deels opbraak beton en vervanging door asfalt\n- Deels plaatselijk herstel betonplaten"/>
    <s v="Kleine Ingreep"/>
    <s v="WWV/INV/N36/19"/>
    <b v="0"/>
    <s v="Ingreep wordt niet opgevolgd in BOD"/>
    <s v="&lt;null&gt;"/>
    <s v="&lt;null&gt;"/>
    <s v="&lt;null&gt;"/>
    <s v="&lt;null&gt;"/>
    <s v="&lt;null&gt;"/>
    <x v="0"/>
    <s v="&lt;null&gt;"/>
    <s v="&lt;null&gt;"/>
    <s v="&lt;null&gt;"/>
    <s v="&lt;null&gt;"/>
    <s v="&lt;null&gt;"/>
    <s v="&lt;null&gt;"/>
    <s v="&lt;null&gt;"/>
    <s v="&lt;null&gt;"/>
    <s v="&lt;null&gt;"/>
    <m/>
    <m/>
    <m/>
    <m/>
  </r>
  <r>
    <x v="1224"/>
    <x v="1224"/>
    <s v="Fiets"/>
    <x v="0"/>
    <n v="1670"/>
    <s v="IN/001322"/>
    <s v="Aanpak aanliggende fietspaden in Brugge R30 - B4 - 4.200 - 4.696 - Gentpoort - Katelijnepoort"/>
    <s v="&lt;null&gt;"/>
    <s v="Kleine Ingreep"/>
    <s v="WWV/INV/R30/11"/>
    <b v="0"/>
    <s v="Ingreep wordt niet opgevolgd in BOD"/>
    <s v="&lt;null&gt;"/>
    <s v="&lt;null&gt;"/>
    <s v="&lt;null&gt;"/>
    <s v="&lt;null&gt;"/>
    <s v="&lt;null&gt;"/>
    <x v="0"/>
    <s v="&lt;null&gt;"/>
    <s v="&lt;null&gt;"/>
    <s v="&lt;null&gt;"/>
    <s v="&lt;null&gt;"/>
    <n v="100"/>
    <s v="&lt;null&gt;"/>
    <s v="&lt;null&gt;"/>
    <s v="&lt;null&gt;"/>
    <s v="&lt;null&gt;"/>
    <m/>
    <m/>
    <m/>
    <m/>
  </r>
  <r>
    <x v="491"/>
    <x v="491"/>
    <s v="Verkeersveiligheid"/>
    <x v="1"/>
    <n v="1671"/>
    <s v="IN/001323"/>
    <s v="Aanpassen/vernieuwing van verharding in Kortrijk : A14-E17 Richting Frankrijk Oprit 3 N8 Brussel, A14-E17 Richting Frankrijk Uitrit 3, N8 Richting Brussel"/>
    <s v="Omschrijving Doorsteken fietspaden verbreden + vernieuwen toplaag (250.000)"/>
    <s v="Kleine Ingreep"/>
    <s v="WWV/INV/N8/32"/>
    <b v="1"/>
    <s v="Ingreep wordt opgevolgd in BOD"/>
    <s v="&lt;null&gt;"/>
    <s v="&lt;null&gt;"/>
    <n v="118201"/>
    <n v="21065772"/>
    <s v="&lt;p&gt;OF AWV/INV/2021/3 P3 3mh229 - gevaarlijke punten&lt;/p&gt;"/>
    <x v="10"/>
    <n v="8160"/>
    <s v="N8/A14 Kortrijk"/>
    <s v="&lt;null&gt;"/>
    <s v="WWV/INV/N8/32"/>
    <n v="75"/>
    <n v="206600"/>
    <n v="0"/>
    <n v="0"/>
    <n v="206600"/>
    <n v="154950"/>
    <n v="0"/>
    <n v="0"/>
    <n v="154950"/>
  </r>
  <r>
    <x v="806"/>
    <x v="806"/>
    <s v="Verkeersveiligheid"/>
    <x v="4"/>
    <n v="1671"/>
    <s v="IN/001323"/>
    <s v="Aanpassen/vernieuwing van verharding in Kortrijk : A14-E17 Richting Frankrijk Oprit 3 N8 Brussel, A14-E17 Richting Frankrijk Uitrit 3, N8 Richting Brussel"/>
    <s v="Omschrijving Doorsteken fietspaden verbreden + vernieuwen toplaag (250.000)"/>
    <s v="Kleine Ingreep"/>
    <s v="WWV/INV/N8/32"/>
    <b v="1"/>
    <s v="Ingreep wordt opgevolgd in BOD"/>
    <s v="&lt;null&gt;"/>
    <s v="&lt;null&gt;"/>
    <n v="118201"/>
    <n v="21065772"/>
    <s v="&lt;p&gt;OF AWV/INV/2021/3 P3 3mh229 - gevaarlijke punten&lt;/p&gt;"/>
    <x v="10"/>
    <n v="8160"/>
    <s v="N8/A14 Kortrijk"/>
    <s v="&lt;null&gt;"/>
    <s v="WWV/INV/N8/32"/>
    <n v="25"/>
    <n v="206600"/>
    <n v="0"/>
    <n v="0"/>
    <n v="206600"/>
    <n v="51650"/>
    <n v="0"/>
    <n v="0"/>
    <n v="51650"/>
  </r>
  <r>
    <x v="507"/>
    <x v="507"/>
    <s v="Verkeersveiligheid"/>
    <x v="1"/>
    <n v="1672"/>
    <s v="IN/001324"/>
    <s v="VRI volgens actieplan Vierkant groen"/>
    <s v="&lt;null&gt;"/>
    <s v="Kleine Ingreep"/>
    <s v="&lt;null&gt;"/>
    <b v="0"/>
    <s v="Ingreep wordt niet opgevolgd in BOD"/>
    <s v="&lt;null&gt;"/>
    <s v="&lt;null&gt;"/>
    <s v="&lt;null&gt;"/>
    <s v="&lt;null&gt;"/>
    <s v="&lt;null&gt;"/>
    <x v="0"/>
    <s v="&lt;null&gt;"/>
    <s v="&lt;null&gt;"/>
    <s v="&lt;null&gt;"/>
    <s v="&lt;null&gt;"/>
    <n v="100"/>
    <s v="&lt;null&gt;"/>
    <s v="&lt;null&gt;"/>
    <s v="&lt;null&gt;"/>
    <s v="&lt;null&gt;"/>
    <m/>
    <m/>
    <m/>
    <m/>
  </r>
  <r>
    <x v="1225"/>
    <x v="1225"/>
    <s v="Verkeersveiligheid"/>
    <x v="5"/>
    <n v="1673"/>
    <s v="IN/001325"/>
    <s v="N33 Zomerstraat Torhout"/>
    <s v="Oversteek fietsers ter hoogte van kruispunt"/>
    <s v="Kleine Ingreep"/>
    <s v="WWV/INV/N33/3"/>
    <b v="1"/>
    <s v="Ingreep wordt opgevolgd in BOD"/>
    <n v="11568"/>
    <s v="WWV/INV/2021/10-3"/>
    <n v="96051"/>
    <n v="21052431"/>
    <s v="&lt;p&gt;Relance gevaarlijke punten proefproject wegen West-Vlaanderen (MIA) Perceel 3: Regio Midwest&lt;/p&gt;"/>
    <x v="10"/>
    <n v="7172"/>
    <s v="N33 Zomerstraat Torhout"/>
    <s v="&lt;null&gt;"/>
    <s v="WWV/INV/N33/3"/>
    <n v="100"/>
    <n v="50000"/>
    <n v="0"/>
    <n v="0"/>
    <n v="26690"/>
    <n v="50000"/>
    <n v="0"/>
    <n v="0"/>
    <n v="26690"/>
  </r>
  <r>
    <x v="1226"/>
    <x v="1226"/>
    <s v="Verkeersveiligheid"/>
    <x v="5"/>
    <n v="1674"/>
    <s v="IN/001326"/>
    <s v="Aanpassing aansluiting Schansvijverstraat"/>
    <s v="Deze aansluiting wordt ontdubbeld om:\n- lagere inrijsnelheden te bekomen\n- minder conflict met de fietser te bekomen\n\nVerbeteren verkeersveiligheid fietser en gemotoriseerd verkeer."/>
    <s v="Kleine Ingreep"/>
    <s v="WL/INV/N72/19"/>
    <b v="1"/>
    <s v="Ingreep wordt opgevolgd in BOD"/>
    <n v="11574"/>
    <s v="WL/INV/2021/8_P1"/>
    <n v="110351"/>
    <n v="21067062"/>
    <s v="&lt;p&gt;werken van APK in district West&lt;/p&gt;"/>
    <x v="2"/>
    <n v="7477"/>
    <s v="Beringen: N72 Schansvijverstraat"/>
    <s v="&lt;null&gt;"/>
    <s v="WL/INV/N72/19"/>
    <n v="100"/>
    <n v="61000"/>
    <n v="49933.782899999998"/>
    <n v="0"/>
    <n v="11066.2171"/>
    <n v="61000"/>
    <n v="49933.782899999998"/>
    <n v="0"/>
    <n v="11066.2171"/>
  </r>
  <r>
    <x v="1227"/>
    <x v="1227"/>
    <s v="Verkeersveiligheid"/>
    <x v="4"/>
    <n v="1675"/>
    <s v="IN/001327"/>
    <s v="N446 Waasmunster Vernieuwen Durmebrug"/>
    <s v="&lt;null&gt;"/>
    <s v="Structurele Ingreep"/>
    <s v="WOV/INV/N446/3"/>
    <b v="0"/>
    <s v="Ingreep wordt niet opgevolgd in BOD"/>
    <s v="&lt;null&gt;"/>
    <s v="&lt;null&gt;"/>
    <s v="&lt;null&gt;"/>
    <s v="&lt;null&gt;"/>
    <s v="&lt;null&gt;"/>
    <x v="0"/>
    <s v="&lt;null&gt;"/>
    <s v="&lt;null&gt;"/>
    <s v="&lt;null&gt;"/>
    <s v="&lt;null&gt;"/>
    <n v="40"/>
    <s v="&lt;null&gt;"/>
    <s v="&lt;null&gt;"/>
    <s v="&lt;null&gt;"/>
    <s v="&lt;null&gt;"/>
    <m/>
    <m/>
    <m/>
    <m/>
  </r>
  <r>
    <x v="18"/>
    <x v="18"/>
    <s v="&lt;null&gt;"/>
    <x v="3"/>
    <n v="1676"/>
    <s v="IN/001328"/>
    <s v="N403 SintGillisWs heraanleg Vosdrf tot Vlasrootst"/>
    <s v="&lt;null&gt;"/>
    <s v="Structurele Ingreep"/>
    <s v="WOV/INV/N403/1"/>
    <b v="0"/>
    <s v="Ingreep wordt niet opgevolgd in BOD"/>
    <s v="&lt;null&gt;"/>
    <s v="&lt;null&gt;"/>
    <s v="&lt;null&gt;"/>
    <s v="&lt;null&gt;"/>
    <s v="&lt;null&gt;"/>
    <x v="0"/>
    <s v="&lt;null&gt;"/>
    <s v="&lt;null&gt;"/>
    <s v="&lt;null&gt;"/>
    <s v="&lt;null&gt;"/>
    <s v="&lt;null&gt;"/>
    <s v="&lt;null&gt;"/>
    <s v="&lt;null&gt;"/>
    <s v="&lt;null&gt;"/>
    <s v="&lt;null&gt;"/>
    <m/>
    <m/>
    <m/>
    <m/>
  </r>
  <r>
    <x v="1228"/>
    <x v="1228"/>
    <s v="Verkeersveiligheid"/>
    <x v="4"/>
    <n v="1677"/>
    <s v="IN/001329"/>
    <s v="N446 Waasmunster fietspaden ten zuiden complex E17"/>
    <s v="&lt;null&gt;"/>
    <s v="Structurele Ingreep"/>
    <s v="WOV/INV/N446/2"/>
    <b v="0"/>
    <s v="Ingreep wordt niet opgevolgd in BOD"/>
    <s v="&lt;null&gt;"/>
    <s v="&lt;null&gt;"/>
    <s v="&lt;null&gt;"/>
    <s v="&lt;null&gt;"/>
    <s v="&lt;null&gt;"/>
    <x v="0"/>
    <s v="&lt;null&gt;"/>
    <s v="&lt;null&gt;"/>
    <s v="&lt;null&gt;"/>
    <s v="&lt;null&gt;"/>
    <n v="20"/>
    <s v="&lt;null&gt;"/>
    <s v="&lt;null&gt;"/>
    <s v="&lt;null&gt;"/>
    <s v="&lt;null&gt;"/>
    <m/>
    <m/>
    <m/>
    <m/>
  </r>
  <r>
    <x v="1229"/>
    <x v="1229"/>
    <s v="Stimuleren Combimobiliteit"/>
    <x v="2"/>
    <n v="1678"/>
    <s v="IN/001330"/>
    <s v="N112 WIJNEGEM - overdracht"/>
    <s v="&lt;null&gt;"/>
    <s v="Structurele Ingreep"/>
    <s v="WA/INV/N112/2"/>
    <b v="0"/>
    <s v="Ingreep wordt niet opgevolgd in BOD"/>
    <s v="&lt;null&gt;"/>
    <s v="&lt;null&gt;"/>
    <s v="&lt;null&gt;"/>
    <s v="&lt;null&gt;"/>
    <s v="&lt;null&gt;"/>
    <x v="0"/>
    <s v="&lt;null&gt;"/>
    <s v="&lt;null&gt;"/>
    <s v="&lt;null&gt;"/>
    <s v="&lt;null&gt;"/>
    <n v="0"/>
    <s v="&lt;null&gt;"/>
    <s v="&lt;null&gt;"/>
    <s v="&lt;null&gt;"/>
    <s v="&lt;null&gt;"/>
    <m/>
    <m/>
    <m/>
    <m/>
  </r>
  <r>
    <x v="18"/>
    <x v="18"/>
    <s v="&lt;null&gt;"/>
    <x v="3"/>
    <n v="1679"/>
    <s v="IN/001331"/>
    <s v="N467 Berlare doortocht"/>
    <s v="&lt;null&gt;"/>
    <s v="Structurele Ingreep"/>
    <s v="WOV/INV/N467/1"/>
    <b v="0"/>
    <s v="Ingreep wordt niet opgevolgd in BOD"/>
    <s v="&lt;null&gt;"/>
    <s v="&lt;null&gt;"/>
    <s v="&lt;null&gt;"/>
    <s v="&lt;null&gt;"/>
    <s v="&lt;null&gt;"/>
    <x v="0"/>
    <s v="&lt;null&gt;"/>
    <s v="&lt;null&gt;"/>
    <s v="&lt;null&gt;"/>
    <s v="&lt;null&gt;"/>
    <s v="&lt;null&gt;"/>
    <s v="&lt;null&gt;"/>
    <s v="&lt;null&gt;"/>
    <s v="&lt;null&gt;"/>
    <s v="&lt;null&gt;"/>
    <m/>
    <m/>
    <m/>
    <m/>
  </r>
  <r>
    <x v="18"/>
    <x v="18"/>
    <s v="&lt;null&gt;"/>
    <x v="3"/>
    <n v="1680"/>
    <s v="IN/001332"/>
    <s v="N485 Kruibeke Temse heraanleg tussen E17 en N419"/>
    <s v="&lt;null&gt;"/>
    <s v="Structurele Ingreep"/>
    <s v="WOV/INV/N485/1"/>
    <b v="0"/>
    <s v="Ingreep wordt niet opgevolgd in BOD"/>
    <s v="&lt;null&gt;"/>
    <s v="&lt;null&gt;"/>
    <s v="&lt;null&gt;"/>
    <s v="&lt;null&gt;"/>
    <s v="&lt;null&gt;"/>
    <x v="0"/>
    <s v="&lt;null&gt;"/>
    <s v="&lt;null&gt;"/>
    <s v="&lt;null&gt;"/>
    <s v="&lt;null&gt;"/>
    <s v="&lt;null&gt;"/>
    <s v="&lt;null&gt;"/>
    <s v="&lt;null&gt;"/>
    <s v="&lt;null&gt;"/>
    <s v="&lt;null&gt;"/>
    <m/>
    <m/>
    <m/>
    <m/>
  </r>
  <r>
    <x v="185"/>
    <x v="185"/>
    <s v="Fiets"/>
    <x v="0"/>
    <n v="1681"/>
    <s v="IN/001333"/>
    <s v="N470 Hamme SO bij mod13   nieuwe aantakking op N41"/>
    <s v="&lt;null&gt;"/>
    <s v="Structurele Ingreep"/>
    <s v="WOV/INV/N470/2"/>
    <b v="0"/>
    <s v="Ingreep wordt niet opgevolgd in BOD"/>
    <s v="&lt;null&gt;"/>
    <s v="&lt;null&gt;"/>
    <s v="&lt;null&gt;"/>
    <s v="&lt;null&gt;"/>
    <s v="&lt;null&gt;"/>
    <x v="0"/>
    <s v="&lt;null&gt;"/>
    <s v="&lt;null&gt;"/>
    <s v="&lt;null&gt;"/>
    <s v="&lt;null&gt;"/>
    <n v="20"/>
    <s v="&lt;null&gt;"/>
    <s v="&lt;null&gt;"/>
    <s v="&lt;null&gt;"/>
    <s v="&lt;null&gt;"/>
    <m/>
    <m/>
    <m/>
    <m/>
  </r>
  <r>
    <x v="1230"/>
    <x v="1230"/>
    <s v="Verkeersveiligheid"/>
    <x v="1"/>
    <n v="1681"/>
    <s v="IN/001333"/>
    <s v="N470 Hamme SO bij mod13   nieuwe aantakking op N41"/>
    <s v="&lt;null&gt;"/>
    <s v="Structurele Ingreep"/>
    <s v="WOV/INV/N470/2"/>
    <b v="0"/>
    <s v="Ingreep wordt niet opgevolgd in BOD"/>
    <s v="&lt;null&gt;"/>
    <s v="&lt;null&gt;"/>
    <s v="&lt;null&gt;"/>
    <s v="&lt;null&gt;"/>
    <s v="&lt;null&gt;"/>
    <x v="0"/>
    <s v="&lt;null&gt;"/>
    <s v="&lt;null&gt;"/>
    <s v="&lt;null&gt;"/>
    <s v="&lt;null&gt;"/>
    <n v="30"/>
    <s v="&lt;null&gt;"/>
    <s v="&lt;null&gt;"/>
    <s v="&lt;null&gt;"/>
    <s v="&lt;null&gt;"/>
    <m/>
    <m/>
    <m/>
    <m/>
  </r>
  <r>
    <x v="18"/>
    <x v="18"/>
    <s v="&lt;null&gt;"/>
    <x v="3"/>
    <n v="1683"/>
    <s v="IN/001335"/>
    <s v="Ontsluiting parallelweg op complex Moerbeke"/>
    <s v="&lt;null&gt;"/>
    <s v="Structurele Ingreep"/>
    <s v="WOV/INV/A11/1"/>
    <b v="0"/>
    <s v="Ingreep wordt niet opgevolgd in BOD"/>
    <s v="&lt;null&gt;"/>
    <s v="&lt;null&gt;"/>
    <s v="&lt;null&gt;"/>
    <s v="&lt;null&gt;"/>
    <s v="&lt;null&gt;"/>
    <x v="0"/>
    <s v="&lt;null&gt;"/>
    <s v="&lt;null&gt;"/>
    <s v="&lt;null&gt;"/>
    <s v="&lt;null&gt;"/>
    <s v="&lt;null&gt;"/>
    <s v="&lt;null&gt;"/>
    <s v="&lt;null&gt;"/>
    <s v="&lt;null&gt;"/>
    <s v="&lt;null&gt;"/>
    <m/>
    <m/>
    <m/>
    <m/>
  </r>
  <r>
    <x v="18"/>
    <x v="18"/>
    <s v="&lt;null&gt;"/>
    <x v="3"/>
    <n v="1684"/>
    <s v="IN/001336"/>
    <s v="N470 Dendermonde heraanleg bij mod 13"/>
    <s v="&lt;null&gt;"/>
    <s v="Structurele Ingreep"/>
    <s v="WOV/INV/N470/1"/>
    <b v="0"/>
    <s v="Ingreep wordt niet opgevolgd in BOD"/>
    <s v="&lt;null&gt;"/>
    <s v="&lt;null&gt;"/>
    <s v="&lt;null&gt;"/>
    <s v="&lt;null&gt;"/>
    <s v="&lt;null&gt;"/>
    <x v="0"/>
    <s v="&lt;null&gt;"/>
    <s v="&lt;null&gt;"/>
    <s v="&lt;null&gt;"/>
    <s v="&lt;null&gt;"/>
    <s v="&lt;null&gt;"/>
    <s v="&lt;null&gt;"/>
    <s v="&lt;null&gt;"/>
    <s v="&lt;null&gt;"/>
    <s v="&lt;null&gt;"/>
    <m/>
    <m/>
    <m/>
    <m/>
  </r>
  <r>
    <x v="18"/>
    <x v="18"/>
    <s v="&lt;null&gt;"/>
    <x v="3"/>
    <n v="1685"/>
    <s v="IN/001337"/>
    <s v="N419 Kruibeke structureel onderhoud bij Aquafinpro"/>
    <s v="&lt;null&gt;"/>
    <s v="Structurele Ingreep"/>
    <s v="WOV/INV/N419/1"/>
    <b v="0"/>
    <s v="Ingreep wordt niet opgevolgd in BOD"/>
    <s v="&lt;null&gt;"/>
    <s v="&lt;null&gt;"/>
    <s v="&lt;null&gt;"/>
    <s v="&lt;null&gt;"/>
    <s v="&lt;null&gt;"/>
    <x v="0"/>
    <s v="&lt;null&gt;"/>
    <s v="&lt;null&gt;"/>
    <s v="&lt;null&gt;"/>
    <s v="&lt;null&gt;"/>
    <s v="&lt;null&gt;"/>
    <s v="&lt;null&gt;"/>
    <s v="&lt;null&gt;"/>
    <s v="&lt;null&gt;"/>
    <s v="&lt;null&gt;"/>
    <m/>
    <m/>
    <m/>
    <m/>
  </r>
  <r>
    <x v="18"/>
    <x v="18"/>
    <s v="&lt;null&gt;"/>
    <x v="3"/>
    <n v="1686"/>
    <s v="IN/001338"/>
    <s v="R42 Sint-Niklaas en Temse Oostelijke Tangent"/>
    <s v="&lt;null&gt;"/>
    <s v="Structurele Ingreep"/>
    <s v="WOV/INV/R42/1"/>
    <b v="0"/>
    <s v="Ingreep wordt niet opgevolgd in BOD"/>
    <s v="&lt;null&gt;"/>
    <s v="&lt;null&gt;"/>
    <s v="&lt;null&gt;"/>
    <s v="&lt;null&gt;"/>
    <s v="&lt;null&gt;"/>
    <x v="0"/>
    <s v="&lt;null&gt;"/>
    <s v="&lt;null&gt;"/>
    <s v="&lt;null&gt;"/>
    <s v="&lt;null&gt;"/>
    <s v="&lt;null&gt;"/>
    <s v="&lt;null&gt;"/>
    <s v="&lt;null&gt;"/>
    <s v="&lt;null&gt;"/>
    <s v="&lt;null&gt;"/>
    <m/>
    <m/>
    <m/>
    <m/>
  </r>
  <r>
    <x v="18"/>
    <x v="18"/>
    <s v="&lt;null&gt;"/>
    <x v="3"/>
    <n v="1702"/>
    <s v="IN/001339"/>
    <s v="N355 Koksijde: herinrichten Veurnevaartstraat"/>
    <s v="&lt;null&gt;"/>
    <s v="Structurele Ingreep"/>
    <s v="WWV/INV/NX/2"/>
    <b v="0"/>
    <s v="Ingreep wordt niet opgevolgd in BOD"/>
    <s v="&lt;null&gt;"/>
    <s v="&lt;null&gt;"/>
    <s v="&lt;null&gt;"/>
    <s v="&lt;null&gt;"/>
    <s v="&lt;null&gt;"/>
    <x v="0"/>
    <s v="&lt;null&gt;"/>
    <s v="&lt;null&gt;"/>
    <s v="&lt;null&gt;"/>
    <s v="&lt;null&gt;"/>
    <s v="&lt;null&gt;"/>
    <s v="&lt;null&gt;"/>
    <s v="&lt;null&gt;"/>
    <s v="&lt;null&gt;"/>
    <s v="&lt;null&gt;"/>
    <m/>
    <m/>
    <m/>
    <m/>
  </r>
  <r>
    <x v="18"/>
    <x v="18"/>
    <s v="&lt;null&gt;"/>
    <x v="3"/>
    <n v="1703"/>
    <s v="IN/001340"/>
    <s v="N8 Avelgem, aanleg fietspaden Rugge - Kerkhove"/>
    <s v="&lt;null&gt;"/>
    <s v="Structurele Ingreep"/>
    <s v="WWV/INV/N8/30"/>
    <b v="0"/>
    <s v="Ingreep wordt niet opgevolgd in BOD"/>
    <s v="&lt;null&gt;"/>
    <s v="&lt;null&gt;"/>
    <s v="&lt;null&gt;"/>
    <s v="&lt;null&gt;"/>
    <s v="&lt;null&gt;"/>
    <x v="0"/>
    <s v="&lt;null&gt;"/>
    <s v="&lt;null&gt;"/>
    <s v="&lt;null&gt;"/>
    <s v="&lt;null&gt;"/>
    <s v="&lt;null&gt;"/>
    <s v="&lt;null&gt;"/>
    <s v="&lt;null&gt;"/>
    <s v="&lt;null&gt;"/>
    <s v="&lt;null&gt;"/>
    <m/>
    <m/>
    <m/>
    <m/>
  </r>
  <r>
    <x v="18"/>
    <x v="18"/>
    <s v="&lt;null&gt;"/>
    <x v="3"/>
    <n v="1704"/>
    <s v="IN/001341"/>
    <s v="carpoolparking II Deerlijk"/>
    <s v="&lt;null&gt;"/>
    <s v="Structurele Ingreep"/>
    <s v="WWV/INV/N36/12"/>
    <b v="0"/>
    <s v="Ingreep wordt niet opgevolgd in BOD"/>
    <s v="&lt;null&gt;"/>
    <s v="&lt;null&gt;"/>
    <s v="&lt;null&gt;"/>
    <s v="&lt;null&gt;"/>
    <s v="&lt;null&gt;"/>
    <x v="0"/>
    <s v="&lt;null&gt;"/>
    <s v="&lt;null&gt;"/>
    <s v="&lt;null&gt;"/>
    <s v="&lt;null&gt;"/>
    <s v="&lt;null&gt;"/>
    <s v="&lt;null&gt;"/>
    <s v="&lt;null&gt;"/>
    <s v="&lt;null&gt;"/>
    <s v="&lt;null&gt;"/>
    <m/>
    <m/>
    <m/>
    <m/>
  </r>
  <r>
    <x v="1231"/>
    <x v="1231"/>
    <s v="Verkeersveiligheid"/>
    <x v="1"/>
    <n v="1705"/>
    <s v="IN/001342"/>
    <s v="N34/F34 Wenduine - Blankenberge"/>
    <s v="&lt;null&gt;"/>
    <s v="Structurele Ingreep"/>
    <s v="WWV/INV/N34/11"/>
    <b v="0"/>
    <s v="Ingreep wordt niet opgevolgd in BOD"/>
    <s v="&lt;null&gt;"/>
    <s v="&lt;null&gt;"/>
    <s v="&lt;null&gt;"/>
    <s v="&lt;null&gt;"/>
    <s v="&lt;null&gt;"/>
    <x v="0"/>
    <s v="&lt;null&gt;"/>
    <s v="&lt;null&gt;"/>
    <s v="&lt;null&gt;"/>
    <s v="&lt;null&gt;"/>
    <n v="10"/>
    <s v="&lt;null&gt;"/>
    <s v="&lt;null&gt;"/>
    <s v="&lt;null&gt;"/>
    <s v="&lt;null&gt;"/>
    <m/>
    <m/>
    <m/>
    <m/>
  </r>
  <r>
    <x v="18"/>
    <x v="18"/>
    <s v="&lt;null&gt;"/>
    <x v="3"/>
    <n v="1706"/>
    <s v="IN/001343"/>
    <s v="N34/F34 Blankenberge - Zeebrugge"/>
    <s v="&lt;null&gt;"/>
    <s v="Structurele Ingreep"/>
    <s v="WWV/INV/N34/12"/>
    <b v="0"/>
    <s v="Ingreep wordt niet opgevolgd in BOD"/>
    <s v="&lt;null&gt;"/>
    <s v="&lt;null&gt;"/>
    <s v="&lt;null&gt;"/>
    <s v="&lt;null&gt;"/>
    <s v="&lt;null&gt;"/>
    <x v="0"/>
    <s v="&lt;null&gt;"/>
    <s v="&lt;null&gt;"/>
    <s v="&lt;null&gt;"/>
    <s v="&lt;null&gt;"/>
    <s v="&lt;null&gt;"/>
    <s v="&lt;null&gt;"/>
    <s v="&lt;null&gt;"/>
    <s v="&lt;null&gt;"/>
    <s v="&lt;null&gt;"/>
    <m/>
    <m/>
    <m/>
    <m/>
  </r>
  <r>
    <x v="18"/>
    <x v="18"/>
    <s v="&lt;null&gt;"/>
    <x v="3"/>
    <n v="1707"/>
    <s v="IN/001344"/>
    <s v="N37 Ardooie Herinrichten BUBEKO"/>
    <s v="&lt;null&gt;"/>
    <s v="Structurele Ingreep"/>
    <s v="WWV/INV/N37/4"/>
    <b v="0"/>
    <s v="Ingreep wordt niet opgevolgd in BOD"/>
    <s v="&lt;null&gt;"/>
    <s v="&lt;null&gt;"/>
    <s v="&lt;null&gt;"/>
    <s v="&lt;null&gt;"/>
    <s v="&lt;null&gt;"/>
    <x v="0"/>
    <s v="&lt;null&gt;"/>
    <s v="&lt;null&gt;"/>
    <s v="&lt;null&gt;"/>
    <s v="&lt;null&gt;"/>
    <s v="&lt;null&gt;"/>
    <s v="&lt;null&gt;"/>
    <s v="&lt;null&gt;"/>
    <s v="&lt;null&gt;"/>
    <s v="&lt;null&gt;"/>
    <m/>
    <m/>
    <m/>
    <m/>
  </r>
  <r>
    <x v="18"/>
    <x v="18"/>
    <s v="&lt;null&gt;"/>
    <x v="3"/>
    <n v="1708"/>
    <s v="IN/001345"/>
    <s v="N78 Maaseik, Stad aan de Maas - beplanting"/>
    <s v="&lt;null&gt;"/>
    <s v="Structurele Ingreep"/>
    <s v="WL/INV/N78/25"/>
    <b v="0"/>
    <s v="Ingreep wordt niet opgevolgd in BOD"/>
    <s v="&lt;null&gt;"/>
    <s v="&lt;null&gt;"/>
    <s v="&lt;null&gt;"/>
    <s v="&lt;null&gt;"/>
    <s v="&lt;null&gt;"/>
    <x v="0"/>
    <s v="&lt;null&gt;"/>
    <s v="&lt;null&gt;"/>
    <s v="&lt;null&gt;"/>
    <s v="&lt;null&gt;"/>
    <s v="&lt;null&gt;"/>
    <s v="&lt;null&gt;"/>
    <s v="&lt;null&gt;"/>
    <s v="&lt;null&gt;"/>
    <s v="&lt;null&gt;"/>
    <m/>
    <m/>
    <m/>
    <m/>
  </r>
  <r>
    <x v="18"/>
    <x v="18"/>
    <s v="&lt;null&gt;"/>
    <x v="3"/>
    <n v="1709"/>
    <s v="IN/001346"/>
    <s v="N761 Maaseik, Pater Sangersbrug"/>
    <s v="&lt;null&gt;"/>
    <s v="Structurele Ingreep"/>
    <s v="WL/INV/N761/1"/>
    <b v="0"/>
    <s v="Ingreep wordt niet opgevolgd in BOD"/>
    <s v="&lt;null&gt;"/>
    <s v="&lt;null&gt;"/>
    <s v="&lt;null&gt;"/>
    <s v="&lt;null&gt;"/>
    <s v="&lt;null&gt;"/>
    <x v="0"/>
    <s v="&lt;null&gt;"/>
    <s v="&lt;null&gt;"/>
    <s v="&lt;null&gt;"/>
    <s v="&lt;null&gt;"/>
    <s v="&lt;null&gt;"/>
    <s v="&lt;null&gt;"/>
    <s v="&lt;null&gt;"/>
    <s v="&lt;null&gt;"/>
    <s v="&lt;null&gt;"/>
    <m/>
    <m/>
    <m/>
    <m/>
  </r>
  <r>
    <x v="1232"/>
    <x v="1232"/>
    <s v="Verkeersveiligheid"/>
    <x v="1"/>
    <n v="1710"/>
    <s v="IN/001347"/>
    <s v="Sint-Niklaas : Kettermuitstraat, N41 Richting Aalst, N41 Richting Hulst (Nl), Nieuwe Steenweg, Steenweg Hulst-Lessen"/>
    <s v="Actieplan VRI"/>
    <s v="Kleine Ingreep"/>
    <s v="&lt;null&gt;"/>
    <b v="0"/>
    <s v="Ingreep wordt niet opgevolgd in BOD"/>
    <s v="&lt;null&gt;"/>
    <s v="&lt;null&gt;"/>
    <s v="&lt;null&gt;"/>
    <s v="&lt;null&gt;"/>
    <s v="&lt;null&gt;"/>
    <x v="0"/>
    <s v="&lt;null&gt;"/>
    <s v="&lt;null&gt;"/>
    <s v="&lt;null&gt;"/>
    <s v="&lt;null&gt;"/>
    <n v="100"/>
    <s v="&lt;null&gt;"/>
    <s v="&lt;null&gt;"/>
    <s v="&lt;null&gt;"/>
    <s v="&lt;null&gt;"/>
    <m/>
    <m/>
    <m/>
    <m/>
  </r>
  <r>
    <x v="1233"/>
    <x v="1233"/>
    <s v="Verkeersveiligheid"/>
    <x v="1"/>
    <n v="1711"/>
    <s v="IN/001348"/>
    <s v="Dendermonde : Grootzand, Martelarenlaan, Zeelsebaan (Actieplan VRI)"/>
    <s v="Actieplan VRI"/>
    <s v="Kleine Ingreep"/>
    <s v="&lt;null&gt;"/>
    <b v="0"/>
    <s v="Ingreep wordt niet opgevolgd in BOD"/>
    <s v="&lt;null&gt;"/>
    <s v="&lt;null&gt;"/>
    <s v="&lt;null&gt;"/>
    <s v="&lt;null&gt;"/>
    <s v="&lt;null&gt;"/>
    <x v="0"/>
    <s v="&lt;null&gt;"/>
    <s v="&lt;null&gt;"/>
    <s v="&lt;null&gt;"/>
    <s v="&lt;null&gt;"/>
    <n v="100"/>
    <s v="&lt;null&gt;"/>
    <s v="&lt;null&gt;"/>
    <s v="&lt;null&gt;"/>
    <s v="&lt;null&gt;"/>
    <m/>
    <m/>
    <m/>
    <m/>
  </r>
  <r>
    <x v="1234"/>
    <x v="1234"/>
    <s v="Verkeersveiligheid"/>
    <x v="1"/>
    <n v="1712"/>
    <s v="IN/001349"/>
    <s v="Aalst : Albrechtlaan, Leopoldlaan, Moorselbaan, Onze Lieve Vrouwplein (Actieplan VRI)"/>
    <s v="Actieplan VRI"/>
    <s v="Kleine Ingreep"/>
    <s v="&lt;null&gt;"/>
    <b v="0"/>
    <s v="Ingreep wordt niet opgevolgd in BOD"/>
    <s v="&lt;null&gt;"/>
    <s v="&lt;null&gt;"/>
    <s v="&lt;null&gt;"/>
    <s v="&lt;null&gt;"/>
    <s v="&lt;null&gt;"/>
    <x v="0"/>
    <s v="&lt;null&gt;"/>
    <s v="&lt;null&gt;"/>
    <s v="&lt;null&gt;"/>
    <s v="&lt;null&gt;"/>
    <n v="100"/>
    <s v="&lt;null&gt;"/>
    <s v="&lt;null&gt;"/>
    <s v="&lt;null&gt;"/>
    <s v="&lt;null&gt;"/>
    <m/>
    <m/>
    <m/>
    <m/>
  </r>
  <r>
    <x v="1235"/>
    <x v="1235"/>
    <s v="Verkeersveiligheid"/>
    <x v="1"/>
    <n v="1713"/>
    <s v="IN/001350"/>
    <s v="Melle : N9 Brusselsesteenweg met op- en afrit R4 Binnenring"/>
    <s v="&lt;null&gt;"/>
    <s v="Kleine Ingreep"/>
    <s v="&lt;null&gt;"/>
    <b v="0"/>
    <s v="Ingreep wordt niet opgevolgd in BOD"/>
    <s v="&lt;null&gt;"/>
    <s v="&lt;null&gt;"/>
    <s v="&lt;null&gt;"/>
    <s v="&lt;null&gt;"/>
    <s v="&lt;null&gt;"/>
    <x v="0"/>
    <s v="&lt;null&gt;"/>
    <s v="&lt;null&gt;"/>
    <s v="&lt;null&gt;"/>
    <s v="&lt;null&gt;"/>
    <n v="100"/>
    <s v="&lt;null&gt;"/>
    <s v="&lt;null&gt;"/>
    <s v="&lt;null&gt;"/>
    <s v="&lt;null&gt;"/>
    <m/>
    <m/>
    <m/>
    <m/>
  </r>
  <r>
    <x v="450"/>
    <x v="450"/>
    <s v="Verkeersveiligheid"/>
    <x v="1"/>
    <n v="1714"/>
    <s v="IN/001351"/>
    <s v="N43 x Vlasstraat"/>
    <s v="conflictvrije fase voor voetgangers over de N43"/>
    <s v="Kleine Ingreep"/>
    <s v="WWV/INV/N43/7"/>
    <b v="0"/>
    <s v="Ingreep wordt niet opgevolgd in BOD"/>
    <s v="&lt;null&gt;"/>
    <s v="&lt;null&gt;"/>
    <s v="&lt;null&gt;"/>
    <s v="&lt;null&gt;"/>
    <s v="&lt;null&gt;"/>
    <x v="0"/>
    <s v="&lt;null&gt;"/>
    <s v="&lt;null&gt;"/>
    <s v="&lt;null&gt;"/>
    <s v="&lt;null&gt;"/>
    <n v="100"/>
    <s v="&lt;null&gt;"/>
    <s v="&lt;null&gt;"/>
    <s v="&lt;null&gt;"/>
    <s v="&lt;null&gt;"/>
    <m/>
    <m/>
    <m/>
    <m/>
  </r>
  <r>
    <x v="18"/>
    <x v="18"/>
    <s v="&lt;null&gt;"/>
    <x v="3"/>
    <n v="1715"/>
    <s v="IN/001352"/>
    <s v="Verbinding Zwevegem Knokke Bossuit"/>
    <s v="&lt;null&gt;"/>
    <s v="Structurele Ingreep"/>
    <s v="WWV/INV/NX/3"/>
    <b v="0"/>
    <s v="Ingreep wordt niet opgevolgd in BOD"/>
    <s v="&lt;null&gt;"/>
    <s v="&lt;null&gt;"/>
    <s v="&lt;null&gt;"/>
    <s v="&lt;null&gt;"/>
    <s v="&lt;null&gt;"/>
    <x v="0"/>
    <s v="&lt;null&gt;"/>
    <s v="&lt;null&gt;"/>
    <s v="&lt;null&gt;"/>
    <s v="&lt;null&gt;"/>
    <s v="&lt;null&gt;"/>
    <s v="&lt;null&gt;"/>
    <s v="&lt;null&gt;"/>
    <s v="&lt;null&gt;"/>
    <s v="&lt;null&gt;"/>
    <m/>
    <m/>
    <m/>
    <m/>
  </r>
  <r>
    <x v="18"/>
    <x v="18"/>
    <s v="&lt;null&gt;"/>
    <x v="3"/>
    <n v="1716"/>
    <s v="IN/001353"/>
    <s v="R0 - Faunapassage Hertenlaan (Hoeilaart)"/>
    <s v="&lt;null&gt;"/>
    <s v="Structurele Ingreep"/>
    <s v="WVB/INV/R0/6"/>
    <b v="0"/>
    <s v="Ingreep wordt niet opgevolgd in BOD"/>
    <s v="&lt;null&gt;"/>
    <s v="&lt;null&gt;"/>
    <s v="&lt;null&gt;"/>
    <s v="&lt;null&gt;"/>
    <s v="&lt;null&gt;"/>
    <x v="0"/>
    <s v="&lt;null&gt;"/>
    <s v="&lt;null&gt;"/>
    <s v="&lt;null&gt;"/>
    <s v="&lt;null&gt;"/>
    <s v="&lt;null&gt;"/>
    <s v="&lt;null&gt;"/>
    <s v="&lt;null&gt;"/>
    <s v="&lt;null&gt;"/>
    <s v="&lt;null&gt;"/>
    <m/>
    <m/>
    <m/>
    <m/>
  </r>
  <r>
    <x v="1236"/>
    <x v="1236"/>
    <s v="Verkeersveiligheid"/>
    <x v="4"/>
    <n v="1717"/>
    <s v="IN/001354"/>
    <s v="Kampenhout VVOP N21 x Rubenslaan"/>
    <s v="VVOP ter hoogte van de wijk Hutte voorzien"/>
    <s v="Kleine Ingreep"/>
    <s v="WVB/INV/N21/13"/>
    <b v="1"/>
    <s v="Ingreep wordt opgevolgd in BOD"/>
    <n v="10519"/>
    <s v="VWT/WU/2020/007.004"/>
    <n v="73751"/>
    <n v="22028153"/>
    <s v="&lt;p&gt;Vastlegging 1ste contractjaar - vastlegging 2: AANPASSEN&amp;amp;UITRUSTEN OVERSTEEKPLAATSEN VR ZWAKKE WEGGEBRUIKERS MET (PUNCTUELE) VERLICHTING&amp;amp;INGREPEN VAN BEPERKTE OMVANG - P4 WVB VVF 1STE JR&lt;/p&gt;"/>
    <x v="17"/>
    <n v="4855"/>
    <s v="Studiedossiers VVOP's"/>
    <s v="&lt;p&gt;Vastlegging 1ste contractjaar - vastlegging 2: AANPASSEN&amp;amp;UITRUSTEN OVERSTEEKPLAATSEN VR ZWAKKE WEGGEBRUIKERS MET (PUNCTUELE) VERLICHTING&amp;amp;INGREPEN VAN BEPERKTE OMVANG - P4 WVB VVF 1STE JR&lt;/p&gt;"/>
    <s v="WVB/INV/N21/13"/>
    <n v="100"/>
    <n v="254689.15"/>
    <n v="5631.8"/>
    <n v="0"/>
    <n v="0"/>
    <n v="254689.15"/>
    <n v="5631.8"/>
    <n v="0"/>
    <n v="0"/>
  </r>
  <r>
    <x v="901"/>
    <x v="901"/>
    <s v="Verkeersveiligheid"/>
    <x v="4"/>
    <n v="1718"/>
    <s v="IN/001355"/>
    <s v="Ingreep schoolroute in Overijse op Waversesteenweg N4, deel tussen Grotstraat en Vossebeekweg: aanleg middeneilanden"/>
    <s v="ZIE OOK IN/000980\n\nQW1: verplaatsen bebouwde kom, verlagen snelheidslimiet naar 50 km/u"/>
    <s v="Kleine Ingreep"/>
    <s v="WVB/INV/N4/8"/>
    <b v="0"/>
    <s v="Ingreep wordt niet opgevolgd in BOD"/>
    <s v="&lt;null&gt;"/>
    <s v="&lt;null&gt;"/>
    <s v="&lt;null&gt;"/>
    <s v="&lt;null&gt;"/>
    <s v="&lt;null&gt;"/>
    <x v="0"/>
    <s v="&lt;null&gt;"/>
    <s v="&lt;null&gt;"/>
    <s v="&lt;null&gt;"/>
    <s v="&lt;null&gt;"/>
    <n v="100"/>
    <s v="&lt;null&gt;"/>
    <s v="&lt;null&gt;"/>
    <s v="&lt;null&gt;"/>
    <s v="&lt;null&gt;"/>
    <m/>
    <m/>
    <m/>
    <m/>
  </r>
  <r>
    <x v="18"/>
    <x v="18"/>
    <s v="&lt;null&gt;"/>
    <x v="3"/>
    <n v="1719"/>
    <s v="IN/001356"/>
    <s v="Ingreep schoolroute in Overijse op Waversesteenweg N4, deel tussen Grotstraat en Vossebeekweg: aanleg toeleidende fietspaden op Hertstraat"/>
    <s v="ZIE IN/000980\n\n"/>
    <s v="Kleine Ingreep"/>
    <s v="WVB/INV/N4/9"/>
    <b v="0"/>
    <s v="Ingreep wordt niet opgevolgd in BOD"/>
    <s v="&lt;null&gt;"/>
    <s v="&lt;null&gt;"/>
    <s v="&lt;null&gt;"/>
    <s v="&lt;null&gt;"/>
    <s v="&lt;null&gt;"/>
    <x v="0"/>
    <s v="&lt;null&gt;"/>
    <s v="&lt;null&gt;"/>
    <s v="&lt;null&gt;"/>
    <s v="&lt;null&gt;"/>
    <s v="&lt;null&gt;"/>
    <s v="&lt;null&gt;"/>
    <s v="&lt;null&gt;"/>
    <s v="&lt;null&gt;"/>
    <s v="&lt;null&gt;"/>
    <m/>
    <m/>
    <m/>
    <m/>
  </r>
  <r>
    <x v="1237"/>
    <x v="1237"/>
    <s v="Verkeersveiligheid"/>
    <x v="4"/>
    <n v="1720"/>
    <s v="IN/001357"/>
    <s v="Steenokkerzeel VOP voorzien thv Zonneboslaan en Beukendreef"/>
    <s v="Aanpassen lichtenregeling en BOB nodig?\nVVOP of VOP + VRI voorzien?"/>
    <s v="Kleine Ingreep"/>
    <s v="&lt;null&gt;"/>
    <b v="0"/>
    <s v="Ingreep wordt niet opgevolgd in BOD"/>
    <s v="&lt;null&gt;"/>
    <s v="&lt;null&gt;"/>
    <s v="&lt;null&gt;"/>
    <s v="&lt;null&gt;"/>
    <s v="&lt;null&gt;"/>
    <x v="0"/>
    <s v="&lt;null&gt;"/>
    <s v="&lt;null&gt;"/>
    <s v="&lt;null&gt;"/>
    <s v="&lt;null&gt;"/>
    <n v="100"/>
    <s v="&lt;null&gt;"/>
    <s v="&lt;null&gt;"/>
    <s v="&lt;null&gt;"/>
    <s v="&lt;null&gt;"/>
    <m/>
    <m/>
    <m/>
    <m/>
  </r>
  <r>
    <x v="1238"/>
    <x v="1238"/>
    <s v="Fiets"/>
    <x v="0"/>
    <n v="1721"/>
    <s v="IN/001358"/>
    <s v="bundelbestek regio zuid"/>
    <s v="structureel onderhoud"/>
    <s v="Kleine Ingreep"/>
    <s v="&lt;null&gt;"/>
    <b v="0"/>
    <s v="Ingreep wordt niet opgevolgd in BOD"/>
    <s v="&lt;null&gt;"/>
    <s v="&lt;null&gt;"/>
    <s v="&lt;null&gt;"/>
    <s v="&lt;null&gt;"/>
    <s v="&lt;null&gt;"/>
    <x v="0"/>
    <s v="&lt;null&gt;"/>
    <s v="&lt;null&gt;"/>
    <s v="&lt;null&gt;"/>
    <s v="&lt;null&gt;"/>
    <n v="100"/>
    <s v="&lt;null&gt;"/>
    <s v="&lt;null&gt;"/>
    <s v="&lt;null&gt;"/>
    <s v="&lt;null&gt;"/>
    <m/>
    <m/>
    <m/>
    <m/>
  </r>
  <r>
    <x v="1239"/>
    <x v="1239"/>
    <s v="Verkeersveiligheid"/>
    <x v="1"/>
    <n v="1722"/>
    <s v="IN/001359"/>
    <s v="Antwerpen : Krijgsbaan, R11 Richting Hoboken"/>
    <s v="VLCC"/>
    <s v="Kleine Ingreep"/>
    <s v="WA/INV/R11/7"/>
    <b v="0"/>
    <s v="Ingreep wordt niet opgevolgd in BOD"/>
    <s v="&lt;null&gt;"/>
    <s v="&lt;null&gt;"/>
    <s v="&lt;null&gt;"/>
    <s v="&lt;null&gt;"/>
    <s v="&lt;null&gt;"/>
    <x v="0"/>
    <s v="&lt;null&gt;"/>
    <s v="&lt;null&gt;"/>
    <s v="&lt;null&gt;"/>
    <s v="&lt;null&gt;"/>
    <n v="100"/>
    <s v="&lt;null&gt;"/>
    <s v="&lt;null&gt;"/>
    <s v="&lt;null&gt;"/>
    <s v="&lt;null&gt;"/>
    <m/>
    <m/>
    <m/>
    <m/>
  </r>
  <r>
    <x v="18"/>
    <x v="18"/>
    <s v="&lt;null&gt;"/>
    <x v="3"/>
    <n v="1723"/>
    <s v="IN/001360"/>
    <s v="Verbinding Ieper-Veurne"/>
    <s v="&lt;null&gt;"/>
    <s v="Structurele Ingreep"/>
    <s v="WWV/INV/N8/31"/>
    <b v="0"/>
    <s v="Ingreep wordt niet opgevolgd in BOD"/>
    <s v="&lt;null&gt;"/>
    <s v="&lt;null&gt;"/>
    <s v="&lt;null&gt;"/>
    <s v="&lt;null&gt;"/>
    <s v="&lt;null&gt;"/>
    <x v="0"/>
    <s v="&lt;null&gt;"/>
    <s v="&lt;null&gt;"/>
    <s v="&lt;null&gt;"/>
    <s v="&lt;null&gt;"/>
    <s v="&lt;null&gt;"/>
    <s v="&lt;null&gt;"/>
    <s v="&lt;null&gt;"/>
    <s v="&lt;null&gt;"/>
    <s v="&lt;null&gt;"/>
    <m/>
    <m/>
    <m/>
    <m/>
  </r>
  <r>
    <x v="18"/>
    <x v="18"/>
    <s v="&lt;null&gt;"/>
    <x v="3"/>
    <n v="1724"/>
    <s v="IN/001361"/>
    <s v="N371 Zuienkerke - heraanleg + fietspaden"/>
    <s v="&lt;null&gt;"/>
    <s v="Structurele Ingreep"/>
    <s v="WWV/INV/N371/4"/>
    <b v="0"/>
    <s v="Ingreep wordt niet opgevolgd in BOD"/>
    <s v="&lt;null&gt;"/>
    <s v="&lt;null&gt;"/>
    <s v="&lt;null&gt;"/>
    <s v="&lt;null&gt;"/>
    <s v="&lt;null&gt;"/>
    <x v="0"/>
    <s v="&lt;null&gt;"/>
    <s v="&lt;null&gt;"/>
    <s v="&lt;null&gt;"/>
    <s v="&lt;null&gt;"/>
    <s v="&lt;null&gt;"/>
    <s v="&lt;null&gt;"/>
    <s v="&lt;null&gt;"/>
    <s v="&lt;null&gt;"/>
    <s v="&lt;null&gt;"/>
    <m/>
    <m/>
    <m/>
    <m/>
  </r>
  <r>
    <x v="56"/>
    <x v="56"/>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lt;null&gt;"/>
    <s v="&lt;null&gt;"/>
    <s v="&lt;null&gt;"/>
    <x v="0"/>
    <s v="&lt;null&gt;"/>
    <s v="&lt;null&gt;"/>
    <s v="&lt;null&gt;"/>
    <s v="&lt;null&gt;"/>
    <n v="9.85"/>
    <s v="&lt;null&gt;"/>
    <s v="&lt;null&gt;"/>
    <s v="&lt;null&gt;"/>
    <s v="&lt;null&gt;"/>
    <m/>
    <m/>
    <m/>
    <m/>
  </r>
  <r>
    <x v="58"/>
    <x v="58"/>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lt;null&gt;"/>
    <s v="&lt;null&gt;"/>
    <s v="&lt;null&gt;"/>
    <x v="0"/>
    <s v="&lt;null&gt;"/>
    <s v="&lt;null&gt;"/>
    <s v="&lt;null&gt;"/>
    <s v="&lt;null&gt;"/>
    <n v="9.4"/>
    <s v="&lt;null&gt;"/>
    <s v="&lt;null&gt;"/>
    <s v="&lt;null&gt;"/>
    <s v="&lt;null&gt;"/>
    <m/>
    <m/>
    <m/>
    <m/>
  </r>
  <r>
    <x v="59"/>
    <x v="59"/>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lt;null&gt;"/>
    <s v="&lt;null&gt;"/>
    <s v="&lt;null&gt;"/>
    <x v="0"/>
    <s v="&lt;null&gt;"/>
    <s v="&lt;null&gt;"/>
    <s v="&lt;null&gt;"/>
    <s v="&lt;null&gt;"/>
    <n v="6.3"/>
    <s v="&lt;null&gt;"/>
    <s v="&lt;null&gt;"/>
    <s v="&lt;null&gt;"/>
    <s v="&lt;null&gt;"/>
    <m/>
    <m/>
    <m/>
    <m/>
  </r>
  <r>
    <x v="137"/>
    <x v="137"/>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lt;null&gt;"/>
    <s v="&lt;null&gt;"/>
    <s v="&lt;null&gt;"/>
    <x v="0"/>
    <s v="&lt;null&gt;"/>
    <s v="&lt;null&gt;"/>
    <s v="&lt;null&gt;"/>
    <s v="&lt;null&gt;"/>
    <n v="12.9"/>
    <s v="&lt;null&gt;"/>
    <s v="&lt;null&gt;"/>
    <s v="&lt;null&gt;"/>
    <s v="&lt;null&gt;"/>
    <m/>
    <m/>
    <m/>
    <m/>
  </r>
  <r>
    <x v="138"/>
    <x v="138"/>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lt;null&gt;"/>
    <s v="&lt;null&gt;"/>
    <s v="&lt;null&gt;"/>
    <x v="0"/>
    <s v="&lt;null&gt;"/>
    <s v="&lt;null&gt;"/>
    <s v="&lt;null&gt;"/>
    <s v="&lt;null&gt;"/>
    <n v="0.5"/>
    <s v="&lt;null&gt;"/>
    <s v="&lt;null&gt;"/>
    <s v="&lt;null&gt;"/>
    <s v="&lt;null&gt;"/>
    <m/>
    <m/>
    <m/>
    <m/>
  </r>
  <r>
    <x v="1240"/>
    <x v="1240"/>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lt;null&gt;"/>
    <s v="&lt;null&gt;"/>
    <s v="&lt;null&gt;"/>
    <x v="0"/>
    <s v="&lt;null&gt;"/>
    <s v="&lt;null&gt;"/>
    <s v="&lt;null&gt;"/>
    <s v="&lt;null&gt;"/>
    <n v="0.5"/>
    <s v="&lt;null&gt;"/>
    <s v="&lt;null&gt;"/>
    <s v="&lt;null&gt;"/>
    <s v="&lt;null&gt;"/>
    <m/>
    <m/>
    <m/>
    <m/>
  </r>
  <r>
    <x v="18"/>
    <x v="18"/>
    <s v="&lt;null&gt;"/>
    <x v="3"/>
    <n v="1726"/>
    <s v="IN/001363"/>
    <s v="N386 De Panne - aanleg fietspaden Duinhoekstraat"/>
    <s v="&lt;null&gt;"/>
    <s v="Structurele Ingreep"/>
    <s v="WWV/INV/N386/1"/>
    <b v="0"/>
    <s v="Ingreep wordt niet opgevolgd in BOD"/>
    <s v="&lt;null&gt;"/>
    <s v="&lt;null&gt;"/>
    <s v="&lt;null&gt;"/>
    <s v="&lt;null&gt;"/>
    <s v="&lt;null&gt;"/>
    <x v="0"/>
    <s v="&lt;null&gt;"/>
    <s v="&lt;null&gt;"/>
    <s v="&lt;null&gt;"/>
    <s v="&lt;null&gt;"/>
    <s v="&lt;null&gt;"/>
    <s v="&lt;null&gt;"/>
    <s v="&lt;null&gt;"/>
    <s v="&lt;null&gt;"/>
    <s v="&lt;null&gt;"/>
    <m/>
    <m/>
    <m/>
    <m/>
  </r>
  <r>
    <x v="18"/>
    <x v="18"/>
    <s v="&lt;null&gt;"/>
    <x v="3"/>
    <n v="1727"/>
    <s v="IN/001364"/>
    <s v="N34 Koksijde - herinrichting i.k.v. trambedding"/>
    <s v="&lt;null&gt;"/>
    <s v="Structurele Ingreep"/>
    <s v="WWV/INV/N34/13"/>
    <b v="0"/>
    <s v="Ingreep wordt niet opgevolgd in BOD"/>
    <s v="&lt;null&gt;"/>
    <s v="&lt;null&gt;"/>
    <s v="&lt;null&gt;"/>
    <s v="&lt;null&gt;"/>
    <s v="&lt;null&gt;"/>
    <x v="0"/>
    <s v="&lt;null&gt;"/>
    <s v="&lt;null&gt;"/>
    <s v="&lt;null&gt;"/>
    <s v="&lt;null&gt;"/>
    <s v="&lt;null&gt;"/>
    <s v="&lt;null&gt;"/>
    <s v="&lt;null&gt;"/>
    <s v="&lt;null&gt;"/>
    <s v="&lt;null&gt;"/>
    <m/>
    <m/>
    <m/>
    <m/>
  </r>
  <r>
    <x v="1241"/>
    <x v="1241"/>
    <s v="Stimuleren Combimobiliteit"/>
    <x v="7"/>
    <n v="1728"/>
    <s v="IN/001365"/>
    <s v="R4 Gent multimodale ontsluiting Eiland Zwijnaarde"/>
    <s v="&lt;null&gt;"/>
    <s v="Structurele Ingreep"/>
    <s v="WOV/INV/R4/7"/>
    <b v="0"/>
    <s v="Ingreep wordt niet opgevolgd in BOD"/>
    <s v="&lt;null&gt;"/>
    <s v="&lt;null&gt;"/>
    <s v="&lt;null&gt;"/>
    <s v="&lt;null&gt;"/>
    <s v="&lt;null&gt;"/>
    <x v="0"/>
    <s v="&lt;null&gt;"/>
    <s v="&lt;null&gt;"/>
    <s v="&lt;null&gt;"/>
    <s v="&lt;null&gt;"/>
    <n v="100"/>
    <s v="&lt;null&gt;"/>
    <s v="&lt;null&gt;"/>
    <s v="&lt;null&gt;"/>
    <s v="&lt;null&gt;"/>
    <m/>
    <m/>
    <m/>
    <m/>
  </r>
  <r>
    <x v="18"/>
    <x v="18"/>
    <s v="&lt;null&gt;"/>
    <x v="3"/>
    <n v="1729"/>
    <s v="IN/001366"/>
    <s v="N461 Gent heraanleg Antoon Catriestraat"/>
    <s v="&lt;null&gt;"/>
    <s v="Structurele Ingreep"/>
    <s v="WOV/INV/N461/1"/>
    <b v="0"/>
    <s v="Ingreep wordt niet opgevolgd in BOD"/>
    <s v="&lt;null&gt;"/>
    <s v="&lt;null&gt;"/>
    <s v="&lt;null&gt;"/>
    <s v="&lt;null&gt;"/>
    <s v="&lt;null&gt;"/>
    <x v="0"/>
    <s v="&lt;null&gt;"/>
    <s v="&lt;null&gt;"/>
    <s v="&lt;null&gt;"/>
    <s v="&lt;null&gt;"/>
    <s v="&lt;null&gt;"/>
    <s v="&lt;null&gt;"/>
    <s v="&lt;null&gt;"/>
    <s v="&lt;null&gt;"/>
    <s v="&lt;null&gt;"/>
    <m/>
    <m/>
    <m/>
    <m/>
  </r>
  <r>
    <x v="1242"/>
    <x v="1242"/>
    <s v="Verkeersveiligheid"/>
    <x v="1"/>
    <n v="1730"/>
    <s v="IN/001367"/>
    <s v="Lanaken : Maastrichterweg, Steenselbergweg"/>
    <s v="Fietspad zijstraat in rode slem\n"/>
    <s v="Kleine Ingreep"/>
    <s v="WL/INV/N77/9"/>
    <b v="0"/>
    <s v="Ingreep wordt niet opgevolgd in BOD"/>
    <s v="&lt;null&gt;"/>
    <s v="&lt;null&gt;"/>
    <s v="&lt;null&gt;"/>
    <s v="&lt;null&gt;"/>
    <s v="&lt;null&gt;"/>
    <x v="0"/>
    <s v="&lt;null&gt;"/>
    <s v="&lt;null&gt;"/>
    <s v="&lt;null&gt;"/>
    <s v="&lt;null&gt;"/>
    <n v="100"/>
    <s v="&lt;null&gt;"/>
    <s v="&lt;null&gt;"/>
    <s v="&lt;null&gt;"/>
    <s v="&lt;null&gt;"/>
    <m/>
    <m/>
    <m/>
    <m/>
  </r>
  <r>
    <x v="1242"/>
    <x v="1242"/>
    <s v="Verkeersveiligheid"/>
    <x v="1"/>
    <n v="1731"/>
    <s v="IN/001368"/>
    <s v="Lanaken : Maastrichterweg, Steenselbergweg"/>
    <s v="Trajectcontrole"/>
    <s v="Kleine Ingreep"/>
    <s v="&lt;null&gt;"/>
    <b v="0"/>
    <s v="Ingreep wordt niet opgevolgd in BOD"/>
    <s v="&lt;null&gt;"/>
    <s v="&lt;null&gt;"/>
    <s v="&lt;null&gt;"/>
    <s v="&lt;null&gt;"/>
    <s v="&lt;null&gt;"/>
    <x v="0"/>
    <s v="&lt;null&gt;"/>
    <s v="&lt;null&gt;"/>
    <s v="&lt;null&gt;"/>
    <s v="&lt;null&gt;"/>
    <n v="100"/>
    <s v="&lt;null&gt;"/>
    <s v="&lt;null&gt;"/>
    <s v="&lt;null&gt;"/>
    <s v="&lt;null&gt;"/>
    <m/>
    <m/>
    <m/>
    <m/>
  </r>
  <r>
    <x v="1243"/>
    <x v="1243"/>
    <s v="Verkeersveiligheid"/>
    <x v="1"/>
    <n v="1732"/>
    <s v="IN/001369"/>
    <s v="Antwerpen : Binnensingel, Pretoriastraat, Uitbreidingstraat, Zurenborgbrug"/>
    <s v="Uitrol VLCC"/>
    <s v="Kleine Ingreep"/>
    <s v="WA/INV/R10/6"/>
    <b v="0"/>
    <s v="Ingreep wordt niet opgevolgd in BOD"/>
    <s v="&lt;null&gt;"/>
    <s v="&lt;null&gt;"/>
    <s v="&lt;null&gt;"/>
    <s v="&lt;null&gt;"/>
    <s v="&lt;null&gt;"/>
    <x v="0"/>
    <s v="&lt;null&gt;"/>
    <s v="&lt;null&gt;"/>
    <s v="&lt;null&gt;"/>
    <s v="&lt;null&gt;"/>
    <n v="100"/>
    <s v="&lt;null&gt;"/>
    <s v="&lt;null&gt;"/>
    <s v="&lt;null&gt;"/>
    <s v="&lt;null&gt;"/>
    <m/>
    <m/>
    <m/>
    <m/>
  </r>
  <r>
    <x v="1244"/>
    <x v="1244"/>
    <s v="Verkeersveiligheid"/>
    <x v="1"/>
    <n v="1733"/>
    <s v="IN/001370"/>
    <s v="Antwerpen : Bisschoppenhoflaan, Kruiningenstraat"/>
    <s v="&lt;null&gt;"/>
    <s v="Kleine Ingreep"/>
    <s v="WA/INV/N120/5"/>
    <b v="0"/>
    <s v="Ingreep wordt niet opgevolgd in BOD"/>
    <s v="&lt;null&gt;"/>
    <s v="&lt;null&gt;"/>
    <s v="&lt;null&gt;"/>
    <s v="&lt;null&gt;"/>
    <s v="&lt;null&gt;"/>
    <x v="0"/>
    <s v="&lt;null&gt;"/>
    <s v="&lt;null&gt;"/>
    <s v="&lt;null&gt;"/>
    <s v="&lt;null&gt;"/>
    <n v="100"/>
    <s v="&lt;null&gt;"/>
    <s v="&lt;null&gt;"/>
    <s v="&lt;null&gt;"/>
    <s v="&lt;null&gt;"/>
    <m/>
    <m/>
    <m/>
    <m/>
  </r>
  <r>
    <x v="18"/>
    <x v="18"/>
    <s v="&lt;null&gt;"/>
    <x v="3"/>
    <n v="1734"/>
    <s v="IN/001371"/>
    <s v="E314 Genk Renovatie brug B19"/>
    <s v="&lt;null&gt;"/>
    <s v="Structurele Ingreep"/>
    <s v="WL/INV/A2/6"/>
    <b v="0"/>
    <s v="Ingreep wordt niet opgevolgd in BOD"/>
    <s v="&lt;null&gt;"/>
    <s v="&lt;null&gt;"/>
    <s v="&lt;null&gt;"/>
    <s v="&lt;null&gt;"/>
    <s v="&lt;null&gt;"/>
    <x v="0"/>
    <s v="&lt;null&gt;"/>
    <s v="&lt;null&gt;"/>
    <s v="&lt;null&gt;"/>
    <s v="&lt;null&gt;"/>
    <s v="&lt;null&gt;"/>
    <s v="&lt;null&gt;"/>
    <s v="&lt;null&gt;"/>
    <s v="&lt;null&gt;"/>
    <s v="&lt;null&gt;"/>
    <m/>
    <m/>
    <m/>
    <m/>
  </r>
  <r>
    <x v="18"/>
    <x v="18"/>
    <s v="&lt;null&gt;"/>
    <x v="3"/>
    <n v="1735"/>
    <s v="IN/001372"/>
    <s v="N358 Oostende - struct. ond. langs oever aMT"/>
    <s v="&lt;null&gt;"/>
    <s v="Structurele Ingreep"/>
    <s v="WWV/INV/N358/4"/>
    <b v="0"/>
    <s v="Ingreep wordt niet opgevolgd in BOD"/>
    <s v="&lt;null&gt;"/>
    <s v="&lt;null&gt;"/>
    <s v="&lt;null&gt;"/>
    <s v="&lt;null&gt;"/>
    <s v="&lt;null&gt;"/>
    <x v="0"/>
    <s v="&lt;null&gt;"/>
    <s v="&lt;null&gt;"/>
    <s v="&lt;null&gt;"/>
    <s v="&lt;null&gt;"/>
    <s v="&lt;null&gt;"/>
    <s v="&lt;null&gt;"/>
    <s v="&lt;null&gt;"/>
    <s v="&lt;null&gt;"/>
    <s v="&lt;null&gt;"/>
    <m/>
    <m/>
    <m/>
    <m/>
  </r>
  <r>
    <x v="18"/>
    <x v="18"/>
    <s v="&lt;null&gt;"/>
    <x v="3"/>
    <n v="1736"/>
    <s v="IN/001373"/>
    <s v="N419 Zwijndrecht herprofilering brug"/>
    <s v="&lt;null&gt;"/>
    <s v="Structurel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1737"/>
    <s v="IN/001374"/>
    <s v="Doortochtstudie N13 te Nijlen"/>
    <s v="&lt;null&gt;"/>
    <s v="Structurele Ingreep"/>
    <s v="WA/INV/N13/17"/>
    <b v="0"/>
    <s v="Ingreep wordt niet opgevolgd in BOD"/>
    <s v="&lt;null&gt;"/>
    <s v="&lt;null&gt;"/>
    <s v="&lt;null&gt;"/>
    <s v="&lt;null&gt;"/>
    <s v="&lt;null&gt;"/>
    <x v="0"/>
    <s v="&lt;null&gt;"/>
    <s v="&lt;null&gt;"/>
    <s v="&lt;null&gt;"/>
    <s v="&lt;null&gt;"/>
    <s v="&lt;null&gt;"/>
    <s v="&lt;null&gt;"/>
    <s v="&lt;null&gt;"/>
    <s v="&lt;null&gt;"/>
    <s v="&lt;null&gt;"/>
    <m/>
    <m/>
    <m/>
    <m/>
  </r>
  <r>
    <x v="18"/>
    <x v="18"/>
    <s v="&lt;null&gt;"/>
    <x v="3"/>
    <n v="1738"/>
    <s v="IN/001375"/>
    <s v="Asverschuiving en middengeleider"/>
    <s v="Asverschuiving en middengeleider"/>
    <s v="Klein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1739"/>
    <s v="IN/001376"/>
    <s v="Doortochtstudie N13 te Kessel"/>
    <s v="&lt;null&gt;"/>
    <s v="Structurele Ingreep"/>
    <s v="WA/INV/N13/18"/>
    <b v="0"/>
    <s v="Ingreep wordt niet opgevolgd in BOD"/>
    <s v="&lt;null&gt;"/>
    <s v="&lt;null&gt;"/>
    <s v="&lt;null&gt;"/>
    <s v="&lt;null&gt;"/>
    <s v="&lt;null&gt;"/>
    <x v="0"/>
    <s v="&lt;null&gt;"/>
    <s v="&lt;null&gt;"/>
    <s v="&lt;null&gt;"/>
    <s v="&lt;null&gt;"/>
    <s v="&lt;null&gt;"/>
    <s v="&lt;null&gt;"/>
    <s v="&lt;null&gt;"/>
    <s v="&lt;null&gt;"/>
    <s v="&lt;null&gt;"/>
    <m/>
    <m/>
    <m/>
    <m/>
  </r>
  <r>
    <x v="18"/>
    <x v="18"/>
    <s v="&lt;null&gt;"/>
    <x v="3"/>
    <n v="1740"/>
    <s v="IN/001377"/>
    <s v="N407 Wetteren Heraanleg"/>
    <s v="&lt;null&gt;"/>
    <s v="Structurele Ingreep"/>
    <s v="WOV/INV/N407/1"/>
    <b v="0"/>
    <s v="Ingreep wordt niet opgevolgd in BOD"/>
    <s v="&lt;null&gt;"/>
    <s v="&lt;null&gt;"/>
    <s v="&lt;null&gt;"/>
    <s v="&lt;null&gt;"/>
    <s v="&lt;null&gt;"/>
    <x v="0"/>
    <s v="&lt;null&gt;"/>
    <s v="&lt;null&gt;"/>
    <s v="&lt;null&gt;"/>
    <s v="&lt;null&gt;"/>
    <s v="&lt;null&gt;"/>
    <s v="&lt;null&gt;"/>
    <s v="&lt;null&gt;"/>
    <s v="&lt;null&gt;"/>
    <s v="&lt;null&gt;"/>
    <m/>
    <m/>
    <m/>
    <m/>
  </r>
  <r>
    <x v="18"/>
    <x v="18"/>
    <s v="&lt;null&gt;"/>
    <x v="3"/>
    <n v="1741"/>
    <s v="IN/001378"/>
    <s v="Studie voor een fietserstunnel in de R14  te Geel"/>
    <s v="&lt;null&gt;"/>
    <s v="Structurele Ingreep"/>
    <s v="WA/INV/R14/2"/>
    <b v="0"/>
    <s v="Ingreep wordt niet opgevolgd in BOD"/>
    <s v="&lt;null&gt;"/>
    <s v="&lt;null&gt;"/>
    <s v="&lt;null&gt;"/>
    <s v="&lt;null&gt;"/>
    <s v="&lt;null&gt;"/>
    <x v="0"/>
    <s v="&lt;null&gt;"/>
    <s v="&lt;null&gt;"/>
    <s v="&lt;null&gt;"/>
    <s v="&lt;null&gt;"/>
    <s v="&lt;null&gt;"/>
    <s v="&lt;null&gt;"/>
    <s v="&lt;null&gt;"/>
    <s v="&lt;null&gt;"/>
    <s v="&lt;null&gt;"/>
    <m/>
    <m/>
    <m/>
    <m/>
  </r>
  <r>
    <x v="18"/>
    <x v="18"/>
    <s v="&lt;null&gt;"/>
    <x v="3"/>
    <n v="1742"/>
    <s v="IN/001379"/>
    <s v="N415 en N435 Zwalm vervangen duikers"/>
    <s v="&lt;null&gt;"/>
    <s v="Structurele Ingreep"/>
    <s v="WOV/INV/N415/1"/>
    <b v="0"/>
    <s v="Ingreep wordt niet opgevolgd in BOD"/>
    <s v="&lt;null&gt;"/>
    <s v="&lt;null&gt;"/>
    <s v="&lt;null&gt;"/>
    <s v="&lt;null&gt;"/>
    <s v="&lt;null&gt;"/>
    <x v="0"/>
    <s v="&lt;null&gt;"/>
    <s v="&lt;null&gt;"/>
    <s v="&lt;null&gt;"/>
    <s v="&lt;null&gt;"/>
    <s v="&lt;null&gt;"/>
    <s v="&lt;null&gt;"/>
    <s v="&lt;null&gt;"/>
    <s v="&lt;null&gt;"/>
    <s v="&lt;null&gt;"/>
    <m/>
    <m/>
    <m/>
    <m/>
  </r>
  <r>
    <x v="18"/>
    <x v="18"/>
    <s v="&lt;null&gt;"/>
    <x v="3"/>
    <n v="1743"/>
    <s v="IN/001380"/>
    <s v="N8 Brakel Zegelsem Kleiberg herinrichting (mod 13)"/>
    <s v="&lt;null&gt;"/>
    <s v="Structurele Ingreep"/>
    <s v="WOV/INV/N8/5"/>
    <b v="0"/>
    <s v="Ingreep wordt niet opgevolgd in BOD"/>
    <s v="&lt;null&gt;"/>
    <s v="&lt;null&gt;"/>
    <s v="&lt;null&gt;"/>
    <s v="&lt;null&gt;"/>
    <s v="&lt;null&gt;"/>
    <x v="0"/>
    <s v="&lt;null&gt;"/>
    <s v="&lt;null&gt;"/>
    <s v="&lt;null&gt;"/>
    <s v="&lt;null&gt;"/>
    <s v="&lt;null&gt;"/>
    <s v="&lt;null&gt;"/>
    <s v="&lt;null&gt;"/>
    <s v="&lt;null&gt;"/>
    <s v="&lt;null&gt;"/>
    <m/>
    <m/>
    <m/>
    <m/>
  </r>
  <r>
    <x v="18"/>
    <x v="18"/>
    <s v="&lt;null&gt;"/>
    <x v="3"/>
    <n v="1744"/>
    <s v="IN/001381"/>
    <s v="N016 projectMER complex Puurs Bornem"/>
    <s v="&lt;null&gt;"/>
    <s v="Structurele Ingreep"/>
    <s v="WA/INV/N016/4"/>
    <b v="0"/>
    <s v="Ingreep wordt niet opgevolgd in BOD"/>
    <s v="&lt;null&gt;"/>
    <s v="&lt;null&gt;"/>
    <s v="&lt;null&gt;"/>
    <s v="&lt;null&gt;"/>
    <s v="&lt;null&gt;"/>
    <x v="0"/>
    <s v="&lt;null&gt;"/>
    <s v="&lt;null&gt;"/>
    <s v="&lt;null&gt;"/>
    <s v="&lt;null&gt;"/>
    <s v="&lt;null&gt;"/>
    <s v="&lt;null&gt;"/>
    <s v="&lt;null&gt;"/>
    <s v="&lt;null&gt;"/>
    <s v="&lt;null&gt;"/>
    <m/>
    <m/>
    <m/>
    <m/>
  </r>
  <r>
    <x v="18"/>
    <x v="18"/>
    <s v="&lt;null&gt;"/>
    <x v="3"/>
    <n v="1745"/>
    <s v="IN/001382"/>
    <s v="N416 Wichelen - Dendermonde aanleg fietspaden"/>
    <s v="&lt;null&gt;"/>
    <s v="Structurele Ingreep"/>
    <s v="WOV/INV/N416/1"/>
    <b v="0"/>
    <s v="Ingreep wordt niet opgevolgd in BOD"/>
    <s v="&lt;null&gt;"/>
    <s v="&lt;null&gt;"/>
    <s v="&lt;null&gt;"/>
    <s v="&lt;null&gt;"/>
    <s v="&lt;null&gt;"/>
    <x v="0"/>
    <s v="&lt;null&gt;"/>
    <s v="&lt;null&gt;"/>
    <s v="&lt;null&gt;"/>
    <s v="&lt;null&gt;"/>
    <s v="&lt;null&gt;"/>
    <s v="&lt;null&gt;"/>
    <s v="&lt;null&gt;"/>
    <s v="&lt;null&gt;"/>
    <s v="&lt;null&gt;"/>
    <m/>
    <m/>
    <m/>
    <m/>
  </r>
  <r>
    <x v="18"/>
    <x v="18"/>
    <s v="&lt;null&gt;"/>
    <x v="3"/>
    <n v="1746"/>
    <s v="IN/001383"/>
    <s v="N442 Lede heraanleg doortocht"/>
    <s v="&lt;null&gt;"/>
    <s v="Structurele Ingreep"/>
    <s v="WOV/INV/N442/1"/>
    <b v="0"/>
    <s v="Ingreep wordt niet opgevolgd in BOD"/>
    <s v="&lt;null&gt;"/>
    <s v="&lt;null&gt;"/>
    <s v="&lt;null&gt;"/>
    <s v="&lt;null&gt;"/>
    <s v="&lt;null&gt;"/>
    <x v="0"/>
    <s v="&lt;null&gt;"/>
    <s v="&lt;null&gt;"/>
    <s v="&lt;null&gt;"/>
    <s v="&lt;null&gt;"/>
    <s v="&lt;null&gt;"/>
    <s v="&lt;null&gt;"/>
    <s v="&lt;null&gt;"/>
    <s v="&lt;null&gt;"/>
    <s v="&lt;null&gt;"/>
    <m/>
    <m/>
    <m/>
    <m/>
  </r>
  <r>
    <x v="18"/>
    <x v="18"/>
    <s v="&lt;null&gt;"/>
    <x v="3"/>
    <n v="1747"/>
    <s v="IN/001384"/>
    <s v="N8 Geraardsbergen,Lierde,Zottegem,Brakel module 13"/>
    <s v="&lt;null&gt;"/>
    <s v="Structurele Ingreep"/>
    <s v="WOV/INV/N8/8"/>
    <b v="0"/>
    <s v="Ingreep wordt niet opgevolgd in BOD"/>
    <s v="&lt;null&gt;"/>
    <s v="&lt;null&gt;"/>
    <s v="&lt;null&gt;"/>
    <s v="&lt;null&gt;"/>
    <s v="&lt;null&gt;"/>
    <x v="0"/>
    <s v="&lt;null&gt;"/>
    <s v="&lt;null&gt;"/>
    <s v="&lt;null&gt;"/>
    <s v="&lt;null&gt;"/>
    <s v="&lt;null&gt;"/>
    <s v="&lt;null&gt;"/>
    <s v="&lt;null&gt;"/>
    <s v="&lt;null&gt;"/>
    <s v="&lt;null&gt;"/>
    <m/>
    <m/>
    <m/>
    <m/>
  </r>
  <r>
    <x v="18"/>
    <x v="18"/>
    <s v="&lt;null&gt;"/>
    <x v="3"/>
    <n v="1748"/>
    <s v="IN/001385"/>
    <s v="N444 Merelbeke Structureel onderhoud Rijweg"/>
    <s v="&lt;null&gt;"/>
    <s v="Structurele Ingreep"/>
    <s v="WOV/INV/N444/2"/>
    <b v="0"/>
    <s v="Ingreep wordt niet opgevolgd in BOD"/>
    <s v="&lt;null&gt;"/>
    <s v="&lt;null&gt;"/>
    <s v="&lt;null&gt;"/>
    <s v="&lt;null&gt;"/>
    <s v="&lt;null&gt;"/>
    <x v="0"/>
    <s v="&lt;null&gt;"/>
    <s v="&lt;null&gt;"/>
    <s v="&lt;null&gt;"/>
    <s v="&lt;null&gt;"/>
    <s v="&lt;null&gt;"/>
    <s v="&lt;null&gt;"/>
    <s v="&lt;null&gt;"/>
    <s v="&lt;null&gt;"/>
    <s v="&lt;null&gt;"/>
    <m/>
    <m/>
    <m/>
    <m/>
  </r>
  <r>
    <x v="1245"/>
    <x v="1245"/>
    <s v="Verkeersveiligheid"/>
    <x v="4"/>
    <n v="1749"/>
    <s v="IN/001386"/>
    <s v="N444 Merelbeke Ombouw kruispunt Guldensporenlaan"/>
    <s v="&lt;null&gt;"/>
    <s v="Structurele Ingreep"/>
    <s v="WOV/INV/N444/4"/>
    <b v="0"/>
    <s v="Ingreep wordt niet opgevolgd in BOD"/>
    <s v="&lt;null&gt;"/>
    <s v="&lt;null&gt;"/>
    <s v="&lt;null&gt;"/>
    <s v="&lt;null&gt;"/>
    <s v="&lt;null&gt;"/>
    <x v="0"/>
    <s v="&lt;null&gt;"/>
    <s v="&lt;null&gt;"/>
    <s v="&lt;null&gt;"/>
    <s v="&lt;null&gt;"/>
    <n v="15"/>
    <s v="&lt;null&gt;"/>
    <s v="&lt;null&gt;"/>
    <s v="&lt;null&gt;"/>
    <s v="&lt;null&gt;"/>
    <m/>
    <m/>
    <m/>
    <m/>
  </r>
  <r>
    <x v="1246"/>
    <x v="1246"/>
    <s v="Verkeersveiligheid"/>
    <x v="1"/>
    <n v="1749"/>
    <s v="IN/001386"/>
    <s v="N444 Merelbeke Ombouw kruispunt Guldensporenlaan"/>
    <s v="&lt;null&gt;"/>
    <s v="Structurele Ingreep"/>
    <s v="WOV/INV/N444/4"/>
    <b v="0"/>
    <s v="Ingreep wordt niet opgevolgd in BOD"/>
    <s v="&lt;null&gt;"/>
    <s v="&lt;null&gt;"/>
    <s v="&lt;null&gt;"/>
    <s v="&lt;null&gt;"/>
    <s v="&lt;null&gt;"/>
    <x v="0"/>
    <s v="&lt;null&gt;"/>
    <s v="&lt;null&gt;"/>
    <s v="&lt;null&gt;"/>
    <s v="&lt;null&gt;"/>
    <n v="35"/>
    <s v="&lt;null&gt;"/>
    <s v="&lt;null&gt;"/>
    <s v="&lt;null&gt;"/>
    <s v="&lt;null&gt;"/>
    <m/>
    <m/>
    <m/>
    <m/>
  </r>
  <r>
    <x v="18"/>
    <x v="18"/>
    <s v="&lt;null&gt;"/>
    <x v="3"/>
    <n v="1750"/>
    <s v="IN/001387"/>
    <s v="N290 - Verbindingsriolering Kwetsenbeek Merchtem"/>
    <s v="&lt;null&gt;"/>
    <s v="Structurele Ingreep"/>
    <s v="WVB/INV/N290/2"/>
    <b v="0"/>
    <s v="Ingreep wordt niet opgevolgd in BOD"/>
    <s v="&lt;null&gt;"/>
    <s v="&lt;null&gt;"/>
    <s v="&lt;null&gt;"/>
    <s v="&lt;null&gt;"/>
    <s v="&lt;null&gt;"/>
    <x v="0"/>
    <s v="&lt;null&gt;"/>
    <s v="&lt;null&gt;"/>
    <s v="&lt;null&gt;"/>
    <s v="&lt;null&gt;"/>
    <s v="&lt;null&gt;"/>
    <s v="&lt;null&gt;"/>
    <s v="&lt;null&gt;"/>
    <s v="&lt;null&gt;"/>
    <s v="&lt;null&gt;"/>
    <m/>
    <m/>
    <m/>
    <m/>
  </r>
  <r>
    <x v="18"/>
    <x v="18"/>
    <s v="&lt;null&gt;"/>
    <x v="3"/>
    <n v="1751"/>
    <s v="IN/001388"/>
    <s v="A13 Hoeselt ; Renovatie brug O87"/>
    <s v="&lt;null&gt;"/>
    <s v="Structurele Ingreep"/>
    <s v="WL/INV/A13/8"/>
    <b v="0"/>
    <s v="Ingreep wordt niet opgevolgd in BOD"/>
    <s v="&lt;null&gt;"/>
    <s v="&lt;null&gt;"/>
    <s v="&lt;null&gt;"/>
    <s v="&lt;null&gt;"/>
    <s v="&lt;null&gt;"/>
    <x v="0"/>
    <s v="&lt;null&gt;"/>
    <s v="&lt;null&gt;"/>
    <s v="&lt;null&gt;"/>
    <s v="&lt;null&gt;"/>
    <s v="&lt;null&gt;"/>
    <s v="&lt;null&gt;"/>
    <s v="&lt;null&gt;"/>
    <s v="&lt;null&gt;"/>
    <s v="&lt;null&gt;"/>
    <m/>
    <m/>
    <m/>
    <m/>
  </r>
  <r>
    <x v="224"/>
    <x v="224"/>
    <s v="Verkeersveiligheid"/>
    <x v="1"/>
    <n v="1752"/>
    <s v="IN/001389"/>
    <s v="Gevaarlijk Punt: N9 Aalst : lichtenregeling aanpassen"/>
    <s v="Lichtenregeling aangepast in 2019 (doorstromingsmaatregel);\nHekwerk geplaatst in 2020;\nAlfred Nichelsstraat, De Gheeststraat, De Vilanderstraat."/>
    <s v="Kleine Ingreep"/>
    <s v="WOV/INV/N9/23"/>
    <b v="0"/>
    <s v="Ingreep wordt niet opgevolgd in BOD"/>
    <s v="&lt;null&gt;"/>
    <s v="&lt;null&gt;"/>
    <s v="&lt;null&gt;"/>
    <s v="&lt;null&gt;"/>
    <s v="&lt;null&gt;"/>
    <x v="0"/>
    <s v="&lt;null&gt;"/>
    <s v="&lt;null&gt;"/>
    <s v="&lt;null&gt;"/>
    <s v="&lt;null&gt;"/>
    <n v="100"/>
    <s v="&lt;null&gt;"/>
    <s v="&lt;null&gt;"/>
    <s v="&lt;null&gt;"/>
    <s v="&lt;null&gt;"/>
    <m/>
    <m/>
    <m/>
    <m/>
  </r>
  <r>
    <x v="18"/>
    <x v="18"/>
    <s v="&lt;null&gt;"/>
    <x v="3"/>
    <n v="1753"/>
    <s v="IN/001390"/>
    <s v="N253 VAPEO ECODUCT Huldenberg Langerode"/>
    <s v="&lt;null&gt;"/>
    <s v="Structurele Ingreep"/>
    <s v="WVB/INV/N253/11"/>
    <b v="0"/>
    <s v="Ingreep wordt niet opgevolgd in BOD"/>
    <s v="&lt;null&gt;"/>
    <s v="&lt;null&gt;"/>
    <s v="&lt;null&gt;"/>
    <s v="&lt;null&gt;"/>
    <s v="&lt;null&gt;"/>
    <x v="0"/>
    <s v="&lt;null&gt;"/>
    <s v="&lt;null&gt;"/>
    <s v="&lt;null&gt;"/>
    <s v="&lt;null&gt;"/>
    <s v="&lt;null&gt;"/>
    <s v="&lt;null&gt;"/>
    <s v="&lt;null&gt;"/>
    <s v="&lt;null&gt;"/>
    <s v="&lt;null&gt;"/>
    <m/>
    <m/>
    <m/>
    <m/>
  </r>
  <r>
    <x v="18"/>
    <x v="18"/>
    <s v="&lt;null&gt;"/>
    <x v="3"/>
    <n v="1755"/>
    <s v="IN/001392"/>
    <s v="N73 Studie ontsluiting Reigersvliet"/>
    <s v="&lt;null&gt;"/>
    <s v="Structurele Ingreep"/>
    <s v="WL/INV/N73/2"/>
    <b v="0"/>
    <s v="Ingreep wordt niet opgevolgd in BOD"/>
    <s v="&lt;null&gt;"/>
    <s v="&lt;null&gt;"/>
    <s v="&lt;null&gt;"/>
    <s v="&lt;null&gt;"/>
    <s v="&lt;null&gt;"/>
    <x v="0"/>
    <s v="&lt;null&gt;"/>
    <s v="&lt;null&gt;"/>
    <s v="&lt;null&gt;"/>
    <s v="&lt;null&gt;"/>
    <s v="&lt;null&gt;"/>
    <s v="&lt;null&gt;"/>
    <s v="&lt;null&gt;"/>
    <s v="&lt;null&gt;"/>
    <s v="&lt;null&gt;"/>
    <m/>
    <m/>
    <m/>
    <m/>
  </r>
  <r>
    <x v="492"/>
    <x v="492"/>
    <s v="Verkeersveiligheid"/>
    <x v="1"/>
    <n v="1756"/>
    <s v="IN/001393"/>
    <s v="Harelbeke: Gentsesteenweg, Kortrijksesteenweg, N395a Parallelweg R8 Noord, N43 Richting Gent, N43 Richting Moeskroen, R8 Buitenring, R8 Buitenring Oprit 5"/>
    <s v="Fietspaden buiten kruispunt getrokken"/>
    <s v="Kleine Ingreep"/>
    <s v="WWV/INV/R8/3"/>
    <b v="0"/>
    <s v="Ingreep wordt niet opgevolgd in BOD"/>
    <s v="&lt;null&gt;"/>
    <s v="&lt;null&gt;"/>
    <s v="&lt;null&gt;"/>
    <s v="&lt;null&gt;"/>
    <s v="&lt;null&gt;"/>
    <x v="0"/>
    <s v="&lt;null&gt;"/>
    <s v="&lt;null&gt;"/>
    <s v="&lt;null&gt;"/>
    <s v="&lt;null&gt;"/>
    <n v="100"/>
    <s v="&lt;null&gt;"/>
    <s v="&lt;null&gt;"/>
    <s v="&lt;null&gt;"/>
    <s v="&lt;null&gt;"/>
    <m/>
    <m/>
    <m/>
    <m/>
  </r>
  <r>
    <x v="18"/>
    <x v="18"/>
    <s v="&lt;null&gt;"/>
    <x v="3"/>
    <n v="1757"/>
    <s v="IN/001394"/>
    <s v="N78 Renovatie rijweg Lanaken Briegden"/>
    <s v="&lt;null&gt;"/>
    <s v="Structurele Ingreep"/>
    <s v="WL/INV/N78/26"/>
    <b v="0"/>
    <s v="Ingreep wordt niet opgevolgd in BOD"/>
    <s v="&lt;null&gt;"/>
    <s v="&lt;null&gt;"/>
    <s v="&lt;null&gt;"/>
    <s v="&lt;null&gt;"/>
    <s v="&lt;null&gt;"/>
    <x v="0"/>
    <s v="&lt;null&gt;"/>
    <s v="&lt;null&gt;"/>
    <s v="&lt;null&gt;"/>
    <s v="&lt;null&gt;"/>
    <s v="&lt;null&gt;"/>
    <s v="&lt;null&gt;"/>
    <s v="&lt;null&gt;"/>
    <s v="&lt;null&gt;"/>
    <s v="&lt;null&gt;"/>
    <m/>
    <m/>
    <m/>
    <m/>
  </r>
  <r>
    <x v="18"/>
    <x v="18"/>
    <s v="&lt;null&gt;"/>
    <x v="3"/>
    <n v="1758"/>
    <s v="IN/001395"/>
    <s v="A2 Renovatie brug O6 Lummen"/>
    <s v="&lt;null&gt;"/>
    <s v="Structurele Ingreep"/>
    <s v="WL/INV/A2/7"/>
    <b v="0"/>
    <s v="Ingreep wordt niet opgevolgd in BOD"/>
    <s v="&lt;null&gt;"/>
    <s v="&lt;null&gt;"/>
    <s v="&lt;null&gt;"/>
    <s v="&lt;null&gt;"/>
    <s v="&lt;null&gt;"/>
    <x v="0"/>
    <s v="&lt;null&gt;"/>
    <s v="&lt;null&gt;"/>
    <s v="&lt;null&gt;"/>
    <s v="&lt;null&gt;"/>
    <s v="&lt;null&gt;"/>
    <s v="&lt;null&gt;"/>
    <s v="&lt;null&gt;"/>
    <s v="&lt;null&gt;"/>
    <s v="&lt;null&gt;"/>
    <m/>
    <m/>
    <m/>
    <m/>
  </r>
  <r>
    <x v="18"/>
    <x v="18"/>
    <s v="&lt;null&gt;"/>
    <x v="3"/>
    <n v="1759"/>
    <s v="IN/001396"/>
    <s v="N748: Renovatie brug Sint-Huibrechts-Lille II"/>
    <s v="&lt;null&gt;"/>
    <s v="Structurele Ingreep"/>
    <s v="WL/INV/N748/6"/>
    <b v="0"/>
    <s v="Ingreep wordt niet opgevolgd in BOD"/>
    <s v="&lt;null&gt;"/>
    <s v="&lt;null&gt;"/>
    <s v="&lt;null&gt;"/>
    <s v="&lt;null&gt;"/>
    <s v="&lt;null&gt;"/>
    <x v="0"/>
    <s v="&lt;null&gt;"/>
    <s v="&lt;null&gt;"/>
    <s v="&lt;null&gt;"/>
    <s v="&lt;null&gt;"/>
    <s v="&lt;null&gt;"/>
    <s v="&lt;null&gt;"/>
    <s v="&lt;null&gt;"/>
    <s v="&lt;null&gt;"/>
    <s v="&lt;null&gt;"/>
    <m/>
    <m/>
    <m/>
    <m/>
  </r>
  <r>
    <x v="18"/>
    <x v="18"/>
    <s v="&lt;null&gt;"/>
    <x v="3"/>
    <n v="1760"/>
    <s v="IN/001397"/>
    <s v="N458 Gent heraanleg Kluizensesteenweg"/>
    <s v="&lt;null&gt;"/>
    <s v="Structurele Ingreep"/>
    <s v="WOV/INV/N458/2"/>
    <b v="0"/>
    <s v="Ingreep wordt niet opgevolgd in BOD"/>
    <s v="&lt;null&gt;"/>
    <s v="&lt;null&gt;"/>
    <s v="&lt;null&gt;"/>
    <s v="&lt;null&gt;"/>
    <s v="&lt;null&gt;"/>
    <x v="0"/>
    <s v="&lt;null&gt;"/>
    <s v="&lt;null&gt;"/>
    <s v="&lt;null&gt;"/>
    <s v="&lt;null&gt;"/>
    <s v="&lt;null&gt;"/>
    <s v="&lt;null&gt;"/>
    <s v="&lt;null&gt;"/>
    <s v="&lt;null&gt;"/>
    <s v="&lt;null&gt;"/>
    <m/>
    <m/>
    <m/>
    <m/>
  </r>
  <r>
    <x v="18"/>
    <x v="18"/>
    <s v="&lt;null&gt;"/>
    <x v="3"/>
    <n v="1761"/>
    <s v="IN/001398"/>
    <s v="N43 St-Martens-Latem afkoppeling regenwater"/>
    <s v="&lt;null&gt;"/>
    <s v="Structurele Ingreep"/>
    <s v="WOV/INV/N43/1"/>
    <b v="0"/>
    <s v="Ingreep wordt niet opgevolgd in BOD"/>
    <s v="&lt;null&gt;"/>
    <s v="&lt;null&gt;"/>
    <s v="&lt;null&gt;"/>
    <s v="&lt;null&gt;"/>
    <s v="&lt;null&gt;"/>
    <x v="0"/>
    <s v="&lt;null&gt;"/>
    <s v="&lt;null&gt;"/>
    <s v="&lt;null&gt;"/>
    <s v="&lt;null&gt;"/>
    <s v="&lt;null&gt;"/>
    <s v="&lt;null&gt;"/>
    <s v="&lt;null&gt;"/>
    <s v="&lt;null&gt;"/>
    <s v="&lt;null&gt;"/>
    <m/>
    <m/>
    <m/>
    <m/>
  </r>
  <r>
    <x v="18"/>
    <x v="18"/>
    <s v="&lt;null&gt;"/>
    <x v="3"/>
    <n v="1762"/>
    <s v="IN/001399"/>
    <s v="N43 Gent heraanleg kruispunt Driekoningenstraat"/>
    <s v="&lt;null&gt;"/>
    <s v="Structurele Ingreep"/>
    <s v="WOV/INV/N43/3"/>
    <b v="0"/>
    <s v="Ingreep wordt niet opgevolgd in BOD"/>
    <s v="&lt;null&gt;"/>
    <s v="&lt;null&gt;"/>
    <s v="&lt;null&gt;"/>
    <s v="&lt;null&gt;"/>
    <s v="&lt;null&gt;"/>
    <x v="0"/>
    <s v="&lt;null&gt;"/>
    <s v="&lt;null&gt;"/>
    <s v="&lt;null&gt;"/>
    <s v="&lt;null&gt;"/>
    <s v="&lt;null&gt;"/>
    <s v="&lt;null&gt;"/>
    <s v="&lt;null&gt;"/>
    <s v="&lt;null&gt;"/>
    <s v="&lt;null&gt;"/>
    <m/>
    <m/>
    <m/>
    <m/>
  </r>
  <r>
    <x v="18"/>
    <x v="18"/>
    <s v="&lt;null&gt;"/>
    <x v="3"/>
    <n v="1763"/>
    <s v="IN/001400"/>
    <s v="N466 Gent aanleg fietspaden en riolering"/>
    <s v="&lt;null&gt;"/>
    <s v="Structurele Ingreep"/>
    <s v="WOV/INV/N466/2"/>
    <b v="0"/>
    <s v="Ingreep wordt niet opgevolgd in BOD"/>
    <s v="&lt;null&gt;"/>
    <s v="&lt;null&gt;"/>
    <s v="&lt;null&gt;"/>
    <s v="&lt;null&gt;"/>
    <s v="&lt;null&gt;"/>
    <x v="0"/>
    <s v="&lt;null&gt;"/>
    <s v="&lt;null&gt;"/>
    <s v="&lt;null&gt;"/>
    <s v="&lt;null&gt;"/>
    <s v="&lt;null&gt;"/>
    <s v="&lt;null&gt;"/>
    <s v="&lt;null&gt;"/>
    <s v="&lt;null&gt;"/>
    <s v="&lt;null&gt;"/>
    <m/>
    <m/>
    <m/>
    <m/>
  </r>
  <r>
    <x v="18"/>
    <x v="18"/>
    <s v="&lt;null&gt;"/>
    <x v="3"/>
    <n v="1764"/>
    <s v="IN/001401"/>
    <s v="N60 Nazareth ondertunneling rotonde Begoniastraat"/>
    <s v="&lt;null&gt;"/>
    <s v="Structurele Ingreep"/>
    <s v="WOV/INV/N60/4"/>
    <b v="0"/>
    <s v="Ingreep wordt niet opgevolgd in BOD"/>
    <s v="&lt;null&gt;"/>
    <s v="&lt;null&gt;"/>
    <s v="&lt;null&gt;"/>
    <s v="&lt;null&gt;"/>
    <s v="&lt;null&gt;"/>
    <x v="0"/>
    <s v="&lt;null&gt;"/>
    <s v="&lt;null&gt;"/>
    <s v="&lt;null&gt;"/>
    <s v="&lt;null&gt;"/>
    <s v="&lt;null&gt;"/>
    <s v="&lt;null&gt;"/>
    <s v="&lt;null&gt;"/>
    <s v="&lt;null&gt;"/>
    <s v="&lt;null&gt;"/>
    <m/>
    <m/>
    <m/>
    <m/>
  </r>
  <r>
    <x v="18"/>
    <x v="18"/>
    <s v="&lt;null&gt;"/>
    <x v="3"/>
    <n v="1765"/>
    <s v="IN/001402"/>
    <s v="N437 Nazareth structureel onderhoud bij module 13"/>
    <s v="&lt;null&gt;"/>
    <s v="Structurele Ingreep"/>
    <s v="WOV/INV/N437/4"/>
    <b v="0"/>
    <s v="Ingreep wordt niet opgevolgd in BOD"/>
    <s v="&lt;null&gt;"/>
    <s v="&lt;null&gt;"/>
    <s v="&lt;null&gt;"/>
    <s v="&lt;null&gt;"/>
    <s v="&lt;null&gt;"/>
    <x v="0"/>
    <s v="&lt;null&gt;"/>
    <s v="&lt;null&gt;"/>
    <s v="&lt;null&gt;"/>
    <s v="&lt;null&gt;"/>
    <s v="&lt;null&gt;"/>
    <s v="&lt;null&gt;"/>
    <s v="&lt;null&gt;"/>
    <s v="&lt;null&gt;"/>
    <s v="&lt;null&gt;"/>
    <m/>
    <m/>
    <m/>
    <m/>
  </r>
  <r>
    <x v="18"/>
    <x v="18"/>
    <s v="&lt;null&gt;"/>
    <x v="3"/>
    <n v="1766"/>
    <s v="IN/001403"/>
    <s v="N424 Gent structureel onderhoud Weba-Eurosilos"/>
    <s v="&lt;null&gt;"/>
    <s v="Structurele Ingreep"/>
    <s v="WOV/INV/N424/1"/>
    <b v="0"/>
    <s v="Ingreep wordt niet opgevolgd in BOD"/>
    <s v="&lt;null&gt;"/>
    <s v="&lt;null&gt;"/>
    <s v="&lt;null&gt;"/>
    <s v="&lt;null&gt;"/>
    <s v="&lt;null&gt;"/>
    <x v="0"/>
    <s v="&lt;null&gt;"/>
    <s v="&lt;null&gt;"/>
    <s v="&lt;null&gt;"/>
    <s v="&lt;null&gt;"/>
    <s v="&lt;null&gt;"/>
    <s v="&lt;null&gt;"/>
    <s v="&lt;null&gt;"/>
    <s v="&lt;null&gt;"/>
    <s v="&lt;null&gt;"/>
    <m/>
    <m/>
    <m/>
    <m/>
  </r>
  <r>
    <x v="18"/>
    <x v="18"/>
    <s v="&lt;null&gt;"/>
    <x v="3"/>
    <n v="1767"/>
    <s v="IN/001404"/>
    <s v="N723 Herinrichting stationsomgeving As"/>
    <s v="&lt;null&gt;"/>
    <s v="Structurele Ingreep"/>
    <s v="WL/INV/N723/3"/>
    <b v="0"/>
    <s v="Ingreep wordt niet opgevolgd in BOD"/>
    <s v="&lt;null&gt;"/>
    <s v="&lt;null&gt;"/>
    <s v="&lt;null&gt;"/>
    <s v="&lt;null&gt;"/>
    <s v="&lt;null&gt;"/>
    <x v="0"/>
    <s v="&lt;null&gt;"/>
    <s v="&lt;null&gt;"/>
    <s v="&lt;null&gt;"/>
    <s v="&lt;null&gt;"/>
    <s v="&lt;null&gt;"/>
    <s v="&lt;null&gt;"/>
    <s v="&lt;null&gt;"/>
    <s v="&lt;null&gt;"/>
    <s v="&lt;null&gt;"/>
    <m/>
    <m/>
    <m/>
    <m/>
  </r>
  <r>
    <x v="18"/>
    <x v="18"/>
    <s v="&lt;null&gt;"/>
    <x v="3"/>
    <n v="1768"/>
    <s v="IN/001405"/>
    <s v="A10 - Nieuwe brug Lombeekstraat (Affligem)"/>
    <s v="&lt;null&gt;"/>
    <s v="Structurele Ingreep"/>
    <s v="WVB/INV/A10/2"/>
    <b v="0"/>
    <s v="Ingreep wordt niet opgevolgd in BOD"/>
    <s v="&lt;null&gt;"/>
    <s v="&lt;null&gt;"/>
    <s v="&lt;null&gt;"/>
    <s v="&lt;null&gt;"/>
    <s v="&lt;null&gt;"/>
    <x v="0"/>
    <s v="&lt;null&gt;"/>
    <s v="&lt;null&gt;"/>
    <s v="&lt;null&gt;"/>
    <s v="&lt;null&gt;"/>
    <s v="&lt;null&gt;"/>
    <s v="&lt;null&gt;"/>
    <s v="&lt;null&gt;"/>
    <s v="&lt;null&gt;"/>
    <s v="&lt;null&gt;"/>
    <m/>
    <m/>
    <m/>
    <m/>
  </r>
  <r>
    <x v="18"/>
    <x v="18"/>
    <s v="&lt;null&gt;"/>
    <x v="3"/>
    <n v="1769"/>
    <s v="IN/001406"/>
    <s v="N447 Destelbergen aanleg fietspaden"/>
    <s v="&lt;null&gt;"/>
    <s v="Structurele Ingreep"/>
    <s v="WOV/INV/N447/1"/>
    <b v="0"/>
    <s v="Ingreep wordt niet opgevolgd in BOD"/>
    <s v="&lt;null&gt;"/>
    <s v="&lt;null&gt;"/>
    <s v="&lt;null&gt;"/>
    <s v="&lt;null&gt;"/>
    <s v="&lt;null&gt;"/>
    <x v="0"/>
    <s v="&lt;null&gt;"/>
    <s v="&lt;null&gt;"/>
    <s v="&lt;null&gt;"/>
    <s v="&lt;null&gt;"/>
    <s v="&lt;null&gt;"/>
    <s v="&lt;null&gt;"/>
    <s v="&lt;null&gt;"/>
    <s v="&lt;null&gt;"/>
    <s v="&lt;null&gt;"/>
    <m/>
    <m/>
    <m/>
    <m/>
  </r>
  <r>
    <x v="18"/>
    <x v="18"/>
    <s v="&lt;null&gt;"/>
    <x v="3"/>
    <n v="1770"/>
    <s v="IN/001407"/>
    <s v="N60 Gent heraanleg zone Bollebergen"/>
    <s v="&lt;null&gt;"/>
    <s v="Structurele Ingreep"/>
    <s v="WOV/INV/N60/5"/>
    <b v="0"/>
    <s v="Ingreep wordt niet opgevolgd in BOD"/>
    <s v="&lt;null&gt;"/>
    <s v="&lt;null&gt;"/>
    <s v="&lt;null&gt;"/>
    <s v="&lt;null&gt;"/>
    <s v="&lt;null&gt;"/>
    <x v="0"/>
    <s v="&lt;null&gt;"/>
    <s v="&lt;null&gt;"/>
    <s v="&lt;null&gt;"/>
    <s v="&lt;null&gt;"/>
    <s v="&lt;null&gt;"/>
    <s v="&lt;null&gt;"/>
    <s v="&lt;null&gt;"/>
    <s v="&lt;null&gt;"/>
    <s v="&lt;null&gt;"/>
    <m/>
    <m/>
    <m/>
    <m/>
  </r>
  <r>
    <x v="18"/>
    <x v="18"/>
    <s v="&lt;null&gt;"/>
    <x v="3"/>
    <n v="1771"/>
    <s v="IN/001408"/>
    <s v=":"/>
    <s v="&lt;null&gt;"/>
    <s v="Structurele Ingreep"/>
    <s v="WOV/INV/N60/6"/>
    <b v="0"/>
    <s v="Ingreep wordt niet opgevolgd in BOD"/>
    <s v="&lt;null&gt;"/>
    <s v="&lt;null&gt;"/>
    <s v="&lt;null&gt;"/>
    <s v="&lt;null&gt;"/>
    <s v="&lt;null&gt;"/>
    <x v="0"/>
    <s v="&lt;null&gt;"/>
    <s v="&lt;null&gt;"/>
    <s v="&lt;null&gt;"/>
    <s v="&lt;null&gt;"/>
    <s v="&lt;null&gt;"/>
    <s v="&lt;null&gt;"/>
    <s v="&lt;null&gt;"/>
    <s v="&lt;null&gt;"/>
    <s v="&lt;null&gt;"/>
    <m/>
    <m/>
    <m/>
    <m/>
  </r>
  <r>
    <x v="18"/>
    <x v="18"/>
    <s v="&lt;null&gt;"/>
    <x v="3"/>
    <n v="1772"/>
    <s v="IN/001409"/>
    <s v="N424 Gent herinrichting knooppunt met N456"/>
    <s v="&lt;null&gt;"/>
    <s v="Structurele Ingreep"/>
    <s v="WOV/INV/N424/3"/>
    <b v="0"/>
    <s v="Ingreep wordt niet opgevolgd in BOD"/>
    <s v="&lt;null&gt;"/>
    <s v="&lt;null&gt;"/>
    <s v="&lt;null&gt;"/>
    <s v="&lt;null&gt;"/>
    <s v="&lt;null&gt;"/>
    <x v="0"/>
    <s v="&lt;null&gt;"/>
    <s v="&lt;null&gt;"/>
    <s v="&lt;null&gt;"/>
    <s v="&lt;null&gt;"/>
    <s v="&lt;null&gt;"/>
    <s v="&lt;null&gt;"/>
    <s v="&lt;null&gt;"/>
    <s v="&lt;null&gt;"/>
    <s v="&lt;null&gt;"/>
    <m/>
    <m/>
    <m/>
    <m/>
  </r>
  <r>
    <x v="18"/>
    <x v="18"/>
    <s v="&lt;null&gt;"/>
    <x v="3"/>
    <n v="1773"/>
    <s v="IN/001410"/>
    <s v="N44 Maldegem ontsluiting bedrijventerrein"/>
    <s v="&lt;null&gt;"/>
    <s v="Structurele Ingreep"/>
    <s v="WOV/INV/N44/3"/>
    <b v="0"/>
    <s v="Ingreep wordt niet opgevolgd in BOD"/>
    <s v="&lt;null&gt;"/>
    <s v="&lt;null&gt;"/>
    <s v="&lt;null&gt;"/>
    <s v="&lt;null&gt;"/>
    <s v="&lt;null&gt;"/>
    <x v="0"/>
    <s v="&lt;null&gt;"/>
    <s v="&lt;null&gt;"/>
    <s v="&lt;null&gt;"/>
    <s v="&lt;null&gt;"/>
    <s v="&lt;null&gt;"/>
    <s v="&lt;null&gt;"/>
    <s v="&lt;null&gt;"/>
    <s v="&lt;null&gt;"/>
    <s v="&lt;null&gt;"/>
    <m/>
    <m/>
    <m/>
    <m/>
  </r>
  <r>
    <x v="18"/>
    <x v="18"/>
    <s v="&lt;null&gt;"/>
    <x v="3"/>
    <n v="1774"/>
    <s v="IN/001411"/>
    <s v="N458 Gent heraanleg Wiedauwkaai"/>
    <s v="&lt;null&gt;"/>
    <s v="Structurele Ingreep"/>
    <s v="WOV/INV/N458/3"/>
    <b v="0"/>
    <s v="Ingreep wordt niet opgevolgd in BOD"/>
    <s v="&lt;null&gt;"/>
    <s v="&lt;null&gt;"/>
    <s v="&lt;null&gt;"/>
    <s v="&lt;null&gt;"/>
    <s v="&lt;null&gt;"/>
    <x v="0"/>
    <s v="&lt;null&gt;"/>
    <s v="&lt;null&gt;"/>
    <s v="&lt;null&gt;"/>
    <s v="&lt;null&gt;"/>
    <s v="&lt;null&gt;"/>
    <s v="&lt;null&gt;"/>
    <s v="&lt;null&gt;"/>
    <s v="&lt;null&gt;"/>
    <s v="&lt;null&gt;"/>
    <m/>
    <m/>
    <m/>
    <m/>
  </r>
  <r>
    <x v="18"/>
    <x v="18"/>
    <s v="&lt;null&gt;"/>
    <x v="3"/>
    <n v="1775"/>
    <s v="IN/001412"/>
    <s v="N253 Fietspaden tussen E411 en Nijvelsebaan"/>
    <s v="&lt;null&gt;"/>
    <s v="Structurele Ingreep"/>
    <s v="WVB/INV/N253/12"/>
    <b v="0"/>
    <s v="Ingreep wordt niet opgevolgd in BOD"/>
    <s v="&lt;null&gt;"/>
    <s v="&lt;null&gt;"/>
    <s v="&lt;null&gt;"/>
    <s v="&lt;null&gt;"/>
    <s v="&lt;null&gt;"/>
    <x v="0"/>
    <s v="&lt;null&gt;"/>
    <s v="&lt;null&gt;"/>
    <s v="&lt;null&gt;"/>
    <s v="&lt;null&gt;"/>
    <s v="&lt;null&gt;"/>
    <s v="&lt;null&gt;"/>
    <s v="&lt;null&gt;"/>
    <s v="&lt;null&gt;"/>
    <s v="&lt;null&gt;"/>
    <m/>
    <m/>
    <m/>
    <m/>
  </r>
  <r>
    <x v="18"/>
    <x v="18"/>
    <s v="&lt;null&gt;"/>
    <x v="3"/>
    <n v="1802"/>
    <s v="IN/001417"/>
    <s v="E40 Geluidsschermen noord thv Fonteinstr/Waverseb"/>
    <s v="&lt;null&gt;"/>
    <s v="Structurele Ingreep"/>
    <s v="WVB/INV/A3/12"/>
    <b v="0"/>
    <s v="Ingreep wordt niet opgevolgd in BOD"/>
    <s v="&lt;null&gt;"/>
    <s v="&lt;null&gt;"/>
    <s v="&lt;null&gt;"/>
    <s v="&lt;null&gt;"/>
    <s v="&lt;null&gt;"/>
    <x v="0"/>
    <s v="&lt;null&gt;"/>
    <s v="&lt;null&gt;"/>
    <s v="&lt;null&gt;"/>
    <s v="&lt;null&gt;"/>
    <s v="&lt;null&gt;"/>
    <s v="&lt;null&gt;"/>
    <s v="&lt;null&gt;"/>
    <s v="&lt;null&gt;"/>
    <s v="&lt;null&gt;"/>
    <m/>
    <m/>
    <m/>
    <m/>
  </r>
  <r>
    <x v="1247"/>
    <x v="1247"/>
    <s v="Fiets"/>
    <x v="0"/>
    <n v="1803"/>
    <s v="IN/001418"/>
    <s v="omleiden fietspad achter bushaltes"/>
    <s v="&lt;null&gt;"/>
    <s v="Kleine Ingreep"/>
    <s v="WVB/INV/N207/6"/>
    <b v="1"/>
    <s v="Ingreep wordt opgevolgd in BOD"/>
    <n v="7663"/>
    <s v="X21/0/461-perceel 2"/>
    <n v="76101"/>
    <n v="21028342"/>
    <s v="&lt;p&gt;relance fiets&lt;/p&gt;"/>
    <x v="2"/>
    <n v="7364"/>
    <s v="N207 Liedekerke-station"/>
    <s v="&lt;p&gt;Omleiding fietspad&lt;/p&gt;"/>
    <s v="WVB/INV/N207/6"/>
    <n v="100"/>
    <n v="60000"/>
    <n v="39432.297780000001"/>
    <n v="0"/>
    <n v="20567.702219999999"/>
    <n v="60000"/>
    <n v="39432.297780000001"/>
    <n v="0"/>
    <n v="20567.702219999999"/>
  </r>
  <r>
    <x v="18"/>
    <x v="18"/>
    <s v="&lt;null&gt;"/>
    <x v="3"/>
    <n v="1804"/>
    <s v="IN/001419"/>
    <s v="R8 Kortrijk - brug in de Steenstraat"/>
    <s v="&lt;null&gt;"/>
    <s v="Structurele Ingreep"/>
    <s v="WWV/INV/R8/2"/>
    <b v="0"/>
    <s v="Ingreep wordt niet opgevolgd in BOD"/>
    <s v="&lt;null&gt;"/>
    <s v="&lt;null&gt;"/>
    <s v="&lt;null&gt;"/>
    <s v="&lt;null&gt;"/>
    <s v="&lt;null&gt;"/>
    <x v="0"/>
    <s v="&lt;null&gt;"/>
    <s v="&lt;null&gt;"/>
    <s v="&lt;null&gt;"/>
    <s v="&lt;null&gt;"/>
    <s v="&lt;null&gt;"/>
    <s v="&lt;null&gt;"/>
    <s v="&lt;null&gt;"/>
    <s v="&lt;null&gt;"/>
    <s v="&lt;null&gt;"/>
    <m/>
    <m/>
    <m/>
    <m/>
  </r>
  <r>
    <x v="18"/>
    <x v="18"/>
    <s v="&lt;null&gt;"/>
    <x v="3"/>
    <n v="1805"/>
    <s v="IN/001420"/>
    <s v="A013 - ZANDHOVEN - Vapeo Ecotunnels"/>
    <s v="&lt;null&gt;"/>
    <s v="Structurele Ingreep"/>
    <s v="WA/INV/A013/5"/>
    <b v="0"/>
    <s v="Ingreep wordt niet opgevolgd in BOD"/>
    <s v="&lt;null&gt;"/>
    <s v="&lt;null&gt;"/>
    <s v="&lt;null&gt;"/>
    <s v="&lt;null&gt;"/>
    <s v="&lt;null&gt;"/>
    <x v="0"/>
    <s v="&lt;null&gt;"/>
    <s v="&lt;null&gt;"/>
    <s v="&lt;null&gt;"/>
    <s v="&lt;null&gt;"/>
    <s v="&lt;null&gt;"/>
    <s v="&lt;null&gt;"/>
    <s v="&lt;null&gt;"/>
    <s v="&lt;null&gt;"/>
    <s v="&lt;null&gt;"/>
    <m/>
    <m/>
    <m/>
    <m/>
  </r>
  <r>
    <x v="1192"/>
    <x v="1192"/>
    <s v="Verkeersveiligheid"/>
    <x v="1"/>
    <n v="1806"/>
    <s v="IN/001421"/>
    <s v="Haaltert : N45 met Eigenstraat"/>
    <s v="Toevoegen voorseertstroken rechtsaf"/>
    <s v="Kleine Ingreep"/>
    <s v="WOV/INV/NX/2"/>
    <b v="0"/>
    <s v="Ingreep wordt niet opgevolgd in BOD"/>
    <s v="&lt;null&gt;"/>
    <s v="&lt;null&gt;"/>
    <s v="&lt;null&gt;"/>
    <s v="&lt;null&gt;"/>
    <s v="&lt;null&gt;"/>
    <x v="0"/>
    <s v="&lt;null&gt;"/>
    <s v="&lt;null&gt;"/>
    <s v="&lt;null&gt;"/>
    <s v="&lt;null&gt;"/>
    <n v="100"/>
    <s v="&lt;null&gt;"/>
    <s v="&lt;null&gt;"/>
    <s v="&lt;null&gt;"/>
    <s v="&lt;null&gt;"/>
    <m/>
    <m/>
    <m/>
    <m/>
  </r>
  <r>
    <x v="18"/>
    <x v="18"/>
    <s v="&lt;null&gt;"/>
    <x v="3"/>
    <n v="1807"/>
    <s v="IN/001422"/>
    <s v="A021 structureel onderhoud E34 Turnhout - NL grens"/>
    <s v="&lt;null&gt;"/>
    <s v="Structurele Ingreep"/>
    <s v="WA/INV/A021/1"/>
    <b v="0"/>
    <s v="Ingreep wordt niet opgevolgd in BOD"/>
    <s v="&lt;null&gt;"/>
    <s v="&lt;null&gt;"/>
    <s v="&lt;null&gt;"/>
    <s v="&lt;null&gt;"/>
    <s v="&lt;null&gt;"/>
    <x v="0"/>
    <s v="&lt;null&gt;"/>
    <s v="&lt;null&gt;"/>
    <s v="&lt;null&gt;"/>
    <s v="&lt;null&gt;"/>
    <s v="&lt;null&gt;"/>
    <s v="&lt;null&gt;"/>
    <s v="&lt;null&gt;"/>
    <s v="&lt;null&gt;"/>
    <s v="&lt;null&gt;"/>
    <m/>
    <m/>
    <m/>
    <m/>
  </r>
  <r>
    <x v="18"/>
    <x v="18"/>
    <s v="&lt;null&gt;"/>
    <x v="3"/>
    <n v="1808"/>
    <s v="IN/001423"/>
    <s v="A21/100 Brugvoegen Postel"/>
    <s v="&lt;null&gt;"/>
    <s v="Structurele Ingreep"/>
    <s v="WA/INV/A021/2"/>
    <b v="0"/>
    <s v="Ingreep wordt niet opgevolgd in BOD"/>
    <s v="&lt;null&gt;"/>
    <s v="&lt;null&gt;"/>
    <s v="&lt;null&gt;"/>
    <s v="&lt;null&gt;"/>
    <s v="&lt;null&gt;"/>
    <x v="0"/>
    <s v="&lt;null&gt;"/>
    <s v="&lt;null&gt;"/>
    <s v="&lt;null&gt;"/>
    <s v="&lt;null&gt;"/>
    <s v="&lt;null&gt;"/>
    <s v="&lt;null&gt;"/>
    <s v="&lt;null&gt;"/>
    <s v="&lt;null&gt;"/>
    <s v="&lt;null&gt;"/>
    <m/>
    <m/>
    <m/>
    <m/>
  </r>
  <r>
    <x v="723"/>
    <x v="723"/>
    <s v="Verkeersveiligheid"/>
    <x v="4"/>
    <n v="1809"/>
    <s v="IN/001424"/>
    <s v="Ingreep Schoolroute Zwijndrecht N70 thv nr.71-73"/>
    <s v="PCV dossier"/>
    <s v="Kleine Ingreep"/>
    <s v="&lt;null&gt;"/>
    <b v="0"/>
    <s v="Ingreep wordt niet opgevolgd in BOD"/>
    <s v="&lt;null&gt;"/>
    <s v="&lt;null&gt;"/>
    <s v="&lt;null&gt;"/>
    <s v="&lt;null&gt;"/>
    <s v="&lt;null&gt;"/>
    <x v="0"/>
    <s v="&lt;null&gt;"/>
    <s v="&lt;null&gt;"/>
    <s v="&lt;null&gt;"/>
    <s v="&lt;null&gt;"/>
    <n v="100"/>
    <s v="&lt;null&gt;"/>
    <s v="&lt;null&gt;"/>
    <s v="&lt;null&gt;"/>
    <s v="&lt;null&gt;"/>
    <m/>
    <m/>
    <m/>
    <m/>
  </r>
  <r>
    <x v="1248"/>
    <x v="1248"/>
    <s v="Stimuleren Combimobiliteit"/>
    <x v="2"/>
    <n v="1810"/>
    <s v="IN/001425"/>
    <s v="A021 Ranst Bushaltes en uitbreiding P R"/>
    <s v="&lt;null&gt;"/>
    <s v="Structurele Ingreep"/>
    <s v="WA/INV/A021/4"/>
    <b v="0"/>
    <s v="Ingreep wordt niet opgevolgd in BOD"/>
    <s v="&lt;null&gt;"/>
    <s v="&lt;null&gt;"/>
    <s v="&lt;null&gt;"/>
    <s v="&lt;null&gt;"/>
    <s v="&lt;null&gt;"/>
    <x v="0"/>
    <s v="&lt;null&gt;"/>
    <s v="&lt;null&gt;"/>
    <s v="&lt;null&gt;"/>
    <s v="&lt;null&gt;"/>
    <n v="0"/>
    <s v="&lt;null&gt;"/>
    <s v="&lt;null&gt;"/>
    <s v="&lt;null&gt;"/>
    <s v="&lt;null&gt;"/>
    <m/>
    <m/>
    <m/>
    <m/>
  </r>
  <r>
    <x v="18"/>
    <x v="18"/>
    <s v="&lt;null&gt;"/>
    <x v="3"/>
    <n v="1811"/>
    <s v="IN/001426"/>
    <s v="N001 Mechelen onderhoud tss R12 en Walem   FP"/>
    <s v="&lt;null&gt;"/>
    <s v="Structurele Ingreep"/>
    <s v="WA/INV/N001/7"/>
    <b v="0"/>
    <s v="Ingreep wordt niet opgevolgd in BOD"/>
    <s v="&lt;null&gt;"/>
    <s v="&lt;null&gt;"/>
    <s v="&lt;null&gt;"/>
    <s v="&lt;null&gt;"/>
    <s v="&lt;null&gt;"/>
    <x v="0"/>
    <s v="&lt;null&gt;"/>
    <s v="&lt;null&gt;"/>
    <s v="&lt;null&gt;"/>
    <s v="&lt;null&gt;"/>
    <s v="&lt;null&gt;"/>
    <s v="&lt;null&gt;"/>
    <s v="&lt;null&gt;"/>
    <s v="&lt;null&gt;"/>
    <s v="&lt;null&gt;"/>
    <m/>
    <m/>
    <m/>
    <m/>
  </r>
  <r>
    <x v="18"/>
    <x v="18"/>
    <s v="&lt;null&gt;"/>
    <x v="3"/>
    <n v="1812"/>
    <s v="IN/001427"/>
    <s v="A021 herinrichting van de complexen 24, 25 en 26"/>
    <s v="&lt;null&gt;"/>
    <s v="Structurele Ingreep"/>
    <s v="WA/INV/A021/5"/>
    <b v="0"/>
    <s v="Ingreep wordt niet opgevolgd in BOD"/>
    <s v="&lt;null&gt;"/>
    <s v="&lt;null&gt;"/>
    <s v="&lt;null&gt;"/>
    <s v="&lt;null&gt;"/>
    <s v="&lt;null&gt;"/>
    <x v="0"/>
    <s v="&lt;null&gt;"/>
    <s v="&lt;null&gt;"/>
    <s v="&lt;null&gt;"/>
    <s v="&lt;null&gt;"/>
    <s v="&lt;null&gt;"/>
    <s v="&lt;null&gt;"/>
    <s v="&lt;null&gt;"/>
    <s v="&lt;null&gt;"/>
    <s v="&lt;null&gt;"/>
    <m/>
    <m/>
    <m/>
    <m/>
  </r>
  <r>
    <x v="18"/>
    <x v="18"/>
    <s v="&lt;null&gt;"/>
    <x v="3"/>
    <n v="1813"/>
    <s v="IN/001428"/>
    <s v="A013 - ZANDHOVEN GELUIDSSCHERMEN 1"/>
    <s v="&lt;null&gt;"/>
    <s v="Structurele Ingreep"/>
    <s v="WA/INV/A013/6"/>
    <b v="0"/>
    <s v="Ingreep wordt niet opgevolgd in BOD"/>
    <s v="&lt;null&gt;"/>
    <s v="&lt;null&gt;"/>
    <s v="&lt;null&gt;"/>
    <s v="&lt;null&gt;"/>
    <s v="&lt;null&gt;"/>
    <x v="0"/>
    <s v="&lt;null&gt;"/>
    <s v="&lt;null&gt;"/>
    <s v="&lt;null&gt;"/>
    <s v="&lt;null&gt;"/>
    <s v="&lt;null&gt;"/>
    <s v="&lt;null&gt;"/>
    <s v="&lt;null&gt;"/>
    <s v="&lt;null&gt;"/>
    <s v="&lt;null&gt;"/>
    <m/>
    <m/>
    <m/>
    <m/>
  </r>
  <r>
    <x v="18"/>
    <x v="18"/>
    <s v="&lt;null&gt;"/>
    <x v="3"/>
    <n v="1814"/>
    <s v="IN/001429"/>
    <s v="A021 VAPEO: 10 ecotunnels en 3 ecoduikers"/>
    <s v="&lt;null&gt;"/>
    <s v="Structurele Ingreep"/>
    <s v="WA/INV/A021/3"/>
    <b v="0"/>
    <s v="Ingreep wordt niet opgevolgd in BOD"/>
    <s v="&lt;null&gt;"/>
    <s v="&lt;null&gt;"/>
    <s v="&lt;null&gt;"/>
    <s v="&lt;null&gt;"/>
    <s v="&lt;null&gt;"/>
    <x v="0"/>
    <s v="&lt;null&gt;"/>
    <s v="&lt;null&gt;"/>
    <s v="&lt;null&gt;"/>
    <s v="&lt;null&gt;"/>
    <s v="&lt;null&gt;"/>
    <s v="&lt;null&gt;"/>
    <s v="&lt;null&gt;"/>
    <s v="&lt;null&gt;"/>
    <s v="&lt;null&gt;"/>
    <m/>
    <m/>
    <m/>
    <m/>
  </r>
  <r>
    <x v="18"/>
    <x v="18"/>
    <s v="&lt;null&gt;"/>
    <x v="3"/>
    <n v="1815"/>
    <s v="IN/001430"/>
    <s v="N012/56 Beerse SO VII ontsluiting industrie"/>
    <s v="&lt;null&gt;"/>
    <s v="Structurele Ingreep"/>
    <s v="WA/INV/N012/3"/>
    <b v="0"/>
    <s v="Ingreep wordt niet opgevolgd in BOD"/>
    <s v="&lt;null&gt;"/>
    <s v="&lt;null&gt;"/>
    <s v="&lt;null&gt;"/>
    <s v="&lt;null&gt;"/>
    <s v="&lt;null&gt;"/>
    <x v="0"/>
    <s v="&lt;null&gt;"/>
    <s v="&lt;null&gt;"/>
    <s v="&lt;null&gt;"/>
    <s v="&lt;null&gt;"/>
    <s v="&lt;null&gt;"/>
    <s v="&lt;null&gt;"/>
    <s v="&lt;null&gt;"/>
    <s v="&lt;null&gt;"/>
    <s v="&lt;null&gt;"/>
    <m/>
    <m/>
    <m/>
    <m/>
  </r>
  <r>
    <x v="18"/>
    <x v="18"/>
    <s v="&lt;null&gt;"/>
    <x v="3"/>
    <n v="1816"/>
    <s v="IN/001431"/>
    <s v="N012 Ravels SO tss Ravels &amp; Weelde"/>
    <s v="&lt;null&gt;"/>
    <s v="Structurele Ingreep"/>
    <s v="WA/INV/N012/5"/>
    <b v="0"/>
    <s v="Ingreep wordt niet opgevolgd in BOD"/>
    <s v="&lt;null&gt;"/>
    <s v="&lt;null&gt;"/>
    <s v="&lt;null&gt;"/>
    <s v="&lt;null&gt;"/>
    <s v="&lt;null&gt;"/>
    <x v="0"/>
    <s v="&lt;null&gt;"/>
    <s v="&lt;null&gt;"/>
    <s v="&lt;null&gt;"/>
    <s v="&lt;null&gt;"/>
    <s v="&lt;null&gt;"/>
    <s v="&lt;null&gt;"/>
    <s v="&lt;null&gt;"/>
    <s v="&lt;null&gt;"/>
    <s v="&lt;null&gt;"/>
    <m/>
    <m/>
    <m/>
    <m/>
  </r>
  <r>
    <x v="18"/>
    <x v="18"/>
    <s v="&lt;null&gt;"/>
    <x v="3"/>
    <n v="1817"/>
    <s v="IN/001432"/>
    <s v="N012 Ravels SO tss Poppel &amp; grens NL"/>
    <s v="&lt;null&gt;"/>
    <s v="Structurele Ingreep"/>
    <s v="WA/INV/N012/6"/>
    <b v="0"/>
    <s v="Ingreep wordt niet opgevolgd in BOD"/>
    <s v="&lt;null&gt;"/>
    <s v="&lt;null&gt;"/>
    <s v="&lt;null&gt;"/>
    <s v="&lt;null&gt;"/>
    <s v="&lt;null&gt;"/>
    <x v="0"/>
    <s v="&lt;null&gt;"/>
    <s v="&lt;null&gt;"/>
    <s v="&lt;null&gt;"/>
    <s v="&lt;null&gt;"/>
    <s v="&lt;null&gt;"/>
    <s v="&lt;null&gt;"/>
    <s v="&lt;null&gt;"/>
    <s v="&lt;null&gt;"/>
    <s v="&lt;null&gt;"/>
    <m/>
    <m/>
    <m/>
    <m/>
  </r>
  <r>
    <x v="1249"/>
    <x v="1249"/>
    <s v="Verkeersveiligheid"/>
    <x v="4"/>
    <n v="1818"/>
    <s v="IN/001433"/>
    <s v="Ingreep schoolroute Wuustwezel N1 x Kruisweg"/>
    <s v="PCV dossier"/>
    <s v="Kleine Ingreep"/>
    <s v="WA/INV/N1/23"/>
    <b v="0"/>
    <s v="Ingreep wordt niet opgevolgd in BOD"/>
    <s v="&lt;null&gt;"/>
    <s v="&lt;null&gt;"/>
    <s v="&lt;null&gt;"/>
    <s v="&lt;null&gt;"/>
    <s v="&lt;null&gt;"/>
    <x v="0"/>
    <s v="&lt;null&gt;"/>
    <s v="&lt;null&gt;"/>
    <s v="&lt;null&gt;"/>
    <s v="&lt;null&gt;"/>
    <n v="100"/>
    <s v="&lt;null&gt;"/>
    <s v="&lt;null&gt;"/>
    <s v="&lt;null&gt;"/>
    <s v="&lt;null&gt;"/>
    <m/>
    <m/>
    <m/>
    <m/>
  </r>
  <r>
    <x v="1250"/>
    <x v="1250"/>
    <s v="Verkeersveiligheid"/>
    <x v="4"/>
    <n v="1819"/>
    <s v="IN/001434"/>
    <s v="Ingreep Schoolroute Wuustwezel N144 x Donkweg"/>
    <s v="PCV dossier"/>
    <s v="Kleine Ingreep"/>
    <s v="WA/INV/N144/1"/>
    <b v="1"/>
    <s v="Ingreep wordt opgevolgd in BOD"/>
    <n v="12666"/>
    <s v="AWV/INV/2021/3_P1"/>
    <n v="130251"/>
    <n v="21064977"/>
    <s v="&lt;p&gt;schoolroutes (vastlegging 2021)&lt;/p&gt;"/>
    <x v="9"/>
    <n v="11154"/>
    <s v="N144/1 Donkweg Wuustwezel"/>
    <s v="&lt;null&gt;"/>
    <s v="WA/INV/N144/1"/>
    <n v="100"/>
    <n v="73190"/>
    <n v="0"/>
    <n v="0"/>
    <n v="0.89"/>
    <n v="73190"/>
    <n v="0"/>
    <n v="0"/>
    <n v="0.89"/>
  </r>
  <r>
    <x v="1251"/>
    <x v="1251"/>
    <s v="Fiets"/>
    <x v="0"/>
    <n v="1820"/>
    <s v="IN/001435"/>
    <s v="N211-N276"/>
    <s v="aanpassen oversteken voor fietsers en aanleggen van begin 2-richtingsfietspad tussen A12 en N276"/>
    <s v="Kleine Ingreep"/>
    <s v="WVB/INV/N211/3"/>
    <b v="1"/>
    <s v="Ingreep wordt opgevolgd in BOD"/>
    <n v="7663"/>
    <s v="X21/0/461-perceel 2"/>
    <n v="76101"/>
    <n v="21028342"/>
    <s v="&lt;p&gt;relance fiets&lt;/p&gt;"/>
    <x v="2"/>
    <n v="7365"/>
    <s v="N211/N276 Meise aanzet 2 richtingsfietspad"/>
    <s v="&lt;p&gt;aanzet 2-richtingsfietspad&lt;/p&gt;"/>
    <s v="WVB/INV/N211/3"/>
    <n v="100"/>
    <n v="140000"/>
    <n v="120180.6826"/>
    <n v="0"/>
    <n v="19819.3174"/>
    <n v="140000"/>
    <n v="120180.6826"/>
    <n v="0"/>
    <n v="19819.3174"/>
  </r>
  <r>
    <x v="18"/>
    <x v="18"/>
    <s v="&lt;null&gt;"/>
    <x v="3"/>
    <n v="1821"/>
    <s v="IN/001436"/>
    <s v="N012 Vosselaar structureel onderhoud"/>
    <s v="&lt;null&gt;"/>
    <s v="Structurele Ingreep"/>
    <s v="WA/INV/N12/6"/>
    <b v="0"/>
    <s v="Ingreep wordt niet opgevolgd in BOD"/>
    <s v="&lt;null&gt;"/>
    <s v="&lt;null&gt;"/>
    <s v="&lt;null&gt;"/>
    <s v="&lt;null&gt;"/>
    <s v="&lt;null&gt;"/>
    <x v="0"/>
    <s v="&lt;null&gt;"/>
    <s v="&lt;null&gt;"/>
    <s v="&lt;null&gt;"/>
    <s v="&lt;null&gt;"/>
    <s v="&lt;null&gt;"/>
    <s v="&lt;null&gt;"/>
    <s v="&lt;null&gt;"/>
    <s v="&lt;null&gt;"/>
    <s v="&lt;null&gt;"/>
    <m/>
    <m/>
    <m/>
    <m/>
  </r>
  <r>
    <x v="18"/>
    <x v="18"/>
    <s v="&lt;null&gt;"/>
    <x v="3"/>
    <n v="1822"/>
    <s v="IN/001437"/>
    <s v="N012 Oud-Turnhout structureel onderhoud Oosthoven"/>
    <s v="&lt;null&gt;"/>
    <s v="Structurele Ingreep"/>
    <s v="WA/INV/N012/8"/>
    <b v="0"/>
    <s v="Ingreep wordt niet opgevolgd in BOD"/>
    <s v="&lt;null&gt;"/>
    <s v="&lt;null&gt;"/>
    <s v="&lt;null&gt;"/>
    <s v="&lt;null&gt;"/>
    <s v="&lt;null&gt;"/>
    <x v="0"/>
    <s v="&lt;null&gt;"/>
    <s v="&lt;null&gt;"/>
    <s v="&lt;null&gt;"/>
    <s v="&lt;null&gt;"/>
    <s v="&lt;null&gt;"/>
    <s v="&lt;null&gt;"/>
    <s v="&lt;null&gt;"/>
    <s v="&lt;null&gt;"/>
    <s v="&lt;null&gt;"/>
    <m/>
    <m/>
    <m/>
    <m/>
  </r>
  <r>
    <x v="18"/>
    <x v="18"/>
    <s v="&lt;null&gt;"/>
    <x v="3"/>
    <n v="1823"/>
    <s v="IN/001438"/>
    <s v="N012 Turnhout onteigeningen mod13"/>
    <s v="&lt;null&gt;"/>
    <s v="Structurele Ingreep"/>
    <s v="WA/INV/N012/9"/>
    <b v="0"/>
    <s v="Ingreep wordt niet opgevolgd in BOD"/>
    <s v="&lt;null&gt;"/>
    <s v="&lt;null&gt;"/>
    <s v="&lt;null&gt;"/>
    <s v="&lt;null&gt;"/>
    <s v="&lt;null&gt;"/>
    <x v="0"/>
    <s v="&lt;null&gt;"/>
    <s v="&lt;null&gt;"/>
    <s v="&lt;null&gt;"/>
    <s v="&lt;null&gt;"/>
    <s v="&lt;null&gt;"/>
    <s v="&lt;null&gt;"/>
    <s v="&lt;null&gt;"/>
    <s v="&lt;null&gt;"/>
    <s v="&lt;null&gt;"/>
    <m/>
    <m/>
    <m/>
    <m/>
  </r>
  <r>
    <x v="18"/>
    <x v="18"/>
    <s v="&lt;null&gt;"/>
    <x v="3"/>
    <n v="1824"/>
    <s v="IN/001439"/>
    <s v="N12 - Ravels - missing Link fietsapden"/>
    <s v="&lt;null&gt;"/>
    <s v="Structurele Ingreep"/>
    <s v="WA/INV/N012/10"/>
    <b v="0"/>
    <s v="Ingreep wordt niet opgevolgd in BOD"/>
    <s v="&lt;null&gt;"/>
    <s v="&lt;null&gt;"/>
    <s v="&lt;null&gt;"/>
    <s v="&lt;null&gt;"/>
    <s v="&lt;null&gt;"/>
    <x v="0"/>
    <s v="&lt;null&gt;"/>
    <s v="&lt;null&gt;"/>
    <s v="&lt;null&gt;"/>
    <s v="&lt;null&gt;"/>
    <s v="&lt;null&gt;"/>
    <s v="&lt;null&gt;"/>
    <s v="&lt;null&gt;"/>
    <s v="&lt;null&gt;"/>
    <s v="&lt;null&gt;"/>
    <m/>
    <m/>
    <m/>
    <m/>
  </r>
  <r>
    <x v="1252"/>
    <x v="1252"/>
    <s v="Verkeersveiligheid"/>
    <x v="5"/>
    <n v="1825"/>
    <s v="IN/001440"/>
    <s v="Lummen: N717 Schomstraat"/>
    <s v="Aanpassen van de aansluiting van de Schomstraat aan de N717 zodat deze minder verwarring veroorzaakt en de fietser hier voorrang heeft. Verbeteren verkeersveiligheid fietser."/>
    <s v="Kleine Ingreep"/>
    <s v="WL/INV/N717/6"/>
    <b v="1"/>
    <s v="Ingreep wordt opgevolgd in BOD"/>
    <n v="11575"/>
    <s v="WL/INV/2021/8_P2"/>
    <n v="98751"/>
    <n v="21067071"/>
    <s v="&lt;p&gt;werken van Eikenaar in district West&lt;/p&gt;"/>
    <x v="0"/>
    <n v="7462"/>
    <s v="Lummen: N717 Schomstraat"/>
    <s v="&lt;null&gt;"/>
    <s v="WL/INV/N717/6"/>
    <n v="100"/>
    <n v="8264"/>
    <n v="8264"/>
    <n v="0"/>
    <n v="0"/>
    <n v="8264"/>
    <n v="8264"/>
    <n v="0"/>
    <n v="0"/>
  </r>
  <r>
    <x v="1253"/>
    <x v="1253"/>
    <s v="Verkeersveiligheid"/>
    <x v="5"/>
    <n v="1826"/>
    <s v="IN/001441"/>
    <s v="Hechtel - Eksel: N74 amfibietunnel"/>
    <s v="realiseren amfibietunnel onder gewestweg (afrit N74). Verbeteren verkeersveiligheid voetgangers (vrijwilligers)."/>
    <s v="Kleine Ingreep"/>
    <s v="WL/INV/N74/9"/>
    <b v="1"/>
    <s v="Ingreep wordt opgevolgd in BOD"/>
    <n v="11575"/>
    <s v="WL/INV/2021/8_P2"/>
    <n v="98751"/>
    <n v="21067071"/>
    <s v="&lt;p&gt;werken van Eikenaar in district West&lt;/p&gt;"/>
    <x v="0"/>
    <n v="7461"/>
    <s v="Hechtel - Eksel: N74 amfibietunnel"/>
    <s v="&lt;null&gt;"/>
    <s v="WL/INV/N74/9"/>
    <n v="100"/>
    <n v="80000"/>
    <n v="5565"/>
    <n v="0"/>
    <n v="74325"/>
    <n v="80000"/>
    <n v="5565"/>
    <n v="0"/>
    <n v="74325"/>
  </r>
  <r>
    <x v="1254"/>
    <x v="1254"/>
    <s v="Verkeersveiligheid"/>
    <x v="5"/>
    <n v="1827"/>
    <s v="IN/001442"/>
    <s v="Houthalen-Helchteren: N719 De Ramp"/>
    <s v="Verbeteren verkeersveiligheid fietser."/>
    <s v="Kleine Ingreep"/>
    <s v="WL/INV/N719/8"/>
    <b v="1"/>
    <s v="Ingreep wordt opgevolgd in BOD"/>
    <n v="11575"/>
    <s v="WL/INV/2021/8_P2"/>
    <n v="98751"/>
    <n v="21067071"/>
    <s v="&lt;p&gt;werken van Eikenaar in district West&lt;/p&gt;"/>
    <x v="0"/>
    <n v="7460"/>
    <s v="Houthalen-Helchteren: N719 De Ramp"/>
    <s v="&lt;null&gt;"/>
    <s v="WL/INV/N719/8"/>
    <n v="100"/>
    <n v="15529"/>
    <n v="13239.044"/>
    <n v="0"/>
    <n v="2289.9560000000001"/>
    <n v="15529"/>
    <n v="13239.044"/>
    <n v="0"/>
    <n v="2289.9560000000001"/>
  </r>
  <r>
    <x v="1255"/>
    <x v="1255"/>
    <s v="Verkeersveiligheid"/>
    <x v="5"/>
    <n v="1828"/>
    <s v="IN/001443"/>
    <s v="Leopoldsburg: N72 vergroenen berm"/>
    <s v="Verwijderen van dolomietverharding en begroeiing aanbrengen om wildparkeren tegen te gaan. Verbeteren verkeersveiligheid voetganger."/>
    <s v="Kleine Ingreep"/>
    <s v="WL/INV/N72/20"/>
    <b v="1"/>
    <s v="Ingreep wordt opgevolgd in BOD"/>
    <n v="11576"/>
    <s v="WL/INV/2021/8_P3"/>
    <n v="110301"/>
    <n v="21067073"/>
    <s v="&lt;p&gt;werken van Gemoco in district West&lt;/p&gt;"/>
    <x v="2"/>
    <n v="7470"/>
    <s v="Leopoldsburg: N72 vergroenen berm"/>
    <s v="&lt;null&gt;"/>
    <s v="WL/INV/N72/20"/>
    <n v="100"/>
    <n v="18835"/>
    <n v="0"/>
    <n v="0"/>
    <n v="18699"/>
    <n v="18835"/>
    <n v="0"/>
    <n v="0"/>
    <n v="18699"/>
  </r>
  <r>
    <x v="18"/>
    <x v="18"/>
    <s v="&lt;null&gt;"/>
    <x v="3"/>
    <n v="1829"/>
    <s v="IN/001444"/>
    <s v="N73 Ontsluiting gevangenis Leopoldsburg"/>
    <s v="&lt;null&gt;"/>
    <s v="Structurele Ingreep"/>
    <s v="WL/INV/N73/22"/>
    <b v="0"/>
    <s v="Ingreep wordt niet opgevolgd in BOD"/>
    <s v="&lt;null&gt;"/>
    <s v="&lt;null&gt;"/>
    <s v="&lt;null&gt;"/>
    <s v="&lt;null&gt;"/>
    <s v="&lt;null&gt;"/>
    <x v="0"/>
    <s v="&lt;null&gt;"/>
    <s v="&lt;null&gt;"/>
    <s v="&lt;null&gt;"/>
    <s v="&lt;null&gt;"/>
    <s v="&lt;null&gt;"/>
    <s v="&lt;null&gt;"/>
    <s v="&lt;null&gt;"/>
    <s v="&lt;null&gt;"/>
    <s v="&lt;null&gt;"/>
    <m/>
    <m/>
    <m/>
    <m/>
  </r>
  <r>
    <x v="1256"/>
    <x v="1256"/>
    <s v="Verkeersveiligheid"/>
    <x v="5"/>
    <n v="1830"/>
    <s v="IN/001445"/>
    <s v="Lommel: N71 fietstunnel"/>
    <s v="Vervangen van verharding in betonklinkers door asfalt. Herschilderen + antigraffiticoating op tunnelwanden. Verbeteren verkeersveiligheid en comfort fietser."/>
    <s v="Kleine Ingreep"/>
    <s v="WL/INV/N71/7"/>
    <b v="1"/>
    <s v="Ingreep wordt opgevolgd in BOD"/>
    <n v="11576"/>
    <s v="WL/INV/2021/8_P3"/>
    <n v="110301"/>
    <n v="21067073"/>
    <s v="&lt;p&gt;werken van Gemoco in district West&lt;/p&gt;"/>
    <x v="2"/>
    <n v="7472"/>
    <s v="Lommel: N71 fietstunnel"/>
    <s v="&lt;null&gt;"/>
    <s v="WL/INV/N71/7"/>
    <n v="100"/>
    <n v="55000"/>
    <n v="0"/>
    <n v="0"/>
    <n v="4386.05"/>
    <n v="55000"/>
    <n v="0"/>
    <n v="0"/>
    <n v="4386.05"/>
  </r>
  <r>
    <x v="1257"/>
    <x v="1257"/>
    <s v="Verkeersveiligheid"/>
    <x v="5"/>
    <n v="1831"/>
    <s v="IN/001446"/>
    <s v="Heusden-Zolder: E314 brug Lummenweg"/>
    <s v="Betondallen verwijderen en vervangen door asfalt zodat voetpad enerzijds veiliger wordt voor voetgangers maar de loszittende betondallen eveneens niet door vandalen op de snelweg kunnen worden gesmeten. Verbeteren verkeersveiligheid voetganger en (onderdo"/>
    <s v="Kleine Ingreep"/>
    <s v="WL/INV/A2/8"/>
    <b v="0"/>
    <s v="Ingreep wordt niet opgevolgd in BOD"/>
    <s v="&lt;null&gt;"/>
    <s v="&lt;null&gt;"/>
    <s v="&lt;null&gt;"/>
    <s v="&lt;null&gt;"/>
    <s v="&lt;null&gt;"/>
    <x v="0"/>
    <s v="&lt;null&gt;"/>
    <s v="&lt;null&gt;"/>
    <s v="&lt;null&gt;"/>
    <s v="&lt;null&gt;"/>
    <n v="100"/>
    <s v="&lt;null&gt;"/>
    <s v="&lt;null&gt;"/>
    <s v="&lt;null&gt;"/>
    <s v="&lt;null&gt;"/>
    <m/>
    <m/>
    <m/>
    <m/>
  </r>
  <r>
    <x v="1258"/>
    <x v="1258"/>
    <s v="Verkeersveiligheid"/>
    <x v="4"/>
    <n v="1832"/>
    <s v="IN/001447"/>
    <s v="Ingreep Schoolroute Schoten N121 x Elshoutbaan"/>
    <s v="&lt;null&gt;"/>
    <s v="Kleine Ingreep"/>
    <s v="WA/INV/N121/7"/>
    <b v="0"/>
    <s v="Ingreep wordt niet opgevolgd in BOD"/>
    <s v="&lt;null&gt;"/>
    <s v="&lt;null&gt;"/>
    <s v="&lt;null&gt;"/>
    <s v="&lt;null&gt;"/>
    <s v="&lt;null&gt;"/>
    <x v="0"/>
    <s v="&lt;null&gt;"/>
    <s v="&lt;null&gt;"/>
    <s v="&lt;null&gt;"/>
    <s v="&lt;null&gt;"/>
    <n v="100"/>
    <s v="&lt;null&gt;"/>
    <s v="&lt;null&gt;"/>
    <s v="&lt;null&gt;"/>
    <s v="&lt;null&gt;"/>
    <m/>
    <m/>
    <m/>
    <m/>
  </r>
  <r>
    <x v="1259"/>
    <x v="1259"/>
    <s v="Verkeersveiligheid"/>
    <x v="5"/>
    <n v="1833"/>
    <s v="IN/001448"/>
    <s v="Hechtel-Eksel: N715 fietspaden t.h.v. autokeuring"/>
    <s v="Beveiligen van de fietspaden t.h.v. de autokeuring zodat voertuigen hier niet meer op kunnen stilstaan. Verbeteren verkeersveiligheid fietser."/>
    <s v="Kleine Ingreep"/>
    <s v="WL/INV/N715/7"/>
    <b v="1"/>
    <s v="Ingreep wordt opgevolgd in BOD"/>
    <n v="11574"/>
    <s v="WL/INV/2021/8_P1"/>
    <n v="110351"/>
    <n v="21067062"/>
    <s v="&lt;p&gt;werken van APK in district West&lt;/p&gt;"/>
    <x v="2"/>
    <n v="7478"/>
    <s v="Hechtel-Eksel: N715 fietspaden t.h.v. autokeuring"/>
    <s v="&lt;null&gt;"/>
    <s v="WL/INV/N715/7"/>
    <n v="100"/>
    <n v="61000"/>
    <n v="8080.5"/>
    <n v="0"/>
    <n v="49639.3"/>
    <n v="61000"/>
    <n v="8080.5"/>
    <n v="0"/>
    <n v="49639.3"/>
  </r>
  <r>
    <x v="18"/>
    <x v="18"/>
    <s v="&lt;null&gt;"/>
    <x v="3"/>
    <n v="1834"/>
    <s v="IN/001449"/>
    <s v="N014 Duffel herinrichting doortocht"/>
    <s v="&lt;null&gt;"/>
    <s v="Structurele Ingreep"/>
    <s v="WA/INV/N014/4"/>
    <b v="0"/>
    <s v="Ingreep wordt niet opgevolgd in BOD"/>
    <s v="&lt;null&gt;"/>
    <s v="&lt;null&gt;"/>
    <s v="&lt;null&gt;"/>
    <s v="&lt;null&gt;"/>
    <s v="&lt;null&gt;"/>
    <x v="0"/>
    <s v="&lt;null&gt;"/>
    <s v="&lt;null&gt;"/>
    <s v="&lt;null&gt;"/>
    <s v="&lt;null&gt;"/>
    <s v="&lt;null&gt;"/>
    <s v="&lt;null&gt;"/>
    <s v="&lt;null&gt;"/>
    <s v="&lt;null&gt;"/>
    <s v="&lt;null&gt;"/>
    <m/>
    <m/>
    <m/>
    <m/>
  </r>
  <r>
    <x v="18"/>
    <x v="18"/>
    <s v="&lt;null&gt;"/>
    <x v="3"/>
    <n v="1835"/>
    <s v="IN/001450"/>
    <s v="N016 Bornem complex bornem-industrie"/>
    <s v="&lt;null&gt;"/>
    <s v="Structurele Ingreep"/>
    <s v="WA/INV/N016/2"/>
    <b v="0"/>
    <s v="Ingreep wordt niet opgevolgd in BOD"/>
    <s v="&lt;null&gt;"/>
    <s v="&lt;null&gt;"/>
    <s v="&lt;null&gt;"/>
    <s v="&lt;null&gt;"/>
    <s v="&lt;null&gt;"/>
    <x v="0"/>
    <s v="&lt;null&gt;"/>
    <s v="&lt;null&gt;"/>
    <s v="&lt;null&gt;"/>
    <s v="&lt;null&gt;"/>
    <s v="&lt;null&gt;"/>
    <s v="&lt;null&gt;"/>
    <s v="&lt;null&gt;"/>
    <s v="&lt;null&gt;"/>
    <s v="&lt;null&gt;"/>
    <m/>
    <m/>
    <m/>
    <m/>
  </r>
  <r>
    <x v="1260"/>
    <x v="1260"/>
    <s v="Verkeersveiligheid"/>
    <x v="5"/>
    <n v="1836"/>
    <s v="IN/001451"/>
    <s v="Diest: N725 fietsbruggen"/>
    <s v="aanbrengen antislipcoating. Verbeteren verkeersveiligheid fietser."/>
    <s v="Kleine Ingreep"/>
    <s v="WL/INV/N725/11"/>
    <b v="0"/>
    <s v="Ingreep wordt niet opgevolgd in BOD"/>
    <s v="&lt;null&gt;"/>
    <s v="&lt;null&gt;"/>
    <s v="&lt;null&gt;"/>
    <s v="&lt;null&gt;"/>
    <s v="&lt;null&gt;"/>
    <x v="0"/>
    <s v="&lt;null&gt;"/>
    <s v="&lt;null&gt;"/>
    <s v="&lt;null&gt;"/>
    <s v="&lt;null&gt;"/>
    <n v="100"/>
    <s v="&lt;null&gt;"/>
    <s v="&lt;null&gt;"/>
    <s v="&lt;null&gt;"/>
    <s v="&lt;null&gt;"/>
    <m/>
    <m/>
    <m/>
    <m/>
  </r>
  <r>
    <x v="1261"/>
    <x v="1261"/>
    <s v="Verkeersveiligheid"/>
    <x v="5"/>
    <n v="1837"/>
    <s v="IN/001452"/>
    <s v="Beringen: N72 fietsbruggen"/>
    <s v="aanbrengen antislipcoating. Verbeteren verkeersveiligheid fietser."/>
    <s v="Kleine Ingreep"/>
    <s v="WL/INV/N72/21"/>
    <b v="1"/>
    <s v="Ingreep wordt opgevolgd in BOD"/>
    <n v="11577"/>
    <s v="WL/INV/2021/8_P4"/>
    <n v="110401"/>
    <n v="21067079"/>
    <s v="&lt;p&gt;werken van Hoogmartens in district West&lt;/p&gt;"/>
    <x v="2"/>
    <n v="7488"/>
    <s v="Beringen: N72 fietsbruggen"/>
    <s v="&lt;null&gt;"/>
    <s v="WL/INV/N72/21"/>
    <n v="100"/>
    <n v="2400"/>
    <n v="0"/>
    <n v="0"/>
    <n v="0"/>
    <n v="2400"/>
    <n v="0"/>
    <n v="0"/>
    <n v="0"/>
  </r>
  <r>
    <x v="1262"/>
    <x v="1262"/>
    <s v="Verkeersveiligheid"/>
    <x v="5"/>
    <n v="1838"/>
    <s v="IN/001453"/>
    <s v="Lummen: N717 fietsbruggen"/>
    <s v="aanbrengen antislipcoating. Verbeteren verkeersveiligheid fietser."/>
    <s v="Kleine Ingreep"/>
    <s v="WL/INV/N717/7"/>
    <b v="0"/>
    <s v="Ingreep wordt niet opgevolgd in BOD"/>
    <s v="&lt;null&gt;"/>
    <s v="&lt;null&gt;"/>
    <s v="&lt;null&gt;"/>
    <s v="&lt;null&gt;"/>
    <s v="&lt;null&gt;"/>
    <x v="0"/>
    <s v="&lt;null&gt;"/>
    <s v="&lt;null&gt;"/>
    <s v="&lt;null&gt;"/>
    <s v="&lt;null&gt;"/>
    <n v="100"/>
    <s v="&lt;null&gt;"/>
    <s v="&lt;null&gt;"/>
    <s v="&lt;null&gt;"/>
    <s v="&lt;null&gt;"/>
    <m/>
    <m/>
    <m/>
    <m/>
  </r>
  <r>
    <x v="1263"/>
    <x v="1263"/>
    <s v="Verkeersveiligheid"/>
    <x v="5"/>
    <n v="1839"/>
    <s v="IN/001454"/>
    <s v="Hamont-Achel: N76 fietsbruggen"/>
    <s v="aanbrengen antislipcoating. Verbeteren verkeersveiligheid fietser."/>
    <s v="Kleine Ingreep"/>
    <s v="WL/INV/N76/26"/>
    <b v="0"/>
    <s v="Ingreep wordt niet opgevolgd in BOD"/>
    <s v="&lt;null&gt;"/>
    <s v="&lt;null&gt;"/>
    <s v="&lt;null&gt;"/>
    <s v="&lt;null&gt;"/>
    <s v="&lt;null&gt;"/>
    <x v="0"/>
    <s v="&lt;null&gt;"/>
    <s v="&lt;null&gt;"/>
    <s v="&lt;null&gt;"/>
    <s v="&lt;null&gt;"/>
    <n v="100"/>
    <s v="&lt;null&gt;"/>
    <s v="&lt;null&gt;"/>
    <s v="&lt;null&gt;"/>
    <s v="&lt;null&gt;"/>
    <m/>
    <m/>
    <m/>
    <m/>
  </r>
  <r>
    <x v="1264"/>
    <x v="1264"/>
    <s v="Verkeersveiligheid"/>
    <x v="5"/>
    <n v="1840"/>
    <s v="IN/001455"/>
    <s v="Hamont-Achel: N71 fietsbruggen"/>
    <s v="aanbrengen antislipcoating. Verbeteren verkeersveiligheid fietser."/>
    <s v="Kleine Ingreep"/>
    <s v="WL/INV/N71/8"/>
    <b v="1"/>
    <s v="Ingreep wordt opgevolgd in BOD"/>
    <n v="11577"/>
    <s v="WL/INV/2021/8_P4"/>
    <n v="110401"/>
    <n v="21067079"/>
    <s v="&lt;p&gt;werken van Hoogmartens in district West&lt;/p&gt;"/>
    <x v="2"/>
    <n v="7491"/>
    <s v="Hamont-Achel: N71 fietsbruggen"/>
    <s v="&lt;null&gt;"/>
    <s v="WL/INV/N71/8"/>
    <n v="100"/>
    <n v="18000"/>
    <n v="0"/>
    <n v="0"/>
    <n v="0"/>
    <n v="18000"/>
    <n v="0"/>
    <n v="0"/>
    <n v="0"/>
  </r>
  <r>
    <x v="1265"/>
    <x v="1265"/>
    <s v="Verkeersveiligheid"/>
    <x v="5"/>
    <n v="1841"/>
    <s v="IN/001456"/>
    <s v="Beringen: N29 verlichting middenberm en parking"/>
    <s v="Aanbrengen van plantvakken rond vrijstaande verlichtingspalen in middenberm zodat deze beter zichtbaar zijn en minder frequent aangereden worden.\nOntsluiting parking de Wissel wijzigen zodat het in- en uitrijden hiervan makkelijker en veiliger kan verlop"/>
    <s v="Kleine Ingreep"/>
    <s v="WL/INV/N29/4"/>
    <b v="1"/>
    <s v="Ingreep wordt opgevolgd in BOD"/>
    <n v="11577"/>
    <s v="WL/INV/2021/8_P4"/>
    <n v="110401"/>
    <n v="21067079"/>
    <s v="&lt;p&gt;werken van Hoogmartens in district West&lt;/p&gt;"/>
    <x v="2"/>
    <n v="7492"/>
    <s v="Beringen: N29 verlichting middenberm en parking De Wissel"/>
    <s v="&lt;null&gt;"/>
    <s v="WL/INV/N29/4"/>
    <n v="100"/>
    <n v="61000"/>
    <n v="61000"/>
    <n v="0"/>
    <n v="0"/>
    <n v="61000"/>
    <n v="61000"/>
    <n v="0"/>
    <n v="0"/>
  </r>
  <r>
    <x v="1266"/>
    <x v="1266"/>
    <s v="Verkeersveiligheid"/>
    <x v="5"/>
    <n v="1842"/>
    <s v="IN/001457"/>
    <s v="Halen: N2 rotonde"/>
    <s v="Aanleggen van dubbelrichtingsfietspaden. Verbeteren verkeersveiligheid voor de fietser."/>
    <s v="Kleine Ingreep"/>
    <s v="WL/INV/N2/15"/>
    <b v="1"/>
    <s v="Ingreep wordt opgevolgd in BOD"/>
    <n v="11577"/>
    <s v="WL/INV/2021/8_P4"/>
    <n v="110401"/>
    <n v="21067079"/>
    <s v="&lt;p&gt;werken van Hoogmartens in district West&lt;/p&gt;"/>
    <x v="2"/>
    <n v="7493"/>
    <s v="Halen: N2 fietspaden rotonde"/>
    <s v="&lt;null&gt;"/>
    <s v="WL/INV/N2/15"/>
    <n v="100"/>
    <n v="122937"/>
    <n v="0"/>
    <n v="0"/>
    <n v="120632"/>
    <n v="122937"/>
    <n v="0"/>
    <n v="0"/>
    <n v="120632"/>
  </r>
  <r>
    <x v="1267"/>
    <x v="1267"/>
    <s v="Verkeersveiligheid"/>
    <x v="5"/>
    <n v="1843"/>
    <s v="IN/001458"/>
    <s v="Ham: N110 x Nikelaan"/>
    <s v="Aanleggen ontbrekend stuk fietspad onderaan talud N110 (ter hoogte van Nikelaan)"/>
    <s v="Kleine Ingreep"/>
    <s v="WL/INV/N110/2"/>
    <b v="1"/>
    <s v="Ingreep wordt opgevolgd in BOD"/>
    <n v="11578"/>
    <s v="WL/INV/2021/8_P5"/>
    <n v="110451"/>
    <n v="21067084"/>
    <s v="&lt;p&gt;werken van Martens in district West&lt;/p&gt;"/>
    <x v="2"/>
    <n v="7496"/>
    <s v="Ham: N110 afschuiven talud"/>
    <s v="&lt;null&gt;"/>
    <s v="WL/INV/N110/2"/>
    <n v="100"/>
    <n v="12180"/>
    <n v="12180"/>
    <n v="0"/>
    <n v="0"/>
    <n v="12180"/>
    <n v="12180"/>
    <n v="0"/>
    <n v="0"/>
  </r>
  <r>
    <x v="1268"/>
    <x v="1268"/>
    <s v="Verkeersveiligheid"/>
    <x v="5"/>
    <n v="1844"/>
    <s v="IN/001459"/>
    <s v="Pelt: N712 kruispunt en spooronderdoorgang"/>
    <s v="Voetpad wijzigen naar gemengd voet/fietspad tussen Boseind en Oude Kerkhofstraat. Verbeteren verkeersveiligheid voor de fietser."/>
    <s v="Kleine Ingreep"/>
    <s v="WL/INV/N712/10"/>
    <b v="1"/>
    <s v="Ingreep wordt opgevolgd in BOD"/>
    <n v="11578"/>
    <s v="WL/INV/2021/8_P5"/>
    <n v="110451"/>
    <n v="21067084"/>
    <s v="&lt;p&gt;werken van Martens in district West&lt;/p&gt;"/>
    <x v="2"/>
    <n v="7497"/>
    <s v="Pelt: N712 kruispunt en spooronderdoorgang"/>
    <s v="&lt;null&gt;"/>
    <s v="WL/INV/N712/10"/>
    <n v="100"/>
    <n v="62917"/>
    <n v="0"/>
    <n v="0"/>
    <n v="60731.86"/>
    <n v="62917"/>
    <n v="0"/>
    <n v="0"/>
    <n v="60731.86"/>
  </r>
  <r>
    <x v="1269"/>
    <x v="1269"/>
    <s v="Verkeersveiligheid"/>
    <x v="5"/>
    <n v="1845"/>
    <s v="IN/001460"/>
    <s v="Dilsen-Stokkem: N78 oversteek"/>
    <s v="Verbreden van middeneiland zodat fietser zich hier comfortabel kan opstellen. Verbeteren verkeersveiligheid voor de fietser.\n"/>
    <s v="Kleine Ingreep"/>
    <s v="WL/INV/N78/27"/>
    <b v="1"/>
    <s v="Ingreep wordt opgevolgd in BOD"/>
    <n v="11580"/>
    <s v="WL/INV/2021/9_P1"/>
    <n v="110551"/>
    <n v="21066894"/>
    <s v="&lt;p&gt;werken van APK in district Oost&lt;/p&gt;"/>
    <x v="10"/>
    <n v="7512"/>
    <s v="Dilsen-Stokkem: N78 oversteek"/>
    <s v="&lt;null&gt;"/>
    <s v="WL/INV/N78/27"/>
    <n v="100"/>
    <n v="68191.149999999994"/>
    <n v="68191.153600000005"/>
    <n v="-3.5999999999999999E-3"/>
    <n v="0"/>
    <n v="68191.149999999994"/>
    <n v="68191.153600000005"/>
    <n v="-3.5999999999999999E-3"/>
    <n v="0"/>
  </r>
  <r>
    <x v="1270"/>
    <x v="1270"/>
    <s v="Verkeersveiligheid"/>
    <x v="5"/>
    <n v="1846"/>
    <s v="IN/001461"/>
    <s v="As: N723 afwikkeling kruispunt"/>
    <s v="Het verkeer komende van Genk via de rotonde laten passeren zodat de middenstrook enkel dient om het verkeer richting Dilsen/Maasmechelen te leiden. Eventueel ook een FOP voorzien? \nVerbeteren verkeersveiligheid voor gemotoriseerd verkeer."/>
    <s v="Kleine Ingreep"/>
    <s v="WL/INV/N723/4"/>
    <b v="1"/>
    <s v="Ingreep wordt opgevolgd in BOD"/>
    <n v="11580"/>
    <s v="WL/INV/2021/9_P1"/>
    <n v="110551"/>
    <n v="21066894"/>
    <s v="&lt;p&gt;werken van APK in district Oost&lt;/p&gt;"/>
    <x v="10"/>
    <n v="7513"/>
    <s v="As: N723 afwikkeling kruispunt"/>
    <s v="&lt;null&gt;"/>
    <s v="WL/INV/N723/4"/>
    <n v="100"/>
    <n v="121891.49"/>
    <n v="0"/>
    <n v="48982.076999999997"/>
    <n v="72909.413"/>
    <n v="121891.49"/>
    <n v="0"/>
    <n v="48982.076999999997"/>
    <n v="72909.413"/>
  </r>
  <r>
    <x v="1271"/>
    <x v="1271"/>
    <s v="Verkeersveiligheid"/>
    <x v="5"/>
    <n v="1847"/>
    <s v="IN/001462"/>
    <s v="As: N730 Ziepstraat"/>
    <s v="realiseren van veilige fietsoversteek. Verbeteren verkeersveiligheid voor de fietser."/>
    <s v="Kleine Ingreep"/>
    <s v="WL/INV/N730/19"/>
    <b v="1"/>
    <s v="Ingreep wordt opgevolgd in BOD"/>
    <n v="11581"/>
    <s v="WL/INV/2021/9_P2"/>
    <n v="110651"/>
    <n v="21066902"/>
    <s v="&lt;p&gt;werken van Eikenaar in district Oost&lt;/p&gt;"/>
    <x v="10"/>
    <n v="7518"/>
    <s v="As: N730 thv Ziepstraat"/>
    <s v="&lt;null&gt;"/>
    <s v="WL/INV/N730/19"/>
    <n v="100"/>
    <n v="123000"/>
    <n v="0"/>
    <n v="0"/>
    <n v="120100"/>
    <n v="123000"/>
    <n v="0"/>
    <n v="0"/>
    <n v="120100"/>
  </r>
  <r>
    <x v="1272"/>
    <x v="1272"/>
    <s v="Verkeersveiligheid"/>
    <x v="5"/>
    <n v="1848"/>
    <s v="IN/001463"/>
    <s v="Lanaken: N77 dubbelrichtingsfietspad"/>
    <s v="Uitbreiden van het fietspad naar een dubbelrichtingsfietspad tussen rotonde en Broekstraat. Verbeteren verkeersveiligheid en comfort voor de fietser."/>
    <s v="Kleine Ingreep"/>
    <s v="WL/INV/N77/5"/>
    <b v="1"/>
    <s v="Ingreep wordt opgevolgd in BOD"/>
    <n v="11581"/>
    <s v="WL/INV/2021/9_P2"/>
    <n v="110651"/>
    <n v="21066902"/>
    <s v="&lt;p&gt;werken van Eikenaar in district Oost&lt;/p&gt;"/>
    <x v="10"/>
    <n v="7519"/>
    <s v="Lanaken: N77 dubbelrichtingsfietspad"/>
    <s v="&lt;null&gt;"/>
    <s v="WL/INV/N77/5"/>
    <n v="100"/>
    <n v="67080.639999999999"/>
    <n v="27297.070500000002"/>
    <n v="0"/>
    <n v="39783.569499999998"/>
    <n v="67080.639999999999"/>
    <n v="27297.070500000002"/>
    <n v="0"/>
    <n v="39783.569499999998"/>
  </r>
  <r>
    <x v="1273"/>
    <x v="1273"/>
    <s v="Verkeersveiligheid"/>
    <x v="4"/>
    <n v="1849"/>
    <s v="IN/001464"/>
    <s v="Lanaken: N77b fietsbrug en kruispunt"/>
    <s v="Aanbrengen nieuwe anti-sliplaag op brug. Kruispunt uit te voeren conform PCV (verkeerslichten). Verbeteren verkeersveiligheid voor fietsers."/>
    <s v="Kleine Ingreep"/>
    <s v="WL/INV/N77/6"/>
    <b v="1"/>
    <s v="Ingreep wordt opgevolgd in BOD"/>
    <n v="11582"/>
    <s v="WL/INV/2021/9_P3"/>
    <n v="110701"/>
    <n v="21066903"/>
    <s v="&lt;p&gt;werken van Hoogmartens in district Oost&lt;/p&gt;"/>
    <x v="10"/>
    <n v="7522"/>
    <s v="Lanaken: N77b fietsbrug en kruispunt"/>
    <s v="&lt;null&gt;"/>
    <s v="WL/INV/N77/6"/>
    <n v="50"/>
    <n v="165000"/>
    <n v="64198"/>
    <n v="0"/>
    <n v="98397"/>
    <n v="82500"/>
    <n v="32099"/>
    <n v="0"/>
    <n v="49198.5"/>
  </r>
  <r>
    <x v="1274"/>
    <x v="1274"/>
    <s v="Verkeersveiligheid"/>
    <x v="5"/>
    <n v="1849"/>
    <s v="IN/001464"/>
    <s v="Lanaken: N77b fietsbrug en kruispunt"/>
    <s v="Aanbrengen nieuwe anti-sliplaag op brug. Kruispunt uit te voeren conform PCV (verkeerslichten). Verbeteren verkeersveiligheid voor fietsers."/>
    <s v="Kleine Ingreep"/>
    <s v="WL/INV/N77/6"/>
    <b v="1"/>
    <s v="Ingreep wordt opgevolgd in BOD"/>
    <n v="11582"/>
    <s v="WL/INV/2021/9_P3"/>
    <n v="110701"/>
    <n v="21066903"/>
    <s v="&lt;p&gt;werken van Hoogmartens in district Oost&lt;/p&gt;"/>
    <x v="10"/>
    <n v="7522"/>
    <s v="Lanaken: N77b fietsbrug en kruispunt"/>
    <s v="&lt;null&gt;"/>
    <s v="WL/INV/N77/6"/>
    <n v="50"/>
    <n v="165000"/>
    <n v="64198"/>
    <n v="0"/>
    <n v="98397"/>
    <n v="82500"/>
    <n v="32099"/>
    <n v="0"/>
    <n v="49198.5"/>
  </r>
  <r>
    <x v="1275"/>
    <x v="1275"/>
    <s v="Verkeersveiligheid"/>
    <x v="5"/>
    <n v="1850"/>
    <s v="IN/001465"/>
    <s v="Lanaken: N78 spoorvorming"/>
    <s v="Spoorvorming aanpakken ter verbetering verkeersveiligheid voor gemotoriseerd verkeer"/>
    <s v="Kleine Ingreep"/>
    <s v="WL/INV/N78/28"/>
    <b v="1"/>
    <s v="Ingreep wordt opgevolgd in BOD"/>
    <n v="11582"/>
    <s v="WL/INV/2021/9_P3"/>
    <n v="110701"/>
    <n v="21066903"/>
    <s v="&lt;p&gt;werken van Hoogmartens in district Oost&lt;/p&gt;"/>
    <x v="10"/>
    <n v="7523"/>
    <s v="Lanaken: N78 spoorvorming"/>
    <s v="&lt;null&gt;"/>
    <s v="WL/INV/N78/28"/>
    <n v="100"/>
    <n v="124256.19"/>
    <n v="124256.19"/>
    <n v="0"/>
    <n v="0"/>
    <n v="124256.19"/>
    <n v="124256.19"/>
    <n v="0"/>
    <n v="0"/>
  </r>
  <r>
    <x v="1276"/>
    <x v="1276"/>
    <s v="Verkeersveiligheid"/>
    <x v="5"/>
    <n v="1851"/>
    <s v="IN/001466"/>
    <s v="Maasmechelen: N763 fiets- en menoversteek"/>
    <s v="Veilige oversteek uitwerken voor menroute, fietsers en wandelaars."/>
    <s v="Kleine Ingreep"/>
    <s v="WL/INV/N763/2"/>
    <b v="1"/>
    <s v="Ingreep wordt opgevolgd in BOD"/>
    <n v="11584"/>
    <s v="WL/INV/2021/9_P5"/>
    <n v="110751"/>
    <n v="21066905"/>
    <s v="&lt;p&gt;werken van Van de Kreeke in district Oost&lt;/p&gt;"/>
    <x v="10"/>
    <n v="7526"/>
    <s v="Maasmechelen: N763 fiets- en menoversteek"/>
    <s v="&lt;null&gt;"/>
    <s v="WL/INV/N763/2"/>
    <n v="100"/>
    <n v="165000"/>
    <n v="0"/>
    <n v="0"/>
    <n v="85495.52"/>
    <n v="165000"/>
    <n v="0"/>
    <n v="0"/>
    <n v="85495.52"/>
  </r>
  <r>
    <x v="18"/>
    <x v="18"/>
    <s v="&lt;null&gt;"/>
    <x v="3"/>
    <n v="1852"/>
    <s v="IN/001467"/>
    <s v="E313 Hasselt kruispunt N20"/>
    <s v="&lt;null&gt;"/>
    <s v="Structurele Ingreep"/>
    <s v="WL/INV/N20/3"/>
    <b v="0"/>
    <s v="Ingreep wordt niet opgevolgd in BOD"/>
    <s v="&lt;null&gt;"/>
    <s v="&lt;null&gt;"/>
    <s v="&lt;null&gt;"/>
    <s v="&lt;null&gt;"/>
    <s v="&lt;null&gt;"/>
    <x v="0"/>
    <s v="&lt;null&gt;"/>
    <s v="&lt;null&gt;"/>
    <s v="&lt;null&gt;"/>
    <s v="&lt;null&gt;"/>
    <s v="&lt;null&gt;"/>
    <s v="&lt;null&gt;"/>
    <s v="&lt;null&gt;"/>
    <s v="&lt;null&gt;"/>
    <s v="&lt;null&gt;"/>
    <m/>
    <m/>
    <m/>
    <m/>
  </r>
  <r>
    <x v="18"/>
    <x v="18"/>
    <s v="&lt;null&gt;"/>
    <x v="3"/>
    <n v="1853"/>
    <s v="IN/001468"/>
    <s v="E313 herinrichting complex 25 Ham"/>
    <s v="&lt;null&gt;"/>
    <s v="Structurele Ingreep"/>
    <s v="WL/INV/N141/1"/>
    <b v="0"/>
    <s v="Ingreep wordt niet opgevolgd in BOD"/>
    <s v="&lt;null&gt;"/>
    <s v="&lt;null&gt;"/>
    <s v="&lt;null&gt;"/>
    <s v="&lt;null&gt;"/>
    <s v="&lt;null&gt;"/>
    <x v="0"/>
    <s v="&lt;null&gt;"/>
    <s v="&lt;null&gt;"/>
    <s v="&lt;null&gt;"/>
    <s v="&lt;null&gt;"/>
    <s v="&lt;null&gt;"/>
    <s v="&lt;null&gt;"/>
    <s v="&lt;null&gt;"/>
    <s v="&lt;null&gt;"/>
    <s v="&lt;null&gt;"/>
    <m/>
    <m/>
    <m/>
    <m/>
  </r>
  <r>
    <x v="18"/>
    <x v="18"/>
    <s v="&lt;null&gt;"/>
    <x v="3"/>
    <n v="1854"/>
    <s v="IN/001469"/>
    <s v="N723 Genk Welzijnscampus / Portavida"/>
    <s v="&lt;null&gt;"/>
    <s v="Structurele Ingreep"/>
    <s v="WL/INV/N723/1"/>
    <b v="0"/>
    <s v="Ingreep wordt niet opgevolgd in BOD"/>
    <s v="&lt;null&gt;"/>
    <s v="&lt;null&gt;"/>
    <s v="&lt;null&gt;"/>
    <s v="&lt;null&gt;"/>
    <s v="&lt;null&gt;"/>
    <x v="0"/>
    <s v="&lt;null&gt;"/>
    <s v="&lt;null&gt;"/>
    <s v="&lt;null&gt;"/>
    <s v="&lt;null&gt;"/>
    <s v="&lt;null&gt;"/>
    <s v="&lt;null&gt;"/>
    <s v="&lt;null&gt;"/>
    <s v="&lt;null&gt;"/>
    <s v="&lt;null&gt;"/>
    <m/>
    <m/>
    <m/>
    <m/>
  </r>
  <r>
    <x v="18"/>
    <x v="18"/>
    <s v="&lt;null&gt;"/>
    <x v="3"/>
    <n v="1855"/>
    <s v="IN/001470"/>
    <s v="E313 Lummen Hasselt-Oost project-MER spitsstroken"/>
    <s v="&lt;null&gt;"/>
    <s v="Structurele Ingreep"/>
    <s v="WL/INV/A13/2"/>
    <b v="0"/>
    <s v="Ingreep wordt niet opgevolgd in BOD"/>
    <s v="&lt;null&gt;"/>
    <s v="&lt;null&gt;"/>
    <s v="&lt;null&gt;"/>
    <s v="&lt;null&gt;"/>
    <s v="&lt;null&gt;"/>
    <x v="0"/>
    <s v="&lt;null&gt;"/>
    <s v="&lt;null&gt;"/>
    <s v="&lt;null&gt;"/>
    <s v="&lt;null&gt;"/>
    <s v="&lt;null&gt;"/>
    <s v="&lt;null&gt;"/>
    <s v="&lt;null&gt;"/>
    <s v="&lt;null&gt;"/>
    <s v="&lt;null&gt;"/>
    <m/>
    <m/>
    <m/>
    <m/>
  </r>
  <r>
    <x v="18"/>
    <x v="18"/>
    <s v="&lt;null&gt;"/>
    <x v="3"/>
    <n v="1856"/>
    <s v="IN/001471"/>
    <s v="R71 Hasselt fietsbrug FSW over Kanaalkom"/>
    <s v="&lt;null&gt;"/>
    <s v="Structurele Ingreep"/>
    <s v="WL/INV/R71/5"/>
    <b v="0"/>
    <s v="Ingreep wordt niet opgevolgd in BOD"/>
    <s v="&lt;null&gt;"/>
    <s v="&lt;null&gt;"/>
    <s v="&lt;null&gt;"/>
    <s v="&lt;null&gt;"/>
    <s v="&lt;null&gt;"/>
    <x v="0"/>
    <s v="&lt;null&gt;"/>
    <s v="&lt;null&gt;"/>
    <s v="&lt;null&gt;"/>
    <s v="&lt;null&gt;"/>
    <s v="&lt;null&gt;"/>
    <s v="&lt;null&gt;"/>
    <s v="&lt;null&gt;"/>
    <s v="&lt;null&gt;"/>
    <s v="&lt;null&gt;"/>
    <m/>
    <m/>
    <m/>
    <m/>
  </r>
  <r>
    <x v="18"/>
    <x v="18"/>
    <s v="&lt;null&gt;"/>
    <x v="3"/>
    <n v="1857"/>
    <s v="IN/001472"/>
    <s v="N750 Genk Ontsluiting ZOL"/>
    <s v="&lt;null&gt;"/>
    <s v="Structurele Ingreep"/>
    <s v="WL/INV/N750/2"/>
    <b v="0"/>
    <s v="Ingreep wordt niet opgevolgd in BOD"/>
    <s v="&lt;null&gt;"/>
    <s v="&lt;null&gt;"/>
    <s v="&lt;null&gt;"/>
    <s v="&lt;null&gt;"/>
    <s v="&lt;null&gt;"/>
    <x v="0"/>
    <s v="&lt;null&gt;"/>
    <s v="&lt;null&gt;"/>
    <s v="&lt;null&gt;"/>
    <s v="&lt;null&gt;"/>
    <s v="&lt;null&gt;"/>
    <s v="&lt;null&gt;"/>
    <s v="&lt;null&gt;"/>
    <s v="&lt;null&gt;"/>
    <s v="&lt;null&gt;"/>
    <m/>
    <m/>
    <m/>
    <m/>
  </r>
  <r>
    <x v="18"/>
    <x v="18"/>
    <s v="&lt;null&gt;"/>
    <x v="3"/>
    <n v="1858"/>
    <s v="IN/001473"/>
    <s v="N2 Herk-de-Stad Kruispunt Kapelstraat Bosstraat"/>
    <s v="&lt;null&gt;"/>
    <s v="Structurele Ingreep"/>
    <s v="WL/INV/N2/4"/>
    <b v="0"/>
    <s v="Ingreep wordt niet opgevolgd in BOD"/>
    <s v="&lt;null&gt;"/>
    <s v="&lt;null&gt;"/>
    <s v="&lt;null&gt;"/>
    <s v="&lt;null&gt;"/>
    <s v="&lt;null&gt;"/>
    <x v="0"/>
    <s v="&lt;null&gt;"/>
    <s v="&lt;null&gt;"/>
    <s v="&lt;null&gt;"/>
    <s v="&lt;null&gt;"/>
    <s v="&lt;null&gt;"/>
    <s v="&lt;null&gt;"/>
    <s v="&lt;null&gt;"/>
    <s v="&lt;null&gt;"/>
    <s v="&lt;null&gt;"/>
    <m/>
    <m/>
    <m/>
    <m/>
  </r>
  <r>
    <x v="18"/>
    <x v="18"/>
    <s v="&lt;null&gt;"/>
    <x v="3"/>
    <n v="1859"/>
    <s v="IN/001474"/>
    <s v="N724 Tessenderlo Rotonde Industrieweg"/>
    <s v="&lt;null&gt;"/>
    <s v="Structurele Ingreep"/>
    <s v="WL/INV/N724/1"/>
    <b v="0"/>
    <s v="Ingreep wordt niet opgevolgd in BOD"/>
    <s v="&lt;null&gt;"/>
    <s v="&lt;null&gt;"/>
    <s v="&lt;null&gt;"/>
    <s v="&lt;null&gt;"/>
    <s v="&lt;null&gt;"/>
    <x v="0"/>
    <s v="&lt;null&gt;"/>
    <s v="&lt;null&gt;"/>
    <s v="&lt;null&gt;"/>
    <s v="&lt;null&gt;"/>
    <s v="&lt;null&gt;"/>
    <s v="&lt;null&gt;"/>
    <s v="&lt;null&gt;"/>
    <s v="&lt;null&gt;"/>
    <s v="&lt;null&gt;"/>
    <m/>
    <m/>
    <m/>
    <m/>
  </r>
  <r>
    <x v="18"/>
    <x v="18"/>
    <s v="&lt;null&gt;"/>
    <x v="3"/>
    <n v="1860"/>
    <s v="IN/001475"/>
    <s v="N2 Diepenbeek kruispunt Nierstraat"/>
    <s v="&lt;null&gt;"/>
    <s v="Structurele Ingreep"/>
    <s v="WL/INV/N2/10"/>
    <b v="0"/>
    <s v="Ingreep wordt niet opgevolgd in BOD"/>
    <s v="&lt;null&gt;"/>
    <s v="&lt;null&gt;"/>
    <s v="&lt;null&gt;"/>
    <s v="&lt;null&gt;"/>
    <s v="&lt;null&gt;"/>
    <x v="0"/>
    <s v="&lt;null&gt;"/>
    <s v="&lt;null&gt;"/>
    <s v="&lt;null&gt;"/>
    <s v="&lt;null&gt;"/>
    <s v="&lt;null&gt;"/>
    <s v="&lt;null&gt;"/>
    <s v="&lt;null&gt;"/>
    <s v="&lt;null&gt;"/>
    <s v="&lt;null&gt;"/>
    <m/>
    <m/>
    <m/>
    <m/>
  </r>
  <r>
    <x v="18"/>
    <x v="18"/>
    <s v="&lt;null&gt;"/>
    <x v="3"/>
    <n v="1866"/>
    <s v="IN/001481"/>
    <s v="Aanleg fietspaden N126 Laakdal"/>
    <s v="&lt;null&gt;"/>
    <s v="Structurele Ingreep"/>
    <s v="WA/INV/N126/3"/>
    <b v="0"/>
    <s v="Ingreep wordt niet opgevolgd in BOD"/>
    <s v="&lt;null&gt;"/>
    <s v="&lt;null&gt;"/>
    <s v="&lt;null&gt;"/>
    <s v="&lt;null&gt;"/>
    <s v="&lt;null&gt;"/>
    <x v="0"/>
    <s v="&lt;null&gt;"/>
    <s v="&lt;null&gt;"/>
    <s v="&lt;null&gt;"/>
    <s v="&lt;null&gt;"/>
    <s v="&lt;null&gt;"/>
    <s v="&lt;null&gt;"/>
    <s v="&lt;null&gt;"/>
    <s v="&lt;null&gt;"/>
    <s v="&lt;null&gt;"/>
    <m/>
    <m/>
    <m/>
    <m/>
  </r>
  <r>
    <x v="18"/>
    <x v="18"/>
    <s v="&lt;null&gt;"/>
    <x v="3"/>
    <n v="1867"/>
    <s v="IN/001482"/>
    <s v="N2 Hasselt - ontsluiting KMO/sportzone Pietelbeek"/>
    <s v="&lt;null&gt;"/>
    <s v="Structurele Ingreep"/>
    <s v="WL/INV/N2/8"/>
    <b v="0"/>
    <s v="Ingreep wordt niet opgevolgd in BOD"/>
    <s v="&lt;null&gt;"/>
    <s v="&lt;null&gt;"/>
    <s v="&lt;null&gt;"/>
    <s v="&lt;null&gt;"/>
    <s v="&lt;null&gt;"/>
    <x v="0"/>
    <s v="&lt;null&gt;"/>
    <s v="&lt;null&gt;"/>
    <s v="&lt;null&gt;"/>
    <s v="&lt;null&gt;"/>
    <s v="&lt;null&gt;"/>
    <s v="&lt;null&gt;"/>
    <s v="&lt;null&gt;"/>
    <s v="&lt;null&gt;"/>
    <s v="&lt;null&gt;"/>
    <m/>
    <m/>
    <m/>
    <m/>
  </r>
  <r>
    <x v="1277"/>
    <x v="1277"/>
    <s v="Stimuleren Combimobiliteit"/>
    <x v="2"/>
    <n v="1868"/>
    <s v="IN/001483"/>
    <s v="N73 Hechtel-Eksel en Pelt mobipunten"/>
    <s v="&lt;null&gt;"/>
    <s v="Structurele Ingreep"/>
    <s v="WL/INV/N73/12"/>
    <b v="0"/>
    <s v="Ingreep wordt niet opgevolgd in BOD"/>
    <s v="&lt;null&gt;"/>
    <s v="&lt;null&gt;"/>
    <s v="&lt;null&gt;"/>
    <s v="&lt;null&gt;"/>
    <s v="&lt;null&gt;"/>
    <x v="0"/>
    <s v="&lt;null&gt;"/>
    <s v="&lt;null&gt;"/>
    <s v="&lt;null&gt;"/>
    <s v="&lt;null&gt;"/>
    <n v="62"/>
    <s v="&lt;null&gt;"/>
    <s v="&lt;null&gt;"/>
    <s v="&lt;null&gt;"/>
    <s v="&lt;null&gt;"/>
    <m/>
    <m/>
    <m/>
    <m/>
  </r>
  <r>
    <x v="1278"/>
    <x v="1278"/>
    <s v="Stimuleren Combimobiliteit"/>
    <x v="2"/>
    <n v="1868"/>
    <s v="IN/001483"/>
    <s v="N73 Hechtel-Eksel en Pelt mobipunten"/>
    <s v="&lt;null&gt;"/>
    <s v="Structurele Ingreep"/>
    <s v="WL/INV/N73/12"/>
    <b v="0"/>
    <s v="Ingreep wordt niet opgevolgd in BOD"/>
    <s v="&lt;null&gt;"/>
    <s v="&lt;null&gt;"/>
    <s v="&lt;null&gt;"/>
    <s v="&lt;null&gt;"/>
    <s v="&lt;null&gt;"/>
    <x v="0"/>
    <s v="&lt;null&gt;"/>
    <s v="&lt;null&gt;"/>
    <s v="&lt;null&gt;"/>
    <s v="&lt;null&gt;"/>
    <n v="38"/>
    <s v="&lt;null&gt;"/>
    <s v="&lt;null&gt;"/>
    <s v="&lt;null&gt;"/>
    <s v="&lt;null&gt;"/>
    <m/>
    <m/>
    <m/>
    <m/>
  </r>
  <r>
    <x v="18"/>
    <x v="18"/>
    <s v="&lt;null&gt;"/>
    <x v="3"/>
    <n v="1869"/>
    <s v="IN/001484"/>
    <s v="N141 Ham Heppensestw toegankelijkehaltes DeWarande"/>
    <s v="&lt;null&gt;"/>
    <s v="Structurele Ingreep"/>
    <s v="WL/INV/N141/6"/>
    <b v="0"/>
    <s v="Ingreep wordt niet opgevolgd in BOD"/>
    <s v="&lt;null&gt;"/>
    <s v="&lt;null&gt;"/>
    <s v="&lt;null&gt;"/>
    <s v="&lt;null&gt;"/>
    <s v="&lt;null&gt;"/>
    <x v="0"/>
    <s v="&lt;null&gt;"/>
    <s v="&lt;null&gt;"/>
    <s v="&lt;null&gt;"/>
    <s v="&lt;null&gt;"/>
    <s v="&lt;null&gt;"/>
    <s v="&lt;null&gt;"/>
    <s v="&lt;null&gt;"/>
    <s v="&lt;null&gt;"/>
    <s v="&lt;null&gt;"/>
    <m/>
    <m/>
    <m/>
    <m/>
  </r>
  <r>
    <x v="18"/>
    <x v="18"/>
    <s v="&lt;null&gt;"/>
    <x v="3"/>
    <n v="1870"/>
    <s v="IN/001485"/>
    <s v="N72-Stationsstraat Beringen: herinrichting kruispu"/>
    <s v="&lt;null&gt;"/>
    <s v="Structurele Ingreep"/>
    <s v="WL/INV/N72/8"/>
    <b v="0"/>
    <s v="Ingreep wordt niet opgevolgd in BOD"/>
    <s v="&lt;null&gt;"/>
    <s v="&lt;null&gt;"/>
    <s v="&lt;null&gt;"/>
    <s v="&lt;null&gt;"/>
    <s v="&lt;null&gt;"/>
    <x v="0"/>
    <s v="&lt;null&gt;"/>
    <s v="&lt;null&gt;"/>
    <s v="&lt;null&gt;"/>
    <s v="&lt;null&gt;"/>
    <s v="&lt;null&gt;"/>
    <s v="&lt;null&gt;"/>
    <s v="&lt;null&gt;"/>
    <s v="&lt;null&gt;"/>
    <s v="&lt;null&gt;"/>
    <m/>
    <m/>
    <m/>
    <m/>
  </r>
  <r>
    <x v="1279"/>
    <x v="1279"/>
    <s v="Verkeersveiligheid"/>
    <x v="4"/>
    <n v="1871"/>
    <s v="IN/001486"/>
    <s v="SRK: N9 Melle: opfrissen markeringen ( x Kapellestraat)"/>
    <s v="&lt;null&gt;"/>
    <s v="Kleine Ingreep"/>
    <s v="WOV/INV/N9/24"/>
    <b v="1"/>
    <s v="Ingreep wordt opgevolgd in BOD"/>
    <n v="11864"/>
    <s v="AWV/INV/2021/3_P4"/>
    <n v="110851"/>
    <n v="21065760"/>
    <s v="&lt;p&gt;Schoolrouteknelpunten (2021 (op 230))&lt;/p&gt;"/>
    <x v="23"/>
    <n v="7568"/>
    <s v="N9xKapellestraat Opfrissen Markeringen"/>
    <s v="&lt;p&gt;N9xKapellestraat Opfrissen Markeringen&lt;/p&gt;"/>
    <s v="WOV/INV/N9/24"/>
    <n v="100"/>
    <n v="2000"/>
    <n v="0"/>
    <n v="1304.2266999999999"/>
    <n v="695.77329999999995"/>
    <n v="2000"/>
    <n v="0"/>
    <n v="1304.2266999999999"/>
    <n v="695.77329999999995"/>
  </r>
  <r>
    <x v="18"/>
    <x v="18"/>
    <s v="&lt;null&gt;"/>
    <x v="3"/>
    <n v="1872"/>
    <s v="IN/001487"/>
    <s v="R22 - Machelen - Herinrichting Woluwelaan"/>
    <s v="&lt;null&gt;"/>
    <s v="Structurele Ingreep"/>
    <s v="WVB/INV/R22/1"/>
    <b v="1"/>
    <s v="Ingreep wordt opgevolgd in BOD"/>
    <n v="10166"/>
    <s v="MDN/59-4"/>
    <n v="124351"/>
    <n v="22018238"/>
    <s v="&lt;p&gt;Nieuwbouw van- en aanpassingen aan verkeerslichten in Vlaams-Brabant voor uitrol volgens&amp;nbsp;actieplan (2022)&lt;/p&gt;"/>
    <x v="3"/>
    <n v="8987"/>
    <s v="Installatie 235C3 - R22 Woluwelaan x Nieuwbrugstraat - MACHELEN"/>
    <s v="&lt;p&gt;Verkeerslichten kruispunt R22 Woluwelaan x Nieuwbrugstraat - MACHELEN Leveren en plaatsen van laagspanningskast en portieken (inclusief ankers) volgens V017932v00.&lt;/p&gt;"/>
    <s v="WVB/INV/R22/1"/>
    <s v="&lt;null&gt;"/>
    <n v="51800.74"/>
    <n v="0"/>
    <n v="0"/>
    <n v="0"/>
    <m/>
    <m/>
    <m/>
    <m/>
  </r>
  <r>
    <x v="18"/>
    <x v="18"/>
    <s v="&lt;null&gt;"/>
    <x v="3"/>
    <n v="1873"/>
    <s v="IN/001488"/>
    <s v="N364 Alveringem herinrichting"/>
    <s v="&lt;null&gt;"/>
    <s v="Structurele Ingreep"/>
    <s v="WWV/INV/N364/1"/>
    <b v="0"/>
    <s v="Ingreep wordt niet opgevolgd in BOD"/>
    <s v="&lt;null&gt;"/>
    <s v="&lt;null&gt;"/>
    <s v="&lt;null&gt;"/>
    <s v="&lt;null&gt;"/>
    <s v="&lt;null&gt;"/>
    <x v="0"/>
    <s v="&lt;null&gt;"/>
    <s v="&lt;null&gt;"/>
    <s v="&lt;null&gt;"/>
    <s v="&lt;null&gt;"/>
    <s v="&lt;null&gt;"/>
    <s v="&lt;null&gt;"/>
    <s v="&lt;null&gt;"/>
    <s v="&lt;null&gt;"/>
    <s v="&lt;null&gt;"/>
    <m/>
    <m/>
    <m/>
    <m/>
  </r>
  <r>
    <x v="18"/>
    <x v="18"/>
    <s v="&lt;null&gt;"/>
    <x v="3"/>
    <n v="1874"/>
    <s v="IN/001489"/>
    <s v="N16 Mechelen afschermende contstructies"/>
    <s v="&lt;null&gt;"/>
    <s v="Structurele Ingreep"/>
    <s v="WA/INV/N16/6"/>
    <b v="0"/>
    <s v="Ingreep wordt niet opgevolgd in BOD"/>
    <s v="&lt;null&gt;"/>
    <s v="&lt;null&gt;"/>
    <s v="&lt;null&gt;"/>
    <s v="&lt;null&gt;"/>
    <s v="&lt;null&gt;"/>
    <x v="0"/>
    <s v="&lt;null&gt;"/>
    <s v="&lt;null&gt;"/>
    <s v="&lt;null&gt;"/>
    <s v="&lt;null&gt;"/>
    <s v="&lt;null&gt;"/>
    <s v="&lt;null&gt;"/>
    <s v="&lt;null&gt;"/>
    <s v="&lt;null&gt;"/>
    <s v="&lt;null&gt;"/>
    <m/>
    <m/>
    <m/>
    <m/>
  </r>
  <r>
    <x v="18"/>
    <x v="18"/>
    <s v="&lt;null&gt;"/>
    <x v="3"/>
    <n v="1875"/>
    <s v="IN/001490"/>
    <s v="N275 Hoeilaart: Terhulpensestwg"/>
    <s v="Volledige herinrichting gewestweg (incl. Aanliggend dubbel richtingsfietspad, afschermende constructie en vleermuisvriendelijke verlichting)"/>
    <s v="Structurele Ingreep"/>
    <s v="WVB/INV/N275/1"/>
    <b v="0"/>
    <s v="Ingreep wordt niet opgevolgd in BOD"/>
    <s v="&lt;null&gt;"/>
    <s v="&lt;null&gt;"/>
    <s v="&lt;null&gt;"/>
    <s v="&lt;null&gt;"/>
    <s v="&lt;null&gt;"/>
    <x v="0"/>
    <s v="&lt;null&gt;"/>
    <s v="&lt;null&gt;"/>
    <s v="&lt;null&gt;"/>
    <s v="&lt;null&gt;"/>
    <s v="&lt;null&gt;"/>
    <s v="&lt;null&gt;"/>
    <s v="&lt;null&gt;"/>
    <s v="&lt;null&gt;"/>
    <s v="&lt;null&gt;"/>
    <m/>
    <m/>
    <m/>
    <m/>
  </r>
  <r>
    <x v="1280"/>
    <x v="1280"/>
    <s v="Verkeersveiligheid"/>
    <x v="4"/>
    <n v="1876"/>
    <s v="IN/001491"/>
    <s v="Ingreep Schoolroute Olen N3 x Sint-Sebastiaanstraat"/>
    <s v="PCV dossier: V-plan"/>
    <s v="Kleine Ingreep"/>
    <s v="&lt;null&gt;"/>
    <b v="0"/>
    <s v="Ingreep wordt niet opgevolgd in BOD"/>
    <s v="&lt;null&gt;"/>
    <s v="&lt;null&gt;"/>
    <s v="&lt;null&gt;"/>
    <s v="&lt;null&gt;"/>
    <s v="&lt;null&gt;"/>
    <x v="0"/>
    <s v="&lt;null&gt;"/>
    <s v="&lt;null&gt;"/>
    <s v="&lt;null&gt;"/>
    <s v="&lt;null&gt;"/>
    <n v="100"/>
    <s v="&lt;null&gt;"/>
    <s v="&lt;null&gt;"/>
    <s v="&lt;null&gt;"/>
    <s v="&lt;null&gt;"/>
    <m/>
    <m/>
    <m/>
    <m/>
  </r>
  <r>
    <x v="1257"/>
    <x v="1257"/>
    <s v="Verkeersveiligheid"/>
    <x v="5"/>
    <n v="1877"/>
    <s v="IN/001492"/>
    <s v="Renovatie brug B2 Heusden Zolder (E314)"/>
    <s v="&lt;null&gt;"/>
    <s v="Structurele Ingreep"/>
    <s v="WL/INV/A2/9"/>
    <b v="0"/>
    <s v="Ingreep wordt niet opgevolgd in BOD"/>
    <s v="&lt;null&gt;"/>
    <s v="&lt;null&gt;"/>
    <s v="&lt;null&gt;"/>
    <s v="&lt;null&gt;"/>
    <s v="&lt;null&gt;"/>
    <x v="0"/>
    <s v="&lt;null&gt;"/>
    <s v="&lt;null&gt;"/>
    <s v="&lt;null&gt;"/>
    <s v="&lt;null&gt;"/>
    <n v="10"/>
    <s v="&lt;null&gt;"/>
    <s v="&lt;null&gt;"/>
    <s v="&lt;null&gt;"/>
    <s v="&lt;null&gt;"/>
    <m/>
    <m/>
    <m/>
    <m/>
  </r>
  <r>
    <x v="18"/>
    <x v="18"/>
    <s v="&lt;null&gt;"/>
    <x v="3"/>
    <n v="1878"/>
    <s v="IN/001493"/>
    <s v="N78 Renovatie asfalt Europalaan Lanaken"/>
    <s v="&lt;null&gt;"/>
    <s v="Structurele Ingreep"/>
    <s v="WL/INV/N78/29"/>
    <b v="0"/>
    <s v="Ingreep wordt niet opgevolgd in BOD"/>
    <s v="&lt;null&gt;"/>
    <s v="&lt;null&gt;"/>
    <s v="&lt;null&gt;"/>
    <s v="&lt;null&gt;"/>
    <s v="&lt;null&gt;"/>
    <x v="0"/>
    <s v="&lt;null&gt;"/>
    <s v="&lt;null&gt;"/>
    <s v="&lt;null&gt;"/>
    <s v="&lt;null&gt;"/>
    <s v="&lt;null&gt;"/>
    <s v="&lt;null&gt;"/>
    <s v="&lt;null&gt;"/>
    <s v="&lt;null&gt;"/>
    <s v="&lt;null&gt;"/>
    <m/>
    <m/>
    <m/>
    <m/>
  </r>
  <r>
    <x v="18"/>
    <x v="18"/>
    <s v="&lt;null&gt;"/>
    <x v="3"/>
    <n v="1879"/>
    <s v="IN/001494"/>
    <s v="R25 Aarschot: Rotonde, Wegenis, Fietspaden"/>
    <s v="Vernieuwing wegvak"/>
    <s v="Structurele Ingreep"/>
    <s v="WVB/INV/R25/1"/>
    <b v="0"/>
    <s v="Ingreep wordt niet opgevolgd in BOD"/>
    <s v="&lt;null&gt;"/>
    <s v="&lt;null&gt;"/>
    <s v="&lt;null&gt;"/>
    <s v="&lt;null&gt;"/>
    <s v="&lt;null&gt;"/>
    <x v="0"/>
    <s v="&lt;null&gt;"/>
    <s v="&lt;null&gt;"/>
    <s v="&lt;null&gt;"/>
    <s v="&lt;null&gt;"/>
    <s v="&lt;null&gt;"/>
    <s v="&lt;null&gt;"/>
    <s v="&lt;null&gt;"/>
    <s v="&lt;null&gt;"/>
    <s v="&lt;null&gt;"/>
    <m/>
    <m/>
    <m/>
    <m/>
  </r>
  <r>
    <x v="18"/>
    <x v="18"/>
    <s v="&lt;null&gt;"/>
    <x v="3"/>
    <n v="1880"/>
    <s v="IN/001495"/>
    <s v="N29/24 str.ond. weg fp, incl kruisp Klipg"/>
    <s v="Vernieuwing wegenis (incl. fietspaden) en herinrichting kruispunt Klipgaardenstraat"/>
    <s v="Structurele Ingreep"/>
    <s v="WVB/INV/N29/1"/>
    <b v="0"/>
    <s v="Ingreep wordt niet opgevolgd in BOD"/>
    <s v="&lt;null&gt;"/>
    <s v="&lt;null&gt;"/>
    <s v="&lt;null&gt;"/>
    <s v="&lt;null&gt;"/>
    <s v="&lt;null&gt;"/>
    <x v="0"/>
    <s v="&lt;null&gt;"/>
    <s v="&lt;null&gt;"/>
    <s v="&lt;null&gt;"/>
    <s v="&lt;null&gt;"/>
    <s v="&lt;null&gt;"/>
    <s v="&lt;null&gt;"/>
    <s v="&lt;null&gt;"/>
    <s v="&lt;null&gt;"/>
    <s v="&lt;null&gt;"/>
    <m/>
    <m/>
    <m/>
    <m/>
  </r>
  <r>
    <x v="18"/>
    <x v="18"/>
    <s v="&lt;null&gt;"/>
    <x v="3"/>
    <n v="1887"/>
    <s v="IN/001502"/>
    <s v="X21/N025/9 DP3  Structureel onderhoud N251"/>
    <s v="Aanleg wegenis (incl. fietspaden) en vleermuisvriendelijke verlichting. Herinrichting kruispunt N251/Duivenstraat/Brainestraat"/>
    <s v="Structurele Ingreep"/>
    <s v="WVB/INV/N25/1"/>
    <b v="0"/>
    <s v="Ingreep wordt niet opgevolgd in BOD"/>
    <s v="&lt;null&gt;"/>
    <s v="&lt;null&gt;"/>
    <s v="&lt;null&gt;"/>
    <s v="&lt;null&gt;"/>
    <s v="&lt;null&gt;"/>
    <x v="0"/>
    <s v="&lt;null&gt;"/>
    <s v="&lt;null&gt;"/>
    <s v="&lt;null&gt;"/>
    <s v="&lt;null&gt;"/>
    <s v="&lt;null&gt;"/>
    <s v="&lt;null&gt;"/>
    <s v="&lt;null&gt;"/>
    <s v="&lt;null&gt;"/>
    <s v="&lt;null&gt;"/>
    <m/>
    <m/>
    <m/>
    <m/>
  </r>
  <r>
    <x v="18"/>
    <x v="18"/>
    <s v="&lt;null&gt;"/>
    <x v="3"/>
    <n v="1888"/>
    <s v="IN/001503"/>
    <s v="N441 Oudenaarde GrVLandaststraat"/>
    <s v="&lt;null&gt;"/>
    <s v="Structurele Ingreep"/>
    <s v="WOV/INV/N441/1"/>
    <b v="0"/>
    <s v="Ingreep wordt niet opgevolgd in BOD"/>
    <s v="&lt;null&gt;"/>
    <s v="&lt;null&gt;"/>
    <s v="&lt;null&gt;"/>
    <s v="&lt;null&gt;"/>
    <s v="&lt;null&gt;"/>
    <x v="0"/>
    <s v="&lt;null&gt;"/>
    <s v="&lt;null&gt;"/>
    <s v="&lt;null&gt;"/>
    <s v="&lt;null&gt;"/>
    <s v="&lt;null&gt;"/>
    <s v="&lt;null&gt;"/>
    <s v="&lt;null&gt;"/>
    <s v="&lt;null&gt;"/>
    <s v="&lt;null&gt;"/>
    <m/>
    <m/>
    <m/>
    <m/>
  </r>
  <r>
    <x v="18"/>
    <x v="18"/>
    <s v="&lt;null&gt;"/>
    <x v="3"/>
    <n v="1889"/>
    <s v="IN/001504"/>
    <s v="X21/R023/25 Gasthuisberg fase 4: Rennessingel"/>
    <s v="Aanleg fietspaden"/>
    <s v="Structurele Ingreep"/>
    <s v="WVB/INV/R23/1"/>
    <b v="0"/>
    <s v="Ingreep wordt niet opgevolgd in BOD"/>
    <s v="&lt;null&gt;"/>
    <s v="&lt;null&gt;"/>
    <s v="&lt;null&gt;"/>
    <s v="&lt;null&gt;"/>
    <s v="&lt;null&gt;"/>
    <x v="0"/>
    <s v="&lt;null&gt;"/>
    <s v="&lt;null&gt;"/>
    <s v="&lt;null&gt;"/>
    <s v="&lt;null&gt;"/>
    <s v="&lt;null&gt;"/>
    <s v="&lt;null&gt;"/>
    <s v="&lt;null&gt;"/>
    <s v="&lt;null&gt;"/>
    <s v="&lt;null&gt;"/>
    <m/>
    <m/>
    <m/>
    <m/>
  </r>
  <r>
    <x v="18"/>
    <x v="18"/>
    <s v="&lt;null&gt;"/>
    <x v="3"/>
    <n v="1890"/>
    <s v="IN/001505"/>
    <s v="N441 Oudenaarde doortocht Nedernename"/>
    <s v="&lt;null&gt;"/>
    <s v="Structurele Ingreep"/>
    <s v="WOV/INV/N441/2"/>
    <b v="0"/>
    <s v="Ingreep wordt niet opgevolgd in BOD"/>
    <s v="&lt;null&gt;"/>
    <s v="&lt;null&gt;"/>
    <s v="&lt;null&gt;"/>
    <s v="&lt;null&gt;"/>
    <s v="&lt;null&gt;"/>
    <x v="0"/>
    <s v="&lt;null&gt;"/>
    <s v="&lt;null&gt;"/>
    <s v="&lt;null&gt;"/>
    <s v="&lt;null&gt;"/>
    <s v="&lt;null&gt;"/>
    <s v="&lt;null&gt;"/>
    <s v="&lt;null&gt;"/>
    <s v="&lt;null&gt;"/>
    <s v="&lt;null&gt;"/>
    <m/>
    <m/>
    <m/>
    <m/>
  </r>
  <r>
    <x v="18"/>
    <x v="18"/>
    <s v="&lt;null&gt;"/>
    <x v="3"/>
    <n v="1892"/>
    <s v="IN/001507"/>
    <s v="N60 Bouwen Fietsbrug thv kruispunt N457 Schorissew"/>
    <s v="&lt;null&gt;"/>
    <s v="Structurele Ingreep"/>
    <s v="WOV/INV/N60/2"/>
    <b v="0"/>
    <s v="Ingreep wordt niet opgevolgd in BOD"/>
    <s v="&lt;null&gt;"/>
    <s v="&lt;null&gt;"/>
    <s v="&lt;null&gt;"/>
    <s v="&lt;null&gt;"/>
    <s v="&lt;null&gt;"/>
    <x v="0"/>
    <s v="&lt;null&gt;"/>
    <s v="&lt;null&gt;"/>
    <s v="&lt;null&gt;"/>
    <s v="&lt;null&gt;"/>
    <s v="&lt;null&gt;"/>
    <s v="&lt;null&gt;"/>
    <s v="&lt;null&gt;"/>
    <s v="&lt;null&gt;"/>
    <s v="&lt;null&gt;"/>
    <m/>
    <m/>
    <m/>
    <m/>
  </r>
  <r>
    <x v="18"/>
    <x v="18"/>
    <s v="&lt;null&gt;"/>
    <x v="3"/>
    <n v="1893"/>
    <s v="IN/001508"/>
    <s v="N21 Kampenhout: Carpoolparking F1"/>
    <s v="&lt;null&gt;"/>
    <s v="Structurele Ingreep"/>
    <s v="WVB/INV/N21/4"/>
    <b v="0"/>
    <s v="Ingreep wordt niet opgevolgd in BOD"/>
    <s v="&lt;null&gt;"/>
    <s v="&lt;null&gt;"/>
    <s v="&lt;null&gt;"/>
    <s v="&lt;null&gt;"/>
    <s v="&lt;null&gt;"/>
    <x v="0"/>
    <s v="&lt;null&gt;"/>
    <s v="&lt;null&gt;"/>
    <s v="&lt;null&gt;"/>
    <s v="&lt;null&gt;"/>
    <s v="&lt;null&gt;"/>
    <s v="&lt;null&gt;"/>
    <s v="&lt;null&gt;"/>
    <s v="&lt;null&gt;"/>
    <s v="&lt;null&gt;"/>
    <m/>
    <m/>
    <m/>
    <m/>
  </r>
  <r>
    <x v="18"/>
    <x v="18"/>
    <s v="&lt;null&gt;"/>
    <x v="3"/>
    <n v="1894"/>
    <s v="IN/001509"/>
    <s v="N454 Zwalm Rotonde N415 Den Os"/>
    <s v="&lt;null&gt;"/>
    <s v="Structurele Ingreep"/>
    <s v="WOV/INV/N454/2"/>
    <b v="0"/>
    <s v="Ingreep wordt niet opgevolgd in BOD"/>
    <s v="&lt;null&gt;"/>
    <s v="&lt;null&gt;"/>
    <s v="&lt;null&gt;"/>
    <s v="&lt;null&gt;"/>
    <s v="&lt;null&gt;"/>
    <x v="0"/>
    <s v="&lt;null&gt;"/>
    <s v="&lt;null&gt;"/>
    <s v="&lt;null&gt;"/>
    <s v="&lt;null&gt;"/>
    <s v="&lt;null&gt;"/>
    <s v="&lt;null&gt;"/>
    <s v="&lt;null&gt;"/>
    <s v="&lt;null&gt;"/>
    <s v="&lt;null&gt;"/>
    <m/>
    <m/>
    <m/>
    <m/>
  </r>
  <r>
    <x v="18"/>
    <x v="18"/>
    <s v="&lt;null&gt;"/>
    <x v="3"/>
    <n v="1895"/>
    <s v="IN/001510"/>
    <s v="N46 Zottegem/Velzeke Herinrichting Provinciebaan"/>
    <s v="&lt;null&gt;"/>
    <s v="Structurele Ingreep"/>
    <s v="WOV/INV/N46/3"/>
    <b v="0"/>
    <s v="Ingreep wordt niet opgevolgd in BOD"/>
    <s v="&lt;null&gt;"/>
    <s v="&lt;null&gt;"/>
    <s v="&lt;null&gt;"/>
    <s v="&lt;null&gt;"/>
    <s v="&lt;null&gt;"/>
    <x v="0"/>
    <s v="&lt;null&gt;"/>
    <s v="&lt;null&gt;"/>
    <s v="&lt;null&gt;"/>
    <s v="&lt;null&gt;"/>
    <s v="&lt;null&gt;"/>
    <s v="&lt;null&gt;"/>
    <s v="&lt;null&gt;"/>
    <s v="&lt;null&gt;"/>
    <s v="&lt;null&gt;"/>
    <m/>
    <m/>
    <m/>
    <m/>
  </r>
  <r>
    <x v="1281"/>
    <x v="1281"/>
    <s v="Verkeersveiligheid"/>
    <x v="4"/>
    <n v="1896"/>
    <s v="IN/001511"/>
    <s v="N437 Kruisem/Nazareth heraanleg met fietspaden"/>
    <s v="&lt;null&gt;"/>
    <s v="Structurele Ingreep"/>
    <s v="WOV/INV/N437/2"/>
    <b v="0"/>
    <s v="Ingreep wordt niet opgevolgd in BOD"/>
    <s v="&lt;null&gt;"/>
    <s v="&lt;null&gt;"/>
    <s v="&lt;null&gt;"/>
    <s v="&lt;null&gt;"/>
    <s v="&lt;null&gt;"/>
    <x v="0"/>
    <s v="&lt;null&gt;"/>
    <s v="&lt;null&gt;"/>
    <s v="&lt;null&gt;"/>
    <s v="&lt;null&gt;"/>
    <n v="10"/>
    <s v="&lt;null&gt;"/>
    <s v="&lt;null&gt;"/>
    <s v="&lt;null&gt;"/>
    <s v="&lt;null&gt;"/>
    <m/>
    <m/>
    <m/>
    <m/>
  </r>
  <r>
    <x v="18"/>
    <x v="18"/>
    <s v="&lt;null&gt;"/>
    <x v="3"/>
    <n v="1897"/>
    <s v="IN/001512"/>
    <s v="N435 Kruisem Zingem herinrichting spoorovergang SO"/>
    <s v="&lt;null&gt;"/>
    <s v="Structurele Ingreep"/>
    <s v="WOV/INV/N435/1"/>
    <b v="0"/>
    <s v="Ingreep wordt niet opgevolgd in BOD"/>
    <s v="&lt;null&gt;"/>
    <s v="&lt;null&gt;"/>
    <s v="&lt;null&gt;"/>
    <s v="&lt;null&gt;"/>
    <s v="&lt;null&gt;"/>
    <x v="0"/>
    <s v="&lt;null&gt;"/>
    <s v="&lt;null&gt;"/>
    <s v="&lt;null&gt;"/>
    <s v="&lt;null&gt;"/>
    <s v="&lt;null&gt;"/>
    <s v="&lt;null&gt;"/>
    <s v="&lt;null&gt;"/>
    <s v="&lt;null&gt;"/>
    <s v="&lt;null&gt;"/>
    <m/>
    <m/>
    <m/>
    <m/>
  </r>
  <r>
    <x v="18"/>
    <x v="18"/>
    <s v="&lt;null&gt;"/>
    <x v="3"/>
    <n v="1898"/>
    <s v="IN/001513"/>
    <s v="N494 Heraanleg Deinsesteenweg met fietspaden"/>
    <s v="&lt;null&gt;"/>
    <s v="Structurele Ingreep"/>
    <s v="WOV/INV/N494/1"/>
    <b v="0"/>
    <s v="Ingreep wordt niet opgevolgd in BOD"/>
    <s v="&lt;null&gt;"/>
    <s v="&lt;null&gt;"/>
    <s v="&lt;null&gt;"/>
    <s v="&lt;null&gt;"/>
    <s v="&lt;null&gt;"/>
    <x v="0"/>
    <s v="&lt;null&gt;"/>
    <s v="&lt;null&gt;"/>
    <s v="&lt;null&gt;"/>
    <s v="&lt;null&gt;"/>
    <s v="&lt;null&gt;"/>
    <s v="&lt;null&gt;"/>
    <s v="&lt;null&gt;"/>
    <s v="&lt;null&gt;"/>
    <s v="&lt;null&gt;"/>
    <m/>
    <m/>
    <m/>
    <m/>
  </r>
  <r>
    <x v="18"/>
    <x v="18"/>
    <s v="&lt;null&gt;"/>
    <x v="3"/>
    <n v="1899"/>
    <s v="IN/001514"/>
    <s v="N435 Kruisem aanleg missinglink fietspaden"/>
    <s v="&lt;null&gt;"/>
    <s v="Structurele Ingreep"/>
    <s v="WOV/INV/N435/2"/>
    <b v="0"/>
    <s v="Ingreep wordt niet opgevolgd in BOD"/>
    <s v="&lt;null&gt;"/>
    <s v="&lt;null&gt;"/>
    <s v="&lt;null&gt;"/>
    <s v="&lt;null&gt;"/>
    <s v="&lt;null&gt;"/>
    <x v="0"/>
    <s v="&lt;null&gt;"/>
    <s v="&lt;null&gt;"/>
    <s v="&lt;null&gt;"/>
    <s v="&lt;null&gt;"/>
    <s v="&lt;null&gt;"/>
    <s v="&lt;null&gt;"/>
    <s v="&lt;null&gt;"/>
    <s v="&lt;null&gt;"/>
    <s v="&lt;null&gt;"/>
    <m/>
    <m/>
    <m/>
    <m/>
  </r>
  <r>
    <x v="18"/>
    <x v="18"/>
    <s v="&lt;null&gt;"/>
    <x v="3"/>
    <n v="1900"/>
    <s v="IN/001515"/>
    <s v="N454 RonseMaarkedal heraanleg SavooistrNitterveld"/>
    <s v="&lt;null&gt;"/>
    <s v="Structurele Ingreep"/>
    <s v="WOV/INV/N454/3"/>
    <b v="0"/>
    <s v="Ingreep wordt niet opgevolgd in BOD"/>
    <s v="&lt;null&gt;"/>
    <s v="&lt;null&gt;"/>
    <s v="&lt;null&gt;"/>
    <s v="&lt;null&gt;"/>
    <s v="&lt;null&gt;"/>
    <x v="0"/>
    <s v="&lt;null&gt;"/>
    <s v="&lt;null&gt;"/>
    <s v="&lt;null&gt;"/>
    <s v="&lt;null&gt;"/>
    <s v="&lt;null&gt;"/>
    <s v="&lt;null&gt;"/>
    <s v="&lt;null&gt;"/>
    <s v="&lt;null&gt;"/>
    <s v="&lt;null&gt;"/>
    <m/>
    <m/>
    <m/>
    <m/>
  </r>
  <r>
    <x v="18"/>
    <x v="18"/>
    <s v="&lt;null&gt;"/>
    <x v="3"/>
    <n v="1901"/>
    <s v="IN/001516"/>
    <s v="N425 Ronse Kluisbergen fietspadenprojectZandstraat"/>
    <s v="&lt;null&gt;"/>
    <s v="Structurele Ingreep"/>
    <s v="WOV/INV/N425/1"/>
    <b v="0"/>
    <s v="Ingreep wordt niet opgevolgd in BOD"/>
    <s v="&lt;null&gt;"/>
    <s v="&lt;null&gt;"/>
    <s v="&lt;null&gt;"/>
    <s v="&lt;null&gt;"/>
    <s v="&lt;null&gt;"/>
    <x v="0"/>
    <s v="&lt;null&gt;"/>
    <s v="&lt;null&gt;"/>
    <s v="&lt;null&gt;"/>
    <s v="&lt;null&gt;"/>
    <s v="&lt;null&gt;"/>
    <s v="&lt;null&gt;"/>
    <s v="&lt;null&gt;"/>
    <s v="&lt;null&gt;"/>
    <s v="&lt;null&gt;"/>
    <m/>
    <m/>
    <m/>
    <m/>
  </r>
  <r>
    <x v="18"/>
    <x v="18"/>
    <s v="&lt;null&gt;"/>
    <x v="3"/>
    <n v="1902"/>
    <s v="IN/001517"/>
    <s v="N425 RonseMaarkedal Ommegangsstraat heraanleg"/>
    <s v="&lt;null&gt;"/>
    <s v="Structurele Ingreep"/>
    <s v="WOV/INV/N425/2"/>
    <b v="0"/>
    <s v="Ingreep wordt niet opgevolgd in BOD"/>
    <s v="&lt;null&gt;"/>
    <s v="&lt;null&gt;"/>
    <s v="&lt;null&gt;"/>
    <s v="&lt;null&gt;"/>
    <s v="&lt;null&gt;"/>
    <x v="0"/>
    <s v="&lt;null&gt;"/>
    <s v="&lt;null&gt;"/>
    <s v="&lt;null&gt;"/>
    <s v="&lt;null&gt;"/>
    <s v="&lt;null&gt;"/>
    <s v="&lt;null&gt;"/>
    <s v="&lt;null&gt;"/>
    <s v="&lt;null&gt;"/>
    <s v="&lt;null&gt;"/>
    <m/>
    <m/>
    <m/>
    <m/>
  </r>
  <r>
    <x v="18"/>
    <x v="18"/>
    <s v="&lt;null&gt;"/>
    <x v="3"/>
    <n v="1903"/>
    <s v="IN/001518"/>
    <s v="N454 RonseMaarkedal LouiseMarieKoekamer heraanleg"/>
    <s v="&lt;null&gt;"/>
    <s v="Structurele Ingreep"/>
    <s v="WOV/INV/N454/4"/>
    <b v="0"/>
    <s v="Ingreep wordt niet opgevolgd in BOD"/>
    <s v="&lt;null&gt;"/>
    <s v="&lt;null&gt;"/>
    <s v="&lt;null&gt;"/>
    <s v="&lt;null&gt;"/>
    <s v="&lt;null&gt;"/>
    <x v="0"/>
    <s v="&lt;null&gt;"/>
    <s v="&lt;null&gt;"/>
    <s v="&lt;null&gt;"/>
    <s v="&lt;null&gt;"/>
    <s v="&lt;null&gt;"/>
    <s v="&lt;null&gt;"/>
    <s v="&lt;null&gt;"/>
    <s v="&lt;null&gt;"/>
    <s v="&lt;null&gt;"/>
    <m/>
    <m/>
    <m/>
    <m/>
  </r>
  <r>
    <x v="18"/>
    <x v="18"/>
    <s v="&lt;null&gt;"/>
    <x v="3"/>
    <n v="1904"/>
    <s v="IN/001519"/>
    <s v="N437 WaregemKruisem herinrichting Waregemsstwg"/>
    <s v="&lt;null&gt;"/>
    <s v="Structurele Ingreep"/>
    <s v="WOV/INV/N437/5"/>
    <b v="0"/>
    <s v="Ingreep wordt niet opgevolgd in BOD"/>
    <s v="&lt;null&gt;"/>
    <s v="&lt;null&gt;"/>
    <s v="&lt;null&gt;"/>
    <s v="&lt;null&gt;"/>
    <s v="&lt;null&gt;"/>
    <x v="0"/>
    <s v="&lt;null&gt;"/>
    <s v="&lt;null&gt;"/>
    <s v="&lt;null&gt;"/>
    <s v="&lt;null&gt;"/>
    <s v="&lt;null&gt;"/>
    <s v="&lt;null&gt;"/>
    <s v="&lt;null&gt;"/>
    <s v="&lt;null&gt;"/>
    <s v="&lt;null&gt;"/>
    <m/>
    <m/>
    <m/>
    <m/>
  </r>
  <r>
    <x v="18"/>
    <x v="18"/>
    <s v="&lt;null&gt;"/>
    <x v="3"/>
    <n v="1905"/>
    <s v="IN/001520"/>
    <s v="N60 Oudenaarde renovatie 4onderbruggen"/>
    <s v="&lt;null&gt;"/>
    <s v="Structurele Ingreep"/>
    <s v="WOV/INV/N60/7"/>
    <b v="0"/>
    <s v="Ingreep wordt niet opgevolgd in BOD"/>
    <s v="&lt;null&gt;"/>
    <s v="&lt;null&gt;"/>
    <s v="&lt;null&gt;"/>
    <s v="&lt;null&gt;"/>
    <s v="&lt;null&gt;"/>
    <x v="0"/>
    <s v="&lt;null&gt;"/>
    <s v="&lt;null&gt;"/>
    <s v="&lt;null&gt;"/>
    <s v="&lt;null&gt;"/>
    <s v="&lt;null&gt;"/>
    <s v="&lt;null&gt;"/>
    <s v="&lt;null&gt;"/>
    <s v="&lt;null&gt;"/>
    <s v="&lt;null&gt;"/>
    <m/>
    <m/>
    <m/>
    <m/>
  </r>
  <r>
    <x v="18"/>
    <x v="18"/>
    <s v="&lt;null&gt;"/>
    <x v="3"/>
    <n v="1906"/>
    <s v="IN/001521"/>
    <s v="N409 Deinze Herinrichting Vinktstraat"/>
    <s v="&lt;null&gt;"/>
    <s v="Structurele Ingreep"/>
    <s v="WOV/INV/N409/1"/>
    <b v="0"/>
    <s v="Ingreep wordt niet opgevolgd in BOD"/>
    <s v="&lt;null&gt;"/>
    <s v="&lt;null&gt;"/>
    <s v="&lt;null&gt;"/>
    <s v="&lt;null&gt;"/>
    <s v="&lt;null&gt;"/>
    <x v="0"/>
    <s v="&lt;null&gt;"/>
    <s v="&lt;null&gt;"/>
    <s v="&lt;null&gt;"/>
    <s v="&lt;null&gt;"/>
    <s v="&lt;null&gt;"/>
    <s v="&lt;null&gt;"/>
    <s v="&lt;null&gt;"/>
    <s v="&lt;null&gt;"/>
    <s v="&lt;null&gt;"/>
    <m/>
    <m/>
    <m/>
    <m/>
  </r>
  <r>
    <x v="18"/>
    <x v="18"/>
    <s v="&lt;null&gt;"/>
    <x v="3"/>
    <n v="1907"/>
    <s v="IN/001522"/>
    <s v="N441 Oudenaarde Holleweg"/>
    <s v="&lt;null&gt;"/>
    <s v="Structurele Ingreep"/>
    <s v="WOV/INV/N441/3"/>
    <b v="0"/>
    <s v="Ingreep wordt niet opgevolgd in BOD"/>
    <s v="&lt;null&gt;"/>
    <s v="&lt;null&gt;"/>
    <s v="&lt;null&gt;"/>
    <s v="&lt;null&gt;"/>
    <s v="&lt;null&gt;"/>
    <x v="0"/>
    <s v="&lt;null&gt;"/>
    <s v="&lt;null&gt;"/>
    <s v="&lt;null&gt;"/>
    <s v="&lt;null&gt;"/>
    <s v="&lt;null&gt;"/>
    <s v="&lt;null&gt;"/>
    <s v="&lt;null&gt;"/>
    <s v="&lt;null&gt;"/>
    <s v="&lt;null&gt;"/>
    <m/>
    <m/>
    <m/>
    <m/>
  </r>
  <r>
    <x v="18"/>
    <x v="18"/>
    <s v="&lt;null&gt;"/>
    <x v="3"/>
    <n v="1908"/>
    <s v="IN/001523"/>
    <s v="N462 Brakel Kasteeldreef fietspadenproject"/>
    <s v="&lt;null&gt;"/>
    <s v="Structurele Ingreep"/>
    <s v="WOV/INV/N462/2"/>
    <b v="0"/>
    <s v="Ingreep wordt niet opgevolgd in BOD"/>
    <s v="&lt;null&gt;"/>
    <s v="&lt;null&gt;"/>
    <s v="&lt;null&gt;"/>
    <s v="&lt;null&gt;"/>
    <s v="&lt;null&gt;"/>
    <x v="0"/>
    <s v="&lt;null&gt;"/>
    <s v="&lt;null&gt;"/>
    <s v="&lt;null&gt;"/>
    <s v="&lt;null&gt;"/>
    <s v="&lt;null&gt;"/>
    <s v="&lt;null&gt;"/>
    <s v="&lt;null&gt;"/>
    <s v="&lt;null&gt;"/>
    <s v="&lt;null&gt;"/>
    <m/>
    <m/>
    <m/>
    <m/>
  </r>
  <r>
    <x v="18"/>
    <x v="18"/>
    <s v="&lt;null&gt;"/>
    <x v="3"/>
    <n v="1909"/>
    <s v="IN/001524"/>
    <s v="N454 Zwalm Herinrichting Boekelbaan"/>
    <s v="&lt;null&gt;"/>
    <s v="Structurele Ingreep"/>
    <s v="WOV/INV/N454/5"/>
    <b v="0"/>
    <s v="Ingreep wordt niet opgevolgd in BOD"/>
    <s v="&lt;null&gt;"/>
    <s v="&lt;null&gt;"/>
    <s v="&lt;null&gt;"/>
    <s v="&lt;null&gt;"/>
    <s v="&lt;null&gt;"/>
    <x v="0"/>
    <s v="&lt;null&gt;"/>
    <s v="&lt;null&gt;"/>
    <s v="&lt;null&gt;"/>
    <s v="&lt;null&gt;"/>
    <s v="&lt;null&gt;"/>
    <s v="&lt;null&gt;"/>
    <s v="&lt;null&gt;"/>
    <s v="&lt;null&gt;"/>
    <s v="&lt;null&gt;"/>
    <m/>
    <m/>
    <m/>
    <m/>
  </r>
  <r>
    <x v="18"/>
    <x v="18"/>
    <s v="&lt;null&gt;"/>
    <x v="3"/>
    <n v="1910"/>
    <s v="IN/001525"/>
    <s v="N8 Oudenaarde Horebeke Herinrichting  N454"/>
    <s v="&lt;null&gt;"/>
    <s v="Structurele Ingreep"/>
    <s v="WOV/INV/N8/7"/>
    <b v="0"/>
    <s v="Ingreep wordt niet opgevolgd in BOD"/>
    <s v="&lt;null&gt;"/>
    <s v="&lt;null&gt;"/>
    <s v="&lt;null&gt;"/>
    <s v="&lt;null&gt;"/>
    <s v="&lt;null&gt;"/>
    <x v="0"/>
    <s v="&lt;null&gt;"/>
    <s v="&lt;null&gt;"/>
    <s v="&lt;null&gt;"/>
    <s v="&lt;null&gt;"/>
    <s v="&lt;null&gt;"/>
    <s v="&lt;null&gt;"/>
    <s v="&lt;null&gt;"/>
    <s v="&lt;null&gt;"/>
    <s v="&lt;null&gt;"/>
    <m/>
    <m/>
    <m/>
    <m/>
  </r>
  <r>
    <x v="1282"/>
    <x v="1282"/>
    <s v="Verkeersveiligheid"/>
    <x v="1"/>
    <n v="1911"/>
    <s v="IN/001526"/>
    <s v="N229 tussen rondpunt en E314 Rotselaar/leuven"/>
    <s v="Volledige herinrichting van het wegvak"/>
    <s v="Structurele Ingreep"/>
    <s v="WVB/INV/N229/1"/>
    <b v="0"/>
    <s v="Ingreep wordt niet opgevolgd in BOD"/>
    <s v="&lt;null&gt;"/>
    <s v="&lt;null&gt;"/>
    <s v="&lt;null&gt;"/>
    <s v="&lt;null&gt;"/>
    <s v="&lt;null&gt;"/>
    <x v="0"/>
    <s v="&lt;null&gt;"/>
    <s v="&lt;null&gt;"/>
    <s v="&lt;null&gt;"/>
    <s v="&lt;null&gt;"/>
    <n v="10"/>
    <s v="&lt;null&gt;"/>
    <s v="&lt;null&gt;"/>
    <s v="&lt;null&gt;"/>
    <s v="&lt;null&gt;"/>
    <m/>
    <m/>
    <m/>
    <m/>
  </r>
  <r>
    <x v="18"/>
    <x v="18"/>
    <s v="&lt;null&gt;"/>
    <x v="3"/>
    <n v="1912"/>
    <s v="IN/001527"/>
    <s v="N10/34 vernieuwing toplaag rijweg en fietspad"/>
    <s v="Plaatsing bestrijking en/of slemlaag + verbetering comfort fietspaden"/>
    <s v="Structurele Ingreep"/>
    <s v="WVB/INV/N10/1"/>
    <b v="0"/>
    <s v="Ingreep wordt niet opgevolgd in BOD"/>
    <s v="&lt;null&gt;"/>
    <s v="&lt;null&gt;"/>
    <s v="&lt;null&gt;"/>
    <s v="&lt;null&gt;"/>
    <s v="&lt;null&gt;"/>
    <x v="0"/>
    <s v="&lt;null&gt;"/>
    <s v="&lt;null&gt;"/>
    <s v="&lt;null&gt;"/>
    <s v="&lt;null&gt;"/>
    <s v="&lt;null&gt;"/>
    <s v="&lt;null&gt;"/>
    <s v="&lt;null&gt;"/>
    <s v="&lt;null&gt;"/>
    <s v="&lt;null&gt;"/>
    <m/>
    <m/>
    <m/>
    <m/>
  </r>
  <r>
    <x v="18"/>
    <x v="18"/>
    <s v="&lt;null&gt;"/>
    <x v="3"/>
    <n v="1913"/>
    <s v="IN/001528"/>
    <s v="N19 Rotselaar: Doortocht Wezemaal"/>
    <s v="Volledige herinrichting van het wegvak"/>
    <s v="Structurele Ingreep"/>
    <s v="WVB/INV/N19/1"/>
    <b v="0"/>
    <s v="Ingreep wordt niet opgevolgd in BOD"/>
    <s v="&lt;null&gt;"/>
    <s v="&lt;null&gt;"/>
    <s v="&lt;null&gt;"/>
    <s v="&lt;null&gt;"/>
    <s v="&lt;null&gt;"/>
    <x v="0"/>
    <s v="&lt;null&gt;"/>
    <s v="&lt;null&gt;"/>
    <s v="&lt;null&gt;"/>
    <s v="&lt;null&gt;"/>
    <s v="&lt;null&gt;"/>
    <s v="&lt;null&gt;"/>
    <s v="&lt;null&gt;"/>
    <s v="&lt;null&gt;"/>
    <s v="&lt;null&gt;"/>
    <m/>
    <m/>
    <m/>
    <m/>
  </r>
  <r>
    <x v="18"/>
    <x v="18"/>
    <s v="&lt;null&gt;"/>
    <x v="3"/>
    <n v="1914"/>
    <s v="IN/001529"/>
    <s v="N26 Herent: Mechelsestwg F2b - KMO-zone Hambos"/>
    <s v="Herinrichting  gewestweg (incl. aanleg nieuwe aansluiting Molenweg)"/>
    <s v="Structurele Ingreep"/>
    <s v="WVB/INV/N26/1"/>
    <b v="0"/>
    <s v="Ingreep wordt niet opgevolgd in BOD"/>
    <s v="&lt;null&gt;"/>
    <s v="&lt;null&gt;"/>
    <s v="&lt;null&gt;"/>
    <s v="&lt;null&gt;"/>
    <s v="&lt;null&gt;"/>
    <x v="0"/>
    <s v="&lt;null&gt;"/>
    <s v="&lt;null&gt;"/>
    <s v="&lt;null&gt;"/>
    <s v="&lt;null&gt;"/>
    <s v="&lt;null&gt;"/>
    <s v="&lt;null&gt;"/>
    <s v="&lt;null&gt;"/>
    <s v="&lt;null&gt;"/>
    <s v="&lt;null&gt;"/>
    <m/>
    <m/>
    <m/>
    <m/>
  </r>
  <r>
    <x v="18"/>
    <x v="18"/>
    <s v="&lt;null&gt;"/>
    <x v="3"/>
    <n v="1915"/>
    <s v="IN/001530"/>
    <s v="N3 Tervuren: Herinrichting Leuvensesteenweg"/>
    <s v="Volledige herinrichting wegvak"/>
    <s v="Structurele Ingreep"/>
    <s v="WVB/INV/N3/1"/>
    <b v="0"/>
    <s v="Ingreep wordt niet opgevolgd in BOD"/>
    <s v="&lt;null&gt;"/>
    <s v="&lt;null&gt;"/>
    <s v="&lt;null&gt;"/>
    <s v="&lt;null&gt;"/>
    <s v="&lt;null&gt;"/>
    <x v="0"/>
    <s v="&lt;null&gt;"/>
    <s v="&lt;null&gt;"/>
    <s v="&lt;null&gt;"/>
    <s v="&lt;null&gt;"/>
    <s v="&lt;null&gt;"/>
    <s v="&lt;null&gt;"/>
    <s v="&lt;null&gt;"/>
    <s v="&lt;null&gt;"/>
    <s v="&lt;null&gt;"/>
    <m/>
    <m/>
    <m/>
    <m/>
  </r>
  <r>
    <x v="18"/>
    <x v="18"/>
    <s v="&lt;null&gt;"/>
    <x v="3"/>
    <n v="1916"/>
    <s v="IN/001531"/>
    <s v="N229 Rotselaar: Doortocht Rotselaar"/>
    <s v="Volledige herinrichting van het wegvak"/>
    <s v="Structurele Ingreep"/>
    <s v="WVB/INV/N229/2"/>
    <b v="0"/>
    <s v="Ingreep wordt niet opgevolgd in BOD"/>
    <s v="&lt;null&gt;"/>
    <s v="&lt;null&gt;"/>
    <s v="&lt;null&gt;"/>
    <s v="&lt;null&gt;"/>
    <s v="&lt;null&gt;"/>
    <x v="0"/>
    <s v="&lt;null&gt;"/>
    <s v="&lt;null&gt;"/>
    <s v="&lt;null&gt;"/>
    <s v="&lt;null&gt;"/>
    <s v="&lt;null&gt;"/>
    <s v="&lt;null&gt;"/>
    <s v="&lt;null&gt;"/>
    <s v="&lt;null&gt;"/>
    <s v="&lt;null&gt;"/>
    <m/>
    <m/>
    <m/>
    <m/>
  </r>
  <r>
    <x v="1283"/>
    <x v="1283"/>
    <s v="Verkeersveiligheid"/>
    <x v="4"/>
    <n v="1917"/>
    <s v="IN/001532"/>
    <s v="X21/N026/16"/>
    <s v="Volledige herinrichting van het wegvak"/>
    <s v="Structurele Ingreep"/>
    <s v="WVB/INV/N26/2"/>
    <b v="0"/>
    <s v="Ingreep wordt niet opgevolgd in BOD"/>
    <s v="&lt;null&gt;"/>
    <s v="&lt;null&gt;"/>
    <s v="&lt;null&gt;"/>
    <s v="&lt;null&gt;"/>
    <s v="&lt;null&gt;"/>
    <x v="0"/>
    <s v="&lt;null&gt;"/>
    <s v="&lt;null&gt;"/>
    <s v="&lt;null&gt;"/>
    <s v="&lt;null&gt;"/>
    <n v="100"/>
    <s v="&lt;null&gt;"/>
    <s v="&lt;null&gt;"/>
    <s v="&lt;null&gt;"/>
    <s v="&lt;null&gt;"/>
    <m/>
    <m/>
    <m/>
    <m/>
  </r>
  <r>
    <x v="18"/>
    <x v="18"/>
    <s v="&lt;null&gt;"/>
    <x v="3"/>
    <n v="1918"/>
    <s v="IN/001533"/>
    <s v="X21/N003/43 fietspaden Lovenjoel - Boutersem"/>
    <s v="Herinrichting volledig wegvak"/>
    <s v="Structurele Ingreep"/>
    <s v="WVB/INV/N3/5"/>
    <b v="0"/>
    <s v="Ingreep wordt niet opgevolgd in BOD"/>
    <s v="&lt;null&gt;"/>
    <s v="&lt;null&gt;"/>
    <s v="&lt;null&gt;"/>
    <s v="&lt;null&gt;"/>
    <s v="&lt;null&gt;"/>
    <x v="0"/>
    <s v="&lt;null&gt;"/>
    <s v="&lt;null&gt;"/>
    <s v="&lt;null&gt;"/>
    <s v="&lt;null&gt;"/>
    <s v="&lt;null&gt;"/>
    <s v="&lt;null&gt;"/>
    <s v="&lt;null&gt;"/>
    <s v="&lt;null&gt;"/>
    <s v="&lt;null&gt;"/>
    <m/>
    <m/>
    <m/>
    <m/>
  </r>
  <r>
    <x v="18"/>
    <x v="18"/>
    <s v="&lt;null&gt;"/>
    <x v="3"/>
    <n v="1919"/>
    <s v="IN/001534"/>
    <s v="N016 Puurs complex Puurs"/>
    <s v="&lt;null&gt;"/>
    <s v="Structurele Ingreep"/>
    <s v="WA/INV/N016/3"/>
    <b v="0"/>
    <s v="Ingreep wordt niet opgevolgd in BOD"/>
    <s v="&lt;null&gt;"/>
    <s v="&lt;null&gt;"/>
    <s v="&lt;null&gt;"/>
    <s v="&lt;null&gt;"/>
    <s v="&lt;null&gt;"/>
    <x v="0"/>
    <s v="&lt;null&gt;"/>
    <s v="&lt;null&gt;"/>
    <s v="&lt;null&gt;"/>
    <s v="&lt;null&gt;"/>
    <s v="&lt;null&gt;"/>
    <s v="&lt;null&gt;"/>
    <s v="&lt;null&gt;"/>
    <s v="&lt;null&gt;"/>
    <s v="&lt;null&gt;"/>
    <m/>
    <m/>
    <m/>
    <m/>
  </r>
  <r>
    <x v="18"/>
    <x v="18"/>
    <s v="&lt;null&gt;"/>
    <x v="3"/>
    <n v="1920"/>
    <s v="IN/001535"/>
    <s v="N016 - Herinrichting kruispunt Blaasveldstraat - T"/>
    <s v="&lt;null&gt;"/>
    <s v="Structurele Ingreep"/>
    <s v="WA/INV/N016/5"/>
    <b v="0"/>
    <s v="Ingreep wordt niet opgevolgd in BOD"/>
    <s v="&lt;null&gt;"/>
    <s v="&lt;null&gt;"/>
    <s v="&lt;null&gt;"/>
    <s v="&lt;null&gt;"/>
    <s v="&lt;null&gt;"/>
    <x v="0"/>
    <s v="&lt;null&gt;"/>
    <s v="&lt;null&gt;"/>
    <s v="&lt;null&gt;"/>
    <s v="&lt;null&gt;"/>
    <s v="&lt;null&gt;"/>
    <s v="&lt;null&gt;"/>
    <s v="&lt;null&gt;"/>
    <s v="&lt;null&gt;"/>
    <s v="&lt;null&gt;"/>
    <m/>
    <m/>
    <m/>
    <m/>
  </r>
  <r>
    <x v="1284"/>
    <x v="1284"/>
    <s v="Stimuleren Combimobiliteit"/>
    <x v="7"/>
    <n v="1921"/>
    <s v="IN/001536"/>
    <s v="Relance bushaltes Heverlee De Jacht (907040 en 907041)  Naamsesteenweg (N251) thv Huttelaan"/>
    <s v="Aanpassen kruispunt en bushaltes uitstulpend maken"/>
    <s v="Kleine Ingreep"/>
    <s v="WVB/INV/N251/4"/>
    <b v="1"/>
    <s v="Ingreep wordt opgevolgd in BOD"/>
    <n v="11865"/>
    <s v="AWV/INV/2021/3_P2"/>
    <n v="113401"/>
    <n v="21069297"/>
    <s v="&lt;p&gt;relance masterplan toegankelijkheid&lt;/p&gt;"/>
    <x v="24"/>
    <n v="8561"/>
    <s v="N251 Heverlee aanleggen van bushaltes De Jacht, middengeleiders en fietspaden"/>
    <s v="&lt;null&gt;"/>
    <s v="WVB/INV/N251/4"/>
    <n v="100"/>
    <n v="200000"/>
    <n v="0"/>
    <n v="0"/>
    <n v="7524.15"/>
    <n v="200000"/>
    <n v="0"/>
    <n v="0"/>
    <n v="7524.15"/>
  </r>
  <r>
    <x v="18"/>
    <x v="18"/>
    <s v="&lt;null&gt;"/>
    <x v="3"/>
    <n v="1922"/>
    <s v="IN/001537"/>
    <s v="N49 fietstunnel Nonnendijk"/>
    <s v="&lt;null&gt;"/>
    <s v="Structurele Ingreep"/>
    <s v="WWV/INV/A11/2"/>
    <b v="0"/>
    <s v="Ingreep wordt niet opgevolgd in BOD"/>
    <s v="&lt;null&gt;"/>
    <s v="&lt;null&gt;"/>
    <s v="&lt;null&gt;"/>
    <s v="&lt;null&gt;"/>
    <s v="&lt;null&gt;"/>
    <x v="0"/>
    <s v="&lt;null&gt;"/>
    <s v="&lt;null&gt;"/>
    <s v="&lt;null&gt;"/>
    <s v="&lt;null&gt;"/>
    <s v="&lt;null&gt;"/>
    <s v="&lt;null&gt;"/>
    <s v="&lt;null&gt;"/>
    <s v="&lt;null&gt;"/>
    <s v="&lt;null&gt;"/>
    <m/>
    <m/>
    <m/>
    <m/>
  </r>
  <r>
    <x v="18"/>
    <x v="18"/>
    <s v="&lt;null&gt;"/>
    <x v="3"/>
    <n v="1923"/>
    <s v="IN/001538"/>
    <s v="N44 Knesselare Knokseweg"/>
    <s v="&lt;null&gt;"/>
    <s v="Structurele Ingreep"/>
    <s v="WOV/INV/N44/1"/>
    <b v="0"/>
    <s v="Ingreep wordt niet opgevolgd in BOD"/>
    <s v="&lt;null&gt;"/>
    <s v="&lt;null&gt;"/>
    <s v="&lt;null&gt;"/>
    <s v="&lt;null&gt;"/>
    <s v="&lt;null&gt;"/>
    <x v="0"/>
    <s v="&lt;null&gt;"/>
    <s v="&lt;null&gt;"/>
    <s v="&lt;null&gt;"/>
    <s v="&lt;null&gt;"/>
    <s v="&lt;null&gt;"/>
    <s v="&lt;null&gt;"/>
    <s v="&lt;null&gt;"/>
    <s v="&lt;null&gt;"/>
    <s v="&lt;null&gt;"/>
    <m/>
    <m/>
    <m/>
    <m/>
  </r>
  <r>
    <x v="18"/>
    <x v="18"/>
    <s v="&lt;null&gt;"/>
    <x v="3"/>
    <n v="1924"/>
    <s v="IN/001539"/>
    <s v="N018 Dessel-Retie structureel onderhoud"/>
    <s v="&lt;null&gt;"/>
    <s v="Structurele Ingreep"/>
    <s v="WA/INV/N018/1"/>
    <b v="0"/>
    <s v="Ingreep wordt niet opgevolgd in BOD"/>
    <s v="&lt;null&gt;"/>
    <s v="&lt;null&gt;"/>
    <s v="&lt;null&gt;"/>
    <s v="&lt;null&gt;"/>
    <s v="&lt;null&gt;"/>
    <x v="0"/>
    <s v="&lt;null&gt;"/>
    <s v="&lt;null&gt;"/>
    <s v="&lt;null&gt;"/>
    <s v="&lt;null&gt;"/>
    <s v="&lt;null&gt;"/>
    <s v="&lt;null&gt;"/>
    <s v="&lt;null&gt;"/>
    <s v="&lt;null&gt;"/>
    <s v="&lt;null&gt;"/>
    <m/>
    <m/>
    <m/>
    <m/>
  </r>
  <r>
    <x v="18"/>
    <x v="18"/>
    <s v="&lt;null&gt;"/>
    <x v="3"/>
    <n v="1925"/>
    <s v="IN/001540"/>
    <s v="N018 Oud-Turnhout aanleg rotonde krspt N18 en N139"/>
    <s v="&lt;null&gt;"/>
    <s v="Structurele Ingreep"/>
    <s v="WA/INV/N018/2"/>
    <b v="0"/>
    <s v="Ingreep wordt niet opgevolgd in BOD"/>
    <s v="&lt;null&gt;"/>
    <s v="&lt;null&gt;"/>
    <s v="&lt;null&gt;"/>
    <s v="&lt;null&gt;"/>
    <s v="&lt;null&gt;"/>
    <x v="0"/>
    <s v="&lt;null&gt;"/>
    <s v="&lt;null&gt;"/>
    <s v="&lt;null&gt;"/>
    <s v="&lt;null&gt;"/>
    <s v="&lt;null&gt;"/>
    <s v="&lt;null&gt;"/>
    <s v="&lt;null&gt;"/>
    <s v="&lt;null&gt;"/>
    <s v="&lt;null&gt;"/>
    <m/>
    <m/>
    <m/>
    <m/>
  </r>
  <r>
    <x v="18"/>
    <x v="18"/>
    <s v="&lt;null&gt;"/>
    <x v="3"/>
    <n v="1926"/>
    <s v="IN/001541"/>
    <s v="N018 Retie-Dessel - SOVI aanleg fietspaden"/>
    <s v="&lt;null&gt;"/>
    <s v="Structurele Ingreep"/>
    <s v="WA/INV/N018/3"/>
    <b v="0"/>
    <s v="Ingreep wordt niet opgevolgd in BOD"/>
    <s v="&lt;null&gt;"/>
    <s v="&lt;null&gt;"/>
    <s v="&lt;null&gt;"/>
    <s v="&lt;null&gt;"/>
    <s v="&lt;null&gt;"/>
    <x v="0"/>
    <s v="&lt;null&gt;"/>
    <s v="&lt;null&gt;"/>
    <s v="&lt;null&gt;"/>
    <s v="&lt;null&gt;"/>
    <s v="&lt;null&gt;"/>
    <s v="&lt;null&gt;"/>
    <s v="&lt;null&gt;"/>
    <s v="&lt;null&gt;"/>
    <s v="&lt;null&gt;"/>
    <m/>
    <m/>
    <m/>
    <m/>
  </r>
  <r>
    <x v="18"/>
    <x v="18"/>
    <s v="&lt;null&gt;"/>
    <x v="3"/>
    <n v="1927"/>
    <s v="IN/001542"/>
    <s v="R16 - LIER - Aanleg vrijliggende Fietspaden"/>
    <s v="&lt;null&gt;"/>
    <s v="Structurele Ingreep"/>
    <s v="WA/INV/R16/3"/>
    <b v="0"/>
    <s v="Ingreep wordt niet opgevolgd in BOD"/>
    <s v="&lt;null&gt;"/>
    <s v="&lt;null&gt;"/>
    <s v="&lt;null&gt;"/>
    <s v="&lt;null&gt;"/>
    <s v="&lt;null&gt;"/>
    <x v="0"/>
    <s v="&lt;null&gt;"/>
    <s v="&lt;null&gt;"/>
    <s v="&lt;null&gt;"/>
    <s v="&lt;null&gt;"/>
    <s v="&lt;null&gt;"/>
    <s v="&lt;null&gt;"/>
    <s v="&lt;null&gt;"/>
    <s v="&lt;null&gt;"/>
    <s v="&lt;null&gt;"/>
    <m/>
    <m/>
    <m/>
    <m/>
  </r>
  <r>
    <x v="18"/>
    <x v="18"/>
    <s v="&lt;null&gt;"/>
    <x v="3"/>
    <n v="1928"/>
    <s v="IN/001543"/>
    <s v="N116 Nijlen Broechemsesteenweg"/>
    <s v="&lt;null&gt;"/>
    <s v="Structurele Ingreep"/>
    <s v="WA/INV/N116/3"/>
    <b v="0"/>
    <s v="Ingreep wordt niet opgevolgd in BOD"/>
    <s v="&lt;null&gt;"/>
    <s v="&lt;null&gt;"/>
    <s v="&lt;null&gt;"/>
    <s v="&lt;null&gt;"/>
    <s v="&lt;null&gt;"/>
    <x v="0"/>
    <s v="&lt;null&gt;"/>
    <s v="&lt;null&gt;"/>
    <s v="&lt;null&gt;"/>
    <s v="&lt;null&gt;"/>
    <s v="&lt;null&gt;"/>
    <s v="&lt;null&gt;"/>
    <s v="&lt;null&gt;"/>
    <s v="&lt;null&gt;"/>
    <s v="&lt;null&gt;"/>
    <m/>
    <m/>
    <m/>
    <m/>
  </r>
  <r>
    <x v="18"/>
    <x v="18"/>
    <s v="&lt;null&gt;"/>
    <x v="3"/>
    <n v="1929"/>
    <s v="IN/001544"/>
    <s v="N118/12 Arendonk-Retie ontdubbeling fietspad"/>
    <s v="&lt;null&gt;"/>
    <s v="Structurele Ingreep"/>
    <s v="WA/INV/N118/1"/>
    <b v="0"/>
    <s v="Ingreep wordt niet opgevolgd in BOD"/>
    <s v="&lt;null&gt;"/>
    <s v="&lt;null&gt;"/>
    <s v="&lt;null&gt;"/>
    <s v="&lt;null&gt;"/>
    <s v="&lt;null&gt;"/>
    <x v="0"/>
    <s v="&lt;null&gt;"/>
    <s v="&lt;null&gt;"/>
    <s v="&lt;null&gt;"/>
    <s v="&lt;null&gt;"/>
    <s v="&lt;null&gt;"/>
    <s v="&lt;null&gt;"/>
    <s v="&lt;null&gt;"/>
    <s v="&lt;null&gt;"/>
    <s v="&lt;null&gt;"/>
    <m/>
    <m/>
    <m/>
    <m/>
  </r>
  <r>
    <x v="18"/>
    <x v="18"/>
    <s v="&lt;null&gt;"/>
    <x v="3"/>
    <n v="1930"/>
    <s v="IN/001545"/>
    <s v="N118/19 Ravels - Eel MOD13"/>
    <s v="&lt;null&gt;"/>
    <s v="Structurele Ingreep"/>
    <s v="WA/INV/N118/2"/>
    <b v="0"/>
    <s v="Ingreep wordt niet opgevolgd in BOD"/>
    <s v="&lt;null&gt;"/>
    <s v="&lt;null&gt;"/>
    <s v="&lt;null&gt;"/>
    <s v="&lt;null&gt;"/>
    <s v="&lt;null&gt;"/>
    <x v="0"/>
    <s v="&lt;null&gt;"/>
    <s v="&lt;null&gt;"/>
    <s v="&lt;null&gt;"/>
    <s v="&lt;null&gt;"/>
    <s v="&lt;null&gt;"/>
    <s v="&lt;null&gt;"/>
    <s v="&lt;null&gt;"/>
    <s v="&lt;null&gt;"/>
    <s v="&lt;null&gt;"/>
    <m/>
    <m/>
    <m/>
    <m/>
  </r>
  <r>
    <x v="18"/>
    <x v="18"/>
    <s v="&lt;null&gt;"/>
    <x v="3"/>
    <n v="1931"/>
    <s v="IN/001546"/>
    <s v="N118 Arendonk-Retie vernieuwen toplaag"/>
    <s v="&lt;null&gt;"/>
    <s v="Structurele Ingreep"/>
    <s v="WA/INV/N118/3"/>
    <b v="0"/>
    <s v="Ingreep wordt niet opgevolgd in BOD"/>
    <s v="&lt;null&gt;"/>
    <s v="&lt;null&gt;"/>
    <s v="&lt;null&gt;"/>
    <s v="&lt;null&gt;"/>
    <s v="&lt;null&gt;"/>
    <x v="0"/>
    <s v="&lt;null&gt;"/>
    <s v="&lt;null&gt;"/>
    <s v="&lt;null&gt;"/>
    <s v="&lt;null&gt;"/>
    <s v="&lt;null&gt;"/>
    <s v="&lt;null&gt;"/>
    <s v="&lt;null&gt;"/>
    <s v="&lt;null&gt;"/>
    <s v="&lt;null&gt;"/>
    <m/>
    <m/>
    <m/>
    <m/>
  </r>
  <r>
    <x v="18"/>
    <x v="18"/>
    <s v="&lt;null&gt;"/>
    <x v="3"/>
    <n v="1932"/>
    <s v="IN/001547"/>
    <s v="N36 Izegem structureel onderhoud bij relance fiets"/>
    <s v="&lt;null&gt;"/>
    <s v="Structurele Ingreep"/>
    <s v="WWV/INV/N36/13"/>
    <b v="0"/>
    <s v="Ingreep wordt niet opgevolgd in BOD"/>
    <s v="&lt;null&gt;"/>
    <s v="&lt;null&gt;"/>
    <s v="&lt;null&gt;"/>
    <s v="&lt;null&gt;"/>
    <s v="&lt;null&gt;"/>
    <x v="0"/>
    <s v="&lt;null&gt;"/>
    <s v="&lt;null&gt;"/>
    <s v="&lt;null&gt;"/>
    <s v="&lt;null&gt;"/>
    <s v="&lt;null&gt;"/>
    <s v="&lt;null&gt;"/>
    <s v="&lt;null&gt;"/>
    <s v="&lt;null&gt;"/>
    <s v="&lt;null&gt;"/>
    <m/>
    <m/>
    <m/>
    <m/>
  </r>
  <r>
    <x v="18"/>
    <x v="18"/>
    <s v="&lt;null&gt;"/>
    <x v="3"/>
    <n v="1933"/>
    <s v="IN/001548"/>
    <s v="N9 Gent  aanpassing trambedding naar busbaan"/>
    <s v="&lt;null&gt;"/>
    <s v="Structurele Ingreep"/>
    <s v="WOV/INV/N9/25"/>
    <b v="0"/>
    <s v="Ingreep wordt niet opgevolgd in BOD"/>
    <s v="&lt;null&gt;"/>
    <s v="&lt;null&gt;"/>
    <s v="&lt;null&gt;"/>
    <s v="&lt;null&gt;"/>
    <s v="&lt;null&gt;"/>
    <x v="0"/>
    <s v="&lt;null&gt;"/>
    <s v="&lt;null&gt;"/>
    <s v="&lt;null&gt;"/>
    <s v="&lt;null&gt;"/>
    <s v="&lt;null&gt;"/>
    <s v="&lt;null&gt;"/>
    <s v="&lt;null&gt;"/>
    <s v="&lt;null&gt;"/>
    <s v="&lt;null&gt;"/>
    <m/>
    <m/>
    <m/>
    <m/>
  </r>
  <r>
    <x v="18"/>
    <x v="18"/>
    <s v="&lt;null&gt;"/>
    <x v="3"/>
    <n v="1934"/>
    <s v="IN/001549"/>
    <s v="A2 verbreding 3e rijstrook MER"/>
    <s v="&lt;null&gt;"/>
    <s v="Structurele Ingreep"/>
    <s v="WL/INV/A2/2"/>
    <b v="0"/>
    <s v="Ingreep wordt niet opgevolgd in BOD"/>
    <s v="&lt;null&gt;"/>
    <s v="&lt;null&gt;"/>
    <s v="&lt;null&gt;"/>
    <s v="&lt;null&gt;"/>
    <s v="&lt;null&gt;"/>
    <x v="0"/>
    <s v="&lt;null&gt;"/>
    <s v="&lt;null&gt;"/>
    <s v="&lt;null&gt;"/>
    <s v="&lt;null&gt;"/>
    <s v="&lt;null&gt;"/>
    <s v="&lt;null&gt;"/>
    <s v="&lt;null&gt;"/>
    <s v="&lt;null&gt;"/>
    <s v="&lt;null&gt;"/>
    <m/>
    <m/>
    <m/>
    <m/>
  </r>
  <r>
    <x v="18"/>
    <x v="18"/>
    <s v="&lt;null&gt;"/>
    <x v="3"/>
    <n v="1935"/>
    <s v="IN/001550"/>
    <s v="N115 Merksem Oudebareellei"/>
    <s v="&lt;null&gt;"/>
    <s v="Structurele Ingreep"/>
    <s v="WA/INV/N115/1"/>
    <b v="0"/>
    <s v="Ingreep wordt niet opgevolgd in BOD"/>
    <s v="&lt;null&gt;"/>
    <s v="&lt;null&gt;"/>
    <s v="&lt;null&gt;"/>
    <s v="&lt;null&gt;"/>
    <s v="&lt;null&gt;"/>
    <x v="0"/>
    <s v="&lt;null&gt;"/>
    <s v="&lt;null&gt;"/>
    <s v="&lt;null&gt;"/>
    <s v="&lt;null&gt;"/>
    <s v="&lt;null&gt;"/>
    <s v="&lt;null&gt;"/>
    <s v="&lt;null&gt;"/>
    <s v="&lt;null&gt;"/>
    <s v="&lt;null&gt;"/>
    <m/>
    <m/>
    <m/>
    <m/>
  </r>
  <r>
    <x v="18"/>
    <x v="18"/>
    <s v="&lt;null&gt;"/>
    <x v="3"/>
    <n v="1936"/>
    <s v="IN/001551"/>
    <s v="N450 Melsele aanleg fietspaden"/>
    <s v="&lt;null&gt;"/>
    <s v="Structurele Ingreep"/>
    <s v="WA/INV/N450/1"/>
    <b v="0"/>
    <s v="Ingreep wordt niet opgevolgd in BOD"/>
    <s v="&lt;null&gt;"/>
    <s v="&lt;null&gt;"/>
    <s v="&lt;null&gt;"/>
    <s v="&lt;null&gt;"/>
    <s v="&lt;null&gt;"/>
    <x v="0"/>
    <s v="&lt;null&gt;"/>
    <s v="&lt;null&gt;"/>
    <s v="&lt;null&gt;"/>
    <s v="&lt;null&gt;"/>
    <s v="&lt;null&gt;"/>
    <s v="&lt;null&gt;"/>
    <s v="&lt;null&gt;"/>
    <s v="&lt;null&gt;"/>
    <s v="&lt;null&gt;"/>
    <m/>
    <m/>
    <m/>
    <m/>
  </r>
  <r>
    <x v="18"/>
    <x v="18"/>
    <s v="&lt;null&gt;"/>
    <x v="3"/>
    <n v="1940"/>
    <s v="IN/001555"/>
    <s v="R10 Antwerpen Borsbeeksebrug"/>
    <s v="&lt;null&gt;"/>
    <s v="Structurele Ingreep"/>
    <s v="WA/INV/R10/2"/>
    <b v="0"/>
    <s v="Ingreep wordt niet opgevolgd in BOD"/>
    <s v="&lt;null&gt;"/>
    <s v="&lt;null&gt;"/>
    <s v="&lt;null&gt;"/>
    <s v="&lt;null&gt;"/>
    <s v="&lt;null&gt;"/>
    <x v="0"/>
    <s v="&lt;null&gt;"/>
    <s v="&lt;null&gt;"/>
    <s v="&lt;null&gt;"/>
    <s v="&lt;null&gt;"/>
    <s v="&lt;null&gt;"/>
    <s v="&lt;null&gt;"/>
    <s v="&lt;null&gt;"/>
    <s v="&lt;null&gt;"/>
    <s v="&lt;null&gt;"/>
    <m/>
    <m/>
    <m/>
    <m/>
  </r>
  <r>
    <x v="1285"/>
    <x v="1285"/>
    <s v="Stimuleren Combimobiliteit"/>
    <x v="2"/>
    <n v="1941"/>
    <s v="IN/001556"/>
    <s v="N114 Hoevenen Ekeren Doortocht Heraanleg"/>
    <s v="&lt;null&gt;"/>
    <s v="Structurele Ingreep"/>
    <s v="WA/INV/N114/1"/>
    <b v="0"/>
    <s v="Ingreep wordt niet opgevolgd in BOD"/>
    <s v="&lt;null&gt;"/>
    <s v="&lt;null&gt;"/>
    <s v="&lt;null&gt;"/>
    <s v="&lt;null&gt;"/>
    <s v="&lt;null&gt;"/>
    <x v="0"/>
    <s v="&lt;null&gt;"/>
    <s v="&lt;null&gt;"/>
    <s v="&lt;null&gt;"/>
    <s v="&lt;null&gt;"/>
    <n v="50"/>
    <s v="&lt;null&gt;"/>
    <s v="&lt;null&gt;"/>
    <s v="&lt;null&gt;"/>
    <s v="&lt;null&gt;"/>
    <m/>
    <m/>
    <m/>
    <m/>
  </r>
  <r>
    <x v="1286"/>
    <x v="1286"/>
    <s v="Stimuleren Combimobiliteit"/>
    <x v="2"/>
    <n v="1941"/>
    <s v="IN/001556"/>
    <s v="N114 Hoevenen Ekeren Doortocht Heraanleg"/>
    <s v="&lt;null&gt;"/>
    <s v="Structurele Ingreep"/>
    <s v="WA/INV/N114/1"/>
    <b v="0"/>
    <s v="Ingreep wordt niet opgevolgd in BOD"/>
    <s v="&lt;null&gt;"/>
    <s v="&lt;null&gt;"/>
    <s v="&lt;null&gt;"/>
    <s v="&lt;null&gt;"/>
    <s v="&lt;null&gt;"/>
    <x v="0"/>
    <s v="&lt;null&gt;"/>
    <s v="&lt;null&gt;"/>
    <s v="&lt;null&gt;"/>
    <s v="&lt;null&gt;"/>
    <n v="50"/>
    <s v="&lt;null&gt;"/>
    <s v="&lt;null&gt;"/>
    <s v="&lt;null&gt;"/>
    <s v="&lt;null&gt;"/>
    <m/>
    <m/>
    <m/>
    <m/>
  </r>
  <r>
    <x v="18"/>
    <x v="18"/>
    <s v="&lt;null&gt;"/>
    <x v="3"/>
    <n v="1942"/>
    <s v="IN/001557"/>
    <s v="R10 N150 Antwerpen Herinrichting Le Grellelaan"/>
    <s v="&lt;null&gt;"/>
    <s v="Structurele Ingreep"/>
    <s v="WA/INV/R10/3"/>
    <b v="0"/>
    <s v="Ingreep wordt niet opgevolgd in BOD"/>
    <s v="&lt;null&gt;"/>
    <s v="&lt;null&gt;"/>
    <s v="&lt;null&gt;"/>
    <s v="&lt;null&gt;"/>
    <s v="&lt;null&gt;"/>
    <x v="0"/>
    <s v="&lt;null&gt;"/>
    <s v="&lt;null&gt;"/>
    <s v="&lt;null&gt;"/>
    <s v="&lt;null&gt;"/>
    <s v="&lt;null&gt;"/>
    <s v="&lt;null&gt;"/>
    <s v="&lt;null&gt;"/>
    <s v="&lt;null&gt;"/>
    <s v="&lt;null&gt;"/>
    <m/>
    <m/>
    <m/>
    <m/>
  </r>
  <r>
    <x v="18"/>
    <x v="18"/>
    <s v="&lt;null&gt;"/>
    <x v="3"/>
    <n v="1943"/>
    <s v="IN/001558"/>
    <s v="N70 Melsele doortocht"/>
    <s v="&lt;null&gt;"/>
    <s v="Structurele Ingreep"/>
    <s v="WA/INV/N70/1"/>
    <b v="0"/>
    <s v="Ingreep wordt niet opgevolgd in BOD"/>
    <s v="&lt;null&gt;"/>
    <s v="&lt;null&gt;"/>
    <s v="&lt;null&gt;"/>
    <s v="&lt;null&gt;"/>
    <s v="&lt;null&gt;"/>
    <x v="0"/>
    <s v="&lt;null&gt;"/>
    <s v="&lt;null&gt;"/>
    <s v="&lt;null&gt;"/>
    <s v="&lt;null&gt;"/>
    <s v="&lt;null&gt;"/>
    <s v="&lt;null&gt;"/>
    <s v="&lt;null&gt;"/>
    <s v="&lt;null&gt;"/>
    <s v="&lt;null&gt;"/>
    <m/>
    <m/>
    <m/>
    <m/>
  </r>
  <r>
    <x v="18"/>
    <x v="18"/>
    <s v="&lt;null&gt;"/>
    <x v="3"/>
    <n v="1944"/>
    <s v="IN/001559"/>
    <s v="R1 Antwerpen NGCS"/>
    <s v="&lt;null&gt;"/>
    <s v="Structurele Ingreep"/>
    <s v="WA/INV/R1/5"/>
    <b v="0"/>
    <s v="Ingreep wordt niet opgevolgd in BOD"/>
    <s v="&lt;null&gt;"/>
    <s v="&lt;null&gt;"/>
    <s v="&lt;null&gt;"/>
    <s v="&lt;null&gt;"/>
    <s v="&lt;null&gt;"/>
    <x v="0"/>
    <s v="&lt;null&gt;"/>
    <s v="&lt;null&gt;"/>
    <s v="&lt;null&gt;"/>
    <s v="&lt;null&gt;"/>
    <s v="&lt;null&gt;"/>
    <s v="&lt;null&gt;"/>
    <s v="&lt;null&gt;"/>
    <s v="&lt;null&gt;"/>
    <s v="&lt;null&gt;"/>
    <m/>
    <m/>
    <m/>
    <m/>
  </r>
  <r>
    <x v="18"/>
    <x v="18"/>
    <s v="&lt;null&gt;"/>
    <x v="3"/>
    <n v="1945"/>
    <s v="IN/001560"/>
    <s v="N101 Herstelling aanloophelling Straatsburgbrug"/>
    <s v="&lt;null&gt;"/>
    <s v="Structurele Ingreep"/>
    <s v="WA/INV/N101/4"/>
    <b v="0"/>
    <s v="Ingreep wordt niet opgevolgd in BOD"/>
    <s v="&lt;null&gt;"/>
    <s v="&lt;null&gt;"/>
    <s v="&lt;null&gt;"/>
    <s v="&lt;null&gt;"/>
    <s v="&lt;null&gt;"/>
    <x v="0"/>
    <s v="&lt;null&gt;"/>
    <s v="&lt;null&gt;"/>
    <s v="&lt;null&gt;"/>
    <s v="&lt;null&gt;"/>
    <s v="&lt;null&gt;"/>
    <s v="&lt;null&gt;"/>
    <s v="&lt;null&gt;"/>
    <s v="&lt;null&gt;"/>
    <s v="&lt;null&gt;"/>
    <m/>
    <m/>
    <m/>
    <m/>
  </r>
  <r>
    <x v="18"/>
    <x v="18"/>
    <s v="&lt;null&gt;"/>
    <x v="3"/>
    <n v="1946"/>
    <s v="IN/001561"/>
    <s v="N12 Antwerpen Fietsstraat"/>
    <s v="&lt;null&gt;"/>
    <s v="Structurele Ingreep"/>
    <s v="WA/INV/N12/16"/>
    <b v="0"/>
    <s v="Ingreep wordt niet opgevolgd in BOD"/>
    <s v="&lt;null&gt;"/>
    <s v="&lt;null&gt;"/>
    <s v="&lt;null&gt;"/>
    <s v="&lt;null&gt;"/>
    <s v="&lt;null&gt;"/>
    <x v="0"/>
    <s v="&lt;null&gt;"/>
    <s v="&lt;null&gt;"/>
    <s v="&lt;null&gt;"/>
    <s v="&lt;null&gt;"/>
    <s v="&lt;null&gt;"/>
    <s v="&lt;null&gt;"/>
    <s v="&lt;null&gt;"/>
    <s v="&lt;null&gt;"/>
    <s v="&lt;null&gt;"/>
    <m/>
    <m/>
    <m/>
    <m/>
  </r>
  <r>
    <x v="18"/>
    <x v="18"/>
    <s v="&lt;null&gt;"/>
    <x v="3"/>
    <n v="1947"/>
    <s v="IN/001562"/>
    <s v="N111 Stabroek Fase 2"/>
    <s v="&lt;null&gt;"/>
    <s v="Structurele Ingreep"/>
    <s v="WA/INV/N111/1"/>
    <b v="0"/>
    <s v="Ingreep wordt niet opgevolgd in BOD"/>
    <s v="&lt;null&gt;"/>
    <s v="&lt;null&gt;"/>
    <s v="&lt;null&gt;"/>
    <s v="&lt;null&gt;"/>
    <s v="&lt;null&gt;"/>
    <x v="0"/>
    <s v="&lt;null&gt;"/>
    <s v="&lt;null&gt;"/>
    <s v="&lt;null&gt;"/>
    <s v="&lt;null&gt;"/>
    <s v="&lt;null&gt;"/>
    <s v="&lt;null&gt;"/>
    <s v="&lt;null&gt;"/>
    <s v="&lt;null&gt;"/>
    <s v="&lt;null&gt;"/>
    <m/>
    <m/>
    <m/>
    <m/>
  </r>
  <r>
    <x v="18"/>
    <x v="18"/>
    <s v="&lt;null&gt;"/>
    <x v="3"/>
    <n v="1948"/>
    <s v="IN/001563"/>
    <s v="N1 Mortsel Schoolomgeving"/>
    <s v="&lt;null&gt;"/>
    <s v="Structurele Ingreep"/>
    <s v="WA/INV/N1/2"/>
    <b v="0"/>
    <s v="Ingreep wordt niet opgevolgd in BOD"/>
    <s v="&lt;null&gt;"/>
    <s v="&lt;null&gt;"/>
    <s v="&lt;null&gt;"/>
    <s v="&lt;null&gt;"/>
    <s v="&lt;null&gt;"/>
    <x v="0"/>
    <s v="&lt;null&gt;"/>
    <s v="&lt;null&gt;"/>
    <s v="&lt;null&gt;"/>
    <s v="&lt;null&gt;"/>
    <s v="&lt;null&gt;"/>
    <s v="&lt;null&gt;"/>
    <s v="&lt;null&gt;"/>
    <s v="&lt;null&gt;"/>
    <s v="&lt;null&gt;"/>
    <m/>
    <m/>
    <m/>
    <m/>
  </r>
  <r>
    <x v="1287"/>
    <x v="1287"/>
    <s v="Verkeersveiligheid"/>
    <x v="1"/>
    <n v="1949"/>
    <s v="IN/001564"/>
    <s v="Uitvoering PCV-beslissing n.a.v. gevaarlijke punten en knelpunt schoolroutes (olv PM Peter Wouters Sweco)"/>
    <s v="Kruispuntaanpassing (fietsinfrastructuur en rijstrookconfiguratie) + slimme lichtenregeling"/>
    <s v="Kleine Ingreep"/>
    <s v="WL/INV/N712/13"/>
    <b v="0"/>
    <s v="Ingreep wordt niet opgevolgd in BOD"/>
    <s v="&lt;null&gt;"/>
    <s v="&lt;null&gt;"/>
    <s v="&lt;null&gt;"/>
    <s v="&lt;null&gt;"/>
    <s v="&lt;null&gt;"/>
    <x v="0"/>
    <s v="&lt;null&gt;"/>
    <s v="&lt;null&gt;"/>
    <s v="&lt;null&gt;"/>
    <s v="&lt;null&gt;"/>
    <n v="100"/>
    <s v="&lt;null&gt;"/>
    <s v="&lt;null&gt;"/>
    <s v="&lt;null&gt;"/>
    <s v="&lt;null&gt;"/>
    <m/>
    <m/>
    <m/>
    <m/>
  </r>
  <r>
    <x v="1288"/>
    <x v="1288"/>
    <s v="Verkeersveiligheid"/>
    <x v="4"/>
    <n v="1949"/>
    <s v="IN/001564"/>
    <s v="Uitvoering PCV-beslissing n.a.v. gevaarlijke punten en knelpunt schoolroutes (olv PM Peter Wouters Sweco)"/>
    <s v="Kruispuntaanpassing (fietsinfrastructuur en rijstrookconfiguratie) + slimme lichtenregeling"/>
    <s v="Kleine Ingreep"/>
    <s v="WL/INV/N712/13"/>
    <b v="0"/>
    <s v="Ingreep wordt niet opgevolgd in BOD"/>
    <s v="&lt;null&gt;"/>
    <s v="&lt;null&gt;"/>
    <s v="&lt;null&gt;"/>
    <s v="&lt;null&gt;"/>
    <s v="&lt;null&gt;"/>
    <x v="0"/>
    <s v="&lt;null&gt;"/>
    <s v="&lt;null&gt;"/>
    <s v="&lt;null&gt;"/>
    <s v="&lt;null&gt;"/>
    <n v="0"/>
    <s v="&lt;null&gt;"/>
    <s v="&lt;null&gt;"/>
    <s v="&lt;null&gt;"/>
    <s v="&lt;null&gt;"/>
    <m/>
    <m/>
    <m/>
    <m/>
  </r>
  <r>
    <x v="18"/>
    <x v="18"/>
    <s v="&lt;null&gt;"/>
    <x v="3"/>
    <n v="1950"/>
    <s v="IN/001565"/>
    <s v="R11 Wilrijk Jules Moretuslei"/>
    <s v="&lt;null&gt;"/>
    <s v="Structurele Ingreep"/>
    <s v="WA/INV/R11/4"/>
    <b v="0"/>
    <s v="Ingreep wordt niet opgevolgd in BOD"/>
    <s v="&lt;null&gt;"/>
    <s v="&lt;null&gt;"/>
    <s v="&lt;null&gt;"/>
    <s v="&lt;null&gt;"/>
    <s v="&lt;null&gt;"/>
    <x v="0"/>
    <s v="&lt;null&gt;"/>
    <s v="&lt;null&gt;"/>
    <s v="&lt;null&gt;"/>
    <s v="&lt;null&gt;"/>
    <s v="&lt;null&gt;"/>
    <s v="&lt;null&gt;"/>
    <s v="&lt;null&gt;"/>
    <s v="&lt;null&gt;"/>
    <s v="&lt;null&gt;"/>
    <m/>
    <m/>
    <m/>
    <m/>
  </r>
  <r>
    <x v="1289"/>
    <x v="1289"/>
    <s v="Verkeersveiligheid"/>
    <x v="1"/>
    <n v="1951"/>
    <s v="IN/001566"/>
    <s v="Verlengen linksafslagstrook"/>
    <s v="&lt;null&g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1952"/>
    <s v="IN/001567"/>
    <s v="N177 Wilrijk herstellen of vervangen riolering"/>
    <s v="&lt;null&gt;"/>
    <s v="Structurele Ingreep"/>
    <s v="WA/INV/N177/2"/>
    <b v="0"/>
    <s v="Ingreep wordt niet opgevolgd in BOD"/>
    <s v="&lt;null&gt;"/>
    <s v="&lt;null&gt;"/>
    <s v="&lt;null&gt;"/>
    <s v="&lt;null&gt;"/>
    <s v="&lt;null&gt;"/>
    <x v="0"/>
    <s v="&lt;null&gt;"/>
    <s v="&lt;null&gt;"/>
    <s v="&lt;null&gt;"/>
    <s v="&lt;null&gt;"/>
    <s v="&lt;null&gt;"/>
    <s v="&lt;null&gt;"/>
    <s v="&lt;null&gt;"/>
    <s v="&lt;null&gt;"/>
    <s v="&lt;null&gt;"/>
    <m/>
    <m/>
    <m/>
    <m/>
  </r>
  <r>
    <x v="1289"/>
    <x v="1289"/>
    <s v="Verkeersveiligheid"/>
    <x v="1"/>
    <n v="1953"/>
    <s v="IN/001568"/>
    <s v="structurele oplossing: herinrichting doortocht Kortessem"/>
    <s v="&lt;null&gt;"/>
    <s v="Kleine Ingreep"/>
    <s v="&lt;null&gt;"/>
    <b v="0"/>
    <s v="Ingreep wordt niet opgevolgd in BOD"/>
    <s v="&lt;null&gt;"/>
    <s v="&lt;null&gt;"/>
    <s v="&lt;null&gt;"/>
    <s v="&lt;null&gt;"/>
    <s v="&lt;null&gt;"/>
    <x v="0"/>
    <s v="&lt;null&gt;"/>
    <s v="&lt;null&gt;"/>
    <s v="&lt;null&gt;"/>
    <s v="&lt;null&gt;"/>
    <n v="100"/>
    <s v="&lt;null&gt;"/>
    <s v="&lt;null&gt;"/>
    <s v="&lt;null&gt;"/>
    <s v="&lt;null&gt;"/>
    <m/>
    <m/>
    <m/>
    <m/>
  </r>
  <r>
    <x v="1290"/>
    <x v="1290"/>
    <s v="Verkeersveiligheid"/>
    <x v="1"/>
    <n v="1954"/>
    <s v="IN/001569"/>
    <s v="Aanpassing vangrails"/>
    <s v="&lt;null&gt;"/>
    <s v="Kleine Ingreep"/>
    <s v="WL/INV/N715/9"/>
    <b v="0"/>
    <s v="Ingreep wordt niet opgevolgd in BOD"/>
    <s v="&lt;null&gt;"/>
    <s v="&lt;null&gt;"/>
    <s v="&lt;null&gt;"/>
    <s v="&lt;null&gt;"/>
    <s v="&lt;null&gt;"/>
    <x v="0"/>
    <s v="&lt;null&gt;"/>
    <s v="&lt;null&gt;"/>
    <s v="&lt;null&gt;"/>
    <s v="&lt;null&gt;"/>
    <n v="100"/>
    <s v="&lt;null&gt;"/>
    <s v="&lt;null&gt;"/>
    <s v="&lt;null&gt;"/>
    <s v="&lt;null&gt;"/>
    <m/>
    <m/>
    <m/>
    <m/>
  </r>
  <r>
    <x v="18"/>
    <x v="18"/>
    <s v="&lt;null&gt;"/>
    <x v="3"/>
    <n v="1955"/>
    <s v="IN/001570"/>
    <s v="N173 Berchem Floraliënlaan"/>
    <s v="&lt;null&gt;"/>
    <s v="Structurele Ingreep"/>
    <s v="WA/INV/N173/1"/>
    <b v="0"/>
    <s v="Ingreep wordt niet opgevolgd in BOD"/>
    <s v="&lt;null&gt;"/>
    <s v="&lt;null&gt;"/>
    <s v="&lt;null&gt;"/>
    <s v="&lt;null&gt;"/>
    <s v="&lt;null&gt;"/>
    <x v="0"/>
    <s v="&lt;null&gt;"/>
    <s v="&lt;null&gt;"/>
    <s v="&lt;null&gt;"/>
    <s v="&lt;null&gt;"/>
    <s v="&lt;null&gt;"/>
    <s v="&lt;null&gt;"/>
    <s v="&lt;null&gt;"/>
    <s v="&lt;null&gt;"/>
    <s v="&lt;null&gt;"/>
    <m/>
    <m/>
    <m/>
    <m/>
  </r>
  <r>
    <x v="18"/>
    <x v="18"/>
    <s v="&lt;null&gt;"/>
    <x v="3"/>
    <n v="1956"/>
    <s v="IN/001571"/>
    <s v="N3/45 herinrichting noordelijke Tiense vesten"/>
    <s v="Volledige herinrichting wegvak"/>
    <s v="Structurele Ingreep"/>
    <s v="&lt;null&gt;"/>
    <b v="0"/>
    <s v="Ingreep wordt niet opgevolgd in BOD"/>
    <s v="&lt;null&gt;"/>
    <s v="&lt;null&gt;"/>
    <s v="&lt;null&gt;"/>
    <s v="&lt;null&gt;"/>
    <s v="&lt;null&gt;"/>
    <x v="0"/>
    <s v="&lt;null&gt;"/>
    <s v="&lt;null&gt;"/>
    <s v="&lt;null&gt;"/>
    <s v="&lt;null&gt;"/>
    <s v="&lt;null&gt;"/>
    <s v="&lt;null&gt;"/>
    <s v="&lt;null&gt;"/>
    <s v="&lt;null&gt;"/>
    <s v="&lt;null&gt;"/>
    <m/>
    <m/>
    <m/>
    <m/>
  </r>
  <r>
    <x v="248"/>
    <x v="248"/>
    <s v="Verkeersveiligheid"/>
    <x v="1"/>
    <n v="1957"/>
    <s v="IN/001572"/>
    <s v="N116 Antwerpen heraanleg Boterlaanbaan"/>
    <s v="&lt;null&gt;"/>
    <s v="Structurele Ingreep"/>
    <s v="WA/INV/N116/4"/>
    <b v="0"/>
    <s v="Ingreep wordt niet opgevolgd in BOD"/>
    <s v="&lt;null&gt;"/>
    <s v="&lt;null&gt;"/>
    <s v="&lt;null&gt;"/>
    <s v="&lt;null&gt;"/>
    <s v="&lt;null&gt;"/>
    <x v="0"/>
    <s v="&lt;null&gt;"/>
    <s v="&lt;null&gt;"/>
    <s v="&lt;null&gt;"/>
    <s v="&lt;null&gt;"/>
    <n v="0"/>
    <s v="&lt;null&gt;"/>
    <s v="&lt;null&gt;"/>
    <s v="&lt;null&gt;"/>
    <s v="&lt;null&gt;"/>
    <m/>
    <m/>
    <m/>
    <m/>
  </r>
  <r>
    <x v="1291"/>
    <x v="1291"/>
    <s v="Stimuleren Combimobiliteit"/>
    <x v="2"/>
    <n v="1957"/>
    <s v="IN/001572"/>
    <s v="N116 Antwerpen heraanleg Boterlaanbaan"/>
    <s v="&lt;null&gt;"/>
    <s v="Structurele Ingreep"/>
    <s v="WA/INV/N116/4"/>
    <b v="0"/>
    <s v="Ingreep wordt niet opgevolgd in BOD"/>
    <s v="&lt;null&gt;"/>
    <s v="&lt;null&gt;"/>
    <s v="&lt;null&gt;"/>
    <s v="&lt;null&gt;"/>
    <s v="&lt;null&gt;"/>
    <x v="0"/>
    <s v="&lt;null&gt;"/>
    <s v="&lt;null&gt;"/>
    <s v="&lt;null&gt;"/>
    <s v="&lt;null&gt;"/>
    <n v="0"/>
    <s v="&lt;null&gt;"/>
    <s v="&lt;null&gt;"/>
    <s v="&lt;null&gt;"/>
    <s v="&lt;null&gt;"/>
    <m/>
    <m/>
    <m/>
    <m/>
  </r>
  <r>
    <x v="18"/>
    <x v="18"/>
    <s v="&lt;null&gt;"/>
    <x v="3"/>
    <n v="1958"/>
    <s v="IN/001573"/>
    <s v="R43 Eeklo fase 2 Fietstunnel Raverschootstraat"/>
    <s v="&lt;null&gt;"/>
    <s v="Structurele Ingreep"/>
    <s v="WOV/INV/R43/2"/>
    <b v="0"/>
    <s v="Ingreep wordt niet opgevolgd in BOD"/>
    <s v="&lt;null&gt;"/>
    <s v="&lt;null&gt;"/>
    <s v="&lt;null&gt;"/>
    <s v="&lt;null&gt;"/>
    <s v="&lt;null&gt;"/>
    <x v="0"/>
    <s v="&lt;null&gt;"/>
    <s v="&lt;null&gt;"/>
    <s v="&lt;null&gt;"/>
    <s v="&lt;null&gt;"/>
    <s v="&lt;null&gt;"/>
    <s v="&lt;null&gt;"/>
    <s v="&lt;null&gt;"/>
    <s v="&lt;null&gt;"/>
    <s v="&lt;null&gt;"/>
    <m/>
    <m/>
    <m/>
    <m/>
  </r>
  <r>
    <x v="18"/>
    <x v="18"/>
    <s v="&lt;null&gt;"/>
    <x v="3"/>
    <n v="1959"/>
    <s v="IN/001574"/>
    <s v="N757 Kinrooi Maaseik: veiligheidsingrepen"/>
    <s v="&lt;null&gt;"/>
    <s v="Structurele Ingreep"/>
    <s v="WL/INV/N757/1"/>
    <b v="0"/>
    <s v="Ingreep wordt niet opgevolgd in BOD"/>
    <s v="&lt;null&gt;"/>
    <s v="&lt;null&gt;"/>
    <s v="&lt;null&gt;"/>
    <s v="&lt;null&gt;"/>
    <s v="&lt;null&gt;"/>
    <x v="0"/>
    <s v="&lt;null&gt;"/>
    <s v="&lt;null&gt;"/>
    <s v="&lt;null&gt;"/>
    <s v="&lt;null&gt;"/>
    <s v="&lt;null&gt;"/>
    <s v="&lt;null&gt;"/>
    <s v="&lt;null&gt;"/>
    <s v="&lt;null&gt;"/>
    <s v="&lt;null&gt;"/>
    <m/>
    <m/>
    <m/>
    <m/>
  </r>
  <r>
    <x v="18"/>
    <x v="18"/>
    <s v="&lt;null&gt;"/>
    <x v="3"/>
    <n v="1964"/>
    <s v="IN/001579"/>
    <s v="N141 Fietstunnel in FSW"/>
    <s v="&lt;null&gt;"/>
    <s v="Structurele Ingreep"/>
    <s v="WL/INV/N141/5"/>
    <b v="0"/>
    <s v="Ingreep wordt niet opgevolgd in BOD"/>
    <s v="&lt;null&gt;"/>
    <s v="&lt;null&gt;"/>
    <s v="&lt;null&gt;"/>
    <s v="&lt;null&gt;"/>
    <s v="&lt;null&gt;"/>
    <x v="0"/>
    <s v="&lt;null&gt;"/>
    <s v="&lt;null&gt;"/>
    <s v="&lt;null&gt;"/>
    <s v="&lt;null&gt;"/>
    <s v="&lt;null&gt;"/>
    <s v="&lt;null&gt;"/>
    <s v="&lt;null&gt;"/>
    <s v="&lt;null&gt;"/>
    <s v="&lt;null&gt;"/>
    <m/>
    <m/>
    <m/>
    <m/>
  </r>
  <r>
    <x v="18"/>
    <x v="18"/>
    <s v="&lt;null&gt;"/>
    <x v="3"/>
    <n v="1965"/>
    <s v="IN/001580"/>
    <s v="N21 - Herinrichting rotondes Kampenhout-Sas"/>
    <s v="&lt;null&gt;"/>
    <s v="Structurele Ingreep"/>
    <s v="WVB/INV/N21/3"/>
    <b v="0"/>
    <s v="Ingreep wordt niet opgevolgd in BOD"/>
    <s v="&lt;null&gt;"/>
    <s v="&lt;null&gt;"/>
    <s v="&lt;null&gt;"/>
    <s v="&lt;null&gt;"/>
    <s v="&lt;null&gt;"/>
    <x v="0"/>
    <s v="&lt;null&gt;"/>
    <s v="&lt;null&gt;"/>
    <s v="&lt;null&gt;"/>
    <s v="&lt;null&gt;"/>
    <s v="&lt;null&gt;"/>
    <s v="&lt;null&gt;"/>
    <s v="&lt;null&gt;"/>
    <s v="&lt;null&gt;"/>
    <s v="&lt;null&gt;"/>
    <m/>
    <m/>
    <m/>
    <m/>
  </r>
  <r>
    <x v="18"/>
    <x v="18"/>
    <s v="&lt;null&gt;"/>
    <x v="3"/>
    <n v="1966"/>
    <s v="IN/001581"/>
    <s v="N211 - Grimbergen"/>
    <s v="&lt;null&gt;"/>
    <s v="Structurele Ingreep"/>
    <s v="WVB/INV/N211/2"/>
    <b v="0"/>
    <s v="Ingreep wordt niet opgevolgd in BOD"/>
    <s v="&lt;null&gt;"/>
    <s v="&lt;null&gt;"/>
    <s v="&lt;null&gt;"/>
    <s v="&lt;null&gt;"/>
    <s v="&lt;null&gt;"/>
    <x v="0"/>
    <s v="&lt;null&gt;"/>
    <s v="&lt;null&gt;"/>
    <s v="&lt;null&gt;"/>
    <s v="&lt;null&gt;"/>
    <s v="&lt;null&gt;"/>
    <s v="&lt;null&gt;"/>
    <s v="&lt;null&gt;"/>
    <s v="&lt;null&gt;"/>
    <s v="&lt;null&gt;"/>
    <m/>
    <m/>
    <m/>
    <m/>
  </r>
  <r>
    <x v="18"/>
    <x v="18"/>
    <s v="&lt;null&gt;"/>
    <x v="3"/>
    <n v="1967"/>
    <s v="IN/001582"/>
    <s v="N47 - overlaging Opwijk"/>
    <s v="&lt;null&gt;"/>
    <s v="Structurele Ingreep"/>
    <s v="WVB/INV/N47/2"/>
    <b v="0"/>
    <s v="Ingreep wordt niet opgevolgd in BOD"/>
    <s v="&lt;null&gt;"/>
    <s v="&lt;null&gt;"/>
    <s v="&lt;null&gt;"/>
    <s v="&lt;null&gt;"/>
    <s v="&lt;null&gt;"/>
    <x v="0"/>
    <s v="&lt;null&gt;"/>
    <s v="&lt;null&gt;"/>
    <s v="&lt;null&gt;"/>
    <s v="&lt;null&gt;"/>
    <s v="&lt;null&gt;"/>
    <s v="&lt;null&gt;"/>
    <s v="&lt;null&gt;"/>
    <s v="&lt;null&gt;"/>
    <s v="&lt;null&gt;"/>
    <m/>
    <m/>
    <m/>
    <m/>
  </r>
  <r>
    <x v="18"/>
    <x v="18"/>
    <s v="&lt;null&gt;"/>
    <x v="3"/>
    <n v="1968"/>
    <s v="IN/001583"/>
    <s v="R23 - Heraanleg Tervuursevest"/>
    <s v="&lt;null&gt;"/>
    <s v="Structurele Ingreep"/>
    <s v="WVB/INV/R23/7"/>
    <b v="0"/>
    <s v="Ingreep wordt niet opgevolgd in BOD"/>
    <s v="&lt;null&gt;"/>
    <s v="&lt;null&gt;"/>
    <s v="&lt;null&gt;"/>
    <s v="&lt;null&gt;"/>
    <s v="&lt;null&gt;"/>
    <x v="0"/>
    <s v="&lt;null&gt;"/>
    <s v="&lt;null&gt;"/>
    <s v="&lt;null&gt;"/>
    <s v="&lt;null&gt;"/>
    <s v="&lt;null&gt;"/>
    <s v="&lt;null&gt;"/>
    <s v="&lt;null&gt;"/>
    <s v="&lt;null&gt;"/>
    <s v="&lt;null&gt;"/>
    <m/>
    <m/>
    <m/>
    <m/>
  </r>
  <r>
    <x v="18"/>
    <x v="18"/>
    <s v="&lt;null&gt;"/>
    <x v="3"/>
    <n v="1969"/>
    <s v="IN/001584"/>
    <s v="N123 Kasterlee 18 Studie 22 Uitvoering De Met"/>
    <s v="&lt;null&gt;"/>
    <s v="Structurele Ingreep"/>
    <s v="WA/INV/N123/1"/>
    <b v="0"/>
    <s v="Ingreep wordt niet opgevolgd in BOD"/>
    <s v="&lt;null&gt;"/>
    <s v="&lt;null&gt;"/>
    <s v="&lt;null&gt;"/>
    <s v="&lt;null&gt;"/>
    <s v="&lt;null&gt;"/>
    <x v="0"/>
    <s v="&lt;null&gt;"/>
    <s v="&lt;null&gt;"/>
    <s v="&lt;null&gt;"/>
    <s v="&lt;null&gt;"/>
    <s v="&lt;null&gt;"/>
    <s v="&lt;null&gt;"/>
    <s v="&lt;null&gt;"/>
    <s v="&lt;null&gt;"/>
    <s v="&lt;null&gt;"/>
    <m/>
    <m/>
    <m/>
    <m/>
  </r>
  <r>
    <x v="18"/>
    <x v="18"/>
    <s v="&lt;null&gt;"/>
    <x v="3"/>
    <n v="1970"/>
    <s v="IN/001585"/>
    <s v="N123 Kasterlee Betonverharding vervangen door KWS"/>
    <s v="&lt;null&gt;"/>
    <s v="Structurele Ingreep"/>
    <s v="WA/INV/N123/2"/>
    <b v="0"/>
    <s v="Ingreep wordt niet opgevolgd in BOD"/>
    <s v="&lt;null&gt;"/>
    <s v="&lt;null&gt;"/>
    <s v="&lt;null&gt;"/>
    <s v="&lt;null&gt;"/>
    <s v="&lt;null&gt;"/>
    <x v="0"/>
    <s v="&lt;null&gt;"/>
    <s v="&lt;null&gt;"/>
    <s v="&lt;null&gt;"/>
    <s v="&lt;null&gt;"/>
    <s v="&lt;null&gt;"/>
    <s v="&lt;null&gt;"/>
    <s v="&lt;null&gt;"/>
    <s v="&lt;null&gt;"/>
    <s v="&lt;null&gt;"/>
    <m/>
    <m/>
    <m/>
    <m/>
  </r>
  <r>
    <x v="18"/>
    <x v="18"/>
    <s v="&lt;null&gt;"/>
    <x v="3"/>
    <n v="1972"/>
    <s v="IN/001587"/>
    <s v="N123 Kasterlee SO schoolomgeving"/>
    <s v="&lt;null&gt;"/>
    <s v="Structurele Ingreep"/>
    <s v="WA/INV/N123/3"/>
    <b v="0"/>
    <s v="Ingreep wordt niet opgevolgd in BOD"/>
    <s v="&lt;null&gt;"/>
    <s v="&lt;null&gt;"/>
    <s v="&lt;null&gt;"/>
    <s v="&lt;null&gt;"/>
    <s v="&lt;null&gt;"/>
    <x v="0"/>
    <s v="&lt;null&gt;"/>
    <s v="&lt;null&gt;"/>
    <s v="&lt;null&gt;"/>
    <s v="&lt;null&gt;"/>
    <s v="&lt;null&gt;"/>
    <s v="&lt;null&gt;"/>
    <s v="&lt;null&gt;"/>
    <s v="&lt;null&gt;"/>
    <s v="&lt;null&gt;"/>
    <m/>
    <m/>
    <m/>
    <m/>
  </r>
  <r>
    <x v="18"/>
    <x v="18"/>
    <s v="&lt;null&gt;"/>
    <x v="3"/>
    <n v="1974"/>
    <s v="IN/001589"/>
    <s v="N123 Kasterlee Retie ontdubbelen FP verbreden weg"/>
    <s v="&lt;null&gt;"/>
    <s v="Structurele Ingreep"/>
    <s v="WA/INV/N123/4"/>
    <b v="0"/>
    <s v="Ingreep wordt niet opgevolgd in BOD"/>
    <s v="&lt;null&gt;"/>
    <s v="&lt;null&gt;"/>
    <s v="&lt;null&gt;"/>
    <s v="&lt;null&gt;"/>
    <s v="&lt;null&gt;"/>
    <x v="0"/>
    <s v="&lt;null&gt;"/>
    <s v="&lt;null&gt;"/>
    <s v="&lt;null&gt;"/>
    <s v="&lt;null&gt;"/>
    <s v="&lt;null&gt;"/>
    <s v="&lt;null&gt;"/>
    <s v="&lt;null&gt;"/>
    <s v="&lt;null&gt;"/>
    <s v="&lt;null&gt;"/>
    <m/>
    <m/>
    <m/>
    <m/>
  </r>
  <r>
    <x v="18"/>
    <x v="18"/>
    <s v="&lt;null&gt;"/>
    <x v="3"/>
    <n v="1976"/>
    <s v="IN/001591"/>
    <s v="N123 Retie vernieuwen toplaag"/>
    <s v="&lt;null&gt;"/>
    <s v="Structurele Ingreep"/>
    <s v="WA/INV/N123/6"/>
    <b v="0"/>
    <s v="Ingreep wordt niet opgevolgd in BOD"/>
    <s v="&lt;null&gt;"/>
    <s v="&lt;null&gt;"/>
    <s v="&lt;null&gt;"/>
    <s v="&lt;null&gt;"/>
    <s v="&lt;null&gt;"/>
    <x v="0"/>
    <s v="&lt;null&gt;"/>
    <s v="&lt;null&gt;"/>
    <s v="&lt;null&gt;"/>
    <s v="&lt;null&gt;"/>
    <s v="&lt;null&gt;"/>
    <s v="&lt;null&gt;"/>
    <s v="&lt;null&gt;"/>
    <s v="&lt;null&gt;"/>
    <s v="&lt;null&gt;"/>
    <m/>
    <m/>
    <m/>
    <m/>
  </r>
  <r>
    <x v="18"/>
    <x v="18"/>
    <s v="&lt;null&gt;"/>
    <x v="3"/>
    <n v="1977"/>
    <s v="IN/001592"/>
    <s v="X10/N124/13 Hoogstraten aanleg fietspaden"/>
    <s v="&lt;null&gt;"/>
    <s v="Structurele Ingreep"/>
    <s v="WA/INV/N124/1"/>
    <b v="0"/>
    <s v="Ingreep wordt niet opgevolgd in BOD"/>
    <s v="&lt;null&gt;"/>
    <s v="&lt;null&gt;"/>
    <s v="&lt;null&gt;"/>
    <s v="&lt;null&gt;"/>
    <s v="&lt;null&gt;"/>
    <x v="0"/>
    <s v="&lt;null&gt;"/>
    <s v="&lt;null&gt;"/>
    <s v="&lt;null&gt;"/>
    <s v="&lt;null&gt;"/>
    <s v="&lt;null&gt;"/>
    <s v="&lt;null&gt;"/>
    <s v="&lt;null&gt;"/>
    <s v="&lt;null&gt;"/>
    <s v="&lt;null&gt;"/>
    <m/>
    <m/>
    <m/>
    <m/>
  </r>
  <r>
    <x v="18"/>
    <x v="18"/>
    <s v="&lt;null&gt;"/>
    <x v="3"/>
    <n v="1978"/>
    <s v="IN/001593"/>
    <s v="N124 Merkplas structureel onderhoud"/>
    <s v="&lt;null&gt;"/>
    <s v="Structurele Ingreep"/>
    <s v="WA/INV/N124/3"/>
    <b v="0"/>
    <s v="Ingreep wordt niet opgevolgd in BOD"/>
    <s v="&lt;null&gt;"/>
    <s v="&lt;null&gt;"/>
    <s v="&lt;null&gt;"/>
    <s v="&lt;null&gt;"/>
    <s v="&lt;null&gt;"/>
    <x v="0"/>
    <s v="&lt;null&gt;"/>
    <s v="&lt;null&gt;"/>
    <s v="&lt;null&gt;"/>
    <s v="&lt;null&gt;"/>
    <s v="&lt;null&gt;"/>
    <s v="&lt;null&gt;"/>
    <s v="&lt;null&gt;"/>
    <s v="&lt;null&gt;"/>
    <s v="&lt;null&gt;"/>
    <m/>
    <m/>
    <m/>
    <m/>
  </r>
  <r>
    <x v="18"/>
    <x v="18"/>
    <s v="&lt;null&gt;"/>
    <x v="3"/>
    <n v="1979"/>
    <s v="IN/001594"/>
    <s v="N124 Hoogstraten structureel onderhoud"/>
    <s v="&lt;null&gt;"/>
    <s v="Structurele Ingreep"/>
    <s v="WA/INV/N124/4"/>
    <b v="0"/>
    <s v="Ingreep wordt niet opgevolgd in BOD"/>
    <s v="&lt;null&gt;"/>
    <s v="&lt;null&gt;"/>
    <s v="&lt;null&gt;"/>
    <s v="&lt;null&gt;"/>
    <s v="&lt;null&gt;"/>
    <x v="0"/>
    <s v="&lt;null&gt;"/>
    <s v="&lt;null&gt;"/>
    <s v="&lt;null&gt;"/>
    <s v="&lt;null&gt;"/>
    <s v="&lt;null&gt;"/>
    <s v="&lt;null&gt;"/>
    <s v="&lt;null&gt;"/>
    <s v="&lt;null&gt;"/>
    <s v="&lt;null&gt;"/>
    <m/>
    <m/>
    <m/>
    <m/>
  </r>
  <r>
    <x v="18"/>
    <x v="18"/>
    <s v="&lt;null&gt;"/>
    <x v="3"/>
    <n v="1980"/>
    <s v="IN/001595"/>
    <s v="N131 Rijkevorsel structureel onderhoud"/>
    <s v="&lt;null&gt;"/>
    <s v="Structurele Ingreep"/>
    <s v="WA/INV/N131/1"/>
    <b v="0"/>
    <s v="Ingreep wordt niet opgevolgd in BOD"/>
    <s v="&lt;null&gt;"/>
    <s v="&lt;null&gt;"/>
    <s v="&lt;null&gt;"/>
    <s v="&lt;null&gt;"/>
    <s v="&lt;null&gt;"/>
    <x v="0"/>
    <s v="&lt;null&gt;"/>
    <s v="&lt;null&gt;"/>
    <s v="&lt;null&gt;"/>
    <s v="&lt;null&gt;"/>
    <s v="&lt;null&gt;"/>
    <s v="&lt;null&gt;"/>
    <s v="&lt;null&gt;"/>
    <s v="&lt;null&gt;"/>
    <s v="&lt;null&gt;"/>
    <m/>
    <m/>
    <m/>
    <m/>
  </r>
  <r>
    <x v="1292"/>
    <x v="1292"/>
    <s v="Verkeersveiligheid"/>
    <x v="4"/>
    <n v="1981"/>
    <s v="IN/001596"/>
    <s v="Ingreep schoolroute in Boortmeerbeek op Kruispunt N267 x Terlindenlaan"/>
    <s v="&lt;null&gt;"/>
    <s v="Kleine Ingreep"/>
    <s v="WVB/INV/N267/4"/>
    <b v="1"/>
    <s v="Ingreep wordt opgevolgd in BOD"/>
    <n v="11865"/>
    <s v="AWV/INV/2021/3_P2"/>
    <n v="113351"/>
    <n v="21064994"/>
    <s v="&lt;p&gt;relance schoolroutes&lt;/p&gt;"/>
    <x v="9"/>
    <n v="8524"/>
    <s v="IN/001596 N267 x Terlindestraat"/>
    <s v="&lt;null&gt;"/>
    <s v="WVB/INV/N267/4"/>
    <n v="100"/>
    <n v="32000"/>
    <n v="0"/>
    <n v="0"/>
    <n v="259.2"/>
    <n v="32000"/>
    <n v="0"/>
    <n v="0"/>
    <n v="259.2"/>
  </r>
  <r>
    <x v="18"/>
    <x v="18"/>
    <s v="&lt;null&gt;"/>
    <x v="3"/>
    <n v="1982"/>
    <s v="IN/001597"/>
    <s v="SO distr Vosselaar  - vervangen klinkers Arendonk"/>
    <s v="&lt;null&gt;"/>
    <s v="Structurele Ingreep"/>
    <s v="WA/INV/N118/10"/>
    <b v="0"/>
    <s v="Ingreep wordt niet opgevolgd in BOD"/>
    <s v="&lt;null&gt;"/>
    <s v="&lt;null&gt;"/>
    <s v="&lt;null&gt;"/>
    <s v="&lt;null&gt;"/>
    <s v="&lt;null&gt;"/>
    <x v="0"/>
    <s v="&lt;null&gt;"/>
    <s v="&lt;null&gt;"/>
    <s v="&lt;null&gt;"/>
    <s v="&lt;null&gt;"/>
    <s v="&lt;null&gt;"/>
    <s v="&lt;null&gt;"/>
    <s v="&lt;null&gt;"/>
    <s v="&lt;null&gt;"/>
    <s v="&lt;null&gt;"/>
    <m/>
    <m/>
    <m/>
    <m/>
  </r>
  <r>
    <x v="18"/>
    <x v="18"/>
    <s v="&lt;null&gt;"/>
    <x v="3"/>
    <n v="1983"/>
    <s v="IN/001598"/>
    <s v="N134 Lichtaart-Poederlee structureel onderhoud"/>
    <s v="&lt;null&gt;"/>
    <s v="Structurele Ingreep"/>
    <s v="WA/INV/N134/1"/>
    <b v="0"/>
    <s v="Ingreep wordt niet opgevolgd in BOD"/>
    <s v="&lt;null&gt;"/>
    <s v="&lt;null&gt;"/>
    <s v="&lt;null&gt;"/>
    <s v="&lt;null&gt;"/>
    <s v="&lt;null&gt;"/>
    <x v="0"/>
    <s v="&lt;null&gt;"/>
    <s v="&lt;null&gt;"/>
    <s v="&lt;null&gt;"/>
    <s v="&lt;null&gt;"/>
    <s v="&lt;null&gt;"/>
    <s v="&lt;null&gt;"/>
    <s v="&lt;null&gt;"/>
    <s v="&lt;null&gt;"/>
    <s v="&lt;null&gt;"/>
    <m/>
    <m/>
    <m/>
    <m/>
  </r>
  <r>
    <x v="1284"/>
    <x v="1284"/>
    <s v="Stimuleren Combimobiliteit"/>
    <x v="7"/>
    <n v="1984"/>
    <s v="IN/001599"/>
    <s v="X21/N251/5 Herinrichting Naamsestwg tsn R23 en E40"/>
    <s v="&lt;null&gt;"/>
    <s v="Structurele Ingreep"/>
    <s v="WVB/INV/N251/2"/>
    <b v="0"/>
    <s v="Ingreep wordt niet opgevolgd in BOD"/>
    <s v="&lt;null&gt;"/>
    <s v="&lt;null&gt;"/>
    <s v="&lt;null&gt;"/>
    <s v="&lt;null&gt;"/>
    <s v="&lt;null&gt;"/>
    <x v="0"/>
    <s v="&lt;null&gt;"/>
    <s v="&lt;null&gt;"/>
    <s v="&lt;null&gt;"/>
    <s v="&lt;null&gt;"/>
    <n v="5"/>
    <s v="&lt;null&gt;"/>
    <s v="&lt;null&gt;"/>
    <s v="&lt;null&gt;"/>
    <s v="&lt;null&gt;"/>
    <m/>
    <m/>
    <m/>
    <m/>
  </r>
  <r>
    <x v="18"/>
    <x v="18"/>
    <s v="&lt;null&gt;"/>
    <x v="3"/>
    <n v="1985"/>
    <s v="IN/001600"/>
    <s v="N137 Ravels onderhoud voorafgaandelijk overdracht"/>
    <s v="&lt;null&gt;"/>
    <s v="Structurele Ingreep"/>
    <s v="WA/INV/N137/1"/>
    <b v="0"/>
    <s v="Ingreep wordt niet opgevolgd in BOD"/>
    <s v="&lt;null&gt;"/>
    <s v="&lt;null&gt;"/>
    <s v="&lt;null&gt;"/>
    <s v="&lt;null&gt;"/>
    <s v="&lt;null&gt;"/>
    <x v="0"/>
    <s v="&lt;null&gt;"/>
    <s v="&lt;null&gt;"/>
    <s v="&lt;null&gt;"/>
    <s v="&lt;null&gt;"/>
    <s v="&lt;null&gt;"/>
    <s v="&lt;null&gt;"/>
    <s v="&lt;null&gt;"/>
    <s v="&lt;null&gt;"/>
    <s v="&lt;null&gt;"/>
    <m/>
    <m/>
    <m/>
    <m/>
  </r>
  <r>
    <x v="18"/>
    <x v="18"/>
    <s v="&lt;null&gt;"/>
    <x v="3"/>
    <n v="1986"/>
    <s v="IN/001601"/>
    <s v="N139 Arendonk structureel onderhoud"/>
    <s v="&lt;null&gt;"/>
    <s v="Structurele Ingreep"/>
    <s v="WA/INV/N139/1"/>
    <b v="0"/>
    <s v="Ingreep wordt niet opgevolgd in BOD"/>
    <s v="&lt;null&gt;"/>
    <s v="&lt;null&gt;"/>
    <s v="&lt;null&gt;"/>
    <s v="&lt;null&gt;"/>
    <s v="&lt;null&gt;"/>
    <x v="0"/>
    <s v="&lt;null&gt;"/>
    <s v="&lt;null&gt;"/>
    <s v="&lt;null&gt;"/>
    <s v="&lt;null&gt;"/>
    <s v="&lt;null&gt;"/>
    <s v="&lt;null&gt;"/>
    <s v="&lt;null&gt;"/>
    <s v="&lt;null&gt;"/>
    <s v="&lt;null&gt;"/>
    <m/>
    <m/>
    <m/>
    <m/>
  </r>
  <r>
    <x v="18"/>
    <x v="18"/>
    <s v="&lt;null&gt;"/>
    <x v="3"/>
    <n v="1987"/>
    <s v="IN/001602"/>
    <s v="N139 Arendonk Mod13"/>
    <s v="&lt;null&gt;"/>
    <s v="Structurele Ingreep"/>
    <s v="WA/INV/N139/2"/>
    <b v="0"/>
    <s v="Ingreep wordt niet opgevolgd in BOD"/>
    <s v="&lt;null&gt;"/>
    <s v="&lt;null&gt;"/>
    <s v="&lt;null&gt;"/>
    <s v="&lt;null&gt;"/>
    <s v="&lt;null&gt;"/>
    <x v="0"/>
    <s v="&lt;null&gt;"/>
    <s v="&lt;null&gt;"/>
    <s v="&lt;null&gt;"/>
    <s v="&lt;null&gt;"/>
    <s v="&lt;null&gt;"/>
    <s v="&lt;null&gt;"/>
    <s v="&lt;null&gt;"/>
    <s v="&lt;null&gt;"/>
    <s v="&lt;null&gt;"/>
    <m/>
    <m/>
    <m/>
    <m/>
  </r>
  <r>
    <x v="18"/>
    <x v="18"/>
    <s v="&lt;null&gt;"/>
    <x v="3"/>
    <n v="1988"/>
    <s v="IN/001603"/>
    <s v="N139 Arendonk Renovatie brug 5"/>
    <s v="&lt;null&gt;"/>
    <s v="Structurele Ingreep"/>
    <s v="WA/INV/N139/3"/>
    <b v="0"/>
    <s v="Ingreep wordt niet opgevolgd in BOD"/>
    <s v="&lt;null&gt;"/>
    <s v="&lt;null&gt;"/>
    <s v="&lt;null&gt;"/>
    <s v="&lt;null&gt;"/>
    <s v="&lt;null&gt;"/>
    <x v="0"/>
    <s v="&lt;null&gt;"/>
    <s v="&lt;null&gt;"/>
    <s v="&lt;null&gt;"/>
    <s v="&lt;null&gt;"/>
    <s v="&lt;null&gt;"/>
    <s v="&lt;null&gt;"/>
    <s v="&lt;null&gt;"/>
    <s v="&lt;null&gt;"/>
    <s v="&lt;null&gt;"/>
    <m/>
    <m/>
    <m/>
    <m/>
  </r>
  <r>
    <x v="18"/>
    <x v="18"/>
    <s v="&lt;null&gt;"/>
    <x v="3"/>
    <n v="1989"/>
    <s v="IN/001604"/>
    <s v="N139 dringende herstelling brug 5 Arendonk"/>
    <s v="&lt;null&gt;"/>
    <s v="Structurele Ingreep"/>
    <s v="WA/INV/N139/4"/>
    <b v="0"/>
    <s v="Ingreep wordt niet opgevolgd in BOD"/>
    <s v="&lt;null&gt;"/>
    <s v="&lt;null&gt;"/>
    <s v="&lt;null&gt;"/>
    <s v="&lt;null&gt;"/>
    <s v="&lt;null&gt;"/>
    <x v="0"/>
    <s v="&lt;null&gt;"/>
    <s v="&lt;null&gt;"/>
    <s v="&lt;null&gt;"/>
    <s v="&lt;null&gt;"/>
    <s v="&lt;null&gt;"/>
    <s v="&lt;null&gt;"/>
    <s v="&lt;null&gt;"/>
    <s v="&lt;null&gt;"/>
    <s v="&lt;null&gt;"/>
    <m/>
    <m/>
    <m/>
    <m/>
  </r>
  <r>
    <x v="18"/>
    <x v="18"/>
    <s v="&lt;null&gt;"/>
    <x v="3"/>
    <n v="1990"/>
    <s v="IN/001605"/>
    <s v="N140 - Vosselaar - Herinrichting kruispunt Veedijk"/>
    <s v="&lt;null&gt;"/>
    <s v="Structurele Ingreep"/>
    <s v="WA/INV/N140/1"/>
    <b v="0"/>
    <s v="Ingreep wordt niet opgevolgd in BOD"/>
    <s v="&lt;null&gt;"/>
    <s v="&lt;null&gt;"/>
    <s v="&lt;null&gt;"/>
    <s v="&lt;null&gt;"/>
    <s v="&lt;null&gt;"/>
    <x v="0"/>
    <s v="&lt;null&gt;"/>
    <s v="&lt;null&gt;"/>
    <s v="&lt;null&gt;"/>
    <s v="&lt;null&gt;"/>
    <s v="&lt;null&gt;"/>
    <s v="&lt;null&gt;"/>
    <s v="&lt;null&gt;"/>
    <s v="&lt;null&gt;"/>
    <s v="&lt;null&gt;"/>
    <m/>
    <m/>
    <m/>
    <m/>
  </r>
  <r>
    <x v="18"/>
    <x v="18"/>
    <s v="&lt;null&gt;"/>
    <x v="3"/>
    <n v="1991"/>
    <s v="IN/001606"/>
    <s v="A10 - vervanging brug J. Mertensstraat (Dilbeek)"/>
    <s v="&lt;null&gt;"/>
    <s v="Structurele Ingreep"/>
    <s v="WVB/INV/A10/1"/>
    <b v="0"/>
    <s v="Ingreep wordt niet opgevolgd in BOD"/>
    <s v="&lt;null&gt;"/>
    <s v="&lt;null&gt;"/>
    <s v="&lt;null&gt;"/>
    <s v="&lt;null&gt;"/>
    <s v="&lt;null&gt;"/>
    <x v="0"/>
    <s v="&lt;null&gt;"/>
    <s v="&lt;null&gt;"/>
    <s v="&lt;null&gt;"/>
    <s v="&lt;null&gt;"/>
    <s v="&lt;null&gt;"/>
    <s v="&lt;null&gt;"/>
    <s v="&lt;null&gt;"/>
    <s v="&lt;null&gt;"/>
    <s v="&lt;null&gt;"/>
    <m/>
    <m/>
    <m/>
    <m/>
  </r>
  <r>
    <x v="18"/>
    <x v="18"/>
    <s v="&lt;null&gt;"/>
    <x v="3"/>
    <n v="1992"/>
    <s v="IN/001607"/>
    <s v="A10 - Vervanging onderbrug A10-N285 (Ternat)"/>
    <s v="&lt;null&gt;"/>
    <s v="Structurele Ingreep"/>
    <s v="WVB/INV/A10/3"/>
    <b v="0"/>
    <s v="Ingreep wordt niet opgevolgd in BOD"/>
    <s v="&lt;null&gt;"/>
    <s v="&lt;null&gt;"/>
    <s v="&lt;null&gt;"/>
    <s v="&lt;null&gt;"/>
    <s v="&lt;null&gt;"/>
    <x v="0"/>
    <s v="&lt;null&gt;"/>
    <s v="&lt;null&gt;"/>
    <s v="&lt;null&gt;"/>
    <s v="&lt;null&gt;"/>
    <s v="&lt;null&gt;"/>
    <s v="&lt;null&gt;"/>
    <s v="&lt;null&gt;"/>
    <s v="&lt;null&gt;"/>
    <s v="&lt;null&gt;"/>
    <m/>
    <m/>
    <m/>
    <m/>
  </r>
  <r>
    <x v="530"/>
    <x v="530"/>
    <s v="Verkeersveiligheid"/>
    <x v="1"/>
    <n v="1993"/>
    <s v="IN/001608"/>
    <s v="A12.DP01 - Aanleg knooppunt Londerzeel-Zuid"/>
    <s v="&lt;null&gt;"/>
    <s v="Structurele Ingreep"/>
    <s v="WVB/INV/A12/1"/>
    <b v="0"/>
    <s v="Ingreep wordt niet opgevolgd in BOD"/>
    <s v="&lt;null&gt;"/>
    <s v="&lt;null&gt;"/>
    <s v="&lt;null&gt;"/>
    <s v="&lt;null&gt;"/>
    <s v="&lt;null&gt;"/>
    <x v="0"/>
    <s v="&lt;null&gt;"/>
    <s v="&lt;null&gt;"/>
    <s v="&lt;null&gt;"/>
    <s v="&lt;null&gt;"/>
    <n v="100"/>
    <s v="&lt;null&gt;"/>
    <s v="&lt;null&gt;"/>
    <s v="&lt;null&gt;"/>
    <s v="&lt;null&gt;"/>
    <m/>
    <m/>
    <m/>
    <m/>
  </r>
  <r>
    <x v="1293"/>
    <x v="1293"/>
    <s v="Verkeersveiligheid"/>
    <x v="4"/>
    <n v="2002"/>
    <s v="IN/001609"/>
    <s v="Overijse Oversteek N253 Dreef x Kouterstraat"/>
    <s v="Plan op te maken.\nIn het verleden werd afgesproken dat gemeente Overijse ervoor zou zorgen dat er voldoende ruimte zou vrijblijven bij hertracering IJse om een oversteek met middenberm aan te brengen. \n\nDossier IJse loopt vertraging op.\nAfspraak: AWV "/>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2003"/>
    <s v="IN/001610"/>
    <s v="R36 Kortrijk - pleinafwerking KOS015"/>
    <s v="&lt;null&gt;"/>
    <s v="Structurele Ingreep"/>
    <s v="WWV/INV/R36/3"/>
    <b v="0"/>
    <s v="Ingreep wordt niet opgevolgd in BOD"/>
    <s v="&lt;null&gt;"/>
    <s v="&lt;null&gt;"/>
    <s v="&lt;null&gt;"/>
    <s v="&lt;null&gt;"/>
    <s v="&lt;null&gt;"/>
    <x v="0"/>
    <s v="&lt;null&gt;"/>
    <s v="&lt;null&gt;"/>
    <s v="&lt;null&gt;"/>
    <s v="&lt;null&gt;"/>
    <s v="&lt;null&gt;"/>
    <s v="&lt;null&gt;"/>
    <s v="&lt;null&gt;"/>
    <s v="&lt;null&gt;"/>
    <s v="&lt;null&gt;"/>
    <m/>
    <m/>
    <m/>
    <m/>
  </r>
  <r>
    <x v="18"/>
    <x v="18"/>
    <s v="&lt;null&gt;"/>
    <x v="3"/>
    <n v="2004"/>
    <s v="IN/001611"/>
    <s v="N253-Herinrichting E40-Vloedgroebe (Leuven-Bertem)"/>
    <s v="&lt;null&gt;"/>
    <s v="Structurele Ingreep"/>
    <s v="WVB/INV/N253/1"/>
    <b v="0"/>
    <s v="Ingreep wordt niet opgevolgd in BOD"/>
    <s v="&lt;null&gt;"/>
    <s v="&lt;null&gt;"/>
    <s v="&lt;null&gt;"/>
    <s v="&lt;null&gt;"/>
    <s v="&lt;null&gt;"/>
    <x v="0"/>
    <s v="&lt;null&gt;"/>
    <s v="&lt;null&gt;"/>
    <s v="&lt;null&gt;"/>
    <s v="&lt;null&gt;"/>
    <s v="&lt;null&gt;"/>
    <s v="&lt;null&gt;"/>
    <s v="&lt;null&gt;"/>
    <s v="&lt;null&gt;"/>
    <s v="&lt;null&gt;"/>
    <m/>
    <m/>
    <m/>
    <m/>
  </r>
  <r>
    <x v="1294"/>
    <x v="1294"/>
    <s v="Verkeersveiligheid"/>
    <x v="4"/>
    <n v="2005"/>
    <s v="IN/001612"/>
    <s v="Aanleg dubbelrichtingsfietspad westzijde N78"/>
    <s v="&lt;null&gt;"/>
    <s v="Kleine Ingreep"/>
    <s v="WL/INV/N78/32"/>
    <b v="1"/>
    <s v="Ingreep wordt opgevolgd in BOD"/>
    <n v="12817"/>
    <s v="AWV/INV/2021/3_P5"/>
    <n v="135951"/>
    <n v="22015560"/>
    <s v="&lt;p&gt;gevaarlijke punten, scholenroutes&lt;/p&gt;"/>
    <x v="14"/>
    <n v="9811"/>
    <s v="Dilsen-Stokkem_N78_KS024_32.045"/>
    <s v="&lt;null&gt;"/>
    <s v="WL/INV/N78/32"/>
    <n v="100"/>
    <n v="50000"/>
    <n v="0"/>
    <n v="0"/>
    <n v="19838.64"/>
    <n v="50000"/>
    <n v="0"/>
    <n v="0"/>
    <n v="19838.64"/>
  </r>
  <r>
    <x v="18"/>
    <x v="18"/>
    <s v="&lt;null&gt;"/>
    <x v="3"/>
    <n v="2006"/>
    <s v="IN/001613"/>
    <s v="A12.DP02 - Aanpassing complex 3 Wolvertem (Meise)"/>
    <s v="&lt;null&gt;"/>
    <s v="Structurele Ingreep"/>
    <s v="WVB/INV/A12/4"/>
    <b v="0"/>
    <s v="Ingreep wordt niet opgevolgd in BOD"/>
    <s v="&lt;null&gt;"/>
    <s v="&lt;null&gt;"/>
    <s v="&lt;null&gt;"/>
    <s v="&lt;null&gt;"/>
    <s v="&lt;null&gt;"/>
    <x v="0"/>
    <s v="&lt;null&gt;"/>
    <s v="&lt;null&gt;"/>
    <s v="&lt;null&gt;"/>
    <s v="&lt;null&gt;"/>
    <s v="&lt;null&gt;"/>
    <s v="&lt;null&gt;"/>
    <s v="&lt;null&gt;"/>
    <s v="&lt;null&gt;"/>
    <s v="&lt;null&gt;"/>
    <m/>
    <m/>
    <m/>
    <m/>
  </r>
  <r>
    <x v="18"/>
    <x v="18"/>
    <s v="&lt;null&gt;"/>
    <x v="3"/>
    <n v="2007"/>
    <s v="IN/001614"/>
    <s v="A12.DP03 - Ecoduct Neromhof (Meise)"/>
    <s v="&lt;null&gt;"/>
    <s v="Structurele Ingreep"/>
    <s v="WVB/INV/A12/3"/>
    <b v="0"/>
    <s v="Ingreep wordt niet opgevolgd in BOD"/>
    <s v="&lt;null&gt;"/>
    <s v="&lt;null&gt;"/>
    <s v="&lt;null&gt;"/>
    <s v="&lt;null&gt;"/>
    <s v="&lt;null&gt;"/>
    <x v="0"/>
    <s v="&lt;null&gt;"/>
    <s v="&lt;null&gt;"/>
    <s v="&lt;null&gt;"/>
    <s v="&lt;null&gt;"/>
    <s v="&lt;null&gt;"/>
    <s v="&lt;null&gt;"/>
    <s v="&lt;null&gt;"/>
    <s v="&lt;null&gt;"/>
    <s v="&lt;null&gt;"/>
    <m/>
    <m/>
    <m/>
    <m/>
  </r>
  <r>
    <x v="146"/>
    <x v="146"/>
    <s v="Fiets"/>
    <x v="0"/>
    <n v="2008"/>
    <s v="IN/001615"/>
    <s v="A12.DP04 - Fietssnelweg F28 Wolvertem-Londerzeel"/>
    <s v="&lt;null&gt;"/>
    <s v="Structurele Ingreep"/>
    <s v="WVB/INV/A12/5"/>
    <b v="0"/>
    <s v="Ingreep wordt niet opgevolgd in BOD"/>
    <s v="&lt;null&gt;"/>
    <s v="&lt;null&gt;"/>
    <s v="&lt;null&gt;"/>
    <s v="&lt;null&gt;"/>
    <s v="&lt;null&gt;"/>
    <x v="0"/>
    <s v="&lt;null&gt;"/>
    <s v="&lt;null&gt;"/>
    <s v="&lt;null&gt;"/>
    <s v="&lt;null&gt;"/>
    <n v="100"/>
    <s v="&lt;null&gt;"/>
    <s v="&lt;null&gt;"/>
    <s v="&lt;null&gt;"/>
    <s v="&lt;null&gt;"/>
    <m/>
    <m/>
    <m/>
    <m/>
  </r>
  <r>
    <x v="18"/>
    <x v="18"/>
    <s v="&lt;null&gt;"/>
    <x v="3"/>
    <n v="2009"/>
    <s v="IN/001616"/>
    <s v="A12.DP06 - Aanleg knooppunt Londerzeel-Noord"/>
    <s v="&lt;null&gt;"/>
    <s v="Structurele Ingreep"/>
    <s v="WVB/INV/A12/2"/>
    <b v="0"/>
    <s v="Ingreep wordt niet opgevolgd in BOD"/>
    <s v="&lt;null&gt;"/>
    <s v="&lt;null&gt;"/>
    <s v="&lt;null&gt;"/>
    <s v="&lt;null&gt;"/>
    <s v="&lt;null&gt;"/>
    <x v="0"/>
    <s v="&lt;null&gt;"/>
    <s v="&lt;null&gt;"/>
    <s v="&lt;null&gt;"/>
    <s v="&lt;null&gt;"/>
    <s v="&lt;null&gt;"/>
    <s v="&lt;null&gt;"/>
    <s v="&lt;null&gt;"/>
    <s v="&lt;null&gt;"/>
    <s v="&lt;null&gt;"/>
    <m/>
    <m/>
    <m/>
    <m/>
  </r>
  <r>
    <x v="1295"/>
    <x v="1295"/>
    <s v="Verkeersveiligheid"/>
    <x v="4"/>
    <n v="2010"/>
    <s v="IN/001617"/>
    <s v="Aanleg VOP  + verlagen boordstenen"/>
    <s v="&lt;null&gt;"/>
    <s v="Kleine Ingreep"/>
    <s v="WL/INV/N746/6"/>
    <b v="0"/>
    <s v="Ingreep wordt niet opgevolgd in BOD"/>
    <s v="&lt;null&gt;"/>
    <s v="&lt;null&gt;"/>
    <s v="&lt;null&gt;"/>
    <s v="&lt;null&gt;"/>
    <s v="&lt;null&gt;"/>
    <x v="0"/>
    <s v="&lt;null&gt;"/>
    <s v="&lt;null&gt;"/>
    <s v="&lt;null&gt;"/>
    <s v="&lt;null&gt;"/>
    <n v="100"/>
    <s v="&lt;null&gt;"/>
    <s v="&lt;null&gt;"/>
    <s v="&lt;null&gt;"/>
    <s v="&lt;null&gt;"/>
    <m/>
    <m/>
    <m/>
    <m/>
  </r>
  <r>
    <x v="558"/>
    <x v="558"/>
    <s v="Verkeersveiligheid"/>
    <x v="1"/>
    <n v="2011"/>
    <s v="IN/001618"/>
    <s v="A12.DP07 - Omvorming: Kruispunt Duvel + N16 Oost"/>
    <s v="&lt;null&gt;"/>
    <s v="Structurele Ingreep"/>
    <s v="WA/INV/A12/8"/>
    <b v="0"/>
    <s v="Ingreep wordt niet opgevolgd in BOD"/>
    <s v="&lt;null&gt;"/>
    <s v="&lt;null&gt;"/>
    <s v="&lt;null&gt;"/>
    <s v="&lt;null&gt;"/>
    <s v="&lt;null&gt;"/>
    <x v="0"/>
    <s v="&lt;null&gt;"/>
    <s v="&lt;null&gt;"/>
    <s v="&lt;null&gt;"/>
    <s v="&lt;null&gt;"/>
    <n v="80"/>
    <s v="&lt;null&gt;"/>
    <s v="&lt;null&gt;"/>
    <s v="&lt;null&gt;"/>
    <s v="&lt;null&gt;"/>
    <m/>
    <m/>
    <m/>
    <m/>
  </r>
  <r>
    <x v="1296"/>
    <x v="1296"/>
    <s v="Verkeersveiligheid"/>
    <x v="4"/>
    <n v="2012"/>
    <s v="IN/001619"/>
    <s v="dubbelrichtingsfietspad + FOP in fietslogoverbinding (PM via MC3 nog aan te stellen)"/>
    <s v="meer complex doordat spoorovergang aangepast dient te worden)"/>
    <s v="Kleine Ingreep"/>
    <s v="WL/INV/N746/9"/>
    <b v="0"/>
    <s v="Ingreep wordt niet opgevolgd in BOD"/>
    <s v="&lt;null&gt;"/>
    <s v="&lt;null&gt;"/>
    <s v="&lt;null&gt;"/>
    <s v="&lt;null&gt;"/>
    <s v="&lt;null&gt;"/>
    <x v="0"/>
    <s v="&lt;null&gt;"/>
    <s v="&lt;null&gt;"/>
    <s v="&lt;null&gt;"/>
    <s v="&lt;null&gt;"/>
    <n v="100"/>
    <s v="&lt;null&gt;"/>
    <s v="&lt;null&gt;"/>
    <s v="&lt;null&gt;"/>
    <s v="&lt;null&gt;"/>
    <m/>
    <m/>
    <m/>
    <m/>
  </r>
  <r>
    <x v="18"/>
    <x v="18"/>
    <s v="&lt;null&gt;"/>
    <x v="3"/>
    <n v="2014"/>
    <s v="IN/001621"/>
    <s v="A4 - Geluidsschermen Jezus-Eik (Overijse)"/>
    <s v="&lt;null&gt;"/>
    <s v="Structurele Ingreep"/>
    <s v="WVB/INV/A4/1"/>
    <b v="0"/>
    <s v="Ingreep wordt niet opgevolgd in BOD"/>
    <s v="&lt;null&gt;"/>
    <s v="&lt;null&gt;"/>
    <s v="&lt;null&gt;"/>
    <s v="&lt;null&gt;"/>
    <s v="&lt;null&gt;"/>
    <x v="0"/>
    <s v="&lt;null&gt;"/>
    <s v="&lt;null&gt;"/>
    <s v="&lt;null&gt;"/>
    <s v="&lt;null&gt;"/>
    <s v="&lt;null&gt;"/>
    <s v="&lt;null&gt;"/>
    <s v="&lt;null&gt;"/>
    <s v="&lt;null&gt;"/>
    <s v="&lt;null&gt;"/>
    <m/>
    <m/>
    <m/>
    <m/>
  </r>
  <r>
    <x v="447"/>
    <x v="447"/>
    <s v="Verkeersveiligheid"/>
    <x v="1"/>
    <n v="2015"/>
    <s v="IN/001622"/>
    <s v="A8 - Bouw voetgangersbruggen (Halle)"/>
    <s v="&lt;null&gt;"/>
    <s v="Structurele Ingreep"/>
    <s v="WVB/INV/A8/1"/>
    <b v="0"/>
    <s v="Ingreep wordt niet opgevolgd in BOD"/>
    <s v="&lt;null&gt;"/>
    <s v="&lt;null&gt;"/>
    <s v="&lt;null&gt;"/>
    <s v="&lt;null&gt;"/>
    <s v="&lt;null&gt;"/>
    <x v="0"/>
    <s v="&lt;null&gt;"/>
    <s v="&lt;null&gt;"/>
    <s v="&lt;null&gt;"/>
    <s v="&lt;null&gt;"/>
    <n v="100"/>
    <s v="&lt;null&gt;"/>
    <s v="&lt;null&gt;"/>
    <s v="&lt;null&gt;"/>
    <s v="&lt;null&gt;"/>
    <m/>
    <m/>
    <m/>
    <m/>
  </r>
  <r>
    <x v="1297"/>
    <x v="1297"/>
    <s v="Verkeersveiligheid"/>
    <x v="4"/>
    <n v="2016"/>
    <s v="IN/001623"/>
    <s v="Greppel opvullen bij fietspad (door district West Limburg)"/>
    <s v="&lt;null&gt;"/>
    <s v="Kleine Ingreep"/>
    <s v="WL/INV/N746/2"/>
    <b v="1"/>
    <s v="Ingreep wordt opgevolgd in BOD"/>
    <n v="10716"/>
    <s v="WL/INV/2021/1"/>
    <n v="75151"/>
    <n v="21016031"/>
    <s v="&lt;p&gt;Vastlegging WL/INV/2021/1&lt;/p&gt;"/>
    <x v="2"/>
    <n v="5781"/>
    <s v="KS179"/>
    <s v="&lt;p&gt;aanpassingen schoolroutes&amp;nbsp;&lt;/p&gt;"/>
    <s v="WL/INV/N746/2"/>
    <n v="100"/>
    <n v="2300"/>
    <n v="0"/>
    <n v="2300"/>
    <n v="0"/>
    <n v="2300"/>
    <n v="0"/>
    <n v="2300"/>
    <n v="0"/>
  </r>
  <r>
    <x v="18"/>
    <x v="18"/>
    <s v="&lt;null&gt;"/>
    <x v="3"/>
    <n v="2017"/>
    <s v="IN/001624"/>
    <s v="E314 - Herinrichting afrit 20 Vuntcomplex (Leuven)"/>
    <s v="&lt;null&gt;"/>
    <s v="Structurele Ingreep"/>
    <s v="WVB/INV/N019E/1"/>
    <b v="0"/>
    <s v="Ingreep wordt niet opgevolgd in BOD"/>
    <s v="&lt;null&gt;"/>
    <s v="&lt;null&gt;"/>
    <s v="&lt;null&gt;"/>
    <s v="&lt;null&gt;"/>
    <s v="&lt;null&gt;"/>
    <x v="0"/>
    <s v="&lt;null&gt;"/>
    <s v="&lt;null&gt;"/>
    <s v="&lt;null&gt;"/>
    <s v="&lt;null&gt;"/>
    <s v="&lt;null&gt;"/>
    <s v="&lt;null&gt;"/>
    <s v="&lt;null&gt;"/>
    <s v="&lt;null&gt;"/>
    <s v="&lt;null&gt;"/>
    <m/>
    <m/>
    <m/>
    <m/>
  </r>
  <r>
    <x v="1298"/>
    <x v="1298"/>
    <s v="Verkeersveiligheid"/>
    <x v="6"/>
    <n v="2018"/>
    <s v="IN/001625"/>
    <s v="N208 - Aanpassing complex A10 (Affligem)"/>
    <s v="Op- en afrittecomplex aanpassen door aanleg van een rotonde/keerpunt.\n"/>
    <s v="Structurele Ingreep"/>
    <s v="WVB/INV/N208/1"/>
    <b v="1"/>
    <s v="Ingreep wordt opgevolgd in BOD"/>
    <n v="10875"/>
    <s v="X70/0/338-p3"/>
    <n v="81501"/>
    <n v="21011288"/>
    <s v="&lt;p&gt;Vastlegging 4de jaar&lt;/p&gt;"/>
    <x v="6"/>
    <n v="7318"/>
    <s v="N208 Aanpassing complex A10 (Affligem)"/>
    <s v="&lt;null&gt;"/>
    <s v="WVB/INV/N208/1"/>
    <n v="100"/>
    <n v="4675"/>
    <n v="4675"/>
    <n v="0"/>
    <n v="0"/>
    <n v="4675"/>
    <n v="4675"/>
    <n v="0"/>
    <n v="0"/>
  </r>
  <r>
    <x v="1299"/>
    <x v="1299"/>
    <s v="Verkeersveiligheid"/>
    <x v="4"/>
    <n v="2019"/>
    <s v="IN/001626"/>
    <s v="Verplaatsen VOP"/>
    <s v="&lt;null&gt;"/>
    <s v="Kleine Ingreep"/>
    <s v="WL/INV/N730/25"/>
    <b v="1"/>
    <s v="Ingreep wordt opgevolgd in BOD"/>
    <n v="12817"/>
    <s v="AWV/INV/2021/3_P5"/>
    <n v="135951"/>
    <n v="22015560"/>
    <s v="&lt;p&gt;gevaarlijke punten, scholenroutes&lt;/p&gt;"/>
    <x v="14"/>
    <n v="9827"/>
    <s v="Oudsbergen_N730_KS237_38.800"/>
    <s v="&lt;null&gt;"/>
    <s v="WL/INV/N730/25"/>
    <n v="100"/>
    <n v="16000"/>
    <n v="0"/>
    <n v="0"/>
    <n v="699.69"/>
    <n v="16000"/>
    <n v="0"/>
    <n v="0"/>
    <n v="699.69"/>
  </r>
  <r>
    <x v="18"/>
    <x v="18"/>
    <s v="&lt;null&gt;"/>
    <x v="3"/>
    <n v="2020"/>
    <s v="IN/001627"/>
    <s v="R0 - Geluidsschermen (Wezembeek-Oppem &amp; Kraainem)"/>
    <s v="&lt;null&gt;"/>
    <s v="Structurele Ingreep"/>
    <s v="WVB/INV/R0/1"/>
    <b v="0"/>
    <s v="Ingreep wordt niet opgevolgd in BOD"/>
    <s v="&lt;null&gt;"/>
    <s v="&lt;null&gt;"/>
    <s v="&lt;null&gt;"/>
    <s v="&lt;null&gt;"/>
    <s v="&lt;null&gt;"/>
    <x v="0"/>
    <s v="&lt;null&gt;"/>
    <s v="&lt;null&gt;"/>
    <s v="&lt;null&gt;"/>
    <s v="&lt;null&gt;"/>
    <s v="&lt;null&gt;"/>
    <s v="&lt;null&gt;"/>
    <s v="&lt;null&gt;"/>
    <s v="&lt;null&gt;"/>
    <s v="&lt;null&gt;"/>
    <m/>
    <m/>
    <m/>
    <m/>
  </r>
  <r>
    <x v="18"/>
    <x v="18"/>
    <s v="&lt;null&gt;"/>
    <x v="3"/>
    <n v="2021"/>
    <s v="IN/001628"/>
    <s v="R0 - Ingrepen afwatering Tervuren"/>
    <s v="&lt;null&gt;"/>
    <s v="Structurele Ingreep"/>
    <s v="WVB/INV/R0/3"/>
    <b v="0"/>
    <s v="Ingreep wordt niet opgevolgd in BOD"/>
    <s v="&lt;null&gt;"/>
    <s v="&lt;null&gt;"/>
    <s v="&lt;null&gt;"/>
    <s v="&lt;null&gt;"/>
    <s v="&lt;null&gt;"/>
    <x v="0"/>
    <s v="&lt;null&gt;"/>
    <s v="&lt;null&gt;"/>
    <s v="&lt;null&gt;"/>
    <s v="&lt;null&gt;"/>
    <s v="&lt;null&gt;"/>
    <s v="&lt;null&gt;"/>
    <s v="&lt;null&gt;"/>
    <s v="&lt;null&gt;"/>
    <s v="&lt;null&gt;"/>
    <m/>
    <m/>
    <m/>
    <m/>
  </r>
  <r>
    <x v="18"/>
    <x v="18"/>
    <s v="&lt;null&gt;"/>
    <x v="3"/>
    <n v="2022"/>
    <s v="IN/001629"/>
    <s v="R0 - Vervanging geluidschermen (Beersel-Drogenbos)"/>
    <s v="&lt;null&gt;"/>
    <s v="Structurele Ingreep"/>
    <s v="WVB/INV/R0/2"/>
    <b v="0"/>
    <s v="Ingreep wordt niet opgevolgd in BOD"/>
    <s v="&lt;null&gt;"/>
    <s v="&lt;null&gt;"/>
    <s v="&lt;null&gt;"/>
    <s v="&lt;null&gt;"/>
    <s v="&lt;null&gt;"/>
    <x v="0"/>
    <s v="&lt;null&gt;"/>
    <s v="&lt;null&gt;"/>
    <s v="&lt;null&gt;"/>
    <s v="&lt;null&gt;"/>
    <s v="&lt;null&gt;"/>
    <s v="&lt;null&gt;"/>
    <s v="&lt;null&gt;"/>
    <s v="&lt;null&gt;"/>
    <s v="&lt;null&gt;"/>
    <m/>
    <m/>
    <m/>
    <m/>
  </r>
  <r>
    <x v="18"/>
    <x v="18"/>
    <s v="&lt;null&gt;"/>
    <x v="3"/>
    <n v="2023"/>
    <s v="IN/001630"/>
    <s v="R22 - Aanleg F214 &amp; aanpassing rotonde 'De Vuist'"/>
    <s v="&lt;null&gt;"/>
    <s v="Structurele Ingreep"/>
    <s v="WVB/INV/R22/2"/>
    <b v="0"/>
    <s v="Ingreep wordt niet opgevolgd in BOD"/>
    <s v="&lt;null&gt;"/>
    <s v="&lt;null&gt;"/>
    <s v="&lt;null&gt;"/>
    <s v="&lt;null&gt;"/>
    <s v="&lt;null&gt;"/>
    <x v="0"/>
    <s v="&lt;null&gt;"/>
    <s v="&lt;null&gt;"/>
    <s v="&lt;null&gt;"/>
    <s v="&lt;null&gt;"/>
    <s v="&lt;null&gt;"/>
    <s v="&lt;null&gt;"/>
    <s v="&lt;null&gt;"/>
    <s v="&lt;null&gt;"/>
    <s v="&lt;null&gt;"/>
    <m/>
    <m/>
    <m/>
    <m/>
  </r>
  <r>
    <x v="18"/>
    <x v="18"/>
    <s v="&lt;null&gt;"/>
    <x v="3"/>
    <n v="2024"/>
    <s v="IN/001631"/>
    <s v="structureel onderhoud rijweg en FP VVR Kempen"/>
    <s v="&lt;null&gt;"/>
    <s v="Structurele Ingreep"/>
    <s v="WA/INV/VVR/1"/>
    <b v="0"/>
    <s v="Ingreep wordt niet opgevolgd in BOD"/>
    <s v="&lt;null&gt;"/>
    <s v="&lt;null&gt;"/>
    <s v="&lt;null&gt;"/>
    <s v="&lt;null&gt;"/>
    <s v="&lt;null&gt;"/>
    <x v="0"/>
    <s v="&lt;null&gt;"/>
    <s v="&lt;null&gt;"/>
    <s v="&lt;null&gt;"/>
    <s v="&lt;null&gt;"/>
    <s v="&lt;null&gt;"/>
    <s v="&lt;null&gt;"/>
    <s v="&lt;null&gt;"/>
    <s v="&lt;null&gt;"/>
    <s v="&lt;null&gt;"/>
    <m/>
    <m/>
    <m/>
    <m/>
  </r>
  <r>
    <x v="18"/>
    <x v="18"/>
    <s v="&lt;null&gt;"/>
    <x v="3"/>
    <n v="2025"/>
    <s v="IN/001632"/>
    <s v="structureel onderhoud rijweg en fietspaden VVR Kem"/>
    <s v="WA/INV/2022/1"/>
    <s v="Structurele Ingreep"/>
    <s v="&lt;null&gt;"/>
    <b v="0"/>
    <s v="Ingreep wordt niet opgevolgd in BOD"/>
    <s v="&lt;null&gt;"/>
    <s v="&lt;null&gt;"/>
    <s v="&lt;null&gt;"/>
    <s v="&lt;null&gt;"/>
    <s v="&lt;null&gt;"/>
    <x v="0"/>
    <s v="&lt;null&gt;"/>
    <s v="&lt;null&gt;"/>
    <s v="&lt;null&gt;"/>
    <s v="&lt;null&gt;"/>
    <s v="&lt;null&gt;"/>
    <s v="&lt;null&gt;"/>
    <s v="&lt;null&gt;"/>
    <s v="&lt;null&gt;"/>
    <s v="&lt;null&gt;"/>
    <m/>
    <m/>
    <m/>
    <m/>
  </r>
  <r>
    <x v="1300"/>
    <x v="1300"/>
    <s v="Fiets"/>
    <x v="0"/>
    <n v="2026"/>
    <s v="IN/001633"/>
    <s v="N2 - Herent Fietspaden Termere - Oikotenweg"/>
    <s v="&lt;null&gt;"/>
    <s v="Structurele Ingreep"/>
    <s v="WVB/INV/N2/4"/>
    <b v="0"/>
    <s v="Ingreep wordt niet opgevolgd in BOD"/>
    <s v="&lt;null&gt;"/>
    <s v="&lt;null&gt;"/>
    <s v="&lt;null&gt;"/>
    <s v="&lt;null&gt;"/>
    <s v="&lt;null&gt;"/>
    <x v="0"/>
    <s v="&lt;null&gt;"/>
    <s v="&lt;null&gt;"/>
    <s v="&lt;null&gt;"/>
    <s v="&lt;null&gt;"/>
    <n v="100"/>
    <s v="&lt;null&gt;"/>
    <s v="&lt;null&gt;"/>
    <s v="&lt;null&gt;"/>
    <s v="&lt;null&gt;"/>
    <m/>
    <m/>
    <m/>
    <m/>
  </r>
  <r>
    <x v="1301"/>
    <x v="1301"/>
    <s v="Verkeersveiligheid"/>
    <x v="4"/>
    <n v="2027"/>
    <s v="IN/001634"/>
    <s v="Aanpassen bushalte + aanleg voetpad bushalte-kruispunt (aan te stellen PM studiebureau via MC3)"/>
    <s v="Bus zal gaan halteren op de rijbaan om veiligvoetpad naar kruispunt te creëren"/>
    <s v="Kleine Ingreep"/>
    <s v="WL/INV/N78/33"/>
    <b v="0"/>
    <s v="Ingreep wordt niet opgevolgd in BOD"/>
    <s v="&lt;null&gt;"/>
    <s v="&lt;null&gt;"/>
    <s v="&lt;null&gt;"/>
    <s v="&lt;null&gt;"/>
    <s v="&lt;null&gt;"/>
    <x v="0"/>
    <s v="&lt;null&gt;"/>
    <s v="&lt;null&gt;"/>
    <s v="&lt;null&gt;"/>
    <s v="&lt;null&gt;"/>
    <n v="100"/>
    <s v="&lt;null&gt;"/>
    <s v="&lt;null&gt;"/>
    <s v="&lt;null&gt;"/>
    <s v="&lt;null&gt;"/>
    <m/>
    <m/>
    <m/>
    <m/>
  </r>
  <r>
    <x v="1302"/>
    <x v="1302"/>
    <s v="Verkeersveiligheid"/>
    <x v="4"/>
    <n v="2028"/>
    <s v="IN/001635"/>
    <s v="Fietsers uit de voorrang op rotonde (PM studiebureau aan te stellen via MC3)"/>
    <s v="Fietsers uit de voorrang op rotonde."/>
    <s v="Kleine Ingreep"/>
    <s v="WL/INV/N719/11"/>
    <b v="0"/>
    <s v="Ingreep wordt niet opgevolgd in BOD"/>
    <s v="&lt;null&gt;"/>
    <s v="&lt;null&gt;"/>
    <s v="&lt;null&gt;"/>
    <s v="&lt;null&gt;"/>
    <s v="&lt;null&gt;"/>
    <x v="0"/>
    <s v="&lt;null&gt;"/>
    <s v="&lt;null&gt;"/>
    <s v="&lt;null&gt;"/>
    <s v="&lt;null&gt;"/>
    <n v="100"/>
    <s v="&lt;null&gt;"/>
    <s v="&lt;null&gt;"/>
    <s v="&lt;null&gt;"/>
    <s v="&lt;null&gt;"/>
    <m/>
    <m/>
    <m/>
    <m/>
  </r>
  <r>
    <x v="63"/>
    <x v="63"/>
    <s v="Fiets"/>
    <x v="0"/>
    <n v="2029"/>
    <s v="IN/001636"/>
    <s v="X21/N25/14 - Str.ond. en optimalisatie bus/fiets"/>
    <s v="&lt;null&gt;"/>
    <s v="Structurele Ingreep"/>
    <s v="WVB/INV/N25/3"/>
    <b v="0"/>
    <s v="Ingreep wordt niet opgevolgd in BOD"/>
    <s v="&lt;null&gt;"/>
    <s v="&lt;null&gt;"/>
    <s v="&lt;null&gt;"/>
    <s v="&lt;null&gt;"/>
    <s v="&lt;null&gt;"/>
    <x v="0"/>
    <s v="&lt;null&gt;"/>
    <s v="&lt;null&gt;"/>
    <s v="&lt;null&gt;"/>
    <s v="&lt;null&gt;"/>
    <n v="20"/>
    <s v="&lt;null&gt;"/>
    <s v="&lt;null&gt;"/>
    <s v="&lt;null&gt;"/>
    <s v="&lt;null&gt;"/>
    <m/>
    <m/>
    <m/>
    <m/>
  </r>
  <r>
    <x v="1303"/>
    <x v="1303"/>
    <s v="Verkeersveiligheid"/>
    <x v="4"/>
    <n v="2030"/>
    <s v="IN/001637"/>
    <s v="kruispunt herinrichten (PM Sweco Jente Vercammen)"/>
    <s v="Herinrichting: voorrangsplein of verbrede middenberm"/>
    <s v="Kleine Ingreep"/>
    <s v="WL/INV/N72/23"/>
    <b v="0"/>
    <s v="Ingreep wordt niet opgevolgd in BOD"/>
    <s v="&lt;null&gt;"/>
    <s v="&lt;null&gt;"/>
    <s v="&lt;null&gt;"/>
    <s v="&lt;null&gt;"/>
    <s v="&lt;null&gt;"/>
    <x v="0"/>
    <s v="&lt;null&gt;"/>
    <s v="&lt;null&gt;"/>
    <s v="&lt;null&gt;"/>
    <s v="&lt;null&gt;"/>
    <n v="100"/>
    <s v="&lt;null&gt;"/>
    <s v="&lt;null&gt;"/>
    <s v="&lt;null&gt;"/>
    <s v="&lt;null&gt;"/>
    <m/>
    <m/>
    <m/>
    <m/>
  </r>
  <r>
    <x v="18"/>
    <x v="18"/>
    <s v="&lt;null&gt;"/>
    <x v="3"/>
    <n v="2031"/>
    <s v="IN/001638"/>
    <s v="N10 - Begijnendijk: Herinrichting Liersesteenweg"/>
    <s v="&lt;null&gt;"/>
    <s v="Structurele Ingreep"/>
    <s v="WVB/INV/N10/4"/>
    <b v="0"/>
    <s v="Ingreep wordt niet opgevolgd in BOD"/>
    <s v="&lt;null&gt;"/>
    <s v="&lt;null&gt;"/>
    <s v="&lt;null&gt;"/>
    <s v="&lt;null&gt;"/>
    <s v="&lt;null&gt;"/>
    <x v="0"/>
    <s v="&lt;null&gt;"/>
    <s v="&lt;null&gt;"/>
    <s v="&lt;null&gt;"/>
    <s v="&lt;null&gt;"/>
    <s v="&lt;null&gt;"/>
    <s v="&lt;null&gt;"/>
    <s v="&lt;null&gt;"/>
    <s v="&lt;null&gt;"/>
    <s v="&lt;null&gt;"/>
    <m/>
    <m/>
    <m/>
    <m/>
  </r>
  <r>
    <x v="18"/>
    <x v="18"/>
    <s v="&lt;null&gt;"/>
    <x v="3"/>
    <n v="2032"/>
    <s v="IN/001639"/>
    <s v="N2 - Doortocht Kortenberg"/>
    <s v="&lt;null&gt;"/>
    <s v="Structurele Ingreep"/>
    <s v="WVB/INV/N2/3"/>
    <b v="0"/>
    <s v="Ingreep wordt niet opgevolgd in BOD"/>
    <s v="&lt;null&gt;"/>
    <s v="&lt;null&gt;"/>
    <s v="&lt;null&gt;"/>
    <s v="&lt;null&gt;"/>
    <s v="&lt;null&gt;"/>
    <x v="0"/>
    <s v="&lt;null&gt;"/>
    <s v="&lt;null&gt;"/>
    <s v="&lt;null&gt;"/>
    <s v="&lt;null&gt;"/>
    <s v="&lt;null&gt;"/>
    <s v="&lt;null&gt;"/>
    <s v="&lt;null&gt;"/>
    <s v="&lt;null&gt;"/>
    <s v="&lt;null&gt;"/>
    <m/>
    <m/>
    <m/>
    <m/>
  </r>
  <r>
    <x v="337"/>
    <x v="337"/>
    <s v="Verkeersveiligheid"/>
    <x v="1"/>
    <n v="2033"/>
    <s v="IN/001640"/>
    <s v="N26 - Boortmeerbeek - Trianonlaan x Stationstraat"/>
    <s v="&lt;null&gt;"/>
    <s v="Structurele Ingreep"/>
    <s v="WVB/INV/N26/7"/>
    <b v="1"/>
    <s v="Ingreep wordt opgevolgd in BOD"/>
    <n v="10166"/>
    <s v="MDN/59-4"/>
    <n v="104951"/>
    <n v="21064254"/>
    <s v="&lt;p&gt;Relance VRI - aanpak van gevaarlijke punten in de provincie Vlaams-Brabant 2022-2023.&lt;br&gt;&lt;br&gt;Budget voor aanpassingen aan de buiteninstallatie verkeerslichten op verkeerslichtengeregelde kruispunten die opgenomen zijn in de dynamische lijst gevaarlijke"/>
    <x v="4"/>
    <n v="9855"/>
    <s v="Installatie 927C1 - N26 Leuvensesteenweg x N267 Trianonlaan x Stationstraat 'Den Tip' - BOORTMEERBEEK"/>
    <s v="&lt;p&gt;Herinrichting gevaarlijk punt: schrappen van bypassen tijdens wegenisproject midden 2023. Uitgebreide detectie volgens actieplan.&lt;/p&gt;"/>
    <s v="WVB/INV/N26/7"/>
    <n v="30"/>
    <n v="110000"/>
    <n v="0"/>
    <n v="0"/>
    <n v="8680.01"/>
    <n v="33000"/>
    <n v="0"/>
    <n v="0"/>
    <n v="2604.0030000000002"/>
  </r>
  <r>
    <x v="18"/>
    <x v="18"/>
    <s v="&lt;null&gt;"/>
    <x v="3"/>
    <n v="2034"/>
    <s v="IN/001641"/>
    <s v="R23 - HeRINGrichting Leuven"/>
    <s v="&lt;null&gt;"/>
    <s v="Structurele Ingreep"/>
    <s v="WVB/INV/R23/6"/>
    <b v="0"/>
    <s v="Ingreep wordt niet opgevolgd in BOD"/>
    <s v="&lt;null&gt;"/>
    <s v="&lt;null&gt;"/>
    <s v="&lt;null&gt;"/>
    <s v="&lt;null&gt;"/>
    <s v="&lt;null&gt;"/>
    <x v="0"/>
    <s v="&lt;null&gt;"/>
    <s v="&lt;null&gt;"/>
    <s v="&lt;null&gt;"/>
    <s v="&lt;null&gt;"/>
    <s v="&lt;null&gt;"/>
    <s v="&lt;null&gt;"/>
    <s v="&lt;null&gt;"/>
    <s v="&lt;null&gt;"/>
    <s v="&lt;null&gt;"/>
    <m/>
    <m/>
    <m/>
    <m/>
  </r>
  <r>
    <x v="18"/>
    <x v="18"/>
    <s v="&lt;null&gt;"/>
    <x v="3"/>
    <n v="2035"/>
    <s v="IN/001642"/>
    <s v="N80 Landen fietspaden en uitbreiding carpoolparkin"/>
    <s v="&lt;null&gt;"/>
    <s v="Structurele Ingreep"/>
    <s v="WVB/INV/N80/2"/>
    <b v="0"/>
    <s v="Ingreep wordt niet opgevolgd in BOD"/>
    <s v="&lt;null&gt;"/>
    <s v="&lt;null&gt;"/>
    <s v="&lt;null&gt;"/>
    <s v="&lt;null&gt;"/>
    <s v="&lt;null&gt;"/>
    <x v="0"/>
    <s v="&lt;null&gt;"/>
    <s v="&lt;null&gt;"/>
    <s v="&lt;null&gt;"/>
    <s v="&lt;null&gt;"/>
    <s v="&lt;null&gt;"/>
    <s v="&lt;null&gt;"/>
    <s v="&lt;null&gt;"/>
    <s v="&lt;null&gt;"/>
    <s v="&lt;null&gt;"/>
    <m/>
    <m/>
    <m/>
    <m/>
  </r>
  <r>
    <x v="18"/>
    <x v="18"/>
    <s v="&lt;null&gt;"/>
    <x v="3"/>
    <n v="2036"/>
    <s v="IN/001643"/>
    <s v="N21 - Haachtsesteenweg N227-Stationslaan"/>
    <s v="&lt;null&gt;"/>
    <s v="Structurele Ingreep"/>
    <s v="WVB/INV/N21/2"/>
    <b v="0"/>
    <s v="Ingreep wordt niet opgevolgd in BOD"/>
    <s v="&lt;null&gt;"/>
    <s v="&lt;null&gt;"/>
    <s v="&lt;null&gt;"/>
    <s v="&lt;null&gt;"/>
    <s v="&lt;null&gt;"/>
    <x v="0"/>
    <s v="&lt;null&gt;"/>
    <s v="&lt;null&gt;"/>
    <s v="&lt;null&gt;"/>
    <s v="&lt;null&gt;"/>
    <s v="&lt;null&gt;"/>
    <s v="&lt;null&gt;"/>
    <s v="&lt;null&gt;"/>
    <s v="&lt;null&gt;"/>
    <s v="&lt;null&gt;"/>
    <m/>
    <m/>
    <m/>
    <m/>
  </r>
  <r>
    <x v="789"/>
    <x v="789"/>
    <s v="Verkeersveiligheid"/>
    <x v="4"/>
    <n v="2037"/>
    <s v="IN/001644"/>
    <s v="Ingreep Schoolroute Kalmthout N122"/>
    <s v="&lt;null&g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2038"/>
    <s v="IN/001645"/>
    <s v="R23 - Bodart Leuven"/>
    <s v="&lt;null&gt;"/>
    <s v="Structurele Ingreep"/>
    <s v="WVB/INV/R23/12"/>
    <b v="0"/>
    <s v="Ingreep wordt niet opgevolgd in BOD"/>
    <s v="&lt;null&gt;"/>
    <s v="&lt;null&gt;"/>
    <s v="&lt;null&gt;"/>
    <s v="&lt;null&gt;"/>
    <s v="&lt;null&gt;"/>
    <x v="0"/>
    <s v="&lt;null&gt;"/>
    <s v="&lt;null&gt;"/>
    <s v="&lt;null&gt;"/>
    <s v="&lt;null&gt;"/>
    <s v="&lt;null&gt;"/>
    <s v="&lt;null&gt;"/>
    <s v="&lt;null&gt;"/>
    <s v="&lt;null&gt;"/>
    <s v="&lt;null&gt;"/>
    <m/>
    <m/>
    <m/>
    <m/>
  </r>
  <r>
    <x v="18"/>
    <x v="18"/>
    <s v="&lt;null&gt;"/>
    <x v="3"/>
    <n v="2039"/>
    <s v="IN/001646"/>
    <s v="N2 - Herent Garageboulevard"/>
    <s v="&lt;null&gt;"/>
    <s v="Structurele Ingreep"/>
    <s v="WVB/INV/N2/6"/>
    <b v="0"/>
    <s v="Ingreep wordt niet opgevolgd in BOD"/>
    <s v="&lt;null&gt;"/>
    <s v="&lt;null&gt;"/>
    <s v="&lt;null&gt;"/>
    <s v="&lt;null&gt;"/>
    <s v="&lt;null&gt;"/>
    <x v="0"/>
    <s v="&lt;null&gt;"/>
    <s v="&lt;null&gt;"/>
    <s v="&lt;null&gt;"/>
    <s v="&lt;null&gt;"/>
    <s v="&lt;null&gt;"/>
    <s v="&lt;null&gt;"/>
    <s v="&lt;null&gt;"/>
    <s v="&lt;null&gt;"/>
    <s v="&lt;null&gt;"/>
    <m/>
    <m/>
    <m/>
    <m/>
  </r>
  <r>
    <x v="18"/>
    <x v="18"/>
    <s v="&lt;null&gt;"/>
    <x v="3"/>
    <n v="2040"/>
    <s v="IN/001647"/>
    <s v="Betonherstellingen op A - wegen in OVL"/>
    <s v="&lt;null&gt;"/>
    <s v="Structurele Ingreep"/>
    <s v="WOV/INV/A14/6"/>
    <b v="0"/>
    <s v="Ingreep wordt niet opgevolgd in BOD"/>
    <s v="&lt;null&gt;"/>
    <s v="&lt;null&gt;"/>
    <s v="&lt;null&gt;"/>
    <s v="&lt;null&gt;"/>
    <s v="&lt;null&gt;"/>
    <x v="0"/>
    <s v="&lt;null&gt;"/>
    <s v="&lt;null&gt;"/>
    <s v="&lt;null&gt;"/>
    <s v="&lt;null&gt;"/>
    <s v="&lt;null&gt;"/>
    <s v="&lt;null&gt;"/>
    <s v="&lt;null&gt;"/>
    <s v="&lt;null&gt;"/>
    <s v="&lt;null&gt;"/>
    <m/>
    <m/>
    <m/>
    <m/>
  </r>
  <r>
    <x v="18"/>
    <x v="18"/>
    <s v="&lt;null&gt;"/>
    <x v="3"/>
    <n v="2041"/>
    <s v="IN/001648"/>
    <s v="Veiligheidsinrichtingen op snelwegen in OVL"/>
    <s v="&lt;null&gt;"/>
    <s v="Structurele Ingreep"/>
    <s v="WOV/INV/A14/7"/>
    <b v="0"/>
    <s v="Ingreep wordt niet opgevolgd in BOD"/>
    <s v="&lt;null&gt;"/>
    <s v="&lt;null&gt;"/>
    <s v="&lt;null&gt;"/>
    <s v="&lt;null&gt;"/>
    <s v="&lt;null&gt;"/>
    <x v="0"/>
    <s v="&lt;null&gt;"/>
    <s v="&lt;null&gt;"/>
    <s v="&lt;null&gt;"/>
    <s v="&lt;null&gt;"/>
    <s v="&lt;null&gt;"/>
    <s v="&lt;null&gt;"/>
    <s v="&lt;null&gt;"/>
    <s v="&lt;null&gt;"/>
    <s v="&lt;null&gt;"/>
    <m/>
    <m/>
    <m/>
    <m/>
  </r>
  <r>
    <x v="18"/>
    <x v="18"/>
    <s v="&lt;null&gt;"/>
    <x v="3"/>
    <n v="2042"/>
    <s v="IN/001649"/>
    <s v="Asfaltherstellingen op A - wegen in OVL"/>
    <s v="&lt;null&gt;"/>
    <s v="Structurele Ingreep"/>
    <s v="WOV/INV/A14/8"/>
    <b v="0"/>
    <s v="Ingreep wordt niet opgevolgd in BOD"/>
    <s v="&lt;null&gt;"/>
    <s v="&lt;null&gt;"/>
    <s v="&lt;null&gt;"/>
    <s v="&lt;null&gt;"/>
    <s v="&lt;null&gt;"/>
    <x v="0"/>
    <s v="&lt;null&gt;"/>
    <s v="&lt;null&gt;"/>
    <s v="&lt;null&gt;"/>
    <s v="&lt;null&gt;"/>
    <s v="&lt;null&gt;"/>
    <s v="&lt;null&gt;"/>
    <s v="&lt;null&gt;"/>
    <s v="&lt;null&gt;"/>
    <s v="&lt;null&gt;"/>
    <m/>
    <m/>
    <m/>
    <m/>
  </r>
  <r>
    <x v="18"/>
    <x v="18"/>
    <s v="&lt;null&gt;"/>
    <x v="3"/>
    <n v="2043"/>
    <s v="IN/001650"/>
    <s v="E17 Menen - bodemsanering LAR Rekkem"/>
    <s v="Sanering historische chroomverontreiniging (van tijdens de aanleg destijds)"/>
    <s v="Structurele Ingreep"/>
    <s v="WWV/INV/E17/7"/>
    <b v="0"/>
    <s v="Ingreep wordt niet opgevolgd in BOD"/>
    <s v="&lt;null&gt;"/>
    <s v="&lt;null&gt;"/>
    <s v="&lt;null&gt;"/>
    <s v="&lt;null&gt;"/>
    <s v="&lt;null&gt;"/>
    <x v="0"/>
    <s v="&lt;null&gt;"/>
    <s v="&lt;null&gt;"/>
    <s v="&lt;null&gt;"/>
    <s v="&lt;null&gt;"/>
    <s v="&lt;null&gt;"/>
    <s v="&lt;null&gt;"/>
    <s v="&lt;null&gt;"/>
    <s v="&lt;null&gt;"/>
    <s v="&lt;null&gt;"/>
    <m/>
    <m/>
    <m/>
    <m/>
  </r>
  <r>
    <x v="1304"/>
    <x v="1304"/>
    <s v="Fiets"/>
    <x v="0"/>
    <n v="2044"/>
    <s v="IN/001651"/>
    <s v="Fiets: N47 Zele aansluiting fietspad optimaliseren thv kruispunt, PCV beslissing deel 1"/>
    <s v="aansluiting fietspad optimaliseren thv kruispunt"/>
    <s v="Kleine Ingreep"/>
    <s v="WOV/INV/N47/8"/>
    <b v="1"/>
    <s v="Ingreep wordt opgevolgd in BOD"/>
    <n v="7963"/>
    <s v="X40/D400/52"/>
    <n v="103201"/>
    <n v="21062965"/>
    <s v="&lt;p&gt;Relance&lt;/p&gt;"/>
    <x v="2"/>
    <n v="7117"/>
    <s v="&lt;null&gt;"/>
    <s v="&lt;p&gt;Relance&lt;/p&gt;"/>
    <s v="WOV/INV/N47/8"/>
    <n v="100"/>
    <n v="6504.6"/>
    <n v="5554.86"/>
    <n v="0"/>
    <n v="949.74"/>
    <n v="6504.6"/>
    <n v="5554.86"/>
    <n v="0"/>
    <n v="949.74"/>
  </r>
  <r>
    <x v="1305"/>
    <x v="1305"/>
    <s v="Verkeersveiligheid"/>
    <x v="4"/>
    <n v="2045"/>
    <s v="IN/001652"/>
    <s v="SRK: N495a Geraardsbergen: aanbrengen fietslogo's"/>
    <s v="aanbrengen van fietslogo's tussen overgang fietspad en Sint amandusplein in beide richtingen"/>
    <s v="Kleine Ingreep"/>
    <s v="WOV/INV/N495/5"/>
    <b v="0"/>
    <s v="Ingreep wordt niet opgevolgd in BOD"/>
    <s v="&lt;null&gt;"/>
    <s v="&lt;null&gt;"/>
    <s v="&lt;null&gt;"/>
    <s v="&lt;null&gt;"/>
    <s v="&lt;null&gt;"/>
    <x v="0"/>
    <s v="&lt;null&gt;"/>
    <s v="&lt;null&gt;"/>
    <s v="&lt;null&gt;"/>
    <s v="&lt;null&gt;"/>
    <n v="50"/>
    <s v="&lt;null&gt;"/>
    <s v="&lt;null&gt;"/>
    <s v="&lt;null&gt;"/>
    <s v="&lt;null&gt;"/>
    <m/>
    <m/>
    <m/>
    <m/>
  </r>
  <r>
    <x v="1306"/>
    <x v="1306"/>
    <s v="Verkeersveiligheid"/>
    <x v="4"/>
    <n v="2045"/>
    <s v="IN/001652"/>
    <s v="SRK: N495a Geraardsbergen: aanbrengen fietslogo's"/>
    <s v="aanbrengen van fietslogo's tussen overgang fietspad en Sint amandusplein in beide richtingen"/>
    <s v="Kleine Ingreep"/>
    <s v="WOV/INV/N495/5"/>
    <b v="0"/>
    <s v="Ingreep wordt niet opgevolgd in BOD"/>
    <s v="&lt;null&gt;"/>
    <s v="&lt;null&gt;"/>
    <s v="&lt;null&gt;"/>
    <s v="&lt;null&gt;"/>
    <s v="&lt;null&gt;"/>
    <x v="0"/>
    <s v="&lt;null&gt;"/>
    <s v="&lt;null&gt;"/>
    <s v="&lt;null&gt;"/>
    <s v="&lt;null&gt;"/>
    <n v="50"/>
    <s v="&lt;null&gt;"/>
    <s v="&lt;null&gt;"/>
    <s v="&lt;null&gt;"/>
    <s v="&lt;null&gt;"/>
    <m/>
    <m/>
    <m/>
    <m/>
  </r>
  <r>
    <x v="18"/>
    <x v="18"/>
    <s v="&lt;null&gt;"/>
    <x v="3"/>
    <n v="2046"/>
    <s v="IN/001653"/>
    <s v="Aanleg VOP"/>
    <s v="Aanleggen VOP volgens beslissing"/>
    <s v="Kleine Ingreep"/>
    <s v="WOV/INV/N445/6"/>
    <b v="0"/>
    <s v="Ingreep wordt niet opgevolgd in BOD"/>
    <s v="&lt;null&gt;"/>
    <s v="&lt;null&gt;"/>
    <s v="&lt;null&gt;"/>
    <s v="&lt;null&gt;"/>
    <s v="&lt;null&gt;"/>
    <x v="0"/>
    <s v="&lt;null&gt;"/>
    <s v="&lt;null&gt;"/>
    <s v="&lt;null&gt;"/>
    <s v="&lt;null&gt;"/>
    <s v="&lt;null&gt;"/>
    <s v="&lt;null&gt;"/>
    <s v="&lt;null&gt;"/>
    <s v="&lt;null&gt;"/>
    <s v="&lt;null&gt;"/>
    <m/>
    <m/>
    <m/>
    <m/>
  </r>
  <r>
    <x v="1307"/>
    <x v="1307"/>
    <s v="Structureel Onderhoud"/>
    <x v="8"/>
    <n v="2047"/>
    <s v="IN/001654"/>
    <s v="A8 - Structureel onderhoud brug N7 (Halle)"/>
    <s v="&lt;null&gt;"/>
    <s v="Structurele Ingreep"/>
    <s v="WVB/INV/A8/4"/>
    <b v="0"/>
    <s v="Ingreep wordt niet opgevolgd in BOD"/>
    <s v="&lt;null&gt;"/>
    <s v="&lt;null&gt;"/>
    <s v="&lt;null&gt;"/>
    <s v="&lt;null&gt;"/>
    <s v="&lt;null&gt;"/>
    <x v="0"/>
    <s v="&lt;null&gt;"/>
    <s v="&lt;null&gt;"/>
    <s v="&lt;null&gt;"/>
    <s v="&lt;null&gt;"/>
    <n v="100"/>
    <s v="&lt;null&gt;"/>
    <s v="&lt;null&gt;"/>
    <s v="&lt;null&gt;"/>
    <s v="&lt;null&gt;"/>
    <m/>
    <m/>
    <m/>
    <m/>
  </r>
  <r>
    <x v="1308"/>
    <x v="1308"/>
    <s v="Verkeersveiligheid"/>
    <x v="4"/>
    <n v="2048"/>
    <s v="IN/001655"/>
    <s v="Ingreep Schoolroute N115 Brecht"/>
    <s v="PCV dossier"/>
    <s v="Kleine Ingreep"/>
    <s v="WA/INV/N115/8"/>
    <b v="0"/>
    <s v="Ingreep wordt niet opgevolgd in BOD"/>
    <s v="&lt;null&gt;"/>
    <s v="&lt;null&gt;"/>
    <s v="&lt;null&gt;"/>
    <s v="&lt;null&gt;"/>
    <s v="&lt;null&gt;"/>
    <x v="0"/>
    <s v="&lt;null&gt;"/>
    <s v="&lt;null&gt;"/>
    <s v="&lt;null&gt;"/>
    <s v="&lt;null&gt;"/>
    <n v="100"/>
    <s v="&lt;null&gt;"/>
    <s v="&lt;null&gt;"/>
    <s v="&lt;null&gt;"/>
    <s v="&lt;null&gt;"/>
    <m/>
    <m/>
    <m/>
    <m/>
  </r>
  <r>
    <x v="54"/>
    <x v="54"/>
    <s v="Fiets"/>
    <x v="0"/>
    <n v="2049"/>
    <s v="IN/001656"/>
    <s v="N73 Hechtel-Eksel, structureel onderhoud fietspad"/>
    <s v="&lt;null&gt;"/>
    <s v="Structurele Ingreep"/>
    <s v="WL/INV/N73/23"/>
    <b v="0"/>
    <s v="Ingreep wordt niet opgevolgd in BOD"/>
    <s v="&lt;null&gt;"/>
    <s v="&lt;null&gt;"/>
    <s v="&lt;null&gt;"/>
    <s v="&lt;null&gt;"/>
    <s v="&lt;null&gt;"/>
    <x v="0"/>
    <s v="&lt;null&gt;"/>
    <s v="&lt;null&gt;"/>
    <s v="&lt;null&gt;"/>
    <s v="&lt;null&gt;"/>
    <n v="100"/>
    <s v="&lt;null&gt;"/>
    <s v="&lt;null&gt;"/>
    <s v="&lt;null&gt;"/>
    <s v="&lt;null&gt;"/>
    <m/>
    <m/>
    <m/>
    <m/>
  </r>
  <r>
    <x v="18"/>
    <x v="18"/>
    <s v="&lt;null&gt;"/>
    <x v="3"/>
    <n v="2050"/>
    <s v="IN/001657"/>
    <s v="N9 Adegem - vernieuwen brug over Afleidingskanaal"/>
    <s v="&lt;null&gt;"/>
    <s v="Structurele Ingreep"/>
    <s v="WOV/INV/N9/7"/>
    <b v="0"/>
    <s v="Ingreep wordt niet opgevolgd in BOD"/>
    <s v="&lt;null&gt;"/>
    <s v="&lt;null&gt;"/>
    <s v="&lt;null&gt;"/>
    <s v="&lt;null&gt;"/>
    <s v="&lt;null&gt;"/>
    <x v="0"/>
    <s v="&lt;null&gt;"/>
    <s v="&lt;null&gt;"/>
    <s v="&lt;null&gt;"/>
    <s v="&lt;null&gt;"/>
    <s v="&lt;null&gt;"/>
    <s v="&lt;null&gt;"/>
    <s v="&lt;null&gt;"/>
    <s v="&lt;null&gt;"/>
    <s v="&lt;null&gt;"/>
    <m/>
    <m/>
    <m/>
    <m/>
  </r>
  <r>
    <x v="968"/>
    <x v="968"/>
    <s v="Verkeersveiligheid"/>
    <x v="4"/>
    <n v="2051"/>
    <s v="IN/001658"/>
    <s v="PCV 957 - beveiligen aansluiting Gouden Hoofdstraat"/>
    <s v="Middengeleider, oversteek fietsers, insnoeren G.Hoofdstraat"/>
    <s v="Kleine Ingreep"/>
    <s v="WWV/INV/N35/10"/>
    <b v="1"/>
    <s v="Ingreep wordt opgevolgd in BOD"/>
    <s v="&lt;null&gt;"/>
    <s v="&lt;null&gt;"/>
    <n v="118401"/>
    <n v="21065771"/>
    <s v="&lt;p&gt;OF AWV/INV/2021/3 P3 3mh230 schoolroutes&lt;/p&gt;"/>
    <x v="9"/>
    <n v="8370"/>
    <s v="KN1331 N35 Kortemark"/>
    <s v="&lt;null&gt;"/>
    <s v="WWV/INV/N35/10"/>
    <n v="100"/>
    <n v="124000"/>
    <n v="0"/>
    <n v="0"/>
    <n v="124000"/>
    <n v="124000"/>
    <n v="0"/>
    <n v="0"/>
    <n v="124000"/>
  </r>
  <r>
    <x v="1309"/>
    <x v="1309"/>
    <s v="Verkeersveiligheid"/>
    <x v="4"/>
    <n v="2052"/>
    <s v="IN/001659"/>
    <s v="Knelpunt op schoolroutes wordt aangepakt door ombouw VRI volgens actieplan"/>
    <s v="&lt;null&gt;"/>
    <s v="Kleine Ingreep"/>
    <s v="&lt;null&gt;"/>
    <b v="0"/>
    <s v="Ingreep wordt niet opgevolgd in BOD"/>
    <s v="&lt;null&gt;"/>
    <s v="&lt;null&gt;"/>
    <s v="&lt;null&gt;"/>
    <s v="&lt;null&gt;"/>
    <s v="&lt;null&gt;"/>
    <x v="0"/>
    <s v="&lt;null&gt;"/>
    <s v="&lt;null&gt;"/>
    <s v="&lt;null&gt;"/>
    <s v="&lt;null&gt;"/>
    <n v="100"/>
    <s v="&lt;null&gt;"/>
    <s v="&lt;null&gt;"/>
    <s v="&lt;null&gt;"/>
    <s v="&lt;null&gt;"/>
    <m/>
    <m/>
    <m/>
    <m/>
  </r>
  <r>
    <x v="1310"/>
    <x v="1310"/>
    <s v="Verkeersveiligheid"/>
    <x v="4"/>
    <n v="2053"/>
    <s v="IN/001660"/>
    <s v="Markeringen"/>
    <s v="Markeren parkeervakken om zichtbaarheid te verhogen"/>
    <s v="Kleine Ingreep"/>
    <s v="WWV/INV/N368/13"/>
    <b v="0"/>
    <s v="Ingreep wordt niet opgevolgd in BOD"/>
    <s v="&lt;null&gt;"/>
    <s v="&lt;null&gt;"/>
    <s v="&lt;null&gt;"/>
    <s v="&lt;null&gt;"/>
    <s v="&lt;null&gt;"/>
    <x v="0"/>
    <s v="&lt;null&gt;"/>
    <s v="&lt;null&gt;"/>
    <s v="&lt;null&gt;"/>
    <s v="&lt;null&gt;"/>
    <n v="100"/>
    <s v="&lt;null&gt;"/>
    <s v="&lt;null&gt;"/>
    <s v="&lt;null&gt;"/>
    <s v="&lt;null&gt;"/>
    <m/>
    <m/>
    <m/>
    <m/>
  </r>
  <r>
    <x v="1047"/>
    <x v="1047"/>
    <s v="Verkeersveiligheid"/>
    <x v="4"/>
    <n v="2054"/>
    <s v="IN/001661"/>
    <s v="Aanpassen parkeerplaatsen"/>
    <s v="wegnemen verkeersplateau, parkeerplaatsen, tijdelijk parkeerverbod begin- en einde schooltijd\n"/>
    <s v="Kleine Ingreep"/>
    <s v="WL/INV/N789/2"/>
    <b v="0"/>
    <s v="Ingreep wordt niet opgevolgd in BOD"/>
    <s v="&lt;null&gt;"/>
    <s v="&lt;null&gt;"/>
    <s v="&lt;null&gt;"/>
    <s v="&lt;null&gt;"/>
    <s v="&lt;null&gt;"/>
    <x v="0"/>
    <s v="&lt;null&gt;"/>
    <s v="&lt;null&gt;"/>
    <s v="&lt;null&gt;"/>
    <s v="&lt;null&gt;"/>
    <n v="100"/>
    <s v="&lt;null&gt;"/>
    <s v="&lt;null&gt;"/>
    <s v="&lt;null&gt;"/>
    <s v="&lt;null&gt;"/>
    <m/>
    <m/>
    <m/>
    <m/>
  </r>
  <r>
    <x v="1311"/>
    <x v="1311"/>
    <s v="Verkeersveiligheid"/>
    <x v="4"/>
    <n v="2055"/>
    <s v="IN/001662"/>
    <s v="PCV 851 - R33 Zuidlaan x N304 Renigelstseweg / Deken De Bolaan"/>
    <s v="fietspaden vrijliggend brengen op de rotonde"/>
    <s v="Kleine Ingreep"/>
    <s v="WWV/INV/R33/1"/>
    <b v="1"/>
    <s v="Ingreep wordt opgevolgd in BOD"/>
    <s v="&lt;null&gt;"/>
    <s v="&lt;null&gt;"/>
    <n v="118401"/>
    <n v="21065771"/>
    <s v="&lt;p&gt;OF AWV/INV/2021/3 P3 3mh230 schoolroutes&lt;/p&gt;"/>
    <x v="9"/>
    <n v="9347"/>
    <s v="IN1662 R33 Zuidlaan x N304"/>
    <s v="&lt;null&gt;"/>
    <s v="WWV/INV/R33/1"/>
    <n v="100"/>
    <n v="130000"/>
    <n v="0"/>
    <n v="0"/>
    <n v="130000"/>
    <n v="130000"/>
    <n v="0"/>
    <n v="0"/>
    <n v="130000"/>
  </r>
  <r>
    <x v="1311"/>
    <x v="1311"/>
    <s v="Verkeersveiligheid"/>
    <x v="4"/>
    <n v="2056"/>
    <s v="IN/001663"/>
    <s v="PCV 944 - R33 Zuidlaan x N333 Abeelseweg / Casselstraat."/>
    <s v="fietsers buiten de rotonde brengen"/>
    <s v="Kleine Ingreep"/>
    <s v="WWV/INV/R33/2"/>
    <b v="1"/>
    <s v="Ingreep wordt opgevolgd in BOD"/>
    <s v="&lt;null&gt;"/>
    <s v="&lt;null&gt;"/>
    <n v="118401"/>
    <n v="21065771"/>
    <s v="&lt;p&gt;OF AWV/INV/2021/3 P3 3mh230 schoolroutes&lt;/p&gt;"/>
    <x v="9"/>
    <n v="9346"/>
    <s v="IN 1663 Zuidlaan Abeelseweg R33"/>
    <s v="&lt;null&gt;"/>
    <s v="WWV/INV/R33/2"/>
    <n v="100"/>
    <n v="220000"/>
    <n v="0"/>
    <n v="0"/>
    <n v="220000"/>
    <n v="220000"/>
    <n v="0"/>
    <n v="0"/>
    <n v="220000"/>
  </r>
  <r>
    <x v="1312"/>
    <x v="1312"/>
    <s v="Verkeersveiligheid"/>
    <x v="4"/>
    <n v="2057"/>
    <s v="IN/001664"/>
    <s v="PCV 945 - N35 Staatsbaan - Esenstraat x N36 Zarrenstraat"/>
    <s v="Plaatsen verkeerslichten"/>
    <s v="Kleine Ingreep"/>
    <s v="WWV/INV/N35/11"/>
    <b v="0"/>
    <s v="Ingreep wordt niet opgevolgd in BOD"/>
    <s v="&lt;null&gt;"/>
    <s v="&lt;null&gt;"/>
    <s v="&lt;null&gt;"/>
    <s v="&lt;null&gt;"/>
    <s v="&lt;null&gt;"/>
    <x v="0"/>
    <s v="&lt;null&gt;"/>
    <s v="&lt;null&gt;"/>
    <s v="&lt;null&gt;"/>
    <s v="&lt;null&gt;"/>
    <n v="100"/>
    <s v="&lt;null&gt;"/>
    <s v="&lt;null&gt;"/>
    <s v="&lt;null&gt;"/>
    <s v="&lt;null&gt;"/>
    <m/>
    <m/>
    <m/>
    <m/>
  </r>
  <r>
    <x v="1021"/>
    <x v="1021"/>
    <s v="Verkeersveiligheid"/>
    <x v="4"/>
    <n v="2058"/>
    <s v="IN/001665"/>
    <s v="Oversteekvoorziening met middengeleider (PM studiebureau aan te stellen via MC3)"/>
    <s v="Feitelijke oversteek (niet gemarkeerd), maar met middenberm opdat oversteken in 2x kan"/>
    <s v="Kleine Ingreep"/>
    <s v="WL/INV/N719/10"/>
    <b v="0"/>
    <s v="Ingreep wordt niet opgevolgd in BOD"/>
    <s v="&lt;null&gt;"/>
    <s v="&lt;null&gt;"/>
    <s v="&lt;null&gt;"/>
    <s v="&lt;null&gt;"/>
    <s v="&lt;null&gt;"/>
    <x v="0"/>
    <s v="&lt;null&gt;"/>
    <s v="&lt;null&gt;"/>
    <s v="&lt;null&gt;"/>
    <s v="&lt;null&gt;"/>
    <n v="100"/>
    <s v="&lt;null&gt;"/>
    <s v="&lt;null&gt;"/>
    <s v="&lt;null&gt;"/>
    <s v="&lt;null&gt;"/>
    <m/>
    <m/>
    <m/>
    <m/>
  </r>
  <r>
    <x v="900"/>
    <x v="900"/>
    <s v="Verkeersveiligheid"/>
    <x v="4"/>
    <n v="2059"/>
    <s v="IN/001666"/>
    <s v="Punctuele verlichting"/>
    <s v="&lt;null&gt;"/>
    <s v="Kleine Ingreep"/>
    <s v="WL/INV/N729/9"/>
    <b v="0"/>
    <s v="Ingreep wordt niet opgevolgd in BOD"/>
    <s v="&lt;null&gt;"/>
    <s v="&lt;null&gt;"/>
    <s v="&lt;null&gt;"/>
    <s v="&lt;null&gt;"/>
    <s v="&lt;null&gt;"/>
    <x v="0"/>
    <s v="&lt;null&gt;"/>
    <s v="&lt;null&gt;"/>
    <s v="&lt;null&gt;"/>
    <s v="&lt;null&gt;"/>
    <n v="100"/>
    <s v="&lt;null&gt;"/>
    <s v="&lt;null&gt;"/>
    <s v="&lt;null&gt;"/>
    <s v="&lt;null&gt;"/>
    <m/>
    <m/>
    <m/>
    <m/>
  </r>
  <r>
    <x v="1313"/>
    <x v="1313"/>
    <s v="Verkeersveiligheid"/>
    <x v="4"/>
    <n v="2060"/>
    <s v="IN/001667"/>
    <s v="Ingreep Schoolroute N118 Arendonk"/>
    <s v="PCV dossier"/>
    <s v="Kleine Ingreep"/>
    <s v="WA/INV/N118/12"/>
    <b v="0"/>
    <s v="Ingreep wordt niet opgevolgd in BOD"/>
    <s v="&lt;null&gt;"/>
    <s v="&lt;null&gt;"/>
    <s v="&lt;null&gt;"/>
    <s v="&lt;null&gt;"/>
    <s v="&lt;null&gt;"/>
    <x v="0"/>
    <s v="&lt;null&gt;"/>
    <s v="&lt;null&gt;"/>
    <s v="&lt;null&gt;"/>
    <s v="&lt;null&gt;"/>
    <n v="100"/>
    <s v="&lt;null&gt;"/>
    <s v="&lt;null&gt;"/>
    <s v="&lt;null&gt;"/>
    <s v="&lt;null&gt;"/>
    <m/>
    <m/>
    <m/>
    <m/>
  </r>
  <r>
    <x v="1314"/>
    <x v="1314"/>
    <s v="Verkeersveiligheid"/>
    <x v="4"/>
    <n v="2061"/>
    <s v="IN/001668"/>
    <s v="Ingreep Schoolroute N118/N139 Arendonk"/>
    <s v="PCV dossier"/>
    <s v="Kleine Ingreep"/>
    <s v="WA/INV/N139/9"/>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4"/>
    <n v="10031"/>
    <s v="224A6 (V009135) Schoolroute Arendonk"/>
    <s v="&lt;p&gt;IN/001668&lt;/p&gt;"/>
    <s v="WA/INV/N139/9"/>
    <n v="100"/>
    <n v="50000"/>
    <n v="0"/>
    <n v="0"/>
    <n v="0"/>
    <n v="50000"/>
    <n v="0"/>
    <n v="0"/>
    <n v="0"/>
  </r>
  <r>
    <x v="1315"/>
    <x v="1315"/>
    <s v="Verkeersveiligheid"/>
    <x v="4"/>
    <n v="2062"/>
    <s v="IN/001669"/>
    <s v="Arendonk-Onder d'Eiken - Ingreep Schoolroute N139 Arendonk"/>
    <s v="PCV dossier"/>
    <s v="Kleine Ingreep"/>
    <s v="WA/INV/N139/8"/>
    <b v="0"/>
    <s v="Ingreep wordt niet opgevolgd in BOD"/>
    <s v="&lt;null&gt;"/>
    <s v="&lt;null&gt;"/>
    <s v="&lt;null&gt;"/>
    <s v="&lt;null&gt;"/>
    <s v="&lt;null&gt;"/>
    <x v="0"/>
    <s v="&lt;null&gt;"/>
    <s v="&lt;null&gt;"/>
    <s v="&lt;null&gt;"/>
    <s v="&lt;null&gt;"/>
    <n v="100"/>
    <s v="&lt;null&gt;"/>
    <s v="&lt;null&gt;"/>
    <s v="&lt;null&gt;"/>
    <s v="&lt;null&gt;"/>
    <m/>
    <m/>
    <m/>
    <m/>
  </r>
  <r>
    <x v="18"/>
    <x v="18"/>
    <s v="&lt;null&gt;"/>
    <x v="3"/>
    <n v="2063"/>
    <s v="IN/001670"/>
    <s v="A8 - Structureel onderhoud ikv omvorming (Halle)"/>
    <s v="&lt;null&gt;"/>
    <s v="Structurele Ingreep"/>
    <s v="WVB/INV/A8/2"/>
    <b v="0"/>
    <s v="Ingreep wordt niet opgevolgd in BOD"/>
    <s v="&lt;null&gt;"/>
    <s v="&lt;null&gt;"/>
    <s v="&lt;null&gt;"/>
    <s v="&lt;null&gt;"/>
    <s v="&lt;null&gt;"/>
    <x v="0"/>
    <s v="&lt;null&gt;"/>
    <s v="&lt;null&gt;"/>
    <s v="&lt;null&gt;"/>
    <s v="&lt;null&gt;"/>
    <s v="&lt;null&gt;"/>
    <s v="&lt;null&gt;"/>
    <s v="&lt;null&gt;"/>
    <s v="&lt;null&gt;"/>
    <s v="&lt;null&gt;"/>
    <m/>
    <m/>
    <m/>
    <m/>
  </r>
  <r>
    <x v="18"/>
    <x v="18"/>
    <s v="&lt;null&gt;"/>
    <x v="3"/>
    <n v="2064"/>
    <s v="IN/001671"/>
    <s v="N1 Verbreding brug Postzegellaan"/>
    <s v="&lt;null&gt;"/>
    <s v="Structurele Ingreep"/>
    <s v="WA/INV/N1/21"/>
    <b v="0"/>
    <s v="Ingreep wordt niet opgevolgd in BOD"/>
    <s v="&lt;null&gt;"/>
    <s v="&lt;null&gt;"/>
    <s v="&lt;null&gt;"/>
    <s v="&lt;null&gt;"/>
    <s v="&lt;null&gt;"/>
    <x v="0"/>
    <s v="&lt;null&gt;"/>
    <s v="&lt;null&gt;"/>
    <s v="&lt;null&gt;"/>
    <s v="&lt;null&gt;"/>
    <s v="&lt;null&gt;"/>
    <s v="&lt;null&gt;"/>
    <s v="&lt;null&gt;"/>
    <s v="&lt;null&gt;"/>
    <s v="&lt;null&gt;"/>
    <m/>
    <m/>
    <m/>
    <m/>
  </r>
  <r>
    <x v="18"/>
    <x v="18"/>
    <s v="&lt;null&gt;"/>
    <x v="3"/>
    <n v="2065"/>
    <s v="IN/001672"/>
    <s v="N2 - Herent (Aquafin) grens Kortenberg - Termere"/>
    <s v="&lt;null&gt;"/>
    <s v="Structurele Ingreep"/>
    <s v="WVB/INV/N2/19"/>
    <b v="0"/>
    <s v="Ingreep wordt niet opgevolgd in BOD"/>
    <s v="&lt;null&gt;"/>
    <s v="&lt;null&gt;"/>
    <s v="&lt;null&gt;"/>
    <s v="&lt;null&gt;"/>
    <s v="&lt;null&gt;"/>
    <x v="0"/>
    <s v="&lt;null&gt;"/>
    <s v="&lt;null&gt;"/>
    <s v="&lt;null&gt;"/>
    <s v="&lt;null&gt;"/>
    <s v="&lt;null&gt;"/>
    <s v="&lt;null&gt;"/>
    <s v="&lt;null&gt;"/>
    <s v="&lt;null&gt;"/>
    <s v="&lt;null&gt;"/>
    <m/>
    <m/>
    <m/>
    <m/>
  </r>
  <r>
    <x v="1316"/>
    <x v="1316"/>
    <s v="Stimuleren Combimobiliteit"/>
    <x v="7"/>
    <n v="2066"/>
    <s v="IN/001673"/>
    <s v="Aanleg verhoogde bushaltehaven"/>
    <s v="&lt;null&gt;"/>
    <s v="Kleine Ingreep"/>
    <s v="WOV/INV/N70/10"/>
    <b v="1"/>
    <s v="Ingreep wordt opgevolgd in BOD"/>
    <n v="11864"/>
    <s v="AWV/INV/2021/3_P4"/>
    <n v="110951"/>
    <n v="21069485"/>
    <s v="&lt;p&gt;Combimobiliteitsfonds (2021 en 2022 (op 032))&lt;/p&gt;"/>
    <x v="25"/>
    <n v="7707"/>
    <s v="N70 Waasmunster kmp 23.0 Aanleg verhoogde bushaltehaven"/>
    <s v="&lt;p&gt;N70 Waasmunster kmp 23.0 oplopend rechts Aanleg verhoogde bushaltehaven&lt;/p&gt;"/>
    <s v="WOV/INV/N70/10"/>
    <n v="100"/>
    <n v="14000"/>
    <n v="0"/>
    <n v="0"/>
    <n v="359.42"/>
    <n v="14000"/>
    <n v="0"/>
    <n v="0"/>
    <n v="359.42"/>
  </r>
  <r>
    <x v="861"/>
    <x v="861"/>
    <s v="Verkeersveiligheid"/>
    <x v="4"/>
    <n v="2067"/>
    <s v="IN/001674"/>
    <s v="Punctuele verlichting t.h.v. kruispunt Trekschurenstraat"/>
    <s v="&lt;null&gt;"/>
    <s v="Kleine Ingreep"/>
    <s v="WL/INV/N20/10"/>
    <b v="0"/>
    <s v="Ingreep wordt niet opgevolgd in BOD"/>
    <s v="&lt;null&gt;"/>
    <s v="&lt;null&gt;"/>
    <s v="&lt;null&gt;"/>
    <s v="&lt;null&gt;"/>
    <s v="&lt;null&gt;"/>
    <x v="0"/>
    <s v="&lt;null&gt;"/>
    <s v="&lt;null&gt;"/>
    <s v="&lt;null&gt;"/>
    <s v="&lt;null&gt;"/>
    <n v="100"/>
    <s v="&lt;null&gt;"/>
    <s v="&lt;null&gt;"/>
    <s v="&lt;null&gt;"/>
    <s v="&lt;null&gt;"/>
    <m/>
    <m/>
    <m/>
    <m/>
  </r>
  <r>
    <x v="1317"/>
    <x v="1317"/>
    <s v="Stimuleren Combimobiliteit"/>
    <x v="7"/>
    <n v="2068"/>
    <s v="IN/001675"/>
    <s v="N403 Kemzeke kmp 6.4 oplopend rechts Aanleg verhoogde bushaltehaven"/>
    <s v="N403 kemzeke kmp 6.4 oplopend rechts\nAanleg verhoogde bushaltehaven"/>
    <s v="Kleine Ingreep"/>
    <s v="WOV/INV/N403/2"/>
    <b v="1"/>
    <s v="Ingreep wordt opgevolgd in BOD"/>
    <n v="11864"/>
    <s v="AWV/INV/2021/3_P4"/>
    <n v="110951"/>
    <n v="21069485"/>
    <s v="&lt;p&gt;Combimobiliteitsfonds (2021 en 2022 (op 032))&lt;/p&gt;"/>
    <x v="25"/>
    <n v="7710"/>
    <s v="N403 Kemzeke kmp 6.4 oplopend rechts Aanleg verhoogde bushaltehaven"/>
    <s v="&lt;p&gt;N403 Kemzeke kmp 6.4 oplopend rechts Aanleg verhoogde bushaltehaven&lt;/p&gt;"/>
    <s v="WOV/INV/N403/2"/>
    <n v="100"/>
    <n v="8250"/>
    <n v="0"/>
    <n v="0"/>
    <n v="5.36"/>
    <n v="8250"/>
    <n v="0"/>
    <n v="0"/>
    <n v="5.36"/>
  </r>
  <r>
    <x v="1318"/>
    <x v="1318"/>
    <s v="Stimuleren Combimobiliteit"/>
    <x v="7"/>
    <n v="2069"/>
    <s v="IN/001676"/>
    <s v="N419 Steendorp Hemelrijkstraat mp 4.300 oplopend rechts  aanleg verhoogde bushaltehaven"/>
    <s v="N419 Steendorp Hemelrijkstraat mp 4.300 oplopend rechts \naanleg verhoogde bushaltehaven"/>
    <s v="Kleine Ingreep"/>
    <s v="WOV/INV/N419/5"/>
    <b v="1"/>
    <s v="Ingreep wordt opgevolgd in BOD"/>
    <n v="11864"/>
    <s v="AWV/INV/2021/3_P4"/>
    <n v="110951"/>
    <n v="21069485"/>
    <s v="&lt;p&gt;Combimobiliteitsfonds (2021 en 2022 (op 032))&lt;/p&gt;"/>
    <x v="25"/>
    <n v="7711"/>
    <s v="N419 Steendorp Hemelrijkstraat mp 4.300 oplopend rechts  aanleg verhoogde bushaltehaven"/>
    <s v="&lt;p&gt;N419 Steendorp Hemelrijkstraat mp 4.300 oplopend rechts aanleg verhoogde bushaltehaven&lt;/p&gt;"/>
    <s v="WOV/INV/N419/5"/>
    <n v="100"/>
    <n v="7500"/>
    <n v="0"/>
    <n v="0"/>
    <n v="83.58"/>
    <n v="7500"/>
    <n v="0"/>
    <n v="0"/>
    <n v="83.58"/>
  </r>
  <r>
    <x v="249"/>
    <x v="249"/>
    <s v="Verkeersveiligheid"/>
    <x v="1"/>
    <n v="2070"/>
    <s v="IN/001677"/>
    <s v="Uitrol VLCC"/>
    <s v="Aanpassen VRI + afslagstrook"/>
    <s v="Kleine Ingreep"/>
    <s v="WA/INV/N1/22"/>
    <b v="1"/>
    <s v="Ingreep wordt opgevolgd in BOD"/>
    <n v="10163"/>
    <s v="MDN/59-1"/>
    <n v="86101"/>
    <n v="21038666"/>
    <s v="&lt;p&gt;236A4: navragen johan en sven&lt;/p&gt;&lt;p&gt;Op het programma relance staan 5 zwarte punten waarvoor aanpassingen nodig zijn aan de verkeerslichteninstallaties:&lt;/p&gt;&lt;p&gt;&amp;nbsp;&lt;/p&gt;&lt;ul&gt;&lt;li&gt;Binnen het vlcc project&lt;ul&gt;&lt;li&gt;Zaanstraat ; Jacob le Mairestraat ; Sint-Bern"/>
    <x v="10"/>
    <n v="8062"/>
    <s v="910a2 K068 V015068v09"/>
    <s v="&lt;p&gt;IN/001677&lt;/p&gt;"/>
    <s v="WA/INV/N1/22"/>
    <n v="100"/>
    <n v="100000"/>
    <n v="0"/>
    <n v="0"/>
    <n v="431.71"/>
    <n v="100000"/>
    <n v="0"/>
    <n v="0"/>
    <n v="431.71"/>
  </r>
  <r>
    <x v="249"/>
    <x v="249"/>
    <s v="Verkeersveiligheid"/>
    <x v="1"/>
    <n v="2070"/>
    <s v="IN/001677"/>
    <s v="Uitrol VLCC"/>
    <s v="Aanpassen VRI + afslagstrook"/>
    <s v="Kleine Ingreep"/>
    <s v="WA/INV/N1/22"/>
    <b v="1"/>
    <s v="Ingreep wordt opgevolgd in BOD"/>
    <n v="12666"/>
    <s v="AWV/INV/2021/3_P1"/>
    <n v="130201"/>
    <n v="21064980"/>
    <s v="&lt;p&gt;vastlegging gevaarlijke punten (2021)&lt;/p&gt;"/>
    <x v="4"/>
    <n v="10952"/>
    <s v="N1/22 Antwerpen Bredabaan X Ringlaan - verlengen linksafslagstrook"/>
    <s v="&lt;null&gt;"/>
    <s v="WA/INV/N1/22"/>
    <n v="100"/>
    <n v="76188"/>
    <n v="0"/>
    <n v="0"/>
    <n v="0.22"/>
    <n v="76188"/>
    <n v="0"/>
    <n v="0"/>
    <n v="0.22"/>
  </r>
  <r>
    <x v="1318"/>
    <x v="1318"/>
    <s v="Stimuleren Combimobiliteit"/>
    <x v="7"/>
    <n v="2071"/>
    <s v="IN/001678"/>
    <s v="N419 Steendorp Hemelrijkstraat kmp 4.3 aflopend rechts  Aanleg verhoogde bushaltehaven"/>
    <s v="N419 Steendorp Hemelrijkstraat kmp 4.3 aflopend rechts \nAanleg verhoogde bushaltehaven"/>
    <s v="Kleine Ingreep"/>
    <s v="WOV/INV/N419/6"/>
    <b v="0"/>
    <s v="Ingreep wordt niet opgevolgd in BOD"/>
    <s v="&lt;null&gt;"/>
    <s v="&lt;null&gt;"/>
    <s v="&lt;null&gt;"/>
    <s v="&lt;null&gt;"/>
    <s v="&lt;null&gt;"/>
    <x v="0"/>
    <s v="&lt;null&gt;"/>
    <s v="&lt;null&gt;"/>
    <s v="&lt;null&gt;"/>
    <s v="&lt;null&gt;"/>
    <n v="100"/>
    <s v="&lt;null&gt;"/>
    <s v="&lt;null&gt;"/>
    <s v="&lt;null&gt;"/>
    <s v="&lt;null&gt;"/>
    <m/>
    <m/>
    <m/>
    <m/>
  </r>
  <r>
    <x v="1319"/>
    <x v="1319"/>
    <s v="Stimuleren Combimobiliteit"/>
    <x v="7"/>
    <n v="2072"/>
    <s v="IN/001679"/>
    <s v="N17 Baasrode kmp 12,930 tot 12,970 rechts  Aanleg verhoogde bushaltehaven"/>
    <s v="N17 Baasrode kmp 12,930 tot 12,970 rechts \nAanleg verhoogde bushaltehaven"/>
    <s v="Kleine Ingreep"/>
    <s v="WOV/INV/N17/6"/>
    <b v="1"/>
    <s v="Ingreep wordt opgevolgd in BOD"/>
    <n v="11864"/>
    <s v="AWV/INV/2021/3_P4"/>
    <n v="110951"/>
    <n v="21069485"/>
    <s v="&lt;p&gt;Combimobiliteitsfonds (2021 en 2022 (op 032))&lt;/p&gt;"/>
    <x v="25"/>
    <n v="7713"/>
    <s v="N17 Baasrode kmp 12,930 tot 12,970 rechts  Aanleg verhoogde bushaltehaven"/>
    <s v="&lt;p&gt;N17 Baasrode kmp 12,930 tot 12,970 rechts Aanleg verhoogde bushaltehaven&lt;/p&gt;"/>
    <s v="WOV/INV/N17/6"/>
    <n v="100"/>
    <n v="33000"/>
    <n v="0"/>
    <n v="0"/>
    <n v="269.58"/>
    <n v="33000"/>
    <n v="0"/>
    <n v="0"/>
    <n v="269.58"/>
  </r>
  <r>
    <x v="1320"/>
    <x v="1320"/>
    <s v="Verkeersveiligheid"/>
    <x v="4"/>
    <n v="2073"/>
    <s v="IN/001680"/>
    <s v="Ingreep schoolroute Ranst N14 x Stapstraat"/>
    <s v="PCV dossier"/>
    <s v="Kleine Ingreep"/>
    <s v="&lt;null&gt;"/>
    <b v="0"/>
    <s v="Ingreep wordt niet opgevolgd in BOD"/>
    <s v="&lt;null&gt;"/>
    <s v="&lt;null&gt;"/>
    <s v="&lt;null&gt;"/>
    <s v="&lt;null&gt;"/>
    <s v="&lt;null&gt;"/>
    <x v="0"/>
    <s v="&lt;null&gt;"/>
    <s v="&lt;null&gt;"/>
    <s v="&lt;null&gt;"/>
    <s v="&lt;null&gt;"/>
    <n v="100"/>
    <s v="&lt;null&gt;"/>
    <s v="&lt;null&gt;"/>
    <s v="&lt;null&gt;"/>
    <s v="&lt;null&gt;"/>
    <m/>
    <m/>
    <m/>
    <m/>
  </r>
  <r>
    <x v="1321"/>
    <x v="1321"/>
    <s v="Verkeersveiligheid"/>
    <x v="1"/>
    <n v="2074"/>
    <s v="IN/001681"/>
    <s v="A19/R8 -  Kortrijk-West - aanleg"/>
    <s v="&lt;null&gt;"/>
    <s v="Structurele Ingreep"/>
    <s v="WWV/INV/A19/1"/>
    <b v="1"/>
    <s v="Ingreep wordt opgevolgd in BOD"/>
    <n v="10666"/>
    <s v="VWT/EW/2020/028"/>
    <n v="124801"/>
    <n v="22018251"/>
    <s v="&lt;p&gt;Complex A19/E403 te Wevelgem. PWV319 - Wisselaar A19/R8 Kortrijk. Deelopdracht: Leveren en plaatsen van 5 inwendig verlichte signalisatieborden en 1 seinbrug op de E403 richting Brugge.&lt;/p&gt;"/>
    <x v="3"/>
    <n v="8549"/>
    <s v="&lt;null&gt;"/>
    <s v="&lt;p&gt;Complex A19/E403 te Wevelgem. PWV319 - Wisselaar A19/R8 Kortrijk. Deelopdracht: Leveren en plaatsen van 5 inwendig verlichte signalisatieborden en 1 seinbrug op de E403 richting Brugge.&lt;/p&gt;"/>
    <s v="WWV/INV/A19/1"/>
    <n v="100"/>
    <n v="148544.84"/>
    <n v="0"/>
    <n v="0"/>
    <n v="0"/>
    <n v="148544.84"/>
    <n v="0"/>
    <n v="0"/>
    <n v="0"/>
  </r>
  <r>
    <x v="1321"/>
    <x v="1321"/>
    <s v="Verkeersveiligheid"/>
    <x v="1"/>
    <n v="2074"/>
    <s v="IN/001681"/>
    <s v="A19/R8 -  Kortrijk-West - aanleg"/>
    <s v="&lt;null&gt;"/>
    <s v="Structurele Ingreep"/>
    <s v="WWV/INV/A19/1"/>
    <b v="1"/>
    <s v="Ingreep wordt opgevolgd in BOD"/>
    <n v="10666"/>
    <s v="VWT/EW/2020/028"/>
    <n v="132601"/>
    <n v="22025825"/>
    <s v="&lt;p&gt;Complex A19/E403 te Wevelgem. PWV319 - Wisselaar A19/R8 Kortrijk. Deelopdracht: Leveren en plaatsen van 6 inwendig verlichte signalisatieborden en 1 seinbrug op de E403 richting Brugge.&lt;/p&gt;"/>
    <x v="3"/>
    <n v="9061"/>
    <s v="&lt;null&gt;"/>
    <s v="&lt;p&gt;Complex A19/E403 te Wevelgem. PWV319 - Wisselaar A19/R8 Kortrijk. Deelopdracht: Leveren en plaatsen van 6 inwendig verlichte signalisatieborden en 1 seinbrug op de E403 richting Brugge.&lt;/p&gt;"/>
    <s v="WWV/INV/A19/1"/>
    <n v="100"/>
    <n v="167985.82"/>
    <n v="0"/>
    <n v="0"/>
    <n v="167985.82"/>
    <n v="167985.82"/>
    <n v="0"/>
    <n v="0"/>
    <n v="167985.82"/>
  </r>
  <r>
    <x v="990"/>
    <x v="990"/>
    <s v="Verkeersveiligheid"/>
    <x v="4"/>
    <n v="2075"/>
    <s v="IN/001682"/>
    <s v="Huldenberg N253 dorpsstraat Punctuele verlichting"/>
    <s v="Punctuele verlichting voorzien mits schrappen parkeerplaatsen"/>
    <s v="Kleine Ingreep"/>
    <s v="&lt;null&gt;"/>
    <b v="0"/>
    <s v="Ingreep wordt niet opgevolgd in BOD"/>
    <s v="&lt;null&gt;"/>
    <s v="&lt;null&gt;"/>
    <s v="&lt;null&gt;"/>
    <s v="&lt;null&gt;"/>
    <s v="&lt;null&gt;"/>
    <x v="0"/>
    <s v="&lt;null&gt;"/>
    <s v="&lt;null&gt;"/>
    <s v="&lt;null&gt;"/>
    <s v="&lt;null&gt;"/>
    <n v="100"/>
    <s v="&lt;null&gt;"/>
    <s v="&lt;null&gt;"/>
    <s v="&lt;null&gt;"/>
    <s v="&lt;null&gt;"/>
    <m/>
    <m/>
    <m/>
    <m/>
  </r>
  <r>
    <x v="1322"/>
    <x v="1322"/>
    <s v="Verkeersveiligheid"/>
    <x v="5"/>
    <n v="2076"/>
    <s v="IN/001683"/>
    <s v="aanpassen slokkers op rotonde met N75"/>
    <s v="verbeteren verkeersveiligheid voor gemotoriseerd verkeer"/>
    <s v="Kleine Ingreep"/>
    <s v="WL/INV/N75/12"/>
    <b v="1"/>
    <s v="Ingreep wordt opgevolgd in BOD"/>
    <n v="11589"/>
    <s v="WL/INV/2021/10_P5"/>
    <n v="105401"/>
    <n v="21066891"/>
    <s v="&lt;p&gt;Aanpak voetpaden brug N744 over E314&lt;/p&gt;"/>
    <x v="10"/>
    <n v="7716"/>
    <s v="Genk: aanpassen slokkers op rotonde met N75"/>
    <s v="&lt;null&gt;"/>
    <s v="WL/INV/N75/12"/>
    <n v="100"/>
    <n v="14205.81"/>
    <n v="9817.0550000000003"/>
    <n v="0"/>
    <n v="4388.7550000000001"/>
    <n v="14205.81"/>
    <n v="9817.0550000000003"/>
    <n v="0"/>
    <n v="4388.7550000000001"/>
  </r>
  <r>
    <x v="1323"/>
    <x v="1323"/>
    <s v="Verkeersveiligheid"/>
    <x v="4"/>
    <n v="2077"/>
    <s v="IN/001684"/>
    <s v="N762 Kinrooi FP Molenbeersel"/>
    <s v="&lt;null&gt;"/>
    <s v="Structurele Ingreep"/>
    <s v="WL/INV/N762/4"/>
    <b v="0"/>
    <s v="Ingreep wordt niet opgevolgd in BOD"/>
    <s v="&lt;null&gt;"/>
    <s v="&lt;null&gt;"/>
    <s v="&lt;null&gt;"/>
    <s v="&lt;null&gt;"/>
    <s v="&lt;null&gt;"/>
    <x v="0"/>
    <s v="&lt;null&gt;"/>
    <s v="&lt;null&gt;"/>
    <s v="&lt;null&gt;"/>
    <s v="&lt;null&gt;"/>
    <n v="100"/>
    <s v="&lt;null&gt;"/>
    <s v="&lt;null&gt;"/>
    <s v="&lt;null&gt;"/>
    <s v="&lt;null&gt;"/>
    <m/>
    <m/>
    <m/>
    <m/>
  </r>
  <r>
    <x v="18"/>
    <x v="18"/>
    <s v="&lt;null&gt;"/>
    <x v="3"/>
    <n v="2078"/>
    <s v="IN/001685"/>
    <s v="N75 Dilsen-Stokkem Eco-recreaduct"/>
    <s v="&lt;null&gt;"/>
    <s v="Structurele Ingreep"/>
    <s v="WL/INV/N75/1"/>
    <b v="0"/>
    <s v="Ingreep wordt niet opgevolgd in BOD"/>
    <s v="&lt;null&gt;"/>
    <s v="&lt;null&gt;"/>
    <s v="&lt;null&gt;"/>
    <s v="&lt;null&gt;"/>
    <s v="&lt;null&gt;"/>
    <x v="0"/>
    <s v="&lt;null&gt;"/>
    <s v="&lt;null&gt;"/>
    <s v="&lt;null&gt;"/>
    <s v="&lt;null&gt;"/>
    <s v="&lt;null&gt;"/>
    <s v="&lt;null&gt;"/>
    <s v="&lt;null&gt;"/>
    <s v="&lt;null&gt;"/>
    <s v="&lt;null&gt;"/>
    <m/>
    <m/>
    <m/>
    <m/>
  </r>
  <r>
    <x v="18"/>
    <x v="18"/>
    <s v="&lt;null&gt;"/>
    <x v="3"/>
    <n v="2079"/>
    <s v="IN/001686"/>
    <s v="E313 Diepenbeek: dienstenzone"/>
    <s v="&lt;null&gt;"/>
    <s v="Structurele Ingreep"/>
    <s v="WL/INV/E313/1"/>
    <b v="0"/>
    <s v="Ingreep wordt niet opgevolgd in BOD"/>
    <s v="&lt;null&gt;"/>
    <s v="&lt;null&gt;"/>
    <s v="&lt;null&gt;"/>
    <s v="&lt;null&gt;"/>
    <s v="&lt;null&gt;"/>
    <x v="0"/>
    <s v="&lt;null&gt;"/>
    <s v="&lt;null&gt;"/>
    <s v="&lt;null&gt;"/>
    <s v="&lt;null&gt;"/>
    <s v="&lt;null&gt;"/>
    <s v="&lt;null&gt;"/>
    <s v="&lt;null&gt;"/>
    <s v="&lt;null&gt;"/>
    <s v="&lt;null&gt;"/>
    <m/>
    <m/>
    <m/>
    <m/>
  </r>
  <r>
    <x v="346"/>
    <x v="346"/>
    <s v="Verkeersveiligheid"/>
    <x v="1"/>
    <n v="2080"/>
    <s v="IN/001687"/>
    <s v="N73 Bree, Aanleg ontbrekende fietspaden"/>
    <s v="&lt;null&gt;"/>
    <s v="Structurele Ingreep"/>
    <s v="WL/INV/N73/1"/>
    <b v="0"/>
    <s v="Ingreep wordt niet opgevolgd in BOD"/>
    <s v="&lt;null&gt;"/>
    <s v="&lt;null&gt;"/>
    <s v="&lt;null&gt;"/>
    <s v="&lt;null&gt;"/>
    <s v="&lt;null&gt;"/>
    <x v="0"/>
    <s v="&lt;null&gt;"/>
    <s v="&lt;null&gt;"/>
    <s v="&lt;null&gt;"/>
    <s v="&lt;null&gt;"/>
    <n v="25"/>
    <s v="&lt;null&gt;"/>
    <s v="&lt;null&gt;"/>
    <s v="&lt;null&gt;"/>
    <s v="&lt;null&gt;"/>
    <m/>
    <m/>
    <m/>
    <m/>
  </r>
  <r>
    <x v="18"/>
    <x v="18"/>
    <s v="&lt;null&gt;"/>
    <x v="3"/>
    <n v="2081"/>
    <s v="IN/001688"/>
    <s v="N78 Maasmechelen, Aanleg riolering en fietspaden"/>
    <s v="&lt;null&gt;"/>
    <s v="Structurele Ingreep"/>
    <s v="WL/INV/N78/2"/>
    <b v="0"/>
    <s v="Ingreep wordt niet opgevolgd in BOD"/>
    <s v="&lt;null&gt;"/>
    <s v="&lt;null&gt;"/>
    <s v="&lt;null&gt;"/>
    <s v="&lt;null&gt;"/>
    <s v="&lt;null&gt;"/>
    <x v="0"/>
    <s v="&lt;null&gt;"/>
    <s v="&lt;null&gt;"/>
    <s v="&lt;null&gt;"/>
    <s v="&lt;null&gt;"/>
    <s v="&lt;null&gt;"/>
    <s v="&lt;null&gt;"/>
    <s v="&lt;null&gt;"/>
    <s v="&lt;null&gt;"/>
    <s v="&lt;null&gt;"/>
    <m/>
    <m/>
    <m/>
    <m/>
  </r>
  <r>
    <x v="18"/>
    <x v="18"/>
    <s v="&lt;null&gt;"/>
    <x v="3"/>
    <n v="2082"/>
    <s v="IN/001689"/>
    <s v="E314/A2, Renovatie viaduct Boorsem"/>
    <s v="&lt;null&gt;"/>
    <s v="Structurele Ingreep"/>
    <s v="WL/INV/E314/1"/>
    <b v="0"/>
    <s v="Ingreep wordt niet opgevolgd in BOD"/>
    <s v="&lt;null&gt;"/>
    <s v="&lt;null&gt;"/>
    <s v="&lt;null&gt;"/>
    <s v="&lt;null&gt;"/>
    <s v="&lt;null&gt;"/>
    <x v="0"/>
    <s v="&lt;null&gt;"/>
    <s v="&lt;null&gt;"/>
    <s v="&lt;null&gt;"/>
    <s v="&lt;null&gt;"/>
    <s v="&lt;null&gt;"/>
    <s v="&lt;null&gt;"/>
    <s v="&lt;null&gt;"/>
    <s v="&lt;null&gt;"/>
    <s v="&lt;null&gt;"/>
    <m/>
    <m/>
    <m/>
    <m/>
  </r>
  <r>
    <x v="18"/>
    <x v="18"/>
    <s v="&lt;null&gt;"/>
    <x v="3"/>
    <n v="2083"/>
    <s v="IN/001690"/>
    <s v="N719 Houthalen Fietspaden Lillo"/>
    <s v="&lt;null&gt;"/>
    <s v="Structurele Ingreep"/>
    <s v="WL/INV/N719/3"/>
    <b v="0"/>
    <s v="Ingreep wordt niet opgevolgd in BOD"/>
    <s v="&lt;null&gt;"/>
    <s v="&lt;null&gt;"/>
    <s v="&lt;null&gt;"/>
    <s v="&lt;null&gt;"/>
    <s v="&lt;null&gt;"/>
    <x v="0"/>
    <s v="&lt;null&gt;"/>
    <s v="&lt;null&gt;"/>
    <s v="&lt;null&gt;"/>
    <s v="&lt;null&gt;"/>
    <s v="&lt;null&gt;"/>
    <s v="&lt;null&gt;"/>
    <s v="&lt;null&gt;"/>
    <s v="&lt;null&gt;"/>
    <s v="&lt;null&gt;"/>
    <m/>
    <m/>
    <m/>
    <m/>
  </r>
  <r>
    <x v="1111"/>
    <x v="1111"/>
    <s v="Verkeersveiligheid"/>
    <x v="4"/>
    <n v="2084"/>
    <s v="IN/001691"/>
    <s v="N411 Aalst: aanpassen markeringen fietspaden"/>
    <s v="aanbrengen van rode coating ter hoogte van kruispunten"/>
    <s v="Kleine Ingreep"/>
    <s v="WOV/INV/N411/3"/>
    <b v="0"/>
    <s v="Ingreep wordt niet opgevolgd in BOD"/>
    <s v="&lt;null&gt;"/>
    <s v="&lt;null&gt;"/>
    <s v="&lt;null&gt;"/>
    <s v="&lt;null&gt;"/>
    <s v="&lt;null&gt;"/>
    <x v="0"/>
    <s v="&lt;null&gt;"/>
    <s v="&lt;null&gt;"/>
    <s v="&lt;null&gt;"/>
    <s v="&lt;null&gt;"/>
    <n v="100"/>
    <s v="&lt;null&gt;"/>
    <s v="&lt;null&gt;"/>
    <s v="&lt;null&gt;"/>
    <s v="&lt;null&gt;"/>
    <m/>
    <m/>
    <m/>
    <m/>
  </r>
  <r>
    <x v="1126"/>
    <x v="1126"/>
    <s v="Verkeersveiligheid"/>
    <x v="4"/>
    <n v="2085"/>
    <s v="IN/001692"/>
    <s v="aanbrengen markeringen fietspaden"/>
    <s v="aanbrengen rode coating ter hoogte van kruispunten"/>
    <s v="Kleine Ingreep"/>
    <s v="WOV/INV/NX/4"/>
    <b v="0"/>
    <s v="Ingreep wordt niet opgevolgd in BOD"/>
    <s v="&lt;null&gt;"/>
    <s v="&lt;null&gt;"/>
    <s v="&lt;null&gt;"/>
    <s v="&lt;null&gt;"/>
    <s v="&lt;null&gt;"/>
    <x v="0"/>
    <s v="&lt;null&gt;"/>
    <s v="&lt;null&gt;"/>
    <s v="&lt;null&gt;"/>
    <s v="&lt;null&gt;"/>
    <n v="100"/>
    <s v="&lt;null&gt;"/>
    <s v="&lt;null&gt;"/>
    <s v="&lt;null&gt;"/>
    <s v="&lt;null&gt;"/>
    <m/>
    <m/>
    <m/>
    <m/>
  </r>
  <r>
    <x v="1305"/>
    <x v="1305"/>
    <s v="Verkeersveiligheid"/>
    <x v="4"/>
    <n v="2086"/>
    <s v="IN/001693"/>
    <s v="SRK: N494a Geraardsbergen: aanpassen markeringen fietspaden"/>
    <s v="aanbrengen rode coating ter hoogte van kruispunten"/>
    <s v="Kleine Ingreep"/>
    <s v="WOV/INV/N495/6"/>
    <b v="0"/>
    <s v="Ingreep wordt niet opgevolgd in BOD"/>
    <s v="&lt;null&gt;"/>
    <s v="&lt;null&gt;"/>
    <s v="&lt;null&gt;"/>
    <s v="&lt;null&gt;"/>
    <s v="&lt;null&gt;"/>
    <x v="0"/>
    <s v="&lt;null&gt;"/>
    <s v="&lt;null&gt;"/>
    <s v="&lt;null&gt;"/>
    <s v="&lt;null&gt;"/>
    <n v="100"/>
    <s v="&lt;null&gt;"/>
    <s v="&lt;null&gt;"/>
    <s v="&lt;null&gt;"/>
    <s v="&lt;null&gt;"/>
    <m/>
    <m/>
    <m/>
    <m/>
  </r>
  <r>
    <x v="18"/>
    <x v="18"/>
    <s v="&lt;null&gt;"/>
    <x v="3"/>
    <n v="2087"/>
    <s v="IN/001694"/>
    <s v="A2 Genk - geluidswerende maatregelen"/>
    <s v="&lt;null&gt;"/>
    <s v="Structurele Ingreep"/>
    <s v="WL/INV/A2/4"/>
    <b v="0"/>
    <s v="Ingreep wordt niet opgevolgd in BOD"/>
    <s v="&lt;null&gt;"/>
    <s v="&lt;null&gt;"/>
    <s v="&lt;null&gt;"/>
    <s v="&lt;null&gt;"/>
    <s v="&lt;null&gt;"/>
    <x v="0"/>
    <s v="&lt;null&gt;"/>
    <s v="&lt;null&gt;"/>
    <s v="&lt;null&gt;"/>
    <s v="&lt;null&gt;"/>
    <s v="&lt;null&gt;"/>
    <s v="&lt;null&gt;"/>
    <s v="&lt;null&gt;"/>
    <s v="&lt;null&gt;"/>
    <s v="&lt;null&gt;"/>
    <m/>
    <m/>
    <m/>
    <m/>
  </r>
  <r>
    <x v="18"/>
    <x v="18"/>
    <s v="&lt;null&gt;"/>
    <x v="3"/>
    <n v="2088"/>
    <s v="IN/001695"/>
    <s v="N762 Maaseik Weertersteenweg Schoolomgeving"/>
    <s v="&lt;null&gt;"/>
    <s v="Structurele Ingreep"/>
    <s v="WL/INV/N762/1"/>
    <b v="0"/>
    <s v="Ingreep wordt niet opgevolgd in BOD"/>
    <s v="&lt;null&gt;"/>
    <s v="&lt;null&gt;"/>
    <s v="&lt;null&gt;"/>
    <s v="&lt;null&gt;"/>
    <s v="&lt;null&gt;"/>
    <x v="0"/>
    <s v="&lt;null&gt;"/>
    <s v="&lt;null&gt;"/>
    <s v="&lt;null&gt;"/>
    <s v="&lt;null&gt;"/>
    <s v="&lt;null&gt;"/>
    <s v="&lt;null&gt;"/>
    <s v="&lt;null&gt;"/>
    <s v="&lt;null&gt;"/>
    <s v="&lt;null&gt;"/>
    <m/>
    <m/>
    <m/>
    <m/>
  </r>
  <r>
    <x v="18"/>
    <x v="18"/>
    <s v="&lt;null&gt;"/>
    <x v="3"/>
    <n v="2089"/>
    <s v="IN/001696"/>
    <s v="N712 Pelt, Ontsluiting De Koel SO7"/>
    <s v="&lt;null&gt;"/>
    <s v="Structurele Ingreep"/>
    <s v="WL/INV/N712/1"/>
    <b v="0"/>
    <s v="Ingreep wordt niet opgevolgd in BOD"/>
    <s v="&lt;null&gt;"/>
    <s v="&lt;null&gt;"/>
    <s v="&lt;null&gt;"/>
    <s v="&lt;null&gt;"/>
    <s v="&lt;null&gt;"/>
    <x v="0"/>
    <s v="&lt;null&gt;"/>
    <s v="&lt;null&gt;"/>
    <s v="&lt;null&gt;"/>
    <s v="&lt;null&gt;"/>
    <s v="&lt;null&gt;"/>
    <s v="&lt;null&gt;"/>
    <s v="&lt;null&gt;"/>
    <s v="&lt;null&gt;"/>
    <s v="&lt;null&gt;"/>
    <m/>
    <m/>
    <m/>
    <m/>
  </r>
  <r>
    <x v="18"/>
    <x v="18"/>
    <s v="&lt;null&gt;"/>
    <x v="3"/>
    <n v="2090"/>
    <s v="IN/001697"/>
    <s v="N73 Bree, PCV N73xRoermonderstraat"/>
    <s v="&lt;null&gt;"/>
    <s v="Structurele Ingreep"/>
    <s v="WL/INV/N73/17"/>
    <b v="0"/>
    <s v="Ingreep wordt niet opgevolgd in BOD"/>
    <s v="&lt;null&gt;"/>
    <s v="&lt;null&gt;"/>
    <s v="&lt;null&gt;"/>
    <s v="&lt;null&gt;"/>
    <s v="&lt;null&gt;"/>
    <x v="0"/>
    <s v="&lt;null&gt;"/>
    <s v="&lt;null&gt;"/>
    <s v="&lt;null&gt;"/>
    <s v="&lt;null&gt;"/>
    <s v="&lt;null&gt;"/>
    <s v="&lt;null&gt;"/>
    <s v="&lt;null&gt;"/>
    <s v="&lt;null&gt;"/>
    <s v="&lt;null&gt;"/>
    <m/>
    <m/>
    <m/>
    <m/>
  </r>
  <r>
    <x v="18"/>
    <x v="18"/>
    <s v="&lt;null&gt;"/>
    <x v="3"/>
    <n v="2091"/>
    <s v="IN/001698"/>
    <s v="N730 Oudsbergen PCV Rotonde Centrum"/>
    <s v="&lt;null&gt;"/>
    <s v="Structurele Ingreep"/>
    <s v="WL/INV/N730/4"/>
    <b v="0"/>
    <s v="Ingreep wordt niet opgevolgd in BOD"/>
    <s v="&lt;null&gt;"/>
    <s v="&lt;null&gt;"/>
    <s v="&lt;null&gt;"/>
    <s v="&lt;null&gt;"/>
    <s v="&lt;null&gt;"/>
    <x v="0"/>
    <s v="&lt;null&gt;"/>
    <s v="&lt;null&gt;"/>
    <s v="&lt;null&gt;"/>
    <s v="&lt;null&gt;"/>
    <s v="&lt;null&gt;"/>
    <s v="&lt;null&gt;"/>
    <s v="&lt;null&gt;"/>
    <s v="&lt;null&gt;"/>
    <s v="&lt;null&gt;"/>
    <m/>
    <m/>
    <m/>
    <m/>
  </r>
  <r>
    <x v="1324"/>
    <x v="1324"/>
    <s v="Verkeersveiligheid"/>
    <x v="4"/>
    <n v="2092"/>
    <s v="IN/001699"/>
    <s v="Trajectcontrole bebouwde kom Petegem"/>
    <s v="TC2021_236"/>
    <s v="Kleine Ingreep"/>
    <s v="WOV/INV/N453/1"/>
    <b v="0"/>
    <s v="Ingreep wordt niet opgevolgd in BOD"/>
    <s v="&lt;null&gt;"/>
    <s v="&lt;null&gt;"/>
    <s v="&lt;null&gt;"/>
    <s v="&lt;null&gt;"/>
    <s v="&lt;null&gt;"/>
    <x v="0"/>
    <s v="&lt;null&gt;"/>
    <s v="&lt;null&gt;"/>
    <s v="&lt;null&gt;"/>
    <s v="&lt;null&gt;"/>
    <n v="100"/>
    <s v="&lt;null&gt;"/>
    <s v="&lt;null&gt;"/>
    <s v="&lt;null&gt;"/>
    <s v="&lt;null&gt;"/>
    <m/>
    <m/>
    <m/>
    <m/>
  </r>
  <r>
    <x v="1325"/>
    <x v="1325"/>
    <s v="Fiets"/>
    <x v="0"/>
    <n v="2093"/>
    <s v="IN/001700"/>
    <s v="N78 Dilsen-Stokkem Lanklaar, uitv. streefbeeld"/>
    <s v="&lt;null&gt;"/>
    <s v="Structurele Ingreep"/>
    <s v="WL/INV/N78/11"/>
    <b v="0"/>
    <s v="Ingreep wordt niet opgevolgd in BOD"/>
    <s v="&lt;null&gt;"/>
    <s v="&lt;null&gt;"/>
    <s v="&lt;null&gt;"/>
    <s v="&lt;null&gt;"/>
    <s v="&lt;null&gt;"/>
    <x v="0"/>
    <s v="&lt;null&gt;"/>
    <s v="&lt;null&gt;"/>
    <s v="&lt;null&gt;"/>
    <s v="&lt;null&gt;"/>
    <n v="100"/>
    <s v="&lt;null&gt;"/>
    <s v="&lt;null&gt;"/>
    <s v="&lt;null&gt;"/>
    <s v="&lt;null&gt;"/>
    <m/>
    <m/>
    <m/>
    <m/>
  </r>
  <r>
    <x v="18"/>
    <x v="18"/>
    <s v="&lt;null&gt;"/>
    <x v="3"/>
    <n v="2094"/>
    <s v="IN/001701"/>
    <s v="N78 Lanaken, PCV Reistraat"/>
    <s v="&lt;null&gt;"/>
    <s v="Structurele Ingreep"/>
    <s v="WL/INV/N78/6"/>
    <b v="0"/>
    <s v="Ingreep wordt niet opgevolgd in BOD"/>
    <s v="&lt;null&gt;"/>
    <s v="&lt;null&gt;"/>
    <s v="&lt;null&gt;"/>
    <s v="&lt;null&gt;"/>
    <s v="&lt;null&gt;"/>
    <x v="0"/>
    <s v="&lt;null&gt;"/>
    <s v="&lt;null&gt;"/>
    <s v="&lt;null&gt;"/>
    <s v="&lt;null&gt;"/>
    <s v="&lt;null&gt;"/>
    <s v="&lt;null&gt;"/>
    <s v="&lt;null&gt;"/>
    <s v="&lt;null&gt;"/>
    <s v="&lt;null&gt;"/>
    <m/>
    <m/>
    <m/>
    <m/>
  </r>
  <r>
    <x v="18"/>
    <x v="18"/>
    <s v="&lt;null&gt;"/>
    <x v="3"/>
    <n v="2095"/>
    <s v="IN/001702"/>
    <s v="E40 Gent - aanleg weefstroken en geluidsschermen"/>
    <s v="&lt;null&gt;"/>
    <s v="Structurele Ingreep"/>
    <s v="WOV/INV/E40/2"/>
    <b v="0"/>
    <s v="Ingreep wordt niet opgevolgd in BOD"/>
    <s v="&lt;null&gt;"/>
    <s v="&lt;null&gt;"/>
    <s v="&lt;null&gt;"/>
    <s v="&lt;null&gt;"/>
    <s v="&lt;null&gt;"/>
    <x v="0"/>
    <s v="&lt;null&gt;"/>
    <s v="&lt;null&gt;"/>
    <s v="&lt;null&gt;"/>
    <s v="&lt;null&gt;"/>
    <s v="&lt;null&gt;"/>
    <s v="&lt;null&gt;"/>
    <s v="&lt;null&gt;"/>
    <s v="&lt;null&gt;"/>
    <s v="&lt;null&gt;"/>
    <m/>
    <m/>
    <m/>
    <m/>
  </r>
  <r>
    <x v="1164"/>
    <x v="1164"/>
    <s v="Verkeersveiligheid"/>
    <x v="5"/>
    <n v="2096"/>
    <s v="IN/001703"/>
    <s v="PCV 922 - N363 Provinciebaan x Bovekerkestraat. Beveiligen fietsoverstee"/>
    <s v="De kaarsrechte weg N363 komende vanuit de richting Torhout wordt in nadering van het kruispunt met de Bovekerkestraat en de Litterveldstraat meer uitgebogen om te proberen de gereden snelheid te doen dalen.  De fietsoversteek voor wie komt uit de gemeente"/>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2097"/>
    <s v="IN/001704"/>
    <s v="N725 Lummen Fietspaden Meldertsebaan fase 4"/>
    <s v="&lt;null&gt;"/>
    <s v="Structurele Ingreep"/>
    <s v="WL/INV/N725/6"/>
    <b v="0"/>
    <s v="Ingreep wordt niet opgevolgd in BOD"/>
    <s v="&lt;null&gt;"/>
    <s v="&lt;null&gt;"/>
    <s v="&lt;null&gt;"/>
    <s v="&lt;null&gt;"/>
    <s v="&lt;null&gt;"/>
    <x v="0"/>
    <s v="&lt;null&gt;"/>
    <s v="&lt;null&gt;"/>
    <s v="&lt;null&gt;"/>
    <s v="&lt;null&gt;"/>
    <s v="&lt;null&gt;"/>
    <s v="&lt;null&gt;"/>
    <s v="&lt;null&gt;"/>
    <s v="&lt;null&gt;"/>
    <s v="&lt;null&gt;"/>
    <m/>
    <m/>
    <m/>
    <m/>
  </r>
  <r>
    <x v="1326"/>
    <x v="1326"/>
    <s v="Verkeersveiligheid"/>
    <x v="4"/>
    <n v="2098"/>
    <s v="IN/001705"/>
    <s v="vaste zone 30 centrum"/>
    <s v="&lt;null&gt;"/>
    <s v="Kleine Ingreep"/>
    <s v="WWV/INV/N377/1"/>
    <b v="0"/>
    <s v="Ingreep wordt niet opgevolgd in BOD"/>
    <s v="&lt;null&gt;"/>
    <s v="&lt;null&gt;"/>
    <s v="&lt;null&gt;"/>
    <s v="&lt;null&gt;"/>
    <s v="&lt;null&gt;"/>
    <x v="0"/>
    <s v="&lt;null&gt;"/>
    <s v="&lt;null&gt;"/>
    <s v="&lt;null&gt;"/>
    <s v="&lt;null&gt;"/>
    <n v="100"/>
    <s v="&lt;null&gt;"/>
    <s v="&lt;null&gt;"/>
    <s v="&lt;null&gt;"/>
    <s v="&lt;null&gt;"/>
    <m/>
    <m/>
    <m/>
    <m/>
  </r>
  <r>
    <x v="18"/>
    <x v="18"/>
    <s v="&lt;null&gt;"/>
    <x v="3"/>
    <n v="2099"/>
    <s v="IN/001706"/>
    <s v="N78 Fietspaden Maaseik-Kinrooi"/>
    <s v="&lt;null&gt;"/>
    <s v="Structurele Ingreep"/>
    <s v="WL/INV/N78/23"/>
    <b v="0"/>
    <s v="Ingreep wordt niet opgevolgd in BOD"/>
    <s v="&lt;null&gt;"/>
    <s v="&lt;null&gt;"/>
    <s v="&lt;null&gt;"/>
    <s v="&lt;null&gt;"/>
    <s v="&lt;null&gt;"/>
    <x v="0"/>
    <s v="&lt;null&gt;"/>
    <s v="&lt;null&gt;"/>
    <s v="&lt;null&gt;"/>
    <s v="&lt;null&gt;"/>
    <s v="&lt;null&gt;"/>
    <s v="&lt;null&gt;"/>
    <s v="&lt;null&gt;"/>
    <s v="&lt;null&gt;"/>
    <s v="&lt;null&gt;"/>
    <m/>
    <m/>
    <m/>
    <m/>
  </r>
  <r>
    <x v="18"/>
    <x v="18"/>
    <s v="&lt;null&gt;"/>
    <x v="3"/>
    <n v="2100"/>
    <s v="IN/001707"/>
    <s v="Vernieuwen brug over Dijle te Rotselaar"/>
    <s v="&lt;null&gt;"/>
    <s v="Structurele Ingreep"/>
    <s v="WVB/INV/N229/5"/>
    <b v="0"/>
    <s v="Ingreep wordt niet opgevolgd in BOD"/>
    <s v="&lt;null&gt;"/>
    <s v="&lt;null&gt;"/>
    <s v="&lt;null&gt;"/>
    <s v="&lt;null&gt;"/>
    <s v="&lt;null&gt;"/>
    <x v="0"/>
    <s v="&lt;null&gt;"/>
    <s v="&lt;null&gt;"/>
    <s v="&lt;null&gt;"/>
    <s v="&lt;null&gt;"/>
    <s v="&lt;null&gt;"/>
    <s v="&lt;null&gt;"/>
    <s v="&lt;null&gt;"/>
    <s v="&lt;null&gt;"/>
    <s v="&lt;null&gt;"/>
    <m/>
    <m/>
    <m/>
    <m/>
  </r>
  <r>
    <x v="140"/>
    <x v="140"/>
    <s v="Fiets"/>
    <x v="0"/>
    <n v="2101"/>
    <s v="IN/001708"/>
    <s v="N39 Veurne Nieuwpoortkeiweg verbeteren afwatering"/>
    <s v="&lt;null&gt;"/>
    <s v="Structurele Ingreep"/>
    <s v="WWV/INV/N39/1"/>
    <b v="0"/>
    <s v="Ingreep wordt niet opgevolgd in BOD"/>
    <s v="&lt;null&gt;"/>
    <s v="&lt;null&gt;"/>
    <s v="&lt;null&gt;"/>
    <s v="&lt;null&gt;"/>
    <s v="&lt;null&gt;"/>
    <x v="0"/>
    <s v="&lt;null&gt;"/>
    <s v="&lt;null&gt;"/>
    <s v="&lt;null&gt;"/>
    <s v="&lt;null&gt;"/>
    <n v="40"/>
    <s v="&lt;null&gt;"/>
    <s v="&lt;null&gt;"/>
    <s v="&lt;null&gt;"/>
    <s v="&lt;null&gt;"/>
    <m/>
    <m/>
    <m/>
    <m/>
  </r>
  <r>
    <x v="601"/>
    <x v="601"/>
    <s v="Verkeersveiligheid"/>
    <x v="1"/>
    <n v="2101"/>
    <s v="IN/001708"/>
    <s v="N39 Veurne Nieuwpoortkeiweg verbeteren afwatering"/>
    <s v="&lt;null&gt;"/>
    <s v="Structurele Ingreep"/>
    <s v="WWV/INV/N39/1"/>
    <b v="0"/>
    <s v="Ingreep wordt niet opgevolgd in BOD"/>
    <s v="&lt;null&gt;"/>
    <s v="&lt;null&gt;"/>
    <s v="&lt;null&gt;"/>
    <s v="&lt;null&gt;"/>
    <s v="&lt;null&gt;"/>
    <x v="0"/>
    <s v="&lt;null&gt;"/>
    <s v="&lt;null&gt;"/>
    <s v="&lt;null&gt;"/>
    <s v="&lt;null&gt;"/>
    <n v="5"/>
    <s v="&lt;null&gt;"/>
    <s v="&lt;null&gt;"/>
    <s v="&lt;null&gt;"/>
    <s v="&lt;null&gt;"/>
    <m/>
    <m/>
    <m/>
    <m/>
  </r>
  <r>
    <x v="1327"/>
    <x v="1327"/>
    <s v="Verkeersveiligheid"/>
    <x v="6"/>
    <n v="2102"/>
    <s v="IN/001709"/>
    <s v="verkeersveiligheid"/>
    <s v="Wegwerken hoogteverschillen op 6 locaties op N462 tussen 6.6 en 9.0"/>
    <s v="Kleine Ingreep"/>
    <s v="WOV/INV/N462/6"/>
    <b v="1"/>
    <s v="Ingreep wordt opgevolgd in BOD"/>
    <n v="7063"/>
    <s v="O40/D412/67"/>
    <n v="114701"/>
    <n v="22004049"/>
    <s v="&lt;p&gt;Wegwerken hoogteverschillen fietspaden op de N462 (6 locaties)&lt;/p&gt;"/>
    <x v="3"/>
    <n v="7747"/>
    <s v="&lt;null&gt;"/>
    <s v="&lt;p&gt;Wegwerken hoogteverschillen fietspaden op de N462 (6 locaties)&lt;/p&gt;"/>
    <s v="WOV/INV/N462/6"/>
    <n v="100"/>
    <n v="14596.29"/>
    <n v="14248.619000000001"/>
    <n v="0"/>
    <n v="347.67099999999999"/>
    <n v="14596.29"/>
    <n v="14248.619000000001"/>
    <n v="0"/>
    <n v="347.67099999999999"/>
  </r>
  <r>
    <x v="18"/>
    <x v="18"/>
    <s v="&lt;null&gt;"/>
    <x v="3"/>
    <n v="2103"/>
    <s v="IN/001710"/>
    <s v="X21/N019/31 Leuven - Wetenschapspark en Kes"/>
    <s v="&lt;null&gt;"/>
    <s v="Structurele Ingreep"/>
    <s v="WVB/INV/N19/7"/>
    <b v="0"/>
    <s v="Ingreep wordt niet opgevolgd in BOD"/>
    <s v="&lt;null&gt;"/>
    <s v="&lt;null&gt;"/>
    <s v="&lt;null&gt;"/>
    <s v="&lt;null&gt;"/>
    <s v="&lt;null&gt;"/>
    <x v="0"/>
    <s v="&lt;null&gt;"/>
    <s v="&lt;null&gt;"/>
    <s v="&lt;null&gt;"/>
    <s v="&lt;null&gt;"/>
    <s v="&lt;null&gt;"/>
    <s v="&lt;null&gt;"/>
    <s v="&lt;null&gt;"/>
    <s v="&lt;null&gt;"/>
    <s v="&lt;null&gt;"/>
    <m/>
    <m/>
    <m/>
    <m/>
  </r>
  <r>
    <x v="1328"/>
    <x v="1328"/>
    <s v="Verkeersveiligheid"/>
    <x v="4"/>
    <n v="2104"/>
    <s v="IN/001711"/>
    <s v="Aanpassing V-plannen ikv nazorg VRI"/>
    <s v="&lt;null&gt;"/>
    <s v="Kleine Ingreep"/>
    <s v="WL/INV/N20/11"/>
    <b v="0"/>
    <s v="Ingreep wordt niet opgevolgd in BOD"/>
    <s v="&lt;null&gt;"/>
    <s v="&lt;null&gt;"/>
    <s v="&lt;null&gt;"/>
    <s v="&lt;null&gt;"/>
    <s v="&lt;null&gt;"/>
    <x v="0"/>
    <s v="&lt;null&gt;"/>
    <s v="&lt;null&gt;"/>
    <s v="&lt;null&gt;"/>
    <s v="&lt;null&gt;"/>
    <n v="100"/>
    <s v="&lt;null&gt;"/>
    <s v="&lt;null&gt;"/>
    <s v="&lt;null&gt;"/>
    <s v="&lt;null&gt;"/>
    <m/>
    <m/>
    <m/>
    <m/>
  </r>
  <r>
    <x v="18"/>
    <x v="18"/>
    <s v="&lt;null&gt;"/>
    <x v="3"/>
    <n v="2105"/>
    <s v="IN/001712"/>
    <s v="N76 Borgloon fietspaden in samenwerking met Aquafi"/>
    <s v="&lt;null&gt;"/>
    <s v="Structurele Ingreep"/>
    <s v="WL/INV/N76/20"/>
    <b v="0"/>
    <s v="Ingreep wordt niet opgevolgd in BOD"/>
    <s v="&lt;null&gt;"/>
    <s v="&lt;null&gt;"/>
    <s v="&lt;null&gt;"/>
    <s v="&lt;null&gt;"/>
    <s v="&lt;null&gt;"/>
    <x v="0"/>
    <s v="&lt;null&gt;"/>
    <s v="&lt;null&gt;"/>
    <s v="&lt;null&gt;"/>
    <s v="&lt;null&gt;"/>
    <s v="&lt;null&gt;"/>
    <s v="&lt;null&gt;"/>
    <s v="&lt;null&gt;"/>
    <s v="&lt;null&gt;"/>
    <s v="&lt;null&gt;"/>
    <m/>
    <m/>
    <m/>
    <m/>
  </r>
  <r>
    <x v="1329"/>
    <x v="1329"/>
    <s v="Fiets"/>
    <x v="0"/>
    <n v="2106"/>
    <s v="IN/001713"/>
    <s v="N49 Knokke-Heist 2de golf Kragendijk heraanleg fietspaden"/>
    <s v="&lt;null&gt;"/>
    <s v="Structurele Ingreep"/>
    <s v="WWV/INV/N49/4"/>
    <b v="0"/>
    <s v="Ingreep wordt niet opgevolgd in BOD"/>
    <s v="&lt;null&gt;"/>
    <s v="&lt;null&gt;"/>
    <s v="&lt;null&gt;"/>
    <s v="&lt;null&gt;"/>
    <s v="&lt;null&gt;"/>
    <x v="0"/>
    <s v="&lt;null&gt;"/>
    <s v="&lt;null&gt;"/>
    <s v="&lt;null&gt;"/>
    <s v="&lt;null&gt;"/>
    <n v="100"/>
    <s v="&lt;null&gt;"/>
    <s v="&lt;null&gt;"/>
    <s v="&lt;null&gt;"/>
    <s v="&lt;null&gt;"/>
    <m/>
    <m/>
    <m/>
    <m/>
  </r>
  <r>
    <x v="18"/>
    <x v="18"/>
    <s v="&lt;null&gt;"/>
    <x v="3"/>
    <n v="2107"/>
    <s v="IN/001714"/>
    <s v="N730 : Tongeren : fietstunnel"/>
    <s v="&lt;null&gt;"/>
    <s v="Structurele Ingreep"/>
    <s v="WL/INV/N730/6"/>
    <b v="0"/>
    <s v="Ingreep wordt niet opgevolgd in BOD"/>
    <s v="&lt;null&gt;"/>
    <s v="&lt;null&gt;"/>
    <s v="&lt;null&gt;"/>
    <s v="&lt;null&gt;"/>
    <s v="&lt;null&gt;"/>
    <x v="0"/>
    <s v="&lt;null&gt;"/>
    <s v="&lt;null&gt;"/>
    <s v="&lt;null&gt;"/>
    <s v="&lt;null&gt;"/>
    <s v="&lt;null&gt;"/>
    <s v="&lt;null&gt;"/>
    <s v="&lt;null&gt;"/>
    <s v="&lt;null&gt;"/>
    <s v="&lt;null&gt;"/>
    <m/>
    <m/>
    <m/>
    <m/>
  </r>
  <r>
    <x v="18"/>
    <x v="18"/>
    <s v="&lt;null&gt;"/>
    <x v="3"/>
    <n v="2108"/>
    <s v="IN/001715"/>
    <s v="N758 : Tongeren : fietspaden Baversstraat"/>
    <s v="&lt;null&gt;"/>
    <s v="Structurele Ingreep"/>
    <s v="WL/INV/N758/1"/>
    <b v="0"/>
    <s v="Ingreep wordt niet opgevolgd in BOD"/>
    <s v="&lt;null&gt;"/>
    <s v="&lt;null&gt;"/>
    <s v="&lt;null&gt;"/>
    <s v="&lt;null&gt;"/>
    <s v="&lt;null&gt;"/>
    <x v="0"/>
    <s v="&lt;null&gt;"/>
    <s v="&lt;null&gt;"/>
    <s v="&lt;null&gt;"/>
    <s v="&lt;null&gt;"/>
    <s v="&lt;null&gt;"/>
    <s v="&lt;null&gt;"/>
    <s v="&lt;null&gt;"/>
    <s v="&lt;null&gt;"/>
    <s v="&lt;null&gt;"/>
    <m/>
    <m/>
    <m/>
    <m/>
  </r>
  <r>
    <x v="18"/>
    <x v="18"/>
    <s v="&lt;null&gt;"/>
    <x v="3"/>
    <n v="2109"/>
    <s v="IN/001716"/>
    <s v="N20 : Tongeren : herinrichting Overrepen"/>
    <s v="&lt;null&gt;"/>
    <s v="Structurele Ingreep"/>
    <s v="WL/INV/N20/4"/>
    <b v="0"/>
    <s v="Ingreep wordt niet opgevolgd in BOD"/>
    <s v="&lt;null&gt;"/>
    <s v="&lt;null&gt;"/>
    <s v="&lt;null&gt;"/>
    <s v="&lt;null&gt;"/>
    <s v="&lt;null&gt;"/>
    <x v="0"/>
    <s v="&lt;null&gt;"/>
    <s v="&lt;null&gt;"/>
    <s v="&lt;null&gt;"/>
    <s v="&lt;null&gt;"/>
    <s v="&lt;null&gt;"/>
    <s v="&lt;null&gt;"/>
    <s v="&lt;null&gt;"/>
    <s v="&lt;null&gt;"/>
    <s v="&lt;null&gt;"/>
    <m/>
    <m/>
    <m/>
    <m/>
  </r>
  <r>
    <x v="18"/>
    <x v="18"/>
    <s v="&lt;null&gt;"/>
    <x v="3"/>
    <n v="2110"/>
    <s v="IN/001717"/>
    <s v="N753 : Tongeren : omleidingsweg fase 2"/>
    <s v="&lt;null&gt;"/>
    <s v="Structurele Ingreep"/>
    <s v="WL/INV/N753/2"/>
    <b v="0"/>
    <s v="Ingreep wordt niet opgevolgd in BOD"/>
    <s v="&lt;null&gt;"/>
    <s v="&lt;null&gt;"/>
    <s v="&lt;null&gt;"/>
    <s v="&lt;null&gt;"/>
    <s v="&lt;null&gt;"/>
    <x v="0"/>
    <s v="&lt;null&gt;"/>
    <s v="&lt;null&gt;"/>
    <s v="&lt;null&gt;"/>
    <s v="&lt;null&gt;"/>
    <s v="&lt;null&gt;"/>
    <s v="&lt;null&gt;"/>
    <s v="&lt;null&gt;"/>
    <s v="&lt;null&gt;"/>
    <s v="&lt;null&gt;"/>
    <m/>
    <m/>
    <m/>
    <m/>
  </r>
  <r>
    <x v="18"/>
    <x v="18"/>
    <s v="&lt;null&gt;"/>
    <x v="3"/>
    <n v="2111"/>
    <s v="IN/001718"/>
    <s v="N753 Tongeren : fietspaden Molenweg"/>
    <s v="&lt;null&gt;"/>
    <s v="Structurele Ingreep"/>
    <s v="WL/INV/N753/3"/>
    <b v="0"/>
    <s v="Ingreep wordt niet opgevolgd in BOD"/>
    <s v="&lt;null&gt;"/>
    <s v="&lt;null&gt;"/>
    <s v="&lt;null&gt;"/>
    <s v="&lt;null&gt;"/>
    <s v="&lt;null&gt;"/>
    <x v="0"/>
    <s v="&lt;null&gt;"/>
    <s v="&lt;null&gt;"/>
    <s v="&lt;null&gt;"/>
    <s v="&lt;null&gt;"/>
    <s v="&lt;null&gt;"/>
    <s v="&lt;null&gt;"/>
    <s v="&lt;null&gt;"/>
    <s v="&lt;null&gt;"/>
    <s v="&lt;null&gt;"/>
    <m/>
    <m/>
    <m/>
    <m/>
  </r>
  <r>
    <x v="18"/>
    <x v="18"/>
    <s v="&lt;null&gt;"/>
    <x v="3"/>
    <n v="2112"/>
    <s v="IN/001719"/>
    <s v="Via R4 Gent"/>
    <s v="&lt;null&gt;"/>
    <s v="Structurele Ingreep"/>
    <s v="WOV/INV/R4/9"/>
    <b v="0"/>
    <s v="Ingreep wordt niet opgevolgd in BOD"/>
    <s v="&lt;null&gt;"/>
    <s v="&lt;null&gt;"/>
    <s v="&lt;null&gt;"/>
    <s v="&lt;null&gt;"/>
    <s v="&lt;null&gt;"/>
    <x v="0"/>
    <s v="&lt;null&gt;"/>
    <s v="&lt;null&gt;"/>
    <s v="&lt;null&gt;"/>
    <s v="&lt;null&gt;"/>
    <s v="&lt;null&gt;"/>
    <s v="&lt;null&gt;"/>
    <s v="&lt;null&gt;"/>
    <s v="&lt;null&gt;"/>
    <s v="&lt;null&gt;"/>
    <m/>
    <m/>
    <m/>
    <m/>
  </r>
  <r>
    <x v="18"/>
    <x v="18"/>
    <s v="&lt;null&gt;"/>
    <x v="3"/>
    <n v="2113"/>
    <s v="IN/001720"/>
    <s v="Via Zaventem"/>
    <s v="&lt;null&gt;"/>
    <s v="Structurele Ingreep"/>
    <s v="WVB/INV/N211/5"/>
    <b v="0"/>
    <s v="Ingreep wordt niet opgevolgd in BOD"/>
    <s v="&lt;null&gt;"/>
    <s v="&lt;null&gt;"/>
    <s v="&lt;null&gt;"/>
    <s v="&lt;null&gt;"/>
    <s v="&lt;null&gt;"/>
    <x v="0"/>
    <s v="&lt;null&gt;"/>
    <s v="&lt;null&gt;"/>
    <s v="&lt;null&gt;"/>
    <s v="&lt;null&gt;"/>
    <s v="&lt;null&gt;"/>
    <s v="&lt;null&gt;"/>
    <s v="&lt;null&gt;"/>
    <s v="&lt;null&gt;"/>
    <s v="&lt;null&gt;"/>
    <m/>
    <m/>
    <m/>
    <m/>
  </r>
  <r>
    <x v="18"/>
    <x v="18"/>
    <s v="&lt;null&gt;"/>
    <x v="3"/>
    <n v="2114"/>
    <s v="IN/001721"/>
    <s v="Brabo 1"/>
    <s v="&lt;null&gt;"/>
    <s v="Structurele Ingreep"/>
    <s v="WA/INV/N10/16"/>
    <b v="0"/>
    <s v="Ingreep wordt niet opgevolgd in BOD"/>
    <s v="&lt;null&gt;"/>
    <s v="&lt;null&gt;"/>
    <s v="&lt;null&gt;"/>
    <s v="&lt;null&gt;"/>
    <s v="&lt;null&gt;"/>
    <x v="0"/>
    <s v="&lt;null&gt;"/>
    <s v="&lt;null&gt;"/>
    <s v="&lt;null&gt;"/>
    <s v="&lt;null&gt;"/>
    <s v="&lt;null&gt;"/>
    <s v="&lt;null&gt;"/>
    <s v="&lt;null&gt;"/>
    <s v="&lt;null&gt;"/>
    <s v="&lt;null&gt;"/>
    <m/>
    <m/>
    <m/>
    <m/>
  </r>
  <r>
    <x v="18"/>
    <x v="18"/>
    <s v="&lt;null&gt;"/>
    <x v="3"/>
    <n v="2115"/>
    <s v="IN/001722"/>
    <s v="Via A11"/>
    <s v="&lt;null&gt;"/>
    <s v="Structurele Ingreep"/>
    <s v="WWV/INV/A11/3"/>
    <b v="0"/>
    <s v="Ingreep wordt niet opgevolgd in BOD"/>
    <s v="&lt;null&gt;"/>
    <s v="&lt;null&gt;"/>
    <s v="&lt;null&gt;"/>
    <s v="&lt;null&gt;"/>
    <s v="&lt;null&gt;"/>
    <x v="0"/>
    <s v="&lt;null&gt;"/>
    <s v="&lt;null&gt;"/>
    <s v="&lt;null&gt;"/>
    <s v="&lt;null&gt;"/>
    <s v="&lt;null&gt;"/>
    <s v="&lt;null&gt;"/>
    <s v="&lt;null&gt;"/>
    <s v="&lt;null&gt;"/>
    <s v="&lt;null&gt;"/>
    <m/>
    <m/>
    <m/>
    <m/>
  </r>
  <r>
    <x v="18"/>
    <x v="18"/>
    <s v="&lt;null&gt;"/>
    <x v="3"/>
    <n v="2116"/>
    <s v="IN/001723"/>
    <s v="N72 Herinrichting Kasteletsingel"/>
    <s v="&lt;null&gt;"/>
    <s v="Structurele Ingreep"/>
    <s v="WL/INV/N72/6"/>
    <b v="0"/>
    <s v="Ingreep wordt niet opgevolgd in BOD"/>
    <s v="&lt;null&gt;"/>
    <s v="&lt;null&gt;"/>
    <s v="&lt;null&gt;"/>
    <s v="&lt;null&gt;"/>
    <s v="&lt;null&gt;"/>
    <x v="0"/>
    <s v="&lt;null&gt;"/>
    <s v="&lt;null&gt;"/>
    <s v="&lt;null&gt;"/>
    <s v="&lt;null&gt;"/>
    <s v="&lt;null&gt;"/>
    <s v="&lt;null&gt;"/>
    <s v="&lt;null&gt;"/>
    <s v="&lt;null&gt;"/>
    <s v="&lt;null&gt;"/>
    <m/>
    <m/>
    <m/>
    <m/>
  </r>
  <r>
    <x v="18"/>
    <x v="18"/>
    <s v="&lt;null&gt;"/>
    <x v="3"/>
    <n v="2117"/>
    <s v="IN/001724"/>
    <s v="Brabo 2"/>
    <s v="&lt;null&gt;"/>
    <s v="Structurele Ingreep"/>
    <s v="WA/INV/A12/13"/>
    <b v="0"/>
    <s v="Ingreep wordt niet opgevolgd in BOD"/>
    <s v="&lt;null&gt;"/>
    <s v="&lt;null&gt;"/>
    <s v="&lt;null&gt;"/>
    <s v="&lt;null&gt;"/>
    <s v="&lt;null&gt;"/>
    <x v="0"/>
    <s v="&lt;null&gt;"/>
    <s v="&lt;null&gt;"/>
    <s v="&lt;null&gt;"/>
    <s v="&lt;null&gt;"/>
    <s v="&lt;null&gt;"/>
    <s v="&lt;null&gt;"/>
    <s v="&lt;null&gt;"/>
    <s v="&lt;null&gt;"/>
    <s v="&lt;null&gt;"/>
    <m/>
    <m/>
    <m/>
    <m/>
  </r>
  <r>
    <x v="18"/>
    <x v="18"/>
    <s v="&lt;null&gt;"/>
    <x v="3"/>
    <n v="2118"/>
    <s v="IN/001725"/>
    <s v="N211 - Structureel onderhoud doortocht Perk"/>
    <s v="&lt;null&gt;"/>
    <s v="Structurele Ingreep"/>
    <s v="WVB/INV/N227/5"/>
    <b v="0"/>
    <s v="Ingreep wordt niet opgevolgd in BOD"/>
    <s v="&lt;null&gt;"/>
    <s v="&lt;null&gt;"/>
    <s v="&lt;null&gt;"/>
    <s v="&lt;null&gt;"/>
    <s v="&lt;null&gt;"/>
    <x v="0"/>
    <s v="&lt;null&gt;"/>
    <s v="&lt;null&gt;"/>
    <s v="&lt;null&gt;"/>
    <s v="&lt;null&gt;"/>
    <s v="&lt;null&gt;"/>
    <s v="&lt;null&gt;"/>
    <s v="&lt;null&gt;"/>
    <s v="&lt;null&gt;"/>
    <s v="&lt;null&gt;"/>
    <m/>
    <m/>
    <m/>
    <m/>
  </r>
  <r>
    <x v="1330"/>
    <x v="1330"/>
    <s v="Stimuleren Combimobiliteit"/>
    <x v="7"/>
    <n v="2119"/>
    <s v="IN/001726"/>
    <s v="N416 Schoonaarde kmpt 5,390 rechts, Aanleg verhoogde bushalte"/>
    <s v="N416 Schoonaarde kmpt 5,390 rechts, Aanleg verhoogde bushalte"/>
    <s v="Kleine Ingreep"/>
    <s v="WOV/INV/N416/6"/>
    <b v="1"/>
    <s v="Ingreep wordt opgevolgd in BOD"/>
    <n v="11864"/>
    <s v="AWV/INV/2021/3_P4"/>
    <n v="110951"/>
    <n v="21069485"/>
    <s v="&lt;p&gt;Combimobiliteitsfonds (2021 en 2022 (op 032))&lt;/p&gt;"/>
    <x v="25"/>
    <n v="7781"/>
    <s v="N416 Schoonaarde kmpt 5,390 Rechts, Aanleg verhoogde bushalte"/>
    <s v="&lt;p&gt;N416 Schoonaarde kmpt 5,390 Rechts, Aanleg verhoogde bushalte&lt;/p&gt;"/>
    <s v="WOV/INV/N416/6"/>
    <n v="100"/>
    <n v="14000"/>
    <n v="0"/>
    <n v="0"/>
    <n v="948.44"/>
    <n v="14000"/>
    <n v="0"/>
    <n v="0"/>
    <n v="948.44"/>
  </r>
  <r>
    <x v="1330"/>
    <x v="1330"/>
    <s v="Stimuleren Combimobiliteit"/>
    <x v="7"/>
    <n v="2120"/>
    <s v="IN/001727"/>
    <s v="N416 Schoonaarde kmpt 5,390 links, Aanleg verhoogde bushalte"/>
    <s v="&lt;null&gt;"/>
    <s v="Kleine Ingreep"/>
    <s v="WOV/INV/N416/7"/>
    <b v="1"/>
    <s v="Ingreep wordt opgevolgd in BOD"/>
    <n v="11864"/>
    <s v="AWV/INV/2021/3_P4"/>
    <n v="110951"/>
    <n v="21069485"/>
    <s v="&lt;p&gt;Combimobiliteitsfonds (2021 en 2022 (op 032))&lt;/p&gt;"/>
    <x v="25"/>
    <n v="7782"/>
    <s v="N416 Schoonaarde kmpt 5,390 Links, Aanleg verhoogde bushalte"/>
    <s v="&lt;p&gt;N416 Schoonaarde kmpt 5,390 Links, Aanleg verhoogde bushalte&lt;/p&gt;"/>
    <s v="WOV/INV/N416/7"/>
    <n v="100"/>
    <n v="14000"/>
    <n v="0"/>
    <n v="0"/>
    <n v="460.08"/>
    <n v="14000"/>
    <n v="0"/>
    <n v="0"/>
    <n v="460.08"/>
  </r>
  <r>
    <x v="18"/>
    <x v="18"/>
    <s v="&lt;null&gt;"/>
    <x v="3"/>
    <n v="2121"/>
    <s v="IN/001728"/>
    <s v="N726 Houthalen Aanleg fietspaden en VRI"/>
    <s v="&lt;null&gt;"/>
    <s v="Structurele Ingreep"/>
    <s v="WL/INV/N726/1"/>
    <b v="0"/>
    <s v="Ingreep wordt niet opgevolgd in BOD"/>
    <s v="&lt;null&gt;"/>
    <s v="&lt;null&gt;"/>
    <s v="&lt;null&gt;"/>
    <s v="&lt;null&gt;"/>
    <s v="&lt;null&gt;"/>
    <x v="0"/>
    <s v="&lt;null&gt;"/>
    <s v="&lt;null&gt;"/>
    <s v="&lt;null&gt;"/>
    <s v="&lt;null&gt;"/>
    <s v="&lt;null&gt;"/>
    <s v="&lt;null&gt;"/>
    <s v="&lt;null&gt;"/>
    <s v="&lt;null&gt;"/>
    <s v="&lt;null&gt;"/>
    <m/>
    <m/>
    <m/>
    <m/>
  </r>
  <r>
    <x v="18"/>
    <x v="18"/>
    <s v="&lt;null&gt;"/>
    <x v="3"/>
    <n v="2122"/>
    <s v="IN/001729"/>
    <s v="N73 Fietspaden Kinrooi"/>
    <s v="&lt;null&gt;"/>
    <s v="Structurele Ingreep"/>
    <s v="WL/INV/N73/6"/>
    <b v="0"/>
    <s v="Ingreep wordt niet opgevolgd in BOD"/>
    <s v="&lt;null&gt;"/>
    <s v="&lt;null&gt;"/>
    <s v="&lt;null&gt;"/>
    <s v="&lt;null&gt;"/>
    <s v="&lt;null&gt;"/>
    <x v="0"/>
    <s v="&lt;null&gt;"/>
    <s v="&lt;null&gt;"/>
    <s v="&lt;null&gt;"/>
    <s v="&lt;null&gt;"/>
    <s v="&lt;null&gt;"/>
    <s v="&lt;null&gt;"/>
    <s v="&lt;null&gt;"/>
    <s v="&lt;null&gt;"/>
    <s v="&lt;null&gt;"/>
    <m/>
    <m/>
    <m/>
    <m/>
  </r>
  <r>
    <x v="18"/>
    <x v="18"/>
    <s v="&lt;null&gt;"/>
    <x v="3"/>
    <n v="2123"/>
    <s v="IN/001730"/>
    <s v="N73 Oudsbergen Mod 13 Aanleg fietspaden"/>
    <s v="&lt;null&gt;"/>
    <s v="Structurele Ingreep"/>
    <s v="WL/INV/N73/7"/>
    <b v="0"/>
    <s v="Ingreep wordt niet opgevolgd in BOD"/>
    <s v="&lt;null&gt;"/>
    <s v="&lt;null&gt;"/>
    <s v="&lt;null&gt;"/>
    <s v="&lt;null&gt;"/>
    <s v="&lt;null&gt;"/>
    <x v="0"/>
    <s v="&lt;null&gt;"/>
    <s v="&lt;null&gt;"/>
    <s v="&lt;null&gt;"/>
    <s v="&lt;null&gt;"/>
    <s v="&lt;null&gt;"/>
    <s v="&lt;null&gt;"/>
    <s v="&lt;null&gt;"/>
    <s v="&lt;null&gt;"/>
    <s v="&lt;null&gt;"/>
    <m/>
    <m/>
    <m/>
    <m/>
  </r>
  <r>
    <x v="18"/>
    <x v="18"/>
    <s v="&lt;null&gt;"/>
    <x v="3"/>
    <n v="2124"/>
    <s v="IN/001731"/>
    <s v="N75 Fietsbrug Sparrendal Dilsen-Stokkem"/>
    <s v="&lt;null&gt;"/>
    <s v="Structurele Ingreep"/>
    <s v="WL/INV/N75/3"/>
    <b v="0"/>
    <s v="Ingreep wordt niet opgevolgd in BOD"/>
    <s v="&lt;null&gt;"/>
    <s v="&lt;null&gt;"/>
    <s v="&lt;null&gt;"/>
    <s v="&lt;null&gt;"/>
    <s v="&lt;null&gt;"/>
    <x v="0"/>
    <s v="&lt;null&gt;"/>
    <s v="&lt;null&gt;"/>
    <s v="&lt;null&gt;"/>
    <s v="&lt;null&gt;"/>
    <s v="&lt;null&gt;"/>
    <s v="&lt;null&gt;"/>
    <s v="&lt;null&gt;"/>
    <s v="&lt;null&gt;"/>
    <s v="&lt;null&gt;"/>
    <m/>
    <m/>
    <m/>
    <m/>
  </r>
  <r>
    <x v="981"/>
    <x v="981"/>
    <s v="Verkeersveiligheid"/>
    <x v="4"/>
    <n v="2125"/>
    <s v="IN/001732"/>
    <s v="Opstelruimte fietsers verbeteren"/>
    <s v="Niveauverschil heuvel in kasseien wegwerken"/>
    <s v="Kleine Ingreep"/>
    <s v="WL/INV/N746/7"/>
    <b v="1"/>
    <s v="Ingreep wordt opgevolgd in BOD"/>
    <n v="12817"/>
    <s v="AWV/INV/2021/3_P5"/>
    <n v="135951"/>
    <n v="22015560"/>
    <s v="&lt;p&gt;gevaarlijke punten, scholenroutes&lt;/p&gt;"/>
    <x v="14"/>
    <n v="9813"/>
    <s v="Lommel_N746_KS187_15.314"/>
    <s v="&lt;null&gt;"/>
    <s v="WL/INV/N746/7"/>
    <n v="100"/>
    <n v="50000"/>
    <n v="0"/>
    <n v="2443.0074500000001"/>
    <n v="47556.992550000003"/>
    <n v="50000"/>
    <n v="0"/>
    <n v="2443.0074500000001"/>
    <n v="47556.992550000003"/>
  </r>
  <r>
    <x v="872"/>
    <x v="872"/>
    <s v="Verkeersveiligheid"/>
    <x v="4"/>
    <n v="2126"/>
    <s v="IN/001733"/>
    <s v="Punctuele verlichting VOP"/>
    <s v="&lt;null&gt;"/>
    <s v="Kleine Ingreep"/>
    <s v="WL/INV/N730/20"/>
    <b v="0"/>
    <s v="Ingreep wordt niet opgevolgd in BOD"/>
    <s v="&lt;null&gt;"/>
    <s v="&lt;null&gt;"/>
    <s v="&lt;null&gt;"/>
    <s v="&lt;null&gt;"/>
    <s v="&lt;null&gt;"/>
    <x v="0"/>
    <s v="&lt;null&gt;"/>
    <s v="&lt;null&gt;"/>
    <s v="&lt;null&gt;"/>
    <s v="&lt;null&gt;"/>
    <n v="100"/>
    <s v="&lt;null&gt;"/>
    <s v="&lt;null&gt;"/>
    <s v="&lt;null&gt;"/>
    <s v="&lt;null&gt;"/>
    <m/>
    <m/>
    <m/>
    <m/>
  </r>
  <r>
    <x v="841"/>
    <x v="841"/>
    <s v="Verkeersveiligheid"/>
    <x v="4"/>
    <n v="2127"/>
    <s v="IN/001734"/>
    <s v="Punctuele verlichting VOP"/>
    <s v="&lt;null&gt;"/>
    <s v="Kleine Ingreep"/>
    <s v="WL/INV/N72/22"/>
    <b v="0"/>
    <s v="Ingreep wordt niet opgevolgd in BOD"/>
    <s v="&lt;null&gt;"/>
    <s v="&lt;null&gt;"/>
    <s v="&lt;null&gt;"/>
    <s v="&lt;null&gt;"/>
    <s v="&lt;null&gt;"/>
    <x v="0"/>
    <s v="&lt;null&gt;"/>
    <s v="&lt;null&gt;"/>
    <s v="&lt;null&gt;"/>
    <s v="&lt;null&gt;"/>
    <n v="100"/>
    <s v="&lt;null&gt;"/>
    <s v="&lt;null&gt;"/>
    <s v="&lt;null&gt;"/>
    <s v="&lt;null&gt;"/>
    <m/>
    <m/>
    <m/>
    <m/>
  </r>
  <r>
    <x v="836"/>
    <x v="836"/>
    <s v="Verkeersveiligheid"/>
    <x v="4"/>
    <n v="2128"/>
    <s v="IN/001735"/>
    <s v="Punctuele verlichting nieuwe VOP"/>
    <s v="&lt;null&gt;"/>
    <s v="Kleine Ingreep"/>
    <s v="WL/INV/N748/7"/>
    <b v="0"/>
    <s v="Ingreep wordt niet opgevolgd in BOD"/>
    <s v="&lt;null&gt;"/>
    <s v="&lt;null&gt;"/>
    <s v="&lt;null&gt;"/>
    <s v="&lt;null&gt;"/>
    <s v="&lt;null&gt;"/>
    <x v="0"/>
    <s v="&lt;null&gt;"/>
    <s v="&lt;null&gt;"/>
    <s v="&lt;null&gt;"/>
    <s v="&lt;null&gt;"/>
    <n v="100"/>
    <s v="&lt;null&gt;"/>
    <s v="&lt;null&gt;"/>
    <s v="&lt;null&gt;"/>
    <s v="&lt;null&gt;"/>
    <m/>
    <m/>
    <m/>
    <m/>
  </r>
  <r>
    <x v="779"/>
    <x v="779"/>
    <s v="Verkeersveiligheid"/>
    <x v="4"/>
    <n v="2129"/>
    <s v="IN/001736"/>
    <s v="Punctuele verlichting 2 kruispunten"/>
    <s v="&lt;null&gt;"/>
    <s v="Kleine Ingreep"/>
    <s v="WL/INV/N771/5"/>
    <b v="0"/>
    <s v="Ingreep wordt niet opgevolgd in BOD"/>
    <s v="&lt;null&gt;"/>
    <s v="&lt;null&gt;"/>
    <s v="&lt;null&gt;"/>
    <s v="&lt;null&gt;"/>
    <s v="&lt;null&gt;"/>
    <x v="0"/>
    <s v="&lt;null&gt;"/>
    <s v="&lt;null&gt;"/>
    <s v="&lt;null&gt;"/>
    <s v="&lt;null&gt;"/>
    <n v="100"/>
    <s v="&lt;null&gt;"/>
    <s v="&lt;null&gt;"/>
    <s v="&lt;null&gt;"/>
    <s v="&lt;null&gt;"/>
    <m/>
    <m/>
    <m/>
    <m/>
  </r>
  <r>
    <x v="744"/>
    <x v="744"/>
    <s v="Verkeersveiligheid"/>
    <x v="4"/>
    <n v="2130"/>
    <s v="IN/001737"/>
    <s v="Punctuele verlichting VOP"/>
    <s v="&lt;null&gt;"/>
    <s v="Kleine Ingreep"/>
    <s v="WL/INV/N76/29"/>
    <b v="0"/>
    <s v="Ingreep wordt niet opgevolgd in BOD"/>
    <s v="&lt;null&gt;"/>
    <s v="&lt;null&gt;"/>
    <s v="&lt;null&gt;"/>
    <s v="&lt;null&gt;"/>
    <s v="&lt;null&gt;"/>
    <x v="0"/>
    <s v="&lt;null&gt;"/>
    <s v="&lt;null&gt;"/>
    <s v="&lt;null&gt;"/>
    <s v="&lt;null&gt;"/>
    <n v="100"/>
    <s v="&lt;null&gt;"/>
    <s v="&lt;null&gt;"/>
    <s v="&lt;null&gt;"/>
    <s v="&lt;null&gt;"/>
    <m/>
    <m/>
    <m/>
    <m/>
  </r>
  <r>
    <x v="734"/>
    <x v="734"/>
    <s v="Verkeersveiligheid"/>
    <x v="4"/>
    <n v="2131"/>
    <s v="IN/001738"/>
    <s v="Punctuele verlichting nieuwe VOP"/>
    <s v="&lt;null&gt;"/>
    <s v="Kleine Ingreep"/>
    <s v="WL/INV/N712/11"/>
    <b v="0"/>
    <s v="Ingreep wordt niet opgevolgd in BOD"/>
    <s v="&lt;null&gt;"/>
    <s v="&lt;null&gt;"/>
    <s v="&lt;null&gt;"/>
    <s v="&lt;null&gt;"/>
    <s v="&lt;null&gt;"/>
    <x v="0"/>
    <s v="&lt;null&gt;"/>
    <s v="&lt;null&gt;"/>
    <s v="&lt;null&gt;"/>
    <s v="&lt;null&gt;"/>
    <n v="100"/>
    <s v="&lt;null&gt;"/>
    <s v="&lt;null&gt;"/>
    <s v="&lt;null&gt;"/>
    <s v="&lt;null&gt;"/>
    <m/>
    <m/>
    <m/>
    <m/>
  </r>
  <r>
    <x v="731"/>
    <x v="731"/>
    <s v="Verkeersveiligheid"/>
    <x v="4"/>
    <n v="2132"/>
    <s v="IN/001739"/>
    <s v="punctuele verlichting FOP"/>
    <s v="&lt;null&gt;"/>
    <s v="Kleine Ingreep"/>
    <s v="WL/INV/N746/8"/>
    <b v="0"/>
    <s v="Ingreep wordt niet opgevolgd in BOD"/>
    <s v="&lt;null&gt;"/>
    <s v="&lt;null&gt;"/>
    <s v="&lt;null&gt;"/>
    <s v="&lt;null&gt;"/>
    <s v="&lt;null&gt;"/>
    <x v="0"/>
    <s v="&lt;null&gt;"/>
    <s v="&lt;null&gt;"/>
    <s v="&lt;null&gt;"/>
    <s v="&lt;null&gt;"/>
    <n v="100"/>
    <s v="&lt;null&gt;"/>
    <s v="&lt;null&gt;"/>
    <s v="&lt;null&gt;"/>
    <s v="&lt;null&gt;"/>
    <m/>
    <m/>
    <m/>
    <m/>
  </r>
  <r>
    <x v="1331"/>
    <x v="1331"/>
    <s v="Verkeersveiligheid"/>
    <x v="6"/>
    <n v="2133"/>
    <s v="IN/001740"/>
    <s v="FSS op het wegdeel dat voldoende breed is conform vademecum"/>
    <s v="Minimumbreedte 5m40 +50cm waar een parkeerstrook ligt. 80-tal meter wordt niet opgenomen, rest wordt voorzien ven een FSS."/>
    <s v="Kleine Ingreep"/>
    <s v="WWV/INV/N8/35"/>
    <b v="1"/>
    <s v="Ingreep wordt opgevolgd in BOD"/>
    <n v="12024"/>
    <s v="AWV/INV/2021/3_P3"/>
    <n v="118401"/>
    <n v="21065771"/>
    <s v="&lt;p&gt;OF AWV/INV/2021/3 P3 3mh230 schoolroutes&lt;/p&gt;"/>
    <x v="9"/>
    <n v="9417"/>
    <s v="IN1740 N8 Avelgem"/>
    <s v="&lt;null&gt;"/>
    <s v="WWV/INV/N8/35"/>
    <n v="100"/>
    <n v="24000"/>
    <n v="0"/>
    <n v="24000"/>
    <n v="0"/>
    <n v="24000"/>
    <n v="0"/>
    <n v="24000"/>
    <n v="0"/>
  </r>
  <r>
    <x v="727"/>
    <x v="727"/>
    <s v="Verkeersveiligheid"/>
    <x v="4"/>
    <n v="2134"/>
    <s v="IN/001741"/>
    <s v="punctuele verlichting VOP"/>
    <s v="&lt;null&gt;"/>
    <s v="Kleine Ingreep"/>
    <s v="WL/INV/N29/6"/>
    <b v="0"/>
    <s v="Ingreep wordt niet opgevolgd in BOD"/>
    <s v="&lt;null&gt;"/>
    <s v="&lt;null&gt;"/>
    <s v="&lt;null&gt;"/>
    <s v="&lt;null&gt;"/>
    <s v="&lt;null&gt;"/>
    <x v="0"/>
    <s v="&lt;null&gt;"/>
    <s v="&lt;null&gt;"/>
    <s v="&lt;null&gt;"/>
    <s v="&lt;null&gt;"/>
    <n v="100"/>
    <s v="&lt;null&gt;"/>
    <s v="&lt;null&gt;"/>
    <s v="&lt;null&gt;"/>
    <s v="&lt;null&gt;"/>
    <m/>
    <m/>
    <m/>
    <m/>
  </r>
  <r>
    <x v="1332"/>
    <x v="1332"/>
    <s v="Structureel Onderhoud"/>
    <x v="8"/>
    <n v="2135"/>
    <s v="IN/001742"/>
    <s v="Asbestverwijdering van de W20 ter voorbereiding van monitoring"/>
    <s v="Als onderdeel van het bestek structureel onderhoud aan de kunstwerken 2021 zal de asbestcoating van de W20 (in de A12 over de parallelbaan van de R0). Dit is één van de &quot;brokkelbruggen&quot;."/>
    <s v="Kleine Ingreep"/>
    <s v="&lt;null&gt;"/>
    <b v="0"/>
    <s v="Ingreep wordt niet opgevolgd in BOD"/>
    <s v="&lt;null&gt;"/>
    <s v="&lt;null&gt;"/>
    <s v="&lt;null&gt;"/>
    <s v="&lt;null&gt;"/>
    <s v="&lt;null&gt;"/>
    <x v="0"/>
    <s v="&lt;null&gt;"/>
    <s v="&lt;null&gt;"/>
    <s v="&lt;null&gt;"/>
    <s v="&lt;null&gt;"/>
    <n v="100"/>
    <s v="&lt;null&gt;"/>
    <s v="&lt;null&gt;"/>
    <s v="&lt;null&gt;"/>
    <s v="&lt;null&gt;"/>
    <m/>
    <m/>
    <m/>
    <m/>
  </r>
  <r>
    <x v="1333"/>
    <x v="1333"/>
    <s v="Verkeersveiligheid"/>
    <x v="4"/>
    <n v="2136"/>
    <s v="IN/001743"/>
    <s v="Doortocht 's Gravenwezel"/>
    <s v="&lt;null&gt;"/>
    <s v="Kleine Ingreep"/>
    <s v="&lt;null&gt;"/>
    <b v="0"/>
    <s v="Ingreep wordt niet opgevolgd in BOD"/>
    <s v="&lt;null&gt;"/>
    <s v="&lt;null&gt;"/>
    <s v="&lt;null&gt;"/>
    <s v="&lt;null&gt;"/>
    <s v="&lt;null&gt;"/>
    <x v="0"/>
    <s v="&lt;null&gt;"/>
    <s v="&lt;null&gt;"/>
    <s v="&lt;null&gt;"/>
    <s v="&lt;null&gt;"/>
    <n v="100"/>
    <s v="&lt;null&gt;"/>
    <s v="&lt;null&gt;"/>
    <s v="&lt;null&gt;"/>
    <s v="&lt;null&gt;"/>
    <m/>
    <m/>
    <m/>
    <m/>
  </r>
  <r>
    <x v="1334"/>
    <x v="1334"/>
    <s v="Stimuleren Combimobiliteit"/>
    <x v="2"/>
    <n v="2136"/>
    <s v="IN/001743"/>
    <s v="Doortocht 's Gravenwezel"/>
    <s v="&lt;null&gt;"/>
    <s v="Kleine Ingreep"/>
    <s v="&lt;null&gt;"/>
    <b v="0"/>
    <s v="Ingreep wordt niet opgevolgd in BOD"/>
    <s v="&lt;null&gt;"/>
    <s v="&lt;null&gt;"/>
    <s v="&lt;null&gt;"/>
    <s v="&lt;null&gt;"/>
    <s v="&lt;null&gt;"/>
    <x v="0"/>
    <s v="&lt;null&gt;"/>
    <s v="&lt;null&gt;"/>
    <s v="&lt;null&gt;"/>
    <s v="&lt;null&gt;"/>
    <n v="0"/>
    <s v="&lt;null&gt;"/>
    <s v="&lt;null&gt;"/>
    <s v="&lt;null&gt;"/>
    <s v="&lt;null&gt;"/>
    <m/>
    <m/>
    <m/>
    <m/>
  </r>
  <r>
    <x v="1335"/>
    <x v="1335"/>
    <s v="Stimuleren Combimobiliteit"/>
    <x v="7"/>
    <n v="2137"/>
    <s v="IN/001744"/>
    <s v="R40 Gent  Nieuwevaart -  aanleg busbaan"/>
    <s v="&lt;null&gt;"/>
    <s v="Structurele Ingreep"/>
    <s v="WOV/INV/R40/13"/>
    <b v="0"/>
    <s v="Ingreep wordt niet opgevolgd in BOD"/>
    <s v="&lt;null&gt;"/>
    <s v="&lt;null&gt;"/>
    <s v="&lt;null&gt;"/>
    <s v="&lt;null&gt;"/>
    <s v="&lt;null&gt;"/>
    <x v="0"/>
    <s v="&lt;null&gt;"/>
    <s v="&lt;null&gt;"/>
    <s v="&lt;null&gt;"/>
    <s v="&lt;null&gt;"/>
    <n v="100"/>
    <s v="&lt;null&gt;"/>
    <s v="&lt;null&gt;"/>
    <s v="&lt;null&gt;"/>
    <s v="&lt;null&gt;"/>
    <m/>
    <m/>
    <m/>
    <m/>
  </r>
  <r>
    <x v="18"/>
    <x v="18"/>
    <s v="&lt;null&gt;"/>
    <x v="3"/>
    <n v="2138"/>
    <s v="IN/001745"/>
    <s v="N424-N456 Gent - optimalisatie zuidelijke havenweg"/>
    <s v="&lt;null&gt;"/>
    <s v="Structurele Ingreep"/>
    <s v="WOV/INV/N424/7"/>
    <b v="0"/>
    <s v="Ingreep wordt niet opgevolgd in BOD"/>
    <s v="&lt;null&gt;"/>
    <s v="&lt;null&gt;"/>
    <s v="&lt;null&gt;"/>
    <s v="&lt;null&gt;"/>
    <s v="&lt;null&gt;"/>
    <x v="0"/>
    <s v="&lt;null&gt;"/>
    <s v="&lt;null&gt;"/>
    <s v="&lt;null&gt;"/>
    <s v="&lt;null&gt;"/>
    <s v="&lt;null&gt;"/>
    <s v="&lt;null&gt;"/>
    <s v="&lt;null&gt;"/>
    <s v="&lt;null&gt;"/>
    <s v="&lt;null&gt;"/>
    <m/>
    <m/>
    <m/>
    <m/>
  </r>
  <r>
    <x v="18"/>
    <x v="18"/>
    <s v="&lt;null&gt;"/>
    <x v="3"/>
    <n v="2139"/>
    <s v="IN/001746"/>
    <s v="R0 - Herstelling afwatering binnenring (Kraainem)"/>
    <s v="&lt;null&gt;"/>
    <s v="Structurele Ingreep"/>
    <s v="WVB/INV/R0/12"/>
    <b v="0"/>
    <s v="Ingreep wordt niet opgevolgd in BOD"/>
    <s v="&lt;null&gt;"/>
    <s v="&lt;null&gt;"/>
    <s v="&lt;null&gt;"/>
    <s v="&lt;null&gt;"/>
    <s v="&lt;null&gt;"/>
    <x v="0"/>
    <s v="&lt;null&gt;"/>
    <s v="&lt;null&gt;"/>
    <s v="&lt;null&gt;"/>
    <s v="&lt;null&gt;"/>
    <s v="&lt;null&gt;"/>
    <s v="&lt;null&gt;"/>
    <s v="&lt;null&gt;"/>
    <s v="&lt;null&gt;"/>
    <s v="&lt;null&gt;"/>
    <m/>
    <m/>
    <m/>
    <m/>
  </r>
  <r>
    <x v="1336"/>
    <x v="1336"/>
    <s v="Stimuleren Combimobiliteit"/>
    <x v="7"/>
    <n v="2140"/>
    <s v="IN/001747"/>
    <s v="Aanleg van 2 nieuwe haltehavens - spottersplatform"/>
    <s v="&lt;null&gt;"/>
    <s v="Kleine Ingreep"/>
    <s v="WVB/INV/N227/6"/>
    <b v="0"/>
    <s v="Ingreep wordt niet opgevolgd in BOD"/>
    <s v="&lt;null&gt;"/>
    <s v="&lt;null&gt;"/>
    <s v="&lt;null&gt;"/>
    <s v="&lt;null&gt;"/>
    <s v="&lt;null&gt;"/>
    <x v="0"/>
    <s v="&lt;null&gt;"/>
    <s v="&lt;null&gt;"/>
    <s v="&lt;null&gt;"/>
    <s v="&lt;null&gt;"/>
    <n v="100"/>
    <s v="&lt;null&gt;"/>
    <s v="&lt;null&gt;"/>
    <s v="&lt;null&gt;"/>
    <s v="&lt;null&gt;"/>
    <m/>
    <m/>
    <m/>
    <m/>
  </r>
  <r>
    <x v="1337"/>
    <x v="1337"/>
    <s v="Stimuleren Combimobiliteit"/>
    <x v="7"/>
    <n v="2141"/>
    <s v="IN/001748"/>
    <s v="2 haltes uitstulpend aanleggen - Heverlee sociale school"/>
    <s v="&lt;null&gt;"/>
    <s v="Kleine Ingreep"/>
    <s v="WVB/INV/N3/14"/>
    <b v="0"/>
    <s v="Ingreep wordt niet opgevolgd in BOD"/>
    <s v="&lt;null&gt;"/>
    <s v="&lt;null&gt;"/>
    <s v="&lt;null&gt;"/>
    <s v="&lt;null&gt;"/>
    <s v="&lt;null&gt;"/>
    <x v="0"/>
    <s v="&lt;null&gt;"/>
    <s v="&lt;null&gt;"/>
    <s v="&lt;null&gt;"/>
    <s v="&lt;null&gt;"/>
    <n v="100"/>
    <s v="&lt;null&gt;"/>
    <s v="&lt;null&gt;"/>
    <s v="&lt;null&gt;"/>
    <s v="&lt;null&gt;"/>
    <m/>
    <m/>
    <m/>
    <m/>
  </r>
  <r>
    <x v="18"/>
    <x v="18"/>
    <s v="&lt;null&gt;"/>
    <x v="3"/>
    <n v="2142"/>
    <s v="IN/001749"/>
    <s v="R1 - Ring om Antw. Leefbaarheidsprojecten"/>
    <s v="&lt;null&gt;"/>
    <s v="Structurele Ingreep"/>
    <s v="WA/INV/R1/7"/>
    <b v="0"/>
    <s v="Ingreep wordt niet opgevolgd in BOD"/>
    <s v="&lt;null&gt;"/>
    <s v="&lt;null&gt;"/>
    <s v="&lt;null&gt;"/>
    <s v="&lt;null&gt;"/>
    <s v="&lt;null&gt;"/>
    <x v="0"/>
    <s v="&lt;null&gt;"/>
    <s v="&lt;null&gt;"/>
    <s v="&lt;null&gt;"/>
    <s v="&lt;null&gt;"/>
    <s v="&lt;null&gt;"/>
    <s v="&lt;null&gt;"/>
    <s v="&lt;null&gt;"/>
    <s v="&lt;null&gt;"/>
    <s v="&lt;null&gt;"/>
    <m/>
    <m/>
    <m/>
    <m/>
  </r>
  <r>
    <x v="624"/>
    <x v="624"/>
    <s v="Verkeersveiligheid"/>
    <x v="1"/>
    <n v="2143"/>
    <s v="IN/001750"/>
    <s v="Verplaatsen zebrapad"/>
    <s v="&lt;null&gt;"/>
    <s v="Kleine Ingreep"/>
    <s v="WVB/INV/N227/7"/>
    <b v="0"/>
    <s v="Ingreep wordt niet opgevolgd in BOD"/>
    <s v="&lt;null&gt;"/>
    <s v="&lt;null&gt;"/>
    <s v="&lt;null&gt;"/>
    <s v="&lt;null&gt;"/>
    <s v="&lt;null&gt;"/>
    <x v="0"/>
    <s v="&lt;null&gt;"/>
    <s v="&lt;null&gt;"/>
    <s v="&lt;null&gt;"/>
    <s v="&lt;null&gt;"/>
    <n v="100"/>
    <s v="&lt;null&gt;"/>
    <s v="&lt;null&gt;"/>
    <s v="&lt;null&gt;"/>
    <s v="&lt;null&gt;"/>
    <m/>
    <m/>
    <m/>
    <m/>
  </r>
  <r>
    <x v="1338"/>
    <x v="1338"/>
    <s v="Stimuleren Combimobiliteit"/>
    <x v="7"/>
    <n v="2144"/>
    <s v="IN/001751"/>
    <s v="aanleg bushaltes warandestraat"/>
    <s v="aanleggen van 2 haltes"/>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2145"/>
    <s v="IN/001752"/>
    <s v="N223/11 Lubbeek/TieltW Fietspaden &amp; Onderh wegenis"/>
    <s v="&lt;null&gt;"/>
    <s v="Structurele Ingreep"/>
    <s v="WVB/INV/N223/1"/>
    <b v="0"/>
    <s v="Ingreep wordt niet opgevolgd in BOD"/>
    <s v="&lt;null&gt;"/>
    <s v="&lt;null&gt;"/>
    <s v="&lt;null&gt;"/>
    <s v="&lt;null&gt;"/>
    <s v="&lt;null&gt;"/>
    <x v="0"/>
    <s v="&lt;null&gt;"/>
    <s v="&lt;null&gt;"/>
    <s v="&lt;null&gt;"/>
    <s v="&lt;null&gt;"/>
    <s v="&lt;null&gt;"/>
    <s v="&lt;null&gt;"/>
    <s v="&lt;null&gt;"/>
    <s v="&lt;null&gt;"/>
    <s v="&lt;null&gt;"/>
    <m/>
    <m/>
    <m/>
    <m/>
  </r>
  <r>
    <x v="1339"/>
    <x v="1339"/>
    <s v="Stimuleren Combimobiliteit"/>
    <x v="2"/>
    <n v="2146"/>
    <s v="IN/001753"/>
    <s v="Hoppin: N467 Berale: aanleg verhoogde bushaltehaven"/>
    <s v="HOPPINPUNT BERLARE KERK\nAanleg verhoogde bushaltehaven"/>
    <s v="Kleine Ingreep"/>
    <s v="WOV/INV/N467/3"/>
    <b v="1"/>
    <s v="Ingreep wordt opgevolgd in BOD"/>
    <n v="11864"/>
    <s v="AWV/INV/2021/3_P4"/>
    <n v="110951"/>
    <n v="21069485"/>
    <s v="&lt;p&gt;Combimobiliteitsfonds (2021 en 2022 (op 032))&lt;/p&gt;"/>
    <x v="25"/>
    <n v="7982"/>
    <s v="HOPPINPUNT BERLARE KERK aanleg verhoogde bushaltehaven OR"/>
    <s v="&lt;p&gt;HOPPINPUNT BERLARE KERK aanleg verhoogde bushaltehaven OR&lt;/p&gt;"/>
    <s v="WOV/INV/N467/3"/>
    <n v="100"/>
    <n v="11500"/>
    <n v="0"/>
    <n v="0"/>
    <n v="59.52"/>
    <n v="11500"/>
    <n v="0"/>
    <n v="0"/>
    <n v="59.52"/>
  </r>
  <r>
    <x v="1339"/>
    <x v="1339"/>
    <s v="Stimuleren Combimobiliteit"/>
    <x v="2"/>
    <n v="2147"/>
    <s v="IN/001754"/>
    <s v="Hoppin: N467 Berlare: aanleg verhoogde bushaltehaven"/>
    <s v="HOPPINPUNT BERLARE KERK\naanleg verhoogde bushaltehaven"/>
    <s v="Kleine Ingreep"/>
    <s v="WOV/INV/N467/4"/>
    <b v="1"/>
    <s v="Ingreep wordt opgevolgd in BOD"/>
    <n v="11864"/>
    <s v="AWV/INV/2021/3_P4"/>
    <n v="110951"/>
    <n v="21069485"/>
    <s v="&lt;p&gt;Combimobiliteitsfonds (2021 en 2022 (op 032))&lt;/p&gt;"/>
    <x v="25"/>
    <n v="7983"/>
    <s v="HOPPINPUNT BERLARE KERK aanleg verhoogde bushaltehaven AR"/>
    <s v="&lt;p&gt;HOPPINPUNT BERLARE KERK aanleg verhoogde bushaltehaven AR&lt;/p&gt;"/>
    <s v="WOV/INV/N467/4"/>
    <n v="100"/>
    <n v="18200"/>
    <n v="0"/>
    <n v="0"/>
    <n v="45.99"/>
    <n v="18200"/>
    <n v="0"/>
    <n v="0"/>
    <n v="45.99"/>
  </r>
  <r>
    <x v="18"/>
    <x v="18"/>
    <s v="&lt;null&gt;"/>
    <x v="3"/>
    <n v="2148"/>
    <s v="IN/001755"/>
    <s v="N747 Peer Mod 13 aanleg fietspaden"/>
    <s v="&lt;null&gt;"/>
    <s v="Structurele Ingreep"/>
    <s v="WL/INV/N747/2"/>
    <b v="0"/>
    <s v="Ingreep wordt niet opgevolgd in BOD"/>
    <s v="&lt;null&gt;"/>
    <s v="&lt;null&gt;"/>
    <s v="&lt;null&gt;"/>
    <s v="&lt;null&gt;"/>
    <s v="&lt;null&gt;"/>
    <x v="0"/>
    <s v="&lt;null&gt;"/>
    <s v="&lt;null&gt;"/>
    <s v="&lt;null&gt;"/>
    <s v="&lt;null&gt;"/>
    <s v="&lt;null&gt;"/>
    <s v="&lt;null&gt;"/>
    <s v="&lt;null&gt;"/>
    <s v="&lt;null&gt;"/>
    <s v="&lt;null&gt;"/>
    <m/>
    <m/>
    <m/>
    <m/>
  </r>
  <r>
    <x v="631"/>
    <x v="631"/>
    <s v="Verkeersveiligheid"/>
    <x v="1"/>
    <n v="2149"/>
    <s v="IN/001756"/>
    <s v="Gevaarlijk Punt &amp; SRK: R4 Zelzate: VRI: nieuwe installatie plaatsen"/>
    <s v="VRI: nieuwe installatie plaatsen;\nKanaalstraat x Westkade"/>
    <s v="Kleine Ingreep"/>
    <s v="WOV/INV/R4/10"/>
    <b v="1"/>
    <s v="Ingreep wordt opgevolgd in BOD"/>
    <n v="11864"/>
    <s v="AWV/INV/2021/3_P4"/>
    <n v="110851"/>
    <n v="21065760"/>
    <s v="&lt;p&gt;Schoolrouteknelpunten (2021 (op 230))&lt;/p&gt;"/>
    <x v="23"/>
    <n v="7986"/>
    <s v="R4 Kanaalstraat x Westkade te Zelzate"/>
    <s v="&lt;p&gt;R4 Kanaalstraat x Westkade te Zelzate (op schoolroute)&lt;/p&gt;"/>
    <s v="WOV/INV/R4/10"/>
    <n v="0"/>
    <n v="36000"/>
    <n v="36000"/>
    <n v="0"/>
    <n v="0"/>
    <n v="0"/>
    <n v="0"/>
    <n v="0"/>
    <n v="0"/>
  </r>
  <r>
    <x v="1340"/>
    <x v="1340"/>
    <s v="Verkeersveiligheid"/>
    <x v="4"/>
    <n v="2149"/>
    <s v="IN/001756"/>
    <s v="Gevaarlijk Punt &amp; SRK: R4 Zelzate: VRI: nieuwe installatie plaatsen"/>
    <s v="VRI: nieuwe installatie plaatsen;\nKanaalstraat x Westkade"/>
    <s v="Kleine Ingreep"/>
    <s v="WOV/INV/R4/10"/>
    <b v="1"/>
    <s v="Ingreep wordt opgevolgd in BOD"/>
    <n v="11864"/>
    <s v="AWV/INV/2021/3_P4"/>
    <n v="110851"/>
    <n v="21065760"/>
    <s v="&lt;p&gt;Schoolrouteknelpunten (2021 (op 230))&lt;/p&gt;"/>
    <x v="23"/>
    <n v="7986"/>
    <s v="R4 Kanaalstraat x Westkade te Zelzate"/>
    <s v="&lt;p&gt;R4 Kanaalstraat x Westkade te Zelzate (op schoolroute)&lt;/p&gt;"/>
    <s v="WOV/INV/R4/10"/>
    <n v="100"/>
    <n v="36000"/>
    <n v="36000"/>
    <n v="0"/>
    <n v="0"/>
    <n v="36000"/>
    <n v="36000"/>
    <n v="0"/>
    <n v="0"/>
  </r>
  <r>
    <x v="1341"/>
    <x v="1341"/>
    <s v="Verkeersveiligheid"/>
    <x v="5"/>
    <n v="2150"/>
    <s v="IN/001757"/>
    <s v="MIA: verkeersdrempel kruispunt Voerengraaf"/>
    <s v="&lt;null&gt;"/>
    <s v="Kleine Ingreep"/>
    <s v="WL/INV/N627/2"/>
    <b v="1"/>
    <s v="Ingreep wordt opgevolgd in BOD"/>
    <n v="11572"/>
    <s v="WL/INV/2021/7_P4"/>
    <n v="131751"/>
    <n v="21067929"/>
    <s v="&lt;p&gt;werken van van de Kreeke in district Zuid&lt;/p&gt;"/>
    <x v="2"/>
    <n v="9014"/>
    <s v="Voeren: N627 verkeersdrempel"/>
    <s v="&lt;null&gt;"/>
    <s v="WL/INV/N627/2"/>
    <n v="100"/>
    <n v="93173.07"/>
    <n v="0"/>
    <n v="0"/>
    <n v="36859.54"/>
    <n v="93173.07"/>
    <n v="0"/>
    <n v="0"/>
    <n v="36859.54"/>
  </r>
  <r>
    <x v="1342"/>
    <x v="1342"/>
    <s v="Stimuleren Combimobiliteit"/>
    <x v="7"/>
    <n v="2151"/>
    <s v="IN/001758"/>
    <s v="Verhoogde bushaltehaven"/>
    <s v="Verhoogde bushaltehaven"/>
    <s v="Kleine Ingreep"/>
    <s v="WOV/INV/N44/5"/>
    <b v="1"/>
    <s v="Ingreep wordt opgevolgd in BOD"/>
    <n v="11864"/>
    <s v="AWV/INV/2021/3_P4"/>
    <n v="110951"/>
    <n v="21069485"/>
    <s v="&lt;p&gt;Combimobiliteitsfonds (2021 en 2022 (op 032))&lt;/p&gt;"/>
    <x v="25"/>
    <n v="7993"/>
    <s v="N44 Knesselare Spanjaardstraat OR - verhoogde bushaltehaven"/>
    <s v="&lt;p&gt;N44 Knesselare Spanjaardstraat OR - verhoogde bushaltehaven&lt;/p&gt;"/>
    <s v="WOV/INV/N44/5"/>
    <n v="100"/>
    <n v="45000"/>
    <n v="0"/>
    <n v="0"/>
    <n v="492.76"/>
    <n v="45000"/>
    <n v="0"/>
    <n v="0"/>
    <n v="492.76"/>
  </r>
  <r>
    <x v="1342"/>
    <x v="1342"/>
    <s v="Stimuleren Combimobiliteit"/>
    <x v="7"/>
    <n v="2152"/>
    <s v="IN/001759"/>
    <s v="Verhoogde bushaltehaven AR"/>
    <s v="Verhoogde bushaltehaven AR - Spanjaardstraat"/>
    <s v="Kleine Ingreep"/>
    <s v="WOV/INV/N44/6"/>
    <b v="1"/>
    <s v="Ingreep wordt opgevolgd in BOD"/>
    <n v="11864"/>
    <s v="AWV/INV/2021/3_P4"/>
    <n v="110951"/>
    <n v="21069485"/>
    <s v="&lt;p&gt;Combimobiliteitsfonds (2021 en 2022 (op 032))&lt;/p&gt;"/>
    <x v="25"/>
    <n v="7994"/>
    <s v="N44 Knesselare Spanjaardstraat AR - verhoogde bushaltehaven"/>
    <s v="&lt;p&gt;N44 Knesselare Spanjaardstraat AR - verhoogde bushaltehaven&lt;/p&gt;"/>
    <s v="WOV/INV/N44/6"/>
    <n v="100"/>
    <n v="35000"/>
    <n v="0"/>
    <n v="0"/>
    <n v="236.58"/>
    <n v="35000"/>
    <n v="0"/>
    <n v="0"/>
    <n v="236.58"/>
  </r>
  <r>
    <x v="1343"/>
    <x v="1343"/>
    <s v="Stimuleren Combimobiliteit"/>
    <x v="7"/>
    <n v="2153"/>
    <s v="IN/001760"/>
    <s v="Verhoogde bushaltehaven OR - De Knok"/>
    <s v="Verhoogde bushaltehaven OR - De Knok"/>
    <s v="Kleine Ingreep"/>
    <s v="WOV/INV/N37/2"/>
    <b v="0"/>
    <s v="Ingreep wordt niet opgevolgd in BOD"/>
    <s v="&lt;null&gt;"/>
    <s v="&lt;null&gt;"/>
    <s v="&lt;null&gt;"/>
    <s v="&lt;null&gt;"/>
    <s v="&lt;null&gt;"/>
    <x v="0"/>
    <s v="&lt;null&gt;"/>
    <s v="&lt;null&gt;"/>
    <s v="&lt;null&gt;"/>
    <s v="&lt;null&gt;"/>
    <n v="100"/>
    <s v="&lt;null&gt;"/>
    <s v="&lt;null&gt;"/>
    <s v="&lt;null&gt;"/>
    <s v="&lt;null&gt;"/>
    <m/>
    <m/>
    <m/>
    <m/>
  </r>
  <r>
    <x v="1344"/>
    <x v="1344"/>
    <s v="Stimuleren Combimobiliteit"/>
    <x v="7"/>
    <n v="2154"/>
    <s v="IN/001761"/>
    <s v="Verhoogde bushaltehaven AR - De Knok"/>
    <s v="Verhoogde bushaltehaven AR - De Knok"/>
    <s v="Kleine Ingreep"/>
    <s v="WOV/INV/N37/3"/>
    <b v="0"/>
    <s v="Ingreep wordt niet opgevolgd in BOD"/>
    <s v="&lt;null&gt;"/>
    <s v="&lt;null&gt;"/>
    <s v="&lt;null&gt;"/>
    <s v="&lt;null&gt;"/>
    <s v="&lt;null&gt;"/>
    <x v="0"/>
    <s v="&lt;null&gt;"/>
    <s v="&lt;null&gt;"/>
    <s v="&lt;null&gt;"/>
    <s v="&lt;null&gt;"/>
    <n v="100"/>
    <s v="&lt;null&gt;"/>
    <s v="&lt;null&gt;"/>
    <s v="&lt;null&gt;"/>
    <s v="&lt;null&gt;"/>
    <m/>
    <m/>
    <m/>
    <m/>
  </r>
  <r>
    <x v="1345"/>
    <x v="1345"/>
    <s v="Stimuleren Combimobiliteit"/>
    <x v="7"/>
    <n v="2155"/>
    <s v="IN/001762"/>
    <s v="Bus : N9 Maldegem: Verhoogde bushaltehaven - Oude Weg (Adegem)"/>
    <s v="Bus : N9 Maldegem: Verhoogde bushaltehaven - Oude Weg (Adegem)"/>
    <s v="Kleine Ingreep"/>
    <s v="WOV/INV/N9/27"/>
    <b v="1"/>
    <s v="Ingreep wordt opgevolgd in BOD"/>
    <n v="11864"/>
    <s v="AWV/INV/2021/3_P4"/>
    <n v="110951"/>
    <n v="21069485"/>
    <s v="&lt;p&gt;Combimobiliteitsfonds (2021 en 2022 (op 032))&lt;/p&gt;"/>
    <x v="25"/>
    <n v="7997"/>
    <s v="Verhoogde bushaltehaven - Oude Weg - Adegem"/>
    <s v="&lt;p&gt;Verhoogde bushaltehaven - Oude Weg - Adegem&lt;/p&gt;"/>
    <s v="WOV/INV/N9/27"/>
    <n v="100"/>
    <n v="50000"/>
    <n v="0"/>
    <n v="0"/>
    <n v="50000"/>
    <n v="50000"/>
    <n v="0"/>
    <n v="0"/>
    <n v="50000"/>
  </r>
  <r>
    <x v="1346"/>
    <x v="1346"/>
    <s v="Stimuleren Combimobiliteit"/>
    <x v="7"/>
    <n v="2156"/>
    <s v="IN/001763"/>
    <s v="Verhoogde bushaltehaven AR - Oude Weg - Adegem"/>
    <s v="Verhoogde bushaltehaven AR - Oude Weg - Adegem"/>
    <s v="Kleine Ingreep"/>
    <s v="WOV/INV/N9/28"/>
    <b v="0"/>
    <s v="Ingreep wordt niet opgevolgd in BOD"/>
    <s v="&lt;null&gt;"/>
    <s v="&lt;null&gt;"/>
    <s v="&lt;null&gt;"/>
    <s v="&lt;null&gt;"/>
    <s v="&lt;null&gt;"/>
    <x v="0"/>
    <s v="&lt;null&gt;"/>
    <s v="&lt;null&gt;"/>
    <s v="&lt;null&gt;"/>
    <s v="&lt;null&gt;"/>
    <n v="100"/>
    <s v="&lt;null&gt;"/>
    <s v="&lt;null&gt;"/>
    <s v="&lt;null&gt;"/>
    <s v="&lt;null&gt;"/>
    <m/>
    <m/>
    <m/>
    <m/>
  </r>
  <r>
    <x v="1347"/>
    <x v="1347"/>
    <s v="Stimuleren Combimobiliteit"/>
    <x v="2"/>
    <n v="2157"/>
    <s v="IN/001764"/>
    <s v="aanleggen Hoppinpunt N8 Lierde"/>
    <s v="aanleggen hoppinpunt en toegankelijke haltes te Lierde N8 station"/>
    <s v="Kleine Ingreep"/>
    <s v="WOV/INV/N8/12"/>
    <b v="1"/>
    <s v="Ingreep wordt opgevolgd in BOD"/>
    <n v="11864"/>
    <s v="AWV/INV/2021/3_P4"/>
    <n v="110951"/>
    <n v="21069485"/>
    <s v="&lt;p&gt;Combimobiliteitsfonds (2021 en 2022 (op 032))&lt;/p&gt;"/>
    <x v="25"/>
    <n v="8222"/>
    <s v="N8 Lierde station Hoppinpunt"/>
    <s v="&lt;null&gt;"/>
    <s v="WOV/INV/N8/12"/>
    <n v="100"/>
    <n v="48800"/>
    <n v="0"/>
    <n v="0"/>
    <n v="48800"/>
    <n v="48800"/>
    <n v="0"/>
    <n v="0"/>
    <n v="48800"/>
  </r>
  <r>
    <x v="1348"/>
    <x v="1348"/>
    <s v="Stimuleren Combimobiliteit"/>
    <x v="7"/>
    <n v="2158"/>
    <s v="IN/001765"/>
    <s v="Bus: N9 Maldegem: Verhoogde bushaltehaven Oude Gentweg"/>
    <s v="Bus: N9 Maldegem: Verhoogde bushaltehaven Oude Gentweg"/>
    <s v="Kleine Ingreep"/>
    <s v="WOV/INV/N9/29"/>
    <b v="1"/>
    <s v="Ingreep wordt opgevolgd in BOD"/>
    <s v="&lt;null&gt;"/>
    <s v="&lt;null&gt;"/>
    <n v="110951"/>
    <n v="21069485"/>
    <s v="&lt;p&gt;Combimobiliteitsfonds (2021 en 2022 (op 032))&lt;/p&gt;"/>
    <x v="25"/>
    <n v="8064"/>
    <s v="Verhoogde bushaltehaven Oude Gentweg"/>
    <s v="&lt;p&gt;Verhoogde bushaltehaven Oude Gentweg&lt;/p&gt;"/>
    <s v="WOV/INV/N9/29"/>
    <n v="100"/>
    <n v="50000"/>
    <n v="0"/>
    <n v="0"/>
    <n v="50000"/>
    <n v="50000"/>
    <n v="0"/>
    <n v="0"/>
    <n v="50000"/>
  </r>
  <r>
    <x v="1349"/>
    <x v="1349"/>
    <s v="Stimuleren Combimobiliteit"/>
    <x v="7"/>
    <n v="2159"/>
    <s v="IN/001766"/>
    <s v="Verhoogde bushaltehaven Oude Gentweg AR"/>
    <s v="Verhoogde bushaltehaven Oude Gentweg AR"/>
    <s v="Kleine Ingreep"/>
    <s v="WOV/INV/N9/30"/>
    <b v="0"/>
    <s v="Ingreep wordt niet opgevolgd in BOD"/>
    <s v="&lt;null&gt;"/>
    <s v="&lt;null&gt;"/>
    <s v="&lt;null&gt;"/>
    <s v="&lt;null&gt;"/>
    <s v="&lt;null&gt;"/>
    <x v="0"/>
    <s v="&lt;null&gt;"/>
    <s v="&lt;null&gt;"/>
    <s v="&lt;null&gt;"/>
    <s v="&lt;null&gt;"/>
    <n v="100"/>
    <s v="&lt;null&gt;"/>
    <s v="&lt;null&gt;"/>
    <s v="&lt;null&gt;"/>
    <s v="&lt;null&gt;"/>
    <m/>
    <m/>
    <m/>
    <m/>
  </r>
  <r>
    <x v="1350"/>
    <x v="1350"/>
    <s v="Stimuleren Combimobiliteit"/>
    <x v="7"/>
    <n v="2160"/>
    <s v="IN/001767"/>
    <s v="Verhoogde bushaltehaven Lembeke Lotusfabriek OR"/>
    <s v="Verhoogde bushaltehaven Lembeke Lotusfabriek OR"/>
    <s v="Kleine Ingreep"/>
    <s v="WOV/INV/N456/13"/>
    <b v="1"/>
    <s v="Ingreep wordt opgevolgd in BOD"/>
    <n v="11864"/>
    <s v="AWV/INV/2021/3_P4"/>
    <n v="110951"/>
    <n v="21069485"/>
    <s v="&lt;p&gt;Combimobiliteitsfonds (2021 en 2022 (op 032))&lt;/p&gt;"/>
    <x v="25"/>
    <n v="8066"/>
    <s v="Verhoogde bushaltehaven Lembeke Lotusfabriek OR"/>
    <s v="&lt;p&gt;Verhoogde bushaltehaven Lembeke Lotusfabriek OR&lt;/p&gt;"/>
    <s v="WOV/INV/N456/13"/>
    <n v="100"/>
    <n v="18000"/>
    <n v="0"/>
    <n v="17404.678199999998"/>
    <n v="492.89"/>
    <n v="18000"/>
    <n v="0"/>
    <n v="17404.678199999998"/>
    <n v="492.89"/>
  </r>
  <r>
    <x v="1350"/>
    <x v="1350"/>
    <s v="Stimuleren Combimobiliteit"/>
    <x v="7"/>
    <n v="2161"/>
    <s v="IN/001768"/>
    <s v="Verhoogde bushaltehaven Lembeke Lotusfabriek AR"/>
    <s v="Verhoogde bushaltehaven Lembeke Lotusfabriek AR"/>
    <s v="Kleine Ingreep"/>
    <s v="WOV/INV/N456/14"/>
    <b v="1"/>
    <s v="Ingreep wordt opgevolgd in BOD"/>
    <n v="11864"/>
    <s v="AWV/INV/2021/3_P4"/>
    <n v="110951"/>
    <n v="21069485"/>
    <s v="&lt;p&gt;Combimobiliteitsfonds (2021 en 2022 (op 032))&lt;/p&gt;"/>
    <x v="25"/>
    <n v="8067"/>
    <s v="Verhoogde bushaltehaven Lembeke Lotusfabriek AR"/>
    <s v="&lt;p&gt;Verhoogde bushaltehaven Lembeke Lotusfabriek AR&lt;/p&gt;"/>
    <s v="WOV/INV/N456/14"/>
    <n v="100"/>
    <n v="18000"/>
    <n v="0"/>
    <n v="18000"/>
    <n v="0"/>
    <n v="18000"/>
    <n v="0"/>
    <n v="18000"/>
    <n v="0"/>
  </r>
  <r>
    <x v="1351"/>
    <x v="1351"/>
    <s v="Stimuleren Combimobiliteit"/>
    <x v="7"/>
    <n v="2162"/>
    <s v="IN/001769"/>
    <s v="relance bushaltes Rotselaar aanpassing eindpunt halte rotonde"/>
    <s v="aanpassing halte naar uitstulpend verhoogd en aanleg rust / wachtplaats bus"/>
    <s v="Kleine Ingreep"/>
    <s v="WVB/INV/N19/8"/>
    <b v="1"/>
    <s v="Ingreep wordt opgevolgd in BOD"/>
    <n v="11865"/>
    <s v="AWV/INV/2021/3_P2"/>
    <n v="113401"/>
    <n v="21069297"/>
    <s v="&lt;p&gt;relance masterplan toegankelijkheid&lt;/p&gt;"/>
    <x v="24"/>
    <n v="8513"/>
    <s v="N19 Rotselaar aanpassing eindpunt halte rotonde - KP/001786"/>
    <s v="&lt;null&gt;"/>
    <s v="WVB/INV/N19/8"/>
    <n v="100"/>
    <n v="35000"/>
    <n v="0"/>
    <n v="0"/>
    <n v="35000"/>
    <n v="35000"/>
    <n v="0"/>
    <n v="0"/>
    <n v="35000"/>
  </r>
  <r>
    <x v="1352"/>
    <x v="1352"/>
    <s v="Stimuleren Combimobiliteit"/>
    <x v="2"/>
    <n v="2162"/>
    <s v="IN/001769"/>
    <s v="relance bushaltes Rotselaar aanpassing eindpunt halte rotonde"/>
    <s v="aanpassing halte naar uitstulpend verhoogd en aanleg rust / wachtplaats bus"/>
    <s v="Kleine Ingreep"/>
    <s v="WVB/INV/N19/8"/>
    <b v="1"/>
    <s v="Ingreep wordt opgevolgd in BOD"/>
    <n v="11865"/>
    <s v="AWV/INV/2021/3_P2"/>
    <n v="113401"/>
    <n v="21069297"/>
    <s v="&lt;p&gt;relance masterplan toegankelijkheid&lt;/p&gt;"/>
    <x v="24"/>
    <n v="8513"/>
    <s v="N19 Rotselaar aanpassing eindpunt halte rotonde - KP/001786"/>
    <s v="&lt;null&gt;"/>
    <s v="WVB/INV/N19/8"/>
    <n v="0"/>
    <n v="35000"/>
    <n v="0"/>
    <n v="0"/>
    <n v="35000"/>
    <n v="0"/>
    <n v="0"/>
    <n v="0"/>
    <n v="0"/>
  </r>
  <r>
    <x v="1353"/>
    <x v="1353"/>
    <s v="Stimuleren Combimobiliteit"/>
    <x v="7"/>
    <n v="2163"/>
    <s v="IN/001770"/>
    <s v="relance bushaltes Oud-Heverlee Blanden oud station"/>
    <s v="aanpassing haltes naar uitstulpend verhoogd"/>
    <s v="Kleine Ingreep"/>
    <s v="WVB/INV/N251/5"/>
    <b v="1"/>
    <s v="Ingreep wordt opgevolgd in BOD"/>
    <n v="11865"/>
    <s v="AWV/INV/2021/3_P2"/>
    <n v="113401"/>
    <n v="21069297"/>
    <s v="&lt;p&gt;relance masterplan toegankelijkheid&lt;/p&gt;"/>
    <x v="24"/>
    <n v="8512"/>
    <s v="N251 Blanden bushaltes &quot;oud station&quot; KP/001784"/>
    <s v="&lt;null&gt;"/>
    <s v="WVB/INV/N251/5"/>
    <n v="100"/>
    <n v="35000"/>
    <n v="0"/>
    <n v="0"/>
    <n v="3490.83"/>
    <n v="35000"/>
    <n v="0"/>
    <n v="0"/>
    <n v="3490.83"/>
  </r>
  <r>
    <x v="18"/>
    <x v="18"/>
    <s v="&lt;null&gt;"/>
    <x v="3"/>
    <n v="2164"/>
    <s v="IN/001771"/>
    <s v="Sanering viaduct Gentbrugge fase 2"/>
    <s v="Sanering viaduct Gentbrugge en Scheldebrug in E17 te Gentbrugge"/>
    <s v="Klein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2165"/>
    <s v="IN/001772"/>
    <s v="renovatie brug Veldstraat en Kruibekesteenweg over E17 te Temse en Beveren/Kruibeke"/>
    <s v="sanering brug Veldstraat over E17 te Temse en brug Kruibekesteenweg over E17 te Beveren/Kruibeke"/>
    <s v="Klein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2166"/>
    <s v="IN/001773"/>
    <s v="A14 E17 Gentbrugge Sanering Viaduct"/>
    <s v="&lt;null&gt;"/>
    <s v="Structurele Ingreep"/>
    <s v="WOV/INV/A14/1"/>
    <b v="0"/>
    <s v="Ingreep wordt niet opgevolgd in BOD"/>
    <s v="&lt;null&gt;"/>
    <s v="&lt;null&gt;"/>
    <s v="&lt;null&gt;"/>
    <s v="&lt;null&gt;"/>
    <s v="&lt;null&gt;"/>
    <x v="0"/>
    <s v="&lt;null&gt;"/>
    <s v="&lt;null&gt;"/>
    <s v="&lt;null&gt;"/>
    <s v="&lt;null&gt;"/>
    <s v="&lt;null&gt;"/>
    <s v="&lt;null&gt;"/>
    <s v="&lt;null&gt;"/>
    <s v="&lt;null&gt;"/>
    <s v="&lt;null&gt;"/>
    <m/>
    <m/>
    <m/>
    <m/>
  </r>
  <r>
    <x v="18"/>
    <x v="18"/>
    <s v="&lt;null&gt;"/>
    <x v="3"/>
    <n v="2167"/>
    <s v="IN/001774"/>
    <s v="A14/E17 Beveren saneren brug Kruibekesteenweg"/>
    <s v="&lt;null&gt;"/>
    <s v="Structurele Ingreep"/>
    <s v="WOV/INV/A14/4"/>
    <b v="0"/>
    <s v="Ingreep wordt niet opgevolgd in BOD"/>
    <s v="&lt;null&gt;"/>
    <s v="&lt;null&gt;"/>
    <s v="&lt;null&gt;"/>
    <s v="&lt;null&gt;"/>
    <s v="&lt;null&gt;"/>
    <x v="0"/>
    <s v="&lt;null&gt;"/>
    <s v="&lt;null&gt;"/>
    <s v="&lt;null&gt;"/>
    <s v="&lt;null&gt;"/>
    <s v="&lt;null&gt;"/>
    <s v="&lt;null&gt;"/>
    <s v="&lt;null&gt;"/>
    <s v="&lt;null&gt;"/>
    <s v="&lt;null&gt;"/>
    <m/>
    <m/>
    <m/>
    <m/>
  </r>
  <r>
    <x v="861"/>
    <x v="861"/>
    <s v="Verkeersveiligheid"/>
    <x v="4"/>
    <n v="2168"/>
    <s v="IN/001775"/>
    <s v="Punctuele verlichting"/>
    <s v="&lt;null&gt;"/>
    <s v="Kleine Ingreep"/>
    <s v="WL/INV/N20/12"/>
    <b v="0"/>
    <s v="Ingreep wordt niet opgevolgd in BOD"/>
    <s v="&lt;null&gt;"/>
    <s v="&lt;null&gt;"/>
    <s v="&lt;null&gt;"/>
    <s v="&lt;null&gt;"/>
    <s v="&lt;null&gt;"/>
    <x v="0"/>
    <s v="&lt;null&gt;"/>
    <s v="&lt;null&gt;"/>
    <s v="&lt;null&gt;"/>
    <s v="&lt;null&gt;"/>
    <n v="100"/>
    <s v="&lt;null&gt;"/>
    <s v="&lt;null&gt;"/>
    <s v="&lt;null&gt;"/>
    <s v="&lt;null&gt;"/>
    <m/>
    <m/>
    <m/>
    <m/>
  </r>
  <r>
    <x v="1354"/>
    <x v="1354"/>
    <s v="Stimuleren Combimobiliteit"/>
    <x v="7"/>
    <n v="2169"/>
    <s v="IN/001776"/>
    <s v="N419 Kruibeke oplopend rechts  aaanleg verhoogde bushaltehaven"/>
    <s v="N419 Kruibeke oplopend rechts \naaanleg verhoogde bushaltehaven"/>
    <s v="Kleine Ingreep"/>
    <s v="WOV/INV/N419/7"/>
    <b v="1"/>
    <s v="Ingreep wordt opgevolgd in BOD"/>
    <n v="11864"/>
    <s v="AWV/INV/2021/3_P4"/>
    <n v="110951"/>
    <n v="21069485"/>
    <s v="&lt;p&gt;Combimobiliteitsfonds (2021 en 2022 (op 032))&lt;/p&gt;"/>
    <x v="25"/>
    <n v="8241"/>
    <s v="N419 Kruibeke verhoogde bushaltehaven OR (Bazel Kouterwegel)"/>
    <s v="&lt;p&gt;N419 Kruibeke verhoogde bushaltehaven OR (Bazel Kouterwegel)&lt;/p&gt;"/>
    <s v="WOV/INV/N419/7"/>
    <n v="100"/>
    <n v="17000"/>
    <n v="0"/>
    <n v="0"/>
    <n v="149.86000000000001"/>
    <n v="17000"/>
    <n v="0"/>
    <n v="0"/>
    <n v="149.86000000000001"/>
  </r>
  <r>
    <x v="1354"/>
    <x v="1354"/>
    <s v="Stimuleren Combimobiliteit"/>
    <x v="7"/>
    <n v="2170"/>
    <s v="IN/001777"/>
    <s v="N419 Kruibeke aflopend rechts  aaanleg verhoogde bushaltehaven"/>
    <s v="N419 Kruibeke aflopend rechts  aaanleg verhoogde bushaltehaven"/>
    <s v="Kleine Ingreep"/>
    <s v="WOV/INV/N419/8"/>
    <b v="1"/>
    <s v="Ingreep wordt opgevolgd in BOD"/>
    <n v="11864"/>
    <s v="AWV/INV/2021/3_P4"/>
    <n v="110951"/>
    <n v="21069485"/>
    <s v="&lt;p&gt;Combimobiliteitsfonds (2021 en 2022 (op 032))&lt;/p&gt;"/>
    <x v="25"/>
    <n v="8242"/>
    <s v="N419 Kruibeke verhoogde bushaltehaven AR (Bazel Kouterwegel)"/>
    <s v="&lt;p&gt;N419 Kruibeke verhoogde bushaltehaven AR (Bazel Kouterwegel)&lt;/p&gt;"/>
    <s v="WOV/INV/N419/8"/>
    <n v="100"/>
    <n v="14000"/>
    <n v="0"/>
    <n v="0"/>
    <n v="0"/>
    <n v="14000"/>
    <n v="0"/>
    <n v="0"/>
    <n v="0"/>
  </r>
  <r>
    <x v="1355"/>
    <x v="1355"/>
    <s v="Verkeersveiligheid"/>
    <x v="4"/>
    <n v="2171"/>
    <s v="IN/001778"/>
    <s v="N18 - Mol - Kapellestraat - Postelarenweg kruispnt"/>
    <s v="Heraanleg kruispunt N18-Kapellestraat in Mol met VRI.\nHerinrichting aansluiting Postelarenweg naar eenrichtingsverkeer."/>
    <s v="Structurele Ingreep"/>
    <s v="WA/INV/N18/2"/>
    <b v="0"/>
    <s v="Ingreep wordt niet opgevolgd in BOD"/>
    <s v="&lt;null&gt;"/>
    <s v="&lt;null&gt;"/>
    <s v="&lt;null&gt;"/>
    <s v="&lt;null&gt;"/>
    <s v="&lt;null&gt;"/>
    <x v="0"/>
    <s v="&lt;null&gt;"/>
    <s v="&lt;null&gt;"/>
    <s v="&lt;null&gt;"/>
    <s v="&lt;null&gt;"/>
    <n v="100"/>
    <s v="&lt;null&gt;"/>
    <s v="&lt;null&gt;"/>
    <s v="&lt;null&gt;"/>
    <s v="&lt;null&gt;"/>
    <m/>
    <m/>
    <m/>
    <m/>
  </r>
  <r>
    <x v="18"/>
    <x v="18"/>
    <s v="&lt;null&gt;"/>
    <x v="3"/>
    <n v="2172"/>
    <s v="IN/001779"/>
    <s v="N116 RANST Fietspad Netekanaal en N14"/>
    <s v="&lt;null&gt;"/>
    <s v="Structurele Ingreep"/>
    <s v="WA/INV/N116/7"/>
    <b v="0"/>
    <s v="Ingreep wordt niet opgevolgd in BOD"/>
    <s v="&lt;null&gt;"/>
    <s v="&lt;null&gt;"/>
    <s v="&lt;null&gt;"/>
    <s v="&lt;null&gt;"/>
    <s v="&lt;null&gt;"/>
    <x v="0"/>
    <s v="&lt;null&gt;"/>
    <s v="&lt;null&gt;"/>
    <s v="&lt;null&gt;"/>
    <s v="&lt;null&gt;"/>
    <s v="&lt;null&gt;"/>
    <s v="&lt;null&gt;"/>
    <s v="&lt;null&gt;"/>
    <s v="&lt;null&gt;"/>
    <s v="&lt;null&gt;"/>
    <m/>
    <m/>
    <m/>
    <m/>
  </r>
  <r>
    <x v="812"/>
    <x v="812"/>
    <s v="Verkeersveiligheid"/>
    <x v="4"/>
    <n v="2173"/>
    <s v="IN/001780"/>
    <s v="N14 Zandhoven fase 3: kanaal-N116"/>
    <s v="&lt;null&gt;"/>
    <s v="Structurele Ingreep"/>
    <s v="WA/INV/N14/4"/>
    <b v="0"/>
    <s v="Ingreep wordt niet opgevolgd in BOD"/>
    <s v="&lt;null&gt;"/>
    <s v="&lt;null&gt;"/>
    <s v="&lt;null&gt;"/>
    <s v="&lt;null&gt;"/>
    <s v="&lt;null&gt;"/>
    <x v="0"/>
    <s v="&lt;null&gt;"/>
    <s v="&lt;null&gt;"/>
    <s v="&lt;null&gt;"/>
    <s v="&lt;null&gt;"/>
    <n v="0"/>
    <s v="&lt;null&gt;"/>
    <s v="&lt;null&gt;"/>
    <s v="&lt;null&gt;"/>
    <s v="&lt;null&gt;"/>
    <m/>
    <m/>
    <m/>
    <m/>
  </r>
  <r>
    <x v="1356"/>
    <x v="1356"/>
    <s v="Stimuleren Combimobiliteit"/>
    <x v="2"/>
    <n v="2173"/>
    <s v="IN/001780"/>
    <s v="N14 Zandhoven fase 3: kanaal-N116"/>
    <s v="&lt;null&gt;"/>
    <s v="Structurele Ingreep"/>
    <s v="WA/INV/N14/4"/>
    <b v="0"/>
    <s v="Ingreep wordt niet opgevolgd in BOD"/>
    <s v="&lt;null&gt;"/>
    <s v="&lt;null&gt;"/>
    <s v="&lt;null&gt;"/>
    <s v="&lt;null&gt;"/>
    <s v="&lt;null&gt;"/>
    <x v="0"/>
    <s v="&lt;null&gt;"/>
    <s v="&lt;null&gt;"/>
    <s v="&lt;null&gt;"/>
    <s v="&lt;null&gt;"/>
    <n v="0"/>
    <s v="&lt;null&gt;"/>
    <s v="&lt;null&gt;"/>
    <s v="&lt;null&gt;"/>
    <s v="&lt;null&gt;"/>
    <m/>
    <m/>
    <m/>
    <m/>
  </r>
  <r>
    <x v="1357"/>
    <x v="1357"/>
    <s v="Stimuleren Combimobiliteit"/>
    <x v="2"/>
    <n v="2173"/>
    <s v="IN/001780"/>
    <s v="N14 Zandhoven fase 3: kanaal-N116"/>
    <s v="&lt;null&gt;"/>
    <s v="Structurele Ingreep"/>
    <s v="WA/INV/N14/4"/>
    <b v="0"/>
    <s v="Ingreep wordt niet opgevolgd in BOD"/>
    <s v="&lt;null&gt;"/>
    <s v="&lt;null&gt;"/>
    <s v="&lt;null&gt;"/>
    <s v="&lt;null&gt;"/>
    <s v="&lt;null&gt;"/>
    <x v="0"/>
    <s v="&lt;null&gt;"/>
    <s v="&lt;null&gt;"/>
    <s v="&lt;null&gt;"/>
    <s v="&lt;null&gt;"/>
    <n v="0"/>
    <s v="&lt;null&gt;"/>
    <s v="&lt;null&gt;"/>
    <s v="&lt;null&gt;"/>
    <s v="&lt;null&gt;"/>
    <m/>
    <m/>
    <m/>
    <m/>
  </r>
  <r>
    <x v="1358"/>
    <x v="1358"/>
    <s v="Verkeersveiligheid"/>
    <x v="4"/>
    <n v="2174"/>
    <s v="IN/001781"/>
    <s v="VVOP oversteek Kruiseke centrum"/>
    <s v="&lt;null&gt;"/>
    <s v="Kleine Ingreep"/>
    <s v="WWV/INV/N303/3"/>
    <b v="1"/>
    <s v="Ingreep wordt opgevolgd in BOD"/>
    <n v="10520"/>
    <s v="VWT/WU/2020/007.005"/>
    <n v="106851"/>
    <s v="21013956-bis"/>
    <s v="&lt;p&gt;2021 Basisvastleggingen op 3MH210 - lijn 41280-2&lt;/p&gt;"/>
    <x v="0"/>
    <n v="8302"/>
    <s v="VVOP N303 t.h.v. kmp. 4,112 - Wervik"/>
    <s v="&lt;p&gt;KP/001323 - IN/001781 - KS831&lt;/p&gt;"/>
    <s v="WWV/INV/N303/3"/>
    <n v="100"/>
    <n v="25000"/>
    <n v="0"/>
    <n v="0"/>
    <n v="19368.2"/>
    <n v="25000"/>
    <n v="0"/>
    <n v="0"/>
    <n v="19368.2"/>
  </r>
  <r>
    <x v="18"/>
    <x v="18"/>
    <s v="&lt;null&gt;"/>
    <x v="3"/>
    <n v="2175"/>
    <s v="IN/001782"/>
    <s v="N29 x N3 Herinrichting rotonde Hakendover"/>
    <s v="&lt;null&gt;"/>
    <s v="Structurele Ingreep"/>
    <s v="WVB/INV/N3/7"/>
    <b v="0"/>
    <s v="Ingreep wordt niet opgevolgd in BOD"/>
    <s v="&lt;null&gt;"/>
    <s v="&lt;null&gt;"/>
    <s v="&lt;null&gt;"/>
    <s v="&lt;null&gt;"/>
    <s v="&lt;null&gt;"/>
    <x v="0"/>
    <s v="&lt;null&gt;"/>
    <s v="&lt;null&gt;"/>
    <s v="&lt;null&gt;"/>
    <s v="&lt;null&gt;"/>
    <s v="&lt;null&gt;"/>
    <s v="&lt;null&gt;"/>
    <s v="&lt;null&gt;"/>
    <s v="&lt;null&gt;"/>
    <s v="&lt;null&gt;"/>
    <m/>
    <m/>
    <m/>
    <m/>
  </r>
  <r>
    <x v="1359"/>
    <x v="1359"/>
    <s v="Verkeersveiligheid"/>
    <x v="4"/>
    <n v="2176"/>
    <s v="IN/001783"/>
    <s v="SRK: N445 Laarne: oversteekvoorzieningen voor fietsers op gewestweg"/>
    <s v="Kruispunt veiliger maken (infra en vvop)"/>
    <s v="Kleine Ingreep"/>
    <s v="WOV/INV/N445/7"/>
    <b v="0"/>
    <s v="Ingreep wordt niet opgevolgd in BOD"/>
    <s v="&lt;null&gt;"/>
    <s v="&lt;null&gt;"/>
    <s v="&lt;null&gt;"/>
    <s v="&lt;null&gt;"/>
    <s v="&lt;null&gt;"/>
    <x v="0"/>
    <s v="&lt;null&gt;"/>
    <s v="&lt;null&gt;"/>
    <s v="&lt;null&gt;"/>
    <s v="&lt;null&gt;"/>
    <n v="100"/>
    <s v="&lt;null&gt;"/>
    <s v="&lt;null&gt;"/>
    <s v="&lt;null&gt;"/>
    <s v="&lt;null&gt;"/>
    <m/>
    <m/>
    <m/>
    <m/>
  </r>
  <r>
    <x v="1360"/>
    <x v="1360"/>
    <s v="Verkeersveiligheid"/>
    <x v="4"/>
    <n v="2177"/>
    <s v="IN/001784"/>
    <s v="N121 Brasschaat Hemelakkers"/>
    <s v="&lt;null&gt;"/>
    <s v="Structurele Ingreep"/>
    <s v="WA/INV/N121/2"/>
    <b v="0"/>
    <s v="Ingreep wordt niet opgevolgd in BOD"/>
    <s v="&lt;null&gt;"/>
    <s v="&lt;null&gt;"/>
    <s v="&lt;null&gt;"/>
    <s v="&lt;null&gt;"/>
    <s v="&lt;null&gt;"/>
    <x v="0"/>
    <s v="&lt;null&gt;"/>
    <s v="&lt;null&gt;"/>
    <s v="&lt;null&gt;"/>
    <s v="&lt;null&gt;"/>
    <n v="2"/>
    <s v="&lt;null&gt;"/>
    <s v="&lt;null&gt;"/>
    <s v="&lt;null&gt;"/>
    <s v="&lt;null&gt;"/>
    <m/>
    <m/>
    <m/>
    <m/>
  </r>
  <r>
    <x v="1029"/>
    <x v="1029"/>
    <s v="Verkeersveiligheid"/>
    <x v="4"/>
    <n v="2178"/>
    <s v="IN/001785"/>
    <s v="VVOP"/>
    <s v="&lt;null&gt;"/>
    <s v="Kleine Ingreep"/>
    <s v="WL/INV/N793/1"/>
    <b v="0"/>
    <s v="Ingreep wordt niet opgevolgd in BOD"/>
    <s v="&lt;null&gt;"/>
    <s v="&lt;null&gt;"/>
    <s v="&lt;null&gt;"/>
    <s v="&lt;null&gt;"/>
    <s v="&lt;null&gt;"/>
    <x v="0"/>
    <s v="&lt;null&gt;"/>
    <s v="&lt;null&gt;"/>
    <s v="&lt;null&gt;"/>
    <s v="&lt;null&gt;"/>
    <n v="100"/>
    <s v="&lt;null&gt;"/>
    <s v="&lt;null&gt;"/>
    <s v="&lt;null&gt;"/>
    <s v="&lt;null&gt;"/>
    <m/>
    <m/>
    <m/>
    <m/>
  </r>
  <r>
    <x v="18"/>
    <x v="18"/>
    <s v="&lt;null&gt;"/>
    <x v="3"/>
    <n v="2179"/>
    <s v="IN/001786"/>
    <s v="N325 Middelkerke - structureel onderhoud"/>
    <s v="&lt;null&gt;"/>
    <s v="Structurele Ingreep"/>
    <s v="WWV/INV/N325/1"/>
    <b v="0"/>
    <s v="Ingreep wordt niet opgevolgd in BOD"/>
    <s v="&lt;null&gt;"/>
    <s v="&lt;null&gt;"/>
    <s v="&lt;null&gt;"/>
    <s v="&lt;null&gt;"/>
    <s v="&lt;null&gt;"/>
    <x v="0"/>
    <s v="&lt;null&gt;"/>
    <s v="&lt;null&gt;"/>
    <s v="&lt;null&gt;"/>
    <s v="&lt;null&gt;"/>
    <s v="&lt;null&gt;"/>
    <s v="&lt;null&gt;"/>
    <s v="&lt;null&gt;"/>
    <s v="&lt;null&gt;"/>
    <s v="&lt;null&gt;"/>
    <m/>
    <m/>
    <m/>
    <m/>
  </r>
  <r>
    <x v="18"/>
    <x v="18"/>
    <s v="&lt;null&gt;"/>
    <x v="3"/>
    <n v="2180"/>
    <s v="IN/001787"/>
    <s v="N58 Wervik - Ontdubbeling van het vak A19 tot N338"/>
    <s v="&lt;null&gt;"/>
    <s v="Structurele Ingreep"/>
    <s v="WWV/INV/N58/1"/>
    <b v="0"/>
    <s v="Ingreep wordt niet opgevolgd in BOD"/>
    <s v="&lt;null&gt;"/>
    <s v="&lt;null&gt;"/>
    <s v="&lt;null&gt;"/>
    <s v="&lt;null&gt;"/>
    <s v="&lt;null&gt;"/>
    <x v="0"/>
    <s v="&lt;null&gt;"/>
    <s v="&lt;null&gt;"/>
    <s v="&lt;null&gt;"/>
    <s v="&lt;null&gt;"/>
    <s v="&lt;null&gt;"/>
    <s v="&lt;null&gt;"/>
    <s v="&lt;null&gt;"/>
    <s v="&lt;null&gt;"/>
    <s v="&lt;null&gt;"/>
    <m/>
    <m/>
    <m/>
    <m/>
  </r>
  <r>
    <x v="18"/>
    <x v="18"/>
    <s v="&lt;null&gt;"/>
    <x v="3"/>
    <n v="2181"/>
    <s v="IN/001788"/>
    <s v="N396 Koksijde - verbetering fietspad"/>
    <s v="&lt;null&gt;"/>
    <s v="Structurele Ingreep"/>
    <s v="WWV/INV/N396/1"/>
    <b v="0"/>
    <s v="Ingreep wordt niet opgevolgd in BOD"/>
    <s v="&lt;null&gt;"/>
    <s v="&lt;null&gt;"/>
    <s v="&lt;null&gt;"/>
    <s v="&lt;null&gt;"/>
    <s v="&lt;null&gt;"/>
    <x v="0"/>
    <s v="&lt;null&gt;"/>
    <s v="&lt;null&gt;"/>
    <s v="&lt;null&gt;"/>
    <s v="&lt;null&gt;"/>
    <s v="&lt;null&gt;"/>
    <s v="&lt;null&gt;"/>
    <s v="&lt;null&gt;"/>
    <s v="&lt;null&gt;"/>
    <s v="&lt;null&gt;"/>
    <m/>
    <m/>
    <m/>
    <m/>
  </r>
  <r>
    <x v="18"/>
    <x v="18"/>
    <s v="&lt;null&gt;"/>
    <x v="3"/>
    <n v="2182"/>
    <s v="IN/001789"/>
    <s v="N33 Ichtegem - fietspaden De Engel"/>
    <s v="&lt;null&gt;"/>
    <s v="Structurele Ingreep"/>
    <s v="WWV/INV/N33/1"/>
    <b v="0"/>
    <s v="Ingreep wordt niet opgevolgd in BOD"/>
    <s v="&lt;null&gt;"/>
    <s v="&lt;null&gt;"/>
    <s v="&lt;null&gt;"/>
    <s v="&lt;null&gt;"/>
    <s v="&lt;null&gt;"/>
    <x v="0"/>
    <s v="&lt;null&gt;"/>
    <s v="&lt;null&gt;"/>
    <s v="&lt;null&gt;"/>
    <s v="&lt;null&gt;"/>
    <s v="&lt;null&gt;"/>
    <s v="&lt;null&gt;"/>
    <s v="&lt;null&gt;"/>
    <s v="&lt;null&gt;"/>
    <s v="&lt;null&gt;"/>
    <m/>
    <m/>
    <m/>
    <m/>
  </r>
  <r>
    <x v="18"/>
    <x v="18"/>
    <s v="&lt;null&gt;"/>
    <x v="3"/>
    <n v="2183"/>
    <s v="IN/001790"/>
    <s v="N36 Deerlijk - herinrichting Belgiek"/>
    <s v="&lt;null&gt;"/>
    <s v="Structurele Ingreep"/>
    <s v="WWV/INV/N36/2"/>
    <b v="0"/>
    <s v="Ingreep wordt niet opgevolgd in BOD"/>
    <s v="&lt;null&gt;"/>
    <s v="&lt;null&gt;"/>
    <s v="&lt;null&gt;"/>
    <s v="&lt;null&gt;"/>
    <s v="&lt;null&gt;"/>
    <x v="0"/>
    <s v="&lt;null&gt;"/>
    <s v="&lt;null&gt;"/>
    <s v="&lt;null&gt;"/>
    <s v="&lt;null&gt;"/>
    <s v="&lt;null&gt;"/>
    <s v="&lt;null&gt;"/>
    <s v="&lt;null&gt;"/>
    <s v="&lt;null&gt;"/>
    <s v="&lt;null&gt;"/>
    <m/>
    <m/>
    <m/>
    <m/>
  </r>
  <r>
    <x v="18"/>
    <x v="18"/>
    <s v="&lt;null&gt;"/>
    <x v="3"/>
    <n v="2184"/>
    <s v="IN/001791"/>
    <s v="N318 Oostende - herinrichting Nieuwpoortsesteenweg"/>
    <s v="&lt;null&gt;"/>
    <s v="Structurele Ingreep"/>
    <s v="WWV/INV/N318/1"/>
    <b v="0"/>
    <s v="Ingreep wordt niet opgevolgd in BOD"/>
    <s v="&lt;null&gt;"/>
    <s v="&lt;null&gt;"/>
    <s v="&lt;null&gt;"/>
    <s v="&lt;null&gt;"/>
    <s v="&lt;null&gt;"/>
    <x v="0"/>
    <s v="&lt;null&gt;"/>
    <s v="&lt;null&gt;"/>
    <s v="&lt;null&gt;"/>
    <s v="&lt;null&gt;"/>
    <s v="&lt;null&gt;"/>
    <s v="&lt;null&gt;"/>
    <s v="&lt;null&gt;"/>
    <s v="&lt;null&gt;"/>
    <s v="&lt;null&gt;"/>
    <m/>
    <m/>
    <m/>
    <m/>
  </r>
  <r>
    <x v="18"/>
    <x v="18"/>
    <s v="&lt;null&gt;"/>
    <x v="3"/>
    <n v="2185"/>
    <s v="IN/001792"/>
    <s v="N35 De Panne, Koksijde, Veurne - vrijlig. fietspad"/>
    <s v="&lt;null&gt;"/>
    <s v="Structurele Ingreep"/>
    <s v="WWV/INV/N35/3"/>
    <b v="1"/>
    <s v="Ingreep wordt opgevolgd in BOD"/>
    <n v="10666"/>
    <s v="VWT/EW/2020/028"/>
    <n v="94901"/>
    <n v="21049883"/>
    <s v="&lt;p&gt;N35 Veurne Koksijde De Panne - Voorzien van openbare verlichting langs de N35 en bijhorende fietspaden&lt;/p&gt;"/>
    <x v="6"/>
    <n v="6745"/>
    <s v="&lt;null&gt;"/>
    <s v="&lt;p&gt;N35 Veurne Koksijde De Panne - Voorzien van openbare verlichting langs de N35 en bijhorende fietspaden&lt;/p&gt;"/>
    <s v="WWV/INV/N35/3"/>
    <s v="&lt;null&gt;"/>
    <n v="369275.69"/>
    <n v="102883.12"/>
    <n v="0"/>
    <n v="266392.57"/>
    <m/>
    <m/>
    <m/>
    <m/>
  </r>
  <r>
    <x v="1361"/>
    <x v="1361"/>
    <s v="Verkeersveiligheid"/>
    <x v="4"/>
    <n v="2186"/>
    <s v="IN/001793"/>
    <s v="2 nieuwe VOP's"/>
    <s v="&lt;null&gt;"/>
    <s v="Kleine Ingreep"/>
    <s v="WL/INV/N746/10"/>
    <b v="1"/>
    <s v="Ingreep wordt opgevolgd in BOD"/>
    <n v="12817"/>
    <s v="AWV/INV/2021/3_P5"/>
    <n v="135951"/>
    <n v="22015560"/>
    <s v="&lt;p&gt;gevaarlijke punten, scholenroutes&lt;/p&gt;"/>
    <x v="14"/>
    <n v="10234"/>
    <s v="Lommel_N746_KS178_15.000"/>
    <s v="&lt;null&gt;"/>
    <s v="WL/INV/N746/10"/>
    <n v="100"/>
    <n v="5000"/>
    <n v="0"/>
    <n v="0"/>
    <n v="295.74"/>
    <n v="5000"/>
    <n v="0"/>
    <n v="0"/>
    <n v="295.74"/>
  </r>
  <r>
    <x v="18"/>
    <x v="18"/>
    <s v="&lt;null&gt;"/>
    <x v="3"/>
    <n v="2187"/>
    <s v="IN/001794"/>
    <s v="N358 Oudenburg - struct. ond. i.c.m. collector Aqf"/>
    <s v="&lt;null&gt;"/>
    <s v="Structurele Ingreep"/>
    <s v="WWV/INV/N358/1"/>
    <b v="0"/>
    <s v="Ingreep wordt niet opgevolgd in BOD"/>
    <s v="&lt;null&gt;"/>
    <s v="&lt;null&gt;"/>
    <s v="&lt;null&gt;"/>
    <s v="&lt;null&gt;"/>
    <s v="&lt;null&gt;"/>
    <x v="0"/>
    <s v="&lt;null&gt;"/>
    <s v="&lt;null&gt;"/>
    <s v="&lt;null&gt;"/>
    <s v="&lt;null&gt;"/>
    <s v="&lt;null&gt;"/>
    <s v="&lt;null&gt;"/>
    <s v="&lt;null&gt;"/>
    <s v="&lt;null&gt;"/>
    <s v="&lt;null&gt;"/>
    <m/>
    <m/>
    <m/>
    <m/>
  </r>
  <r>
    <x v="18"/>
    <x v="18"/>
    <s v="&lt;null&gt;"/>
    <x v="3"/>
    <n v="2188"/>
    <s v="IN/001795"/>
    <s v="N33 - Gistel en Ichtegem - aanleg fietspaden"/>
    <s v="&lt;null&gt;"/>
    <s v="Structurele Ingreep"/>
    <s v="WWV/INV/N33/2"/>
    <b v="0"/>
    <s v="Ingreep wordt niet opgevolgd in BOD"/>
    <s v="&lt;null&gt;"/>
    <s v="&lt;null&gt;"/>
    <s v="&lt;null&gt;"/>
    <s v="&lt;null&gt;"/>
    <s v="&lt;null&gt;"/>
    <x v="0"/>
    <s v="&lt;null&gt;"/>
    <s v="&lt;null&gt;"/>
    <s v="&lt;null&gt;"/>
    <s v="&lt;null&gt;"/>
    <s v="&lt;null&gt;"/>
    <s v="&lt;null&gt;"/>
    <s v="&lt;null&gt;"/>
    <s v="&lt;null&gt;"/>
    <s v="&lt;null&gt;"/>
    <m/>
    <m/>
    <m/>
    <m/>
  </r>
  <r>
    <x v="18"/>
    <x v="18"/>
    <s v="&lt;null&gt;"/>
    <x v="3"/>
    <n v="2189"/>
    <s v="IN/001796"/>
    <s v="R31 Oostende - Ongelijkgrondse fietsverbindingen"/>
    <s v="&lt;null&gt;"/>
    <s v="Structurele Ingreep"/>
    <s v="WWV/INV/R31/1"/>
    <b v="0"/>
    <s v="Ingreep wordt niet opgevolgd in BOD"/>
    <s v="&lt;null&gt;"/>
    <s v="&lt;null&gt;"/>
    <s v="&lt;null&gt;"/>
    <s v="&lt;null&gt;"/>
    <s v="&lt;null&gt;"/>
    <x v="0"/>
    <s v="&lt;null&gt;"/>
    <s v="&lt;null&gt;"/>
    <s v="&lt;null&gt;"/>
    <s v="&lt;null&gt;"/>
    <s v="&lt;null&gt;"/>
    <s v="&lt;null&gt;"/>
    <s v="&lt;null&gt;"/>
    <s v="&lt;null&gt;"/>
    <s v="&lt;null&gt;"/>
    <m/>
    <m/>
    <m/>
    <m/>
  </r>
  <r>
    <x v="18"/>
    <x v="18"/>
    <s v="&lt;null&gt;"/>
    <x v="3"/>
    <n v="2190"/>
    <s v="IN/001797"/>
    <s v="A18 Jabbeke-Gistel: structureel onderhoud"/>
    <s v="&lt;null&gt;"/>
    <s v="Structurele Ingreep"/>
    <s v="WWV/INV/A18/1"/>
    <b v="0"/>
    <s v="Ingreep wordt niet opgevolgd in BOD"/>
    <s v="&lt;null&gt;"/>
    <s v="&lt;null&gt;"/>
    <s v="&lt;null&gt;"/>
    <s v="&lt;null&gt;"/>
    <s v="&lt;null&gt;"/>
    <x v="0"/>
    <s v="&lt;null&gt;"/>
    <s v="&lt;null&gt;"/>
    <s v="&lt;null&gt;"/>
    <s v="&lt;null&gt;"/>
    <s v="&lt;null&gt;"/>
    <s v="&lt;null&gt;"/>
    <s v="&lt;null&gt;"/>
    <s v="&lt;null&gt;"/>
    <s v="&lt;null&gt;"/>
    <m/>
    <m/>
    <m/>
    <m/>
  </r>
  <r>
    <x v="18"/>
    <x v="18"/>
    <s v="&lt;null&gt;"/>
    <x v="3"/>
    <n v="2191"/>
    <s v="IN/001798"/>
    <s v="N8 - Ieper:Aanpak verkeersveiligheid Ieper-Brielen"/>
    <s v="&lt;null&gt;"/>
    <s v="Structurele Ingreep"/>
    <s v="WWV/INV/N8/11"/>
    <b v="1"/>
    <s v="Ingreep wordt opgevolgd in BOD"/>
    <n v="10520"/>
    <s v="VWT/WU/2020/007.005"/>
    <n v="106851"/>
    <s v="21013956-bis"/>
    <s v="&lt;p&gt;2021 Basisvastleggingen op 3MH210 - lijn 41280-2&lt;/p&gt;"/>
    <x v="0"/>
    <n v="9685"/>
    <s v="VVOP Brielen N8 kmp. 119,8 - Veurnseweg t.h.v. huisnummer 193"/>
    <s v="&lt;p&gt;VVOP Brielen N8 kmp. 119,8 - Veurnseweg t.h.v. huisnummer 193&lt;/p&gt;"/>
    <s v="WWV/INV/N8/11"/>
    <s v="&lt;null&gt;"/>
    <n v="26000"/>
    <n v="0"/>
    <n v="0"/>
    <n v="20368.2"/>
    <m/>
    <m/>
    <m/>
    <m/>
  </r>
  <r>
    <x v="18"/>
    <x v="18"/>
    <s v="&lt;null&gt;"/>
    <x v="3"/>
    <n v="2192"/>
    <s v="IN/001799"/>
    <s v="N363 Ichtegem - doortocht"/>
    <s v="&lt;null&gt;"/>
    <s v="Structurele Ingreep"/>
    <s v="WWV/INV/N363/1"/>
    <b v="0"/>
    <s v="Ingreep wordt niet opgevolgd in BOD"/>
    <s v="&lt;null&gt;"/>
    <s v="&lt;null&gt;"/>
    <s v="&lt;null&gt;"/>
    <s v="&lt;null&gt;"/>
    <s v="&lt;null&gt;"/>
    <x v="0"/>
    <s v="&lt;null&gt;"/>
    <s v="&lt;null&gt;"/>
    <s v="&lt;null&gt;"/>
    <s v="&lt;null&gt;"/>
    <s v="&lt;null&gt;"/>
    <s v="&lt;null&gt;"/>
    <s v="&lt;null&gt;"/>
    <s v="&lt;null&gt;"/>
    <s v="&lt;null&gt;"/>
    <m/>
    <m/>
    <m/>
    <m/>
  </r>
  <r>
    <x v="18"/>
    <x v="18"/>
    <s v="&lt;null&gt;"/>
    <x v="3"/>
    <n v="2193"/>
    <s v="IN/001800"/>
    <s v="N374 Knokke-Heist/ Brugge/ Damme - fietspaden"/>
    <s v="&lt;null&gt;"/>
    <s v="Structurele Ingreep"/>
    <s v="WWV/INV/N374/1"/>
    <b v="0"/>
    <s v="Ingreep wordt niet opgevolgd in BOD"/>
    <s v="&lt;null&gt;"/>
    <s v="&lt;null&gt;"/>
    <s v="&lt;null&gt;"/>
    <s v="&lt;null&gt;"/>
    <s v="&lt;null&gt;"/>
    <x v="0"/>
    <s v="&lt;null&gt;"/>
    <s v="&lt;null&gt;"/>
    <s v="&lt;null&gt;"/>
    <s v="&lt;null&gt;"/>
    <s v="&lt;null&gt;"/>
    <s v="&lt;null&gt;"/>
    <s v="&lt;null&gt;"/>
    <s v="&lt;null&gt;"/>
    <s v="&lt;null&gt;"/>
    <m/>
    <m/>
    <m/>
    <m/>
  </r>
  <r>
    <x v="18"/>
    <x v="18"/>
    <s v="&lt;null&gt;"/>
    <x v="3"/>
    <n v="2194"/>
    <s v="IN/001801"/>
    <s v="N34 Middelkerke - tramdossier neptunusproject"/>
    <s v="&lt;null&gt;"/>
    <s v="Structurele Ingreep"/>
    <s v="WWV/INV/N34/3"/>
    <b v="0"/>
    <s v="Ingreep wordt niet opgevolgd in BOD"/>
    <s v="&lt;null&gt;"/>
    <s v="&lt;null&gt;"/>
    <s v="&lt;null&gt;"/>
    <s v="&lt;null&gt;"/>
    <s v="&lt;null&gt;"/>
    <x v="0"/>
    <s v="&lt;null&gt;"/>
    <s v="&lt;null&gt;"/>
    <s v="&lt;null&gt;"/>
    <s v="&lt;null&gt;"/>
    <s v="&lt;null&gt;"/>
    <s v="&lt;null&gt;"/>
    <s v="&lt;null&gt;"/>
    <s v="&lt;null&gt;"/>
    <s v="&lt;null&gt;"/>
    <m/>
    <m/>
    <m/>
    <m/>
  </r>
  <r>
    <x v="18"/>
    <x v="18"/>
    <s v="&lt;null&gt;"/>
    <x v="3"/>
    <n v="2195"/>
    <s v="IN/001802"/>
    <s v="N34 Nieuwpoort -vak Cardijnlaan - Louisweg Noord"/>
    <s v="&lt;null&gt;"/>
    <s v="Structurele Ingreep"/>
    <s v="WWV/INV/N34/4"/>
    <b v="0"/>
    <s v="Ingreep wordt niet opgevolgd in BOD"/>
    <s v="&lt;null&gt;"/>
    <s v="&lt;null&gt;"/>
    <s v="&lt;null&gt;"/>
    <s v="&lt;null&gt;"/>
    <s v="&lt;null&gt;"/>
    <x v="0"/>
    <s v="&lt;null&gt;"/>
    <s v="&lt;null&gt;"/>
    <s v="&lt;null&gt;"/>
    <s v="&lt;null&gt;"/>
    <s v="&lt;null&gt;"/>
    <s v="&lt;null&gt;"/>
    <s v="&lt;null&gt;"/>
    <s v="&lt;null&gt;"/>
    <s v="&lt;null&gt;"/>
    <m/>
    <m/>
    <m/>
    <m/>
  </r>
  <r>
    <x v="18"/>
    <x v="18"/>
    <s v="&lt;null&gt;"/>
    <x v="3"/>
    <n v="2196"/>
    <s v="IN/001803"/>
    <s v="N376 Knokke-Heist/Brugge/Damme - fietspaden"/>
    <s v="&lt;null&gt;"/>
    <s v="Structurele Ingreep"/>
    <s v="WWV/INV/N376/1"/>
    <b v="0"/>
    <s v="Ingreep wordt niet opgevolgd in BOD"/>
    <s v="&lt;null&gt;"/>
    <s v="&lt;null&gt;"/>
    <s v="&lt;null&gt;"/>
    <s v="&lt;null&gt;"/>
    <s v="&lt;null&gt;"/>
    <x v="0"/>
    <s v="&lt;null&gt;"/>
    <s v="&lt;null&gt;"/>
    <s v="&lt;null&gt;"/>
    <s v="&lt;null&gt;"/>
    <s v="&lt;null&gt;"/>
    <s v="&lt;null&gt;"/>
    <s v="&lt;null&gt;"/>
    <s v="&lt;null&gt;"/>
    <s v="&lt;null&gt;"/>
    <m/>
    <m/>
    <m/>
    <m/>
  </r>
  <r>
    <x v="18"/>
    <x v="18"/>
    <s v="&lt;null&gt;"/>
    <x v="3"/>
    <n v="2197"/>
    <s v="IN/001804"/>
    <s v="N347 Poperinge - Diepenmeers en Sint-Bertinusstraa"/>
    <s v="&lt;null&gt;"/>
    <s v="Structurele Ingreep"/>
    <s v="WWV/INV/N347/1"/>
    <b v="0"/>
    <s v="Ingreep wordt niet opgevolgd in BOD"/>
    <s v="&lt;null&gt;"/>
    <s v="&lt;null&gt;"/>
    <s v="&lt;null&gt;"/>
    <s v="&lt;null&gt;"/>
    <s v="&lt;null&gt;"/>
    <x v="0"/>
    <s v="&lt;null&gt;"/>
    <s v="&lt;null&gt;"/>
    <s v="&lt;null&gt;"/>
    <s v="&lt;null&gt;"/>
    <s v="&lt;null&gt;"/>
    <s v="&lt;null&gt;"/>
    <s v="&lt;null&gt;"/>
    <s v="&lt;null&gt;"/>
    <s v="&lt;null&gt;"/>
    <m/>
    <m/>
    <m/>
    <m/>
  </r>
  <r>
    <x v="18"/>
    <x v="18"/>
    <s v="&lt;null&gt;"/>
    <x v="3"/>
    <n v="2198"/>
    <s v="IN/001805"/>
    <s v="N350 Knokke-Heist / Brugge - Ramskapellebruggen"/>
    <s v="&lt;null&gt;"/>
    <s v="Structurele Ingreep"/>
    <s v="WWV/INV/N350/1"/>
    <b v="0"/>
    <s v="Ingreep wordt niet opgevolgd in BOD"/>
    <s v="&lt;null&gt;"/>
    <s v="&lt;null&gt;"/>
    <s v="&lt;null&gt;"/>
    <s v="&lt;null&gt;"/>
    <s v="&lt;null&gt;"/>
    <x v="0"/>
    <s v="&lt;null&gt;"/>
    <s v="&lt;null&gt;"/>
    <s v="&lt;null&gt;"/>
    <s v="&lt;null&gt;"/>
    <s v="&lt;null&gt;"/>
    <s v="&lt;null&gt;"/>
    <s v="&lt;null&gt;"/>
    <s v="&lt;null&gt;"/>
    <s v="&lt;null&gt;"/>
    <m/>
    <m/>
    <m/>
    <m/>
  </r>
  <r>
    <x v="18"/>
    <x v="18"/>
    <s v="&lt;null&gt;"/>
    <x v="3"/>
    <n v="2199"/>
    <s v="IN/001806"/>
    <s v="N358 Middelkerke - structureel onderhoud"/>
    <s v="&lt;null&gt;"/>
    <s v="Structurele Ingreep"/>
    <s v="WWV/INV/N358/2"/>
    <b v="0"/>
    <s v="Ingreep wordt niet opgevolgd in BOD"/>
    <s v="&lt;null&gt;"/>
    <s v="&lt;null&gt;"/>
    <s v="&lt;null&gt;"/>
    <s v="&lt;null&gt;"/>
    <s v="&lt;null&gt;"/>
    <x v="0"/>
    <s v="&lt;null&gt;"/>
    <s v="&lt;null&gt;"/>
    <s v="&lt;null&gt;"/>
    <s v="&lt;null&gt;"/>
    <s v="&lt;null&gt;"/>
    <s v="&lt;null&gt;"/>
    <s v="&lt;null&gt;"/>
    <s v="&lt;null&gt;"/>
    <s v="&lt;null&gt;"/>
    <m/>
    <m/>
    <m/>
    <m/>
  </r>
  <r>
    <x v="18"/>
    <x v="18"/>
    <s v="&lt;null&gt;"/>
    <x v="3"/>
    <n v="2200"/>
    <s v="IN/001807"/>
    <s v="N34 Nieuwpoort - Structureel onderhoud fase 2"/>
    <s v="&lt;null&gt;"/>
    <s v="Structurele Ingreep"/>
    <s v="WWV/INV/N34/5"/>
    <b v="0"/>
    <s v="Ingreep wordt niet opgevolgd in BOD"/>
    <s v="&lt;null&gt;"/>
    <s v="&lt;null&gt;"/>
    <s v="&lt;null&gt;"/>
    <s v="&lt;null&gt;"/>
    <s v="&lt;null&gt;"/>
    <x v="0"/>
    <s v="&lt;null&gt;"/>
    <s v="&lt;null&gt;"/>
    <s v="&lt;null&gt;"/>
    <s v="&lt;null&gt;"/>
    <s v="&lt;null&gt;"/>
    <s v="&lt;null&gt;"/>
    <s v="&lt;null&gt;"/>
    <s v="&lt;null&gt;"/>
    <s v="&lt;null&gt;"/>
    <m/>
    <m/>
    <m/>
    <m/>
  </r>
  <r>
    <x v="18"/>
    <x v="18"/>
    <s v="&lt;null&gt;"/>
    <x v="3"/>
    <n v="2201"/>
    <s v="IN/001808"/>
    <s v="N367 Gistel - structureel onderhoud met fietspaden"/>
    <s v="&lt;null&gt;"/>
    <s v="Structurele Ingreep"/>
    <s v="WWV/INV/N367/3"/>
    <b v="0"/>
    <s v="Ingreep wordt niet opgevolgd in BOD"/>
    <s v="&lt;null&gt;"/>
    <s v="&lt;null&gt;"/>
    <s v="&lt;null&gt;"/>
    <s v="&lt;null&gt;"/>
    <s v="&lt;null&gt;"/>
    <x v="0"/>
    <s v="&lt;null&gt;"/>
    <s v="&lt;null&gt;"/>
    <s v="&lt;null&gt;"/>
    <s v="&lt;null&gt;"/>
    <s v="&lt;null&gt;"/>
    <s v="&lt;null&gt;"/>
    <s v="&lt;null&gt;"/>
    <s v="&lt;null&gt;"/>
    <s v="&lt;null&gt;"/>
    <m/>
    <m/>
    <m/>
    <m/>
  </r>
  <r>
    <x v="18"/>
    <x v="18"/>
    <s v="&lt;null&gt;"/>
    <x v="3"/>
    <n v="2202"/>
    <s v="IN/001809"/>
    <s v="N318 Middelkerke - doortocht Lombarsijde"/>
    <s v="&lt;null&gt;"/>
    <s v="Structurele Ingreep"/>
    <s v="WWV/INV/N318/2"/>
    <b v="0"/>
    <s v="Ingreep wordt niet opgevolgd in BOD"/>
    <s v="&lt;null&gt;"/>
    <s v="&lt;null&gt;"/>
    <s v="&lt;null&gt;"/>
    <s v="&lt;null&gt;"/>
    <s v="&lt;null&gt;"/>
    <x v="0"/>
    <s v="&lt;null&gt;"/>
    <s v="&lt;null&gt;"/>
    <s v="&lt;null&gt;"/>
    <s v="&lt;null&gt;"/>
    <s v="&lt;null&gt;"/>
    <s v="&lt;null&gt;"/>
    <s v="&lt;null&gt;"/>
    <s v="&lt;null&gt;"/>
    <s v="&lt;null&gt;"/>
    <m/>
    <m/>
    <m/>
    <m/>
  </r>
  <r>
    <x v="18"/>
    <x v="18"/>
    <s v="&lt;null&gt;"/>
    <x v="3"/>
    <n v="2203"/>
    <s v="IN/001810"/>
    <s v="N34y De Haan - herinrichting Koninklijke Baan"/>
    <s v="&lt;null&gt;"/>
    <s v="Structurele Ingreep"/>
    <s v="WWV/INV/N34Y/1"/>
    <b v="0"/>
    <s v="Ingreep wordt niet opgevolgd in BOD"/>
    <s v="&lt;null&gt;"/>
    <s v="&lt;null&gt;"/>
    <s v="&lt;null&gt;"/>
    <s v="&lt;null&gt;"/>
    <s v="&lt;null&gt;"/>
    <x v="0"/>
    <s v="&lt;null&gt;"/>
    <s v="&lt;null&gt;"/>
    <s v="&lt;null&gt;"/>
    <s v="&lt;null&gt;"/>
    <s v="&lt;null&gt;"/>
    <s v="&lt;null&gt;"/>
    <s v="&lt;null&gt;"/>
    <s v="&lt;null&gt;"/>
    <s v="&lt;null&gt;"/>
    <m/>
    <m/>
    <m/>
    <m/>
  </r>
  <r>
    <x v="18"/>
    <x v="18"/>
    <s v="&lt;null&gt;"/>
    <x v="3"/>
    <n v="2204"/>
    <s v="IN/001811"/>
    <s v="N34 Koksijde - Structureel onderhoud en fietspaden"/>
    <s v="&lt;null&gt;"/>
    <s v="Structurele Ingreep"/>
    <s v="WWV/INV/N34/6"/>
    <b v="0"/>
    <s v="Ingreep wordt niet opgevolgd in BOD"/>
    <s v="&lt;null&gt;"/>
    <s v="&lt;null&gt;"/>
    <s v="&lt;null&gt;"/>
    <s v="&lt;null&gt;"/>
    <s v="&lt;null&gt;"/>
    <x v="0"/>
    <s v="&lt;null&gt;"/>
    <s v="&lt;null&gt;"/>
    <s v="&lt;null&gt;"/>
    <s v="&lt;null&gt;"/>
    <s v="&lt;null&gt;"/>
    <s v="&lt;null&gt;"/>
    <s v="&lt;null&gt;"/>
    <s v="&lt;null&gt;"/>
    <s v="&lt;null&gt;"/>
    <m/>
    <m/>
    <m/>
    <m/>
  </r>
  <r>
    <x v="18"/>
    <x v="18"/>
    <s v="&lt;null&gt;"/>
    <x v="3"/>
    <n v="2205"/>
    <s v="IN/001812"/>
    <s v="N358 Oudenburg - structureel onderhoud Snaaskerke"/>
    <s v="&lt;null&gt;"/>
    <s v="Structurele Ingreep"/>
    <s v="WWV/INV/N358/3"/>
    <b v="0"/>
    <s v="Ingreep wordt niet opgevolgd in BOD"/>
    <s v="&lt;null&gt;"/>
    <s v="&lt;null&gt;"/>
    <s v="&lt;null&gt;"/>
    <s v="&lt;null&gt;"/>
    <s v="&lt;null&gt;"/>
    <x v="0"/>
    <s v="&lt;null&gt;"/>
    <s v="&lt;null&gt;"/>
    <s v="&lt;null&gt;"/>
    <s v="&lt;null&gt;"/>
    <s v="&lt;null&gt;"/>
    <s v="&lt;null&gt;"/>
    <s v="&lt;null&gt;"/>
    <s v="&lt;null&gt;"/>
    <s v="&lt;null&gt;"/>
    <m/>
    <m/>
    <m/>
    <m/>
  </r>
  <r>
    <x v="18"/>
    <x v="18"/>
    <s v="&lt;null&gt;"/>
    <x v="3"/>
    <n v="2206"/>
    <s v="IN/001813"/>
    <s v="N367 Middelkerke - aanleg fietspaden Brugsestw"/>
    <s v="&lt;null&gt;"/>
    <s v="Structurele Ingreep"/>
    <s v="WWV/INV/N367/5"/>
    <b v="0"/>
    <s v="Ingreep wordt niet opgevolgd in BOD"/>
    <s v="&lt;null&gt;"/>
    <s v="&lt;null&gt;"/>
    <s v="&lt;null&gt;"/>
    <s v="&lt;null&gt;"/>
    <s v="&lt;null&gt;"/>
    <x v="0"/>
    <s v="&lt;null&gt;"/>
    <s v="&lt;null&gt;"/>
    <s v="&lt;null&gt;"/>
    <s v="&lt;null&gt;"/>
    <s v="&lt;null&gt;"/>
    <s v="&lt;null&gt;"/>
    <s v="&lt;null&gt;"/>
    <s v="&lt;null&gt;"/>
    <s v="&lt;null&gt;"/>
    <m/>
    <m/>
    <m/>
    <m/>
  </r>
  <r>
    <x v="18"/>
    <x v="18"/>
    <s v="&lt;null&gt;"/>
    <x v="3"/>
    <n v="2207"/>
    <s v="IN/001814"/>
    <s v="Nx West - Brugge SHIP-project"/>
    <s v="&lt;null&gt;"/>
    <s v="Structurele Ingreep"/>
    <s v="&lt;null&gt;"/>
    <b v="0"/>
    <s v="Ingreep wordt niet opgevolgd in BOD"/>
    <s v="&lt;null&gt;"/>
    <s v="&lt;null&gt;"/>
    <s v="&lt;null&gt;"/>
    <s v="&lt;null&gt;"/>
    <s v="&lt;null&gt;"/>
    <x v="0"/>
    <s v="&lt;null&gt;"/>
    <s v="&lt;null&gt;"/>
    <s v="&lt;null&gt;"/>
    <s v="&lt;null&gt;"/>
    <s v="&lt;null&gt;"/>
    <s v="&lt;null&gt;"/>
    <s v="&lt;null&gt;"/>
    <s v="&lt;null&gt;"/>
    <s v="&lt;null&gt;"/>
    <m/>
    <m/>
    <m/>
    <m/>
  </r>
  <r>
    <x v="1362"/>
    <x v="1362"/>
    <s v="Fiets"/>
    <x v="0"/>
    <n v="2208"/>
    <s v="IN/001815"/>
    <s v="N376 Knokke-Heist - rot. Kkd-Sluisstraat   fietsov"/>
    <s v="&lt;null&gt;"/>
    <s v="Structurele Ingreep"/>
    <s v="WWV/INV/N376/2"/>
    <b v="0"/>
    <s v="Ingreep wordt niet opgevolgd in BOD"/>
    <s v="&lt;null&gt;"/>
    <s v="&lt;null&gt;"/>
    <s v="&lt;null&gt;"/>
    <s v="&lt;null&gt;"/>
    <s v="&lt;null&gt;"/>
    <x v="0"/>
    <s v="&lt;null&gt;"/>
    <s v="&lt;null&gt;"/>
    <s v="&lt;null&gt;"/>
    <s v="&lt;null&gt;"/>
    <n v="100"/>
    <s v="&lt;null&gt;"/>
    <s v="&lt;null&gt;"/>
    <s v="&lt;null&gt;"/>
    <s v="&lt;null&gt;"/>
    <m/>
    <m/>
    <m/>
    <m/>
  </r>
  <r>
    <x v="18"/>
    <x v="18"/>
    <s v="&lt;null&gt;"/>
    <x v="3"/>
    <n v="2209"/>
    <s v="IN/001816"/>
    <s v="N367 Nieuwpoort - Uniebrug tot Ramskapellestraat"/>
    <s v="&lt;null&gt;"/>
    <s v="Structurele Ingreep"/>
    <s v="WWV/INV/N367/7"/>
    <b v="0"/>
    <s v="Ingreep wordt niet opgevolgd in BOD"/>
    <s v="&lt;null&gt;"/>
    <s v="&lt;null&gt;"/>
    <s v="&lt;null&gt;"/>
    <s v="&lt;null&gt;"/>
    <s v="&lt;null&gt;"/>
    <x v="0"/>
    <s v="&lt;null&gt;"/>
    <s v="&lt;null&gt;"/>
    <s v="&lt;null&gt;"/>
    <s v="&lt;null&gt;"/>
    <s v="&lt;null&gt;"/>
    <s v="&lt;null&gt;"/>
    <s v="&lt;null&gt;"/>
    <s v="&lt;null&gt;"/>
    <s v="&lt;null&gt;"/>
    <m/>
    <m/>
    <m/>
    <m/>
  </r>
  <r>
    <x v="18"/>
    <x v="18"/>
    <s v="&lt;null&gt;"/>
    <x v="3"/>
    <n v="2210"/>
    <s v="IN/001817"/>
    <s v="R30-N337 Brugge - Gentpoort"/>
    <s v="&lt;null&gt;"/>
    <s v="Structurele Ingreep"/>
    <s v="WWV/INV/N337/3"/>
    <b v="0"/>
    <s v="Ingreep wordt niet opgevolgd in BOD"/>
    <s v="&lt;null&gt;"/>
    <s v="&lt;null&gt;"/>
    <s v="&lt;null&gt;"/>
    <s v="&lt;null&gt;"/>
    <s v="&lt;null&gt;"/>
    <x v="0"/>
    <s v="&lt;null&gt;"/>
    <s v="&lt;null&gt;"/>
    <s v="&lt;null&gt;"/>
    <s v="&lt;null&gt;"/>
    <s v="&lt;null&gt;"/>
    <s v="&lt;null&gt;"/>
    <s v="&lt;null&gt;"/>
    <s v="&lt;null&gt;"/>
    <s v="&lt;null&gt;"/>
    <m/>
    <m/>
    <m/>
    <m/>
  </r>
  <r>
    <x v="18"/>
    <x v="18"/>
    <s v="&lt;null&gt;"/>
    <x v="3"/>
    <n v="2211"/>
    <s v="IN/001818"/>
    <s v="Nx oost - Brugge"/>
    <s v="&lt;null&gt;"/>
    <s v="Structurele Ingreep"/>
    <s v="WWV/INV/NX/1"/>
    <b v="0"/>
    <s v="Ingreep wordt niet opgevolgd in BOD"/>
    <s v="&lt;null&gt;"/>
    <s v="&lt;null&gt;"/>
    <s v="&lt;null&gt;"/>
    <s v="&lt;null&gt;"/>
    <s v="&lt;null&gt;"/>
    <x v="0"/>
    <s v="&lt;null&gt;"/>
    <s v="&lt;null&gt;"/>
    <s v="&lt;null&gt;"/>
    <s v="&lt;null&gt;"/>
    <s v="&lt;null&gt;"/>
    <s v="&lt;null&gt;"/>
    <s v="&lt;null&gt;"/>
    <s v="&lt;null&gt;"/>
    <s v="&lt;null&gt;"/>
    <m/>
    <m/>
    <m/>
    <m/>
  </r>
  <r>
    <x v="18"/>
    <x v="18"/>
    <s v="&lt;null&gt;"/>
    <x v="3"/>
    <n v="2212"/>
    <s v="IN/001819"/>
    <s v="E403 Torhout Brugge - verbreding"/>
    <s v="&lt;null&gt;"/>
    <s v="Structurele Ingreep"/>
    <s v="WWV/INV/E403/4"/>
    <b v="0"/>
    <s v="Ingreep wordt niet opgevolgd in BOD"/>
    <s v="&lt;null&gt;"/>
    <s v="&lt;null&gt;"/>
    <s v="&lt;null&gt;"/>
    <s v="&lt;null&gt;"/>
    <s v="&lt;null&gt;"/>
    <x v="0"/>
    <s v="&lt;null&gt;"/>
    <s v="&lt;null&gt;"/>
    <s v="&lt;null&gt;"/>
    <s v="&lt;null&gt;"/>
    <s v="&lt;null&gt;"/>
    <s v="&lt;null&gt;"/>
    <s v="&lt;null&gt;"/>
    <s v="&lt;null&gt;"/>
    <s v="&lt;null&gt;"/>
    <m/>
    <m/>
    <m/>
    <m/>
  </r>
  <r>
    <x v="18"/>
    <x v="18"/>
    <s v="&lt;null&gt;"/>
    <x v="3"/>
    <n v="2213"/>
    <s v="IN/001820"/>
    <s v="N50 Kuurne Harelbeke - structureel onderhoud"/>
    <s v="&lt;null&gt;"/>
    <s v="Structurele Ingreep"/>
    <s v="WWV/INV/N50/1"/>
    <b v="0"/>
    <s v="Ingreep wordt niet opgevolgd in BOD"/>
    <s v="&lt;null&gt;"/>
    <s v="&lt;null&gt;"/>
    <s v="&lt;null&gt;"/>
    <s v="&lt;null&gt;"/>
    <s v="&lt;null&gt;"/>
    <x v="0"/>
    <s v="&lt;null&gt;"/>
    <s v="&lt;null&gt;"/>
    <s v="&lt;null&gt;"/>
    <s v="&lt;null&gt;"/>
    <s v="&lt;null&gt;"/>
    <s v="&lt;null&gt;"/>
    <s v="&lt;null&gt;"/>
    <s v="&lt;null&gt;"/>
    <s v="&lt;null&gt;"/>
    <m/>
    <m/>
    <m/>
    <m/>
  </r>
  <r>
    <x v="18"/>
    <x v="18"/>
    <s v="&lt;null&gt;"/>
    <x v="3"/>
    <n v="2214"/>
    <s v="IN/001821"/>
    <s v="E17 Waregem - herinrichting N382 complex nr. 5"/>
    <s v="&lt;null&gt;"/>
    <s v="Structurele Ingreep"/>
    <s v="WWV/INV/E17/1"/>
    <b v="1"/>
    <s v="Ingreep wordt opgevolgd in BOD"/>
    <n v="10666"/>
    <s v="VWT/EW/2020/028"/>
    <n v="132551"/>
    <n v="22025817"/>
    <s v="&lt;p&gt;Complex nr. 5 t.h.v. A14/E17 met N382 &quot;De Vlecht&quot; te Waregem - Vernieuwen van verlichting en plaatsen van portieken i.h.k.v. de herinrichting van het complex volgens het concept van een DDI (Diverging Diamond Interchange).&lt;/p&gt;"/>
    <x v="3"/>
    <n v="9059"/>
    <s v="&lt;null&gt;"/>
    <s v="&lt;p&gt;Complex nr. 5 t.h.v. A14/E17 met N382 &quot;De Vlecht&quot; te Waregem - Vernieuwen van verlichting en plaatsen van portieken i.h.k.v. de herinrichting van het complex volgens het concept van een DDI (Diverging Diamond Interchange).&lt;/p&gt;"/>
    <s v="WWV/INV/E17/1"/>
    <s v="&lt;null&gt;"/>
    <n v="546858.72"/>
    <n v="0"/>
    <n v="0"/>
    <n v="546858.72"/>
    <m/>
    <m/>
    <m/>
    <m/>
  </r>
  <r>
    <x v="18"/>
    <x v="18"/>
    <s v="&lt;null&gt;"/>
    <x v="3"/>
    <n v="2215"/>
    <s v="IN/001822"/>
    <s v="N390a Veurne Vaartstraat"/>
    <s v="&lt;null&gt;"/>
    <s v="Structurele Ingreep"/>
    <s v="WWV/INV/N390A/1"/>
    <b v="0"/>
    <s v="Ingreep wordt niet opgevolgd in BOD"/>
    <s v="&lt;null&gt;"/>
    <s v="&lt;null&gt;"/>
    <s v="&lt;null&gt;"/>
    <s v="&lt;null&gt;"/>
    <s v="&lt;null&gt;"/>
    <x v="0"/>
    <s v="&lt;null&gt;"/>
    <s v="&lt;null&gt;"/>
    <s v="&lt;null&gt;"/>
    <s v="&lt;null&gt;"/>
    <s v="&lt;null&gt;"/>
    <s v="&lt;null&gt;"/>
    <s v="&lt;null&gt;"/>
    <s v="&lt;null&gt;"/>
    <s v="&lt;null&gt;"/>
    <m/>
    <m/>
    <m/>
    <m/>
  </r>
  <r>
    <x v="18"/>
    <x v="18"/>
    <s v="&lt;null&gt;"/>
    <x v="3"/>
    <n v="2216"/>
    <s v="IN/001823"/>
    <s v="A18 De Panne - Dynamische beveiliging afrit Plopsa"/>
    <s v="&lt;null&gt;"/>
    <s v="Structurele Ingreep"/>
    <s v="WWV/INV/A18/4"/>
    <b v="0"/>
    <s v="Ingreep wordt niet opgevolgd in BOD"/>
    <s v="&lt;null&gt;"/>
    <s v="&lt;null&gt;"/>
    <s v="&lt;null&gt;"/>
    <s v="&lt;null&gt;"/>
    <s v="&lt;null&gt;"/>
    <x v="0"/>
    <s v="&lt;null&gt;"/>
    <s v="&lt;null&gt;"/>
    <s v="&lt;null&gt;"/>
    <s v="&lt;null&gt;"/>
    <s v="&lt;null&gt;"/>
    <s v="&lt;null&gt;"/>
    <s v="&lt;null&gt;"/>
    <s v="&lt;null&gt;"/>
    <s v="&lt;null&gt;"/>
    <m/>
    <m/>
    <m/>
    <m/>
  </r>
  <r>
    <x v="18"/>
    <x v="18"/>
    <s v="&lt;null&gt;"/>
    <x v="3"/>
    <n v="2217"/>
    <s v="IN/001824"/>
    <s v="N342 Brugge - VRI Ten Briele"/>
    <s v="&lt;null&gt;"/>
    <s v="Structurele Ingreep"/>
    <s v="WWV/INV/N342/4"/>
    <b v="0"/>
    <s v="Ingreep wordt niet opgevolgd in BOD"/>
    <s v="&lt;null&gt;"/>
    <s v="&lt;null&gt;"/>
    <s v="&lt;null&gt;"/>
    <s v="&lt;null&gt;"/>
    <s v="&lt;null&gt;"/>
    <x v="0"/>
    <s v="&lt;null&gt;"/>
    <s v="&lt;null&gt;"/>
    <s v="&lt;null&gt;"/>
    <s v="&lt;null&gt;"/>
    <s v="&lt;null&gt;"/>
    <s v="&lt;null&gt;"/>
    <s v="&lt;null&gt;"/>
    <s v="&lt;null&gt;"/>
    <s v="&lt;null&gt;"/>
    <m/>
    <m/>
    <m/>
    <m/>
  </r>
  <r>
    <x v="18"/>
    <x v="18"/>
    <s v="&lt;null&gt;"/>
    <x v="3"/>
    <n v="2218"/>
    <s v="IN/001825"/>
    <s v="N304 Doortocht Reningelst"/>
    <s v="&lt;null&gt;"/>
    <s v="Structurele Ingreep"/>
    <s v="WWV/INV/N304/1"/>
    <b v="0"/>
    <s v="Ingreep wordt niet opgevolgd in BOD"/>
    <s v="&lt;null&gt;"/>
    <s v="&lt;null&gt;"/>
    <s v="&lt;null&gt;"/>
    <s v="&lt;null&gt;"/>
    <s v="&lt;null&gt;"/>
    <x v="0"/>
    <s v="&lt;null&gt;"/>
    <s v="&lt;null&gt;"/>
    <s v="&lt;null&gt;"/>
    <s v="&lt;null&gt;"/>
    <s v="&lt;null&gt;"/>
    <s v="&lt;null&gt;"/>
    <s v="&lt;null&gt;"/>
    <s v="&lt;null&gt;"/>
    <s v="&lt;null&gt;"/>
    <m/>
    <m/>
    <m/>
    <m/>
  </r>
  <r>
    <x v="18"/>
    <x v="18"/>
    <s v="&lt;null&gt;"/>
    <x v="3"/>
    <n v="2219"/>
    <s v="IN/001826"/>
    <s v="N301 Houthulst. Verbetering fietspad langs de N301"/>
    <s v="&lt;null&gt;"/>
    <s v="Structurele Ingreep"/>
    <s v="WWV/INV/N301/2"/>
    <b v="0"/>
    <s v="Ingreep wordt niet opgevolgd in BOD"/>
    <s v="&lt;null&gt;"/>
    <s v="&lt;null&gt;"/>
    <s v="&lt;null&gt;"/>
    <s v="&lt;null&gt;"/>
    <s v="&lt;null&gt;"/>
    <x v="0"/>
    <s v="&lt;null&gt;"/>
    <s v="&lt;null&gt;"/>
    <s v="&lt;null&gt;"/>
    <s v="&lt;null&gt;"/>
    <s v="&lt;null&gt;"/>
    <s v="&lt;null&gt;"/>
    <s v="&lt;null&gt;"/>
    <s v="&lt;null&gt;"/>
    <s v="&lt;null&gt;"/>
    <m/>
    <m/>
    <m/>
    <m/>
  </r>
  <r>
    <x v="18"/>
    <x v="18"/>
    <s v="&lt;null&gt;"/>
    <x v="3"/>
    <n v="2220"/>
    <s v="IN/001827"/>
    <s v="N375 Ieper - Structureel onderhoud"/>
    <s v="&lt;null&gt;"/>
    <s v="Structurele Ingreep"/>
    <s v="WWV/INV/N375/3"/>
    <b v="0"/>
    <s v="Ingreep wordt niet opgevolgd in BOD"/>
    <s v="&lt;null&gt;"/>
    <s v="&lt;null&gt;"/>
    <s v="&lt;null&gt;"/>
    <s v="&lt;null&gt;"/>
    <s v="&lt;null&gt;"/>
    <x v="0"/>
    <s v="&lt;null&gt;"/>
    <s v="&lt;null&gt;"/>
    <s v="&lt;null&gt;"/>
    <s v="&lt;null&gt;"/>
    <s v="&lt;null&gt;"/>
    <s v="&lt;null&gt;"/>
    <s v="&lt;null&gt;"/>
    <s v="&lt;null&gt;"/>
    <s v="&lt;null&gt;"/>
    <m/>
    <m/>
    <m/>
    <m/>
  </r>
  <r>
    <x v="18"/>
    <x v="18"/>
    <s v="&lt;null&gt;"/>
    <x v="3"/>
    <n v="2221"/>
    <s v="IN/001828"/>
    <s v="N 375 structureel onderhoud Dikkebusweg"/>
    <s v="&lt;null&gt;"/>
    <s v="Structurele Ingreep"/>
    <s v="WWV/INV/N375/2"/>
    <b v="0"/>
    <s v="Ingreep wordt niet opgevolgd in BOD"/>
    <s v="&lt;null&gt;"/>
    <s v="&lt;null&gt;"/>
    <s v="&lt;null&gt;"/>
    <s v="&lt;null&gt;"/>
    <s v="&lt;null&gt;"/>
    <x v="0"/>
    <s v="&lt;null&gt;"/>
    <s v="&lt;null&gt;"/>
    <s v="&lt;null&gt;"/>
    <s v="&lt;null&gt;"/>
    <s v="&lt;null&gt;"/>
    <s v="&lt;null&gt;"/>
    <s v="&lt;null&gt;"/>
    <s v="&lt;null&gt;"/>
    <s v="&lt;null&gt;"/>
    <m/>
    <m/>
    <m/>
    <m/>
  </r>
  <r>
    <x v="18"/>
    <x v="18"/>
    <s v="&lt;null&gt;"/>
    <x v="3"/>
    <n v="2222"/>
    <s v="IN/001829"/>
    <s v="N353  Spiere-Helkijn  structureel onderhoud"/>
    <s v="&lt;null&gt;"/>
    <s v="Structurele Ingreep"/>
    <s v="WWV/INV/N353/1"/>
    <b v="0"/>
    <s v="Ingreep wordt niet opgevolgd in BOD"/>
    <s v="&lt;null&gt;"/>
    <s v="&lt;null&gt;"/>
    <s v="&lt;null&gt;"/>
    <s v="&lt;null&gt;"/>
    <s v="&lt;null&gt;"/>
    <x v="0"/>
    <s v="&lt;null&gt;"/>
    <s v="&lt;null&gt;"/>
    <s v="&lt;null&gt;"/>
    <s v="&lt;null&gt;"/>
    <s v="&lt;null&gt;"/>
    <s v="&lt;null&gt;"/>
    <s v="&lt;null&gt;"/>
    <s v="&lt;null&gt;"/>
    <s v="&lt;null&gt;"/>
    <m/>
    <m/>
    <m/>
    <m/>
  </r>
  <r>
    <x v="18"/>
    <x v="18"/>
    <s v="&lt;null&gt;"/>
    <x v="3"/>
    <n v="2223"/>
    <s v="IN/001830"/>
    <s v="N 362 Structureel onderhoud met schoolomgeving"/>
    <s v="&lt;null&gt;"/>
    <s v="Structurele Ingreep"/>
    <s v="WWV/INV/N362/1"/>
    <b v="0"/>
    <s v="Ingreep wordt niet opgevolgd in BOD"/>
    <s v="&lt;null&gt;"/>
    <s v="&lt;null&gt;"/>
    <s v="&lt;null&gt;"/>
    <s v="&lt;null&gt;"/>
    <s v="&lt;null&gt;"/>
    <x v="0"/>
    <s v="&lt;null&gt;"/>
    <s v="&lt;null&gt;"/>
    <s v="&lt;null&gt;"/>
    <s v="&lt;null&gt;"/>
    <s v="&lt;null&gt;"/>
    <s v="&lt;null&gt;"/>
    <s v="&lt;null&gt;"/>
    <s v="&lt;null&gt;"/>
    <s v="&lt;null&gt;"/>
    <m/>
    <m/>
    <m/>
    <m/>
  </r>
  <r>
    <x v="18"/>
    <x v="18"/>
    <s v="&lt;null&gt;"/>
    <x v="3"/>
    <n v="2224"/>
    <s v="IN/001831"/>
    <s v="N 381 Moderniseren Ruusschaartstraat en Krommelstr"/>
    <s v="&lt;null&gt;"/>
    <s v="Structurele Ingreep"/>
    <s v="WWV/INV/N381/1"/>
    <b v="0"/>
    <s v="Ingreep wordt niet opgevolgd in BOD"/>
    <s v="&lt;null&gt;"/>
    <s v="&lt;null&gt;"/>
    <s v="&lt;null&gt;"/>
    <s v="&lt;null&gt;"/>
    <s v="&lt;null&gt;"/>
    <x v="0"/>
    <s v="&lt;null&gt;"/>
    <s v="&lt;null&gt;"/>
    <s v="&lt;null&gt;"/>
    <s v="&lt;null&gt;"/>
    <s v="&lt;null&gt;"/>
    <s v="&lt;null&gt;"/>
    <s v="&lt;null&gt;"/>
    <s v="&lt;null&gt;"/>
    <s v="&lt;null&gt;"/>
    <m/>
    <m/>
    <m/>
    <m/>
  </r>
  <r>
    <x v="18"/>
    <x v="18"/>
    <s v="&lt;null&gt;"/>
    <x v="3"/>
    <n v="2225"/>
    <s v="IN/001832"/>
    <s v="N311 Wervik structureel onderhoud"/>
    <s v="&lt;null&gt;"/>
    <s v="Structurele Ingreep"/>
    <s v="WWV/INV/N311/1"/>
    <b v="0"/>
    <s v="Ingreep wordt niet opgevolgd in BOD"/>
    <s v="&lt;null&gt;"/>
    <s v="&lt;null&gt;"/>
    <s v="&lt;null&gt;"/>
    <s v="&lt;null&gt;"/>
    <s v="&lt;null&gt;"/>
    <x v="0"/>
    <s v="&lt;null&gt;"/>
    <s v="&lt;null&gt;"/>
    <s v="&lt;null&gt;"/>
    <s v="&lt;null&gt;"/>
    <s v="&lt;null&gt;"/>
    <s v="&lt;null&gt;"/>
    <s v="&lt;null&gt;"/>
    <s v="&lt;null&gt;"/>
    <s v="&lt;null&gt;"/>
    <m/>
    <m/>
    <m/>
    <m/>
  </r>
  <r>
    <x v="18"/>
    <x v="18"/>
    <s v="&lt;null&gt;"/>
    <x v="3"/>
    <n v="2226"/>
    <s v="IN/001833"/>
    <s v="N 308 Herinrichting Poperinge-Ieper"/>
    <s v="&lt;null&gt;"/>
    <s v="Structurele Ingreep"/>
    <s v="WWV/INV/N308/1"/>
    <b v="0"/>
    <s v="Ingreep wordt niet opgevolgd in BOD"/>
    <s v="&lt;null&gt;"/>
    <s v="&lt;null&gt;"/>
    <s v="&lt;null&gt;"/>
    <s v="&lt;null&gt;"/>
    <s v="&lt;null&gt;"/>
    <x v="0"/>
    <s v="&lt;null&gt;"/>
    <s v="&lt;null&gt;"/>
    <s v="&lt;null&gt;"/>
    <s v="&lt;null&gt;"/>
    <s v="&lt;null&gt;"/>
    <s v="&lt;null&gt;"/>
    <s v="&lt;null&gt;"/>
    <s v="&lt;null&gt;"/>
    <s v="&lt;null&gt;"/>
    <m/>
    <m/>
    <m/>
    <m/>
  </r>
  <r>
    <x v="18"/>
    <x v="18"/>
    <s v="&lt;null&gt;"/>
    <x v="3"/>
    <n v="2227"/>
    <s v="IN/001834"/>
    <s v="Project 3102 Deerlijk N 36 Ringlaan Kortrijkse Hee"/>
    <s v="&lt;null&gt;"/>
    <s v="Structurele Ingreep"/>
    <s v="WWV/INV/N36/1"/>
    <b v="0"/>
    <s v="Ingreep wordt niet opgevolgd in BOD"/>
    <s v="&lt;null&gt;"/>
    <s v="&lt;null&gt;"/>
    <s v="&lt;null&gt;"/>
    <s v="&lt;null&gt;"/>
    <s v="&lt;null&gt;"/>
    <x v="0"/>
    <s v="&lt;null&gt;"/>
    <s v="&lt;null&gt;"/>
    <s v="&lt;null&gt;"/>
    <s v="&lt;null&gt;"/>
    <s v="&lt;null&gt;"/>
    <s v="&lt;null&gt;"/>
    <s v="&lt;null&gt;"/>
    <s v="&lt;null&gt;"/>
    <s v="&lt;null&gt;"/>
    <m/>
    <m/>
    <m/>
    <m/>
  </r>
  <r>
    <x v="18"/>
    <x v="18"/>
    <s v="&lt;null&gt;"/>
    <x v="3"/>
    <n v="2228"/>
    <s v="IN/001835"/>
    <s v="N370 Wingene-Beernem: fietspaden"/>
    <s v="&lt;null&gt;"/>
    <s v="Structurele Ingreep"/>
    <s v="WWV/INV/N370/1"/>
    <b v="0"/>
    <s v="Ingreep wordt niet opgevolgd in BOD"/>
    <s v="&lt;null&gt;"/>
    <s v="&lt;null&gt;"/>
    <s v="&lt;null&gt;"/>
    <s v="&lt;null&gt;"/>
    <s v="&lt;null&gt;"/>
    <x v="0"/>
    <s v="&lt;null&gt;"/>
    <s v="&lt;null&gt;"/>
    <s v="&lt;null&gt;"/>
    <s v="&lt;null&gt;"/>
    <s v="&lt;null&gt;"/>
    <s v="&lt;null&gt;"/>
    <s v="&lt;null&gt;"/>
    <s v="&lt;null&gt;"/>
    <s v="&lt;null&gt;"/>
    <m/>
    <m/>
    <m/>
    <m/>
  </r>
  <r>
    <x v="18"/>
    <x v="18"/>
    <s v="&lt;null&gt;"/>
    <x v="3"/>
    <n v="2229"/>
    <s v="IN/001836"/>
    <s v="N34 Ringlaan Wenduine"/>
    <s v="&lt;null&gt;"/>
    <s v="Structurele Ingreep"/>
    <s v="WWV/INV/N34/2"/>
    <b v="0"/>
    <s v="Ingreep wordt niet opgevolgd in BOD"/>
    <s v="&lt;null&gt;"/>
    <s v="&lt;null&gt;"/>
    <s v="&lt;null&gt;"/>
    <s v="&lt;null&gt;"/>
    <s v="&lt;null&gt;"/>
    <x v="0"/>
    <s v="&lt;null&gt;"/>
    <s v="&lt;null&gt;"/>
    <s v="&lt;null&gt;"/>
    <s v="&lt;null&gt;"/>
    <s v="&lt;null&gt;"/>
    <s v="&lt;null&gt;"/>
    <s v="&lt;null&gt;"/>
    <s v="&lt;null&gt;"/>
    <s v="&lt;null&gt;"/>
    <m/>
    <m/>
    <m/>
    <m/>
  </r>
  <r>
    <x v="18"/>
    <x v="18"/>
    <s v="&lt;null&gt;"/>
    <x v="3"/>
    <n v="2230"/>
    <s v="IN/001837"/>
    <s v="N26 Mechelen Arsenaalverbinding"/>
    <s v="&lt;null&gt;"/>
    <s v="Structurele Ingreep"/>
    <s v="WA/INV/N26/4"/>
    <b v="0"/>
    <s v="Ingreep wordt niet opgevolgd in BOD"/>
    <s v="&lt;null&gt;"/>
    <s v="&lt;null&gt;"/>
    <s v="&lt;null&gt;"/>
    <s v="&lt;null&gt;"/>
    <s v="&lt;null&gt;"/>
    <x v="0"/>
    <s v="&lt;null&gt;"/>
    <s v="&lt;null&gt;"/>
    <s v="&lt;null&gt;"/>
    <s v="&lt;null&gt;"/>
    <s v="&lt;null&gt;"/>
    <s v="&lt;null&gt;"/>
    <s v="&lt;null&gt;"/>
    <s v="&lt;null&gt;"/>
    <s v="&lt;null&gt;"/>
    <m/>
    <m/>
    <m/>
    <m/>
  </r>
  <r>
    <x v="18"/>
    <x v="18"/>
    <s v="&lt;null&gt;"/>
    <x v="3"/>
    <n v="2231"/>
    <s v="IN/001838"/>
    <s v="R16 LIER Boomlaarstraat"/>
    <s v="Voorzien van ontsluitingswegen (bretellen) langs de R16 (met ovonde en rotonde), aanleg van vrijliggende fietspaden en definitief sluiten van de middenberm op de R16."/>
    <s v="Structurele Ingreep"/>
    <s v="WA/INV/R16/8"/>
    <b v="0"/>
    <s v="Ingreep wordt niet opgevolgd in BOD"/>
    <s v="&lt;null&gt;"/>
    <s v="&lt;null&gt;"/>
    <s v="&lt;null&gt;"/>
    <s v="&lt;null&gt;"/>
    <s v="&lt;null&gt;"/>
    <x v="0"/>
    <s v="&lt;null&gt;"/>
    <s v="&lt;null&gt;"/>
    <s v="&lt;null&gt;"/>
    <s v="&lt;null&gt;"/>
    <s v="&lt;null&gt;"/>
    <s v="&lt;null&gt;"/>
    <s v="&lt;null&gt;"/>
    <s v="&lt;null&gt;"/>
    <s v="&lt;null&gt;"/>
    <m/>
    <m/>
    <m/>
    <m/>
  </r>
  <r>
    <x v="18"/>
    <x v="18"/>
    <s v="&lt;null&gt;"/>
    <x v="3"/>
    <n v="2232"/>
    <s v="IN/001839"/>
    <s v="N8 Veurne - herinrichting op Veurne"/>
    <s v="&lt;null&gt;"/>
    <s v="Structurele Ingreep"/>
    <s v="WWV/INV/N8/1"/>
    <b v="1"/>
    <s v="Ingreep wordt opgevolgd in BOD"/>
    <n v="10666"/>
    <s v="VWT/EW/2020/028"/>
    <n v="141401"/>
    <n v="22033367"/>
    <s v="&lt;p&gt;Veurne - Installatie WW0061 - Parking t.h.v. op- en afritten E40/A18 naast rotonde N8 - Voorzien laagspanningsaansluiting.&lt;/p&gt;&lt;p&gt;B-nummer AWV/INV/BDG/29/B016 - Openbare verlichting - Vernieuwing hoog- en laagspanningscabines.&lt;/p&gt;"/>
    <x v="3"/>
    <n v="9823"/>
    <s v="&lt;null&gt;"/>
    <s v="&lt;p&gt;Veurne - Installatie WW0061 - Parking t.h.v. op- en afritten E40/A18 naast rotonde N8 - Voorzien laagspanningsaansluiting.&lt;/p&gt;&lt;p&gt;B-nummer AWV/INV/BDG/29/B016 - Openbare verlichting - Vernieuwing hoog- en laagspanningscabines.&lt;/p&gt;"/>
    <s v="WWV/INV/N8/1"/>
    <s v="&lt;null&gt;"/>
    <n v="21729.82"/>
    <n v="0"/>
    <n v="0"/>
    <n v="0"/>
    <m/>
    <m/>
    <m/>
    <m/>
  </r>
  <r>
    <x v="1363"/>
    <x v="1363"/>
    <s v="Stimuleren Combimobiliteit"/>
    <x v="7"/>
    <n v="2233"/>
    <s v="IN/001840"/>
    <s v="toegankelijke halte Waalhovenstraat"/>
    <s v="toegankelijke halte Waalhovenstraa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2234"/>
    <s v="IN/001841"/>
    <s v="N2 Diest herstel keermuur"/>
    <s v="&lt;null&gt;"/>
    <s v="Structurele Ingreep"/>
    <s v="WVB/INV/N2/14"/>
    <b v="0"/>
    <s v="Ingreep wordt niet opgevolgd in BOD"/>
    <s v="&lt;null&gt;"/>
    <s v="&lt;null&gt;"/>
    <s v="&lt;null&gt;"/>
    <s v="&lt;null&gt;"/>
    <s v="&lt;null&gt;"/>
    <x v="0"/>
    <s v="&lt;null&gt;"/>
    <s v="&lt;null&gt;"/>
    <s v="&lt;null&gt;"/>
    <s v="&lt;null&gt;"/>
    <s v="&lt;null&gt;"/>
    <s v="&lt;null&gt;"/>
    <s v="&lt;null&gt;"/>
    <s v="&lt;null&gt;"/>
    <s v="&lt;null&gt;"/>
    <m/>
    <m/>
    <m/>
    <m/>
  </r>
  <r>
    <x v="18"/>
    <x v="18"/>
    <s v="&lt;null&gt;"/>
    <x v="3"/>
    <n v="2235"/>
    <s v="IN/001842"/>
    <s v="X21/N26/22 Herstel keermuren N26 Herent"/>
    <s v="&lt;null&gt;"/>
    <s v="Structurele Ingreep"/>
    <s v="WVB/INV/N2/10"/>
    <b v="0"/>
    <s v="Ingreep wordt niet opgevolgd in BOD"/>
    <s v="&lt;null&gt;"/>
    <s v="&lt;null&gt;"/>
    <s v="&lt;null&gt;"/>
    <s v="&lt;null&gt;"/>
    <s v="&lt;null&gt;"/>
    <x v="0"/>
    <s v="&lt;null&gt;"/>
    <s v="&lt;null&gt;"/>
    <s v="&lt;null&gt;"/>
    <s v="&lt;null&gt;"/>
    <s v="&lt;null&gt;"/>
    <s v="&lt;null&gt;"/>
    <s v="&lt;null&gt;"/>
    <s v="&lt;null&gt;"/>
    <s v="&lt;null&gt;"/>
    <m/>
    <m/>
    <m/>
    <m/>
  </r>
  <r>
    <x v="18"/>
    <x v="18"/>
    <s v="&lt;null&gt;"/>
    <x v="3"/>
    <n v="2236"/>
    <s v="IN/001843"/>
    <s v="N35f Diksmuide-nieuwe omleiding tussen N 35/N369"/>
    <s v="&lt;null&gt;"/>
    <s v="Structurele Ingreep"/>
    <s v="WWV/INV/N35/2"/>
    <b v="1"/>
    <s v="Ingreep wordt opgevolgd in BOD"/>
    <n v="10666"/>
    <s v="VWT/EW/2020/028"/>
    <n v="158751"/>
    <n v="22048654"/>
    <s v="&lt;p&gt;N35 - Kaaskerkestraat en N35f - Zuidwestelijke omleiding te Diksmuide - PWV204: Voorzien van verlichting volgens lichtvisie gewestwegen.&lt;/p&gt;"/>
    <x v="3"/>
    <n v="10956"/>
    <s v="&lt;null&gt;"/>
    <s v="&lt;p&gt;N35 - Kaaskerkestraat en N35f - Zuidwestelijke omleiding te Diksmuide - PWV204: Voorzien van verlichting volgens lichtvisie gewestwegen.&lt;/p&gt;"/>
    <s v="WWV/INV/N35/2"/>
    <s v="&lt;null&gt;"/>
    <n v="61542.48"/>
    <n v="0"/>
    <n v="0"/>
    <n v="0"/>
    <m/>
    <m/>
    <m/>
    <m/>
  </r>
  <r>
    <x v="1364"/>
    <x v="1364"/>
    <s v="Verkeersveiligheid"/>
    <x v="1"/>
    <n v="2237"/>
    <s v="IN/001844"/>
    <s v="Quickwins vanuit onderzoek."/>
    <s v="plaatsen rode slem op fietspad thv kruispunt Nokerseweg\ndoorsteekjes zebrapaden te voorzien\nfietsoversteekvoorzieningen langs zebrapaden aanbrengen\naanpassen middengeleider"/>
    <s v="Kleine Ingreep"/>
    <s v="WWV/INV/R35/1"/>
    <b v="1"/>
    <s v="Ingreep wordt opgevolgd in BOD"/>
    <n v="12024"/>
    <s v="AWV/INV/2021/3_P3"/>
    <n v="118201"/>
    <n v="21065772"/>
    <s v="&lt;p&gt;OF AWV/INV/2021/3 P3 3mh229 - gevaarlijke punten&lt;/p&gt;"/>
    <x v="10"/>
    <n v="11197"/>
    <s v="R35 Waregem Nokerseweg Zuiderlaan"/>
    <s v="&lt;null&gt;"/>
    <s v="WWV/INV/R35/1"/>
    <n v="100"/>
    <n v="5000"/>
    <n v="0"/>
    <n v="0"/>
    <n v="5000"/>
    <n v="5000"/>
    <n v="0"/>
    <n v="0"/>
    <n v="5000"/>
  </r>
  <r>
    <x v="18"/>
    <x v="18"/>
    <s v="&lt;null&gt;"/>
    <x v="3"/>
    <n v="2238"/>
    <s v="IN/001845"/>
    <s v="N19/30  Aarschot Fietsp &amp; weg &amp; rio Aarsch-Gelrode"/>
    <s v="&lt;null&gt;"/>
    <s v="Structurele Ingreep"/>
    <s v="WVB/INV/N19/3"/>
    <b v="0"/>
    <s v="Ingreep wordt niet opgevolgd in BOD"/>
    <s v="&lt;null&gt;"/>
    <s v="&lt;null&gt;"/>
    <s v="&lt;null&gt;"/>
    <s v="&lt;null&gt;"/>
    <s v="&lt;null&gt;"/>
    <x v="0"/>
    <s v="&lt;null&gt;"/>
    <s v="&lt;null&gt;"/>
    <s v="&lt;null&gt;"/>
    <s v="&lt;null&gt;"/>
    <s v="&lt;null&gt;"/>
    <s v="&lt;null&gt;"/>
    <s v="&lt;null&gt;"/>
    <s v="&lt;null&gt;"/>
    <s v="&lt;null&gt;"/>
    <m/>
    <m/>
    <m/>
    <m/>
  </r>
  <r>
    <x v="18"/>
    <x v="18"/>
    <s v="&lt;null&gt;"/>
    <x v="3"/>
    <n v="2239"/>
    <s v="IN/001846"/>
    <s v="N3/42 Boutersem - Doortocht Roosbeek en mod"/>
    <s v="&lt;null&gt;"/>
    <s v="Structurele Ingreep"/>
    <s v="WVB/INV/N3/2"/>
    <b v="0"/>
    <s v="Ingreep wordt niet opgevolgd in BOD"/>
    <s v="&lt;null&gt;"/>
    <s v="&lt;null&gt;"/>
    <s v="&lt;null&gt;"/>
    <s v="&lt;null&gt;"/>
    <s v="&lt;null&gt;"/>
    <x v="0"/>
    <s v="&lt;null&gt;"/>
    <s v="&lt;null&gt;"/>
    <s v="&lt;null&gt;"/>
    <s v="&lt;null&gt;"/>
    <s v="&lt;null&gt;"/>
    <s v="&lt;null&gt;"/>
    <s v="&lt;null&gt;"/>
    <s v="&lt;null&gt;"/>
    <s v="&lt;null&gt;"/>
    <m/>
    <m/>
    <m/>
    <m/>
  </r>
  <r>
    <x v="18"/>
    <x v="18"/>
    <s v="&lt;null&gt;"/>
    <x v="3"/>
    <n v="2240"/>
    <s v="IN/001847"/>
    <s v="N287/1 Diest Tess N287 N174 FP &amp; weg + Aquaf coll"/>
    <s v="&lt;null&gt;"/>
    <s v="Structurele Ingreep"/>
    <s v="WVB/INV/N287/1"/>
    <b v="0"/>
    <s v="Ingreep wordt niet opgevolgd in BOD"/>
    <s v="&lt;null&gt;"/>
    <s v="&lt;null&gt;"/>
    <s v="&lt;null&gt;"/>
    <s v="&lt;null&gt;"/>
    <s v="&lt;null&gt;"/>
    <x v="0"/>
    <s v="&lt;null&gt;"/>
    <s v="&lt;null&gt;"/>
    <s v="&lt;null&gt;"/>
    <s v="&lt;null&gt;"/>
    <s v="&lt;null&gt;"/>
    <s v="&lt;null&gt;"/>
    <s v="&lt;null&gt;"/>
    <s v="&lt;null&gt;"/>
    <s v="&lt;null&gt;"/>
    <m/>
    <m/>
    <m/>
    <m/>
  </r>
  <r>
    <x v="18"/>
    <x v="18"/>
    <s v="&lt;null&gt;"/>
    <x v="3"/>
    <n v="2241"/>
    <s v="IN/001848"/>
    <s v="N29/2 Glabbeek Vrijliggend FP + Aquafin collector"/>
    <s v="&lt;null&gt;"/>
    <s v="Structurele Ingreep"/>
    <s v="WVB/INV/N29/2"/>
    <b v="0"/>
    <s v="Ingreep wordt niet opgevolgd in BOD"/>
    <s v="&lt;null&gt;"/>
    <s v="&lt;null&gt;"/>
    <s v="&lt;null&gt;"/>
    <s v="&lt;null&gt;"/>
    <s v="&lt;null&gt;"/>
    <x v="0"/>
    <s v="&lt;null&gt;"/>
    <s v="&lt;null&gt;"/>
    <s v="&lt;null&gt;"/>
    <s v="&lt;null&gt;"/>
    <s v="&lt;null&gt;"/>
    <s v="&lt;null&gt;"/>
    <s v="&lt;null&gt;"/>
    <s v="&lt;null&gt;"/>
    <s v="&lt;null&gt;"/>
    <m/>
    <m/>
    <m/>
    <m/>
  </r>
  <r>
    <x v="1365"/>
    <x v="1365"/>
    <s v="Verkeersveiligheid"/>
    <x v="5"/>
    <n v="2242"/>
    <s v="IN/001849"/>
    <s v="Heers: N743 aanpak wateroverlast"/>
    <s v="Onveilige situatie door wateroverlast wordt aangepakt door aanleg van greppels."/>
    <s v="Kleine Ingreep"/>
    <s v="WL/INV/N743/1"/>
    <b v="1"/>
    <s v="Ingreep wordt opgevolgd in BOD"/>
    <n v="11570"/>
    <s v="WL/INV/2021/7_P2"/>
    <n v="125401"/>
    <n v="21067119"/>
    <s v="&lt;p&gt;werken van Grizaco in district Zuid&lt;/p&gt;"/>
    <x v="2"/>
    <n v="8578"/>
    <s v="Heers: N743 aanpak wateroverlast"/>
    <s v="&lt;null&gt;"/>
    <s v="WL/INV/N743/1"/>
    <n v="100"/>
    <n v="95658.4"/>
    <n v="0"/>
    <n v="0"/>
    <n v="0"/>
    <n v="95658.4"/>
    <n v="0"/>
    <n v="0"/>
    <n v="0"/>
  </r>
  <r>
    <x v="1085"/>
    <x v="1085"/>
    <s v="Verkeersveiligheid"/>
    <x v="4"/>
    <n v="2243"/>
    <s v="IN/001850"/>
    <s v="SRK: N449 Wachtebeke: fFietssuggestiestroken aanbrengen"/>
    <s v="Fietssuggestiestroken aanbrengen N449 x Rechtstro"/>
    <s v="Kleine Ingreep"/>
    <s v="WOV/INV/N449/8"/>
    <b v="0"/>
    <s v="Ingreep wordt niet opgevolgd in BOD"/>
    <s v="&lt;null&gt;"/>
    <s v="&lt;null&gt;"/>
    <s v="&lt;null&gt;"/>
    <s v="&lt;null&gt;"/>
    <s v="&lt;null&gt;"/>
    <x v="0"/>
    <s v="&lt;null&gt;"/>
    <s v="&lt;null&gt;"/>
    <s v="&lt;null&gt;"/>
    <s v="&lt;null&gt;"/>
    <n v="100"/>
    <s v="&lt;null&gt;"/>
    <s v="&lt;null&gt;"/>
    <s v="&lt;null&gt;"/>
    <s v="&lt;null&gt;"/>
    <m/>
    <m/>
    <m/>
    <m/>
  </r>
  <r>
    <x v="1366"/>
    <x v="1366"/>
    <s v="Verkeersveiligheid"/>
    <x v="5"/>
    <n v="2244"/>
    <s v="IN/001851"/>
    <s v="Alken: N80 verlengen afritten"/>
    <s v="Verlengen van afslagstroken naar Vliegstraat en Langveldstraat."/>
    <s v="Kleine Ingreep"/>
    <s v="WL/INV/N80/5"/>
    <b v="1"/>
    <s v="Ingreep wordt opgevolgd in BOD"/>
    <n v="11571"/>
    <s v="WL/INV/2021/7_P3"/>
    <n v="125451"/>
    <n v="21067148"/>
    <s v="&lt;p&gt;werken van Hoogmartens in district Zuid&lt;/p&gt;"/>
    <x v="2"/>
    <n v="8583"/>
    <s v="Alken: N80 verlengen afslagstroken"/>
    <s v="&lt;null&gt;"/>
    <s v="WL/INV/N80/5"/>
    <n v="100"/>
    <n v="173500"/>
    <n v="0"/>
    <n v="92643.066500000001"/>
    <n v="76907.899999999994"/>
    <n v="173500"/>
    <n v="0"/>
    <n v="92643.066500000001"/>
    <n v="76907.899999999994"/>
  </r>
  <r>
    <x v="1367"/>
    <x v="1367"/>
    <s v="Verkeersveiligheid"/>
    <x v="5"/>
    <n v="2245"/>
    <s v="IN/001852"/>
    <s v="Sint-Truiden: N80 aanpak fietspaden"/>
    <s v="Fietspaden heraanleggen in asfalt."/>
    <s v="Kleine Ingreep"/>
    <s v="WL/INV/N80/6"/>
    <b v="1"/>
    <s v="Ingreep wordt opgevolgd in BOD"/>
    <n v="11573"/>
    <s v="WL/INV/2021/7_P5"/>
    <n v="131401"/>
    <n v="21068770"/>
    <s v="&lt;p&gt;werken van Martens in district Zuid&lt;/p&gt;"/>
    <x v="2"/>
    <n v="9002"/>
    <s v="Sint-Truiden: N80 vernieuwen fietspaden"/>
    <s v="&lt;null&gt;"/>
    <s v="WL/INV/N80/6"/>
    <n v="100"/>
    <n v="103590.09"/>
    <n v="103590.0879"/>
    <n v="0"/>
    <n v="2.0999999999999999E-3"/>
    <n v="103590.09"/>
    <n v="103590.0879"/>
    <n v="0"/>
    <n v="2.0999999999999999E-3"/>
  </r>
  <r>
    <x v="1368"/>
    <x v="1368"/>
    <s v="Verkeersveiligheid"/>
    <x v="5"/>
    <n v="2246"/>
    <s v="IN/001853"/>
    <s v="Sint-Truiden: N3 aanpak betonplaten"/>
    <s v="Herstellen van gebroken/verzakte betonplaten."/>
    <s v="Kleine Ingreep"/>
    <s v="WL/INV/N3/9"/>
    <b v="1"/>
    <s v="Ingreep wordt opgevolgd in BOD"/>
    <n v="11571"/>
    <s v="WL/INV/2021/7_P3"/>
    <n v="125451"/>
    <n v="21067148"/>
    <s v="&lt;p&gt;werken van Hoogmartens in district Zuid&lt;/p&gt;"/>
    <x v="2"/>
    <n v="8584"/>
    <s v="Sint-Truiden: N3 aanpak betonplaten"/>
    <s v="&lt;null&gt;"/>
    <s v="WL/INV/N3/9"/>
    <n v="100"/>
    <n v="40000"/>
    <n v="0"/>
    <n v="0"/>
    <n v="39585.68"/>
    <n v="40000"/>
    <n v="0"/>
    <n v="0"/>
    <n v="39585.68"/>
  </r>
  <r>
    <x v="1369"/>
    <x v="1369"/>
    <s v="Verkeersveiligheid"/>
    <x v="1"/>
    <n v="2247"/>
    <s v="IN/001854"/>
    <s v="KT optimalisatie fietsinfrastructuur"/>
    <s v="omleggen fietspaden, combineren met ventweg, reorganisatie parkeren."/>
    <s v="Kleine Ingreep"/>
    <s v="&lt;null&gt;"/>
    <b v="0"/>
    <s v="Ingreep wordt niet opgevolgd in BOD"/>
    <s v="&lt;null&gt;"/>
    <s v="&lt;null&gt;"/>
    <s v="&lt;null&gt;"/>
    <s v="&lt;null&gt;"/>
    <s v="&lt;null&gt;"/>
    <x v="0"/>
    <s v="&lt;null&gt;"/>
    <s v="&lt;null&gt;"/>
    <s v="&lt;null&gt;"/>
    <s v="&lt;null&gt;"/>
    <n v="100"/>
    <s v="&lt;null&gt;"/>
    <s v="&lt;null&gt;"/>
    <s v="&lt;null&gt;"/>
    <s v="&lt;null&gt;"/>
    <m/>
    <m/>
    <m/>
    <m/>
  </r>
  <r>
    <x v="996"/>
    <x v="996"/>
    <s v="Verkeersveiligheid"/>
    <x v="4"/>
    <n v="2248"/>
    <s v="IN/001855"/>
    <s v="Uitbreiden bestaande dynamische zone 30 tot voorbij VOP"/>
    <s v="&lt;null&gt;"/>
    <s v="Kleine Ingreep"/>
    <s v="WL/INV/N141/11"/>
    <b v="0"/>
    <s v="Ingreep wordt niet opgevolgd in BOD"/>
    <s v="&lt;null&gt;"/>
    <s v="&lt;null&gt;"/>
    <s v="&lt;null&gt;"/>
    <s v="&lt;null&gt;"/>
    <s v="&lt;null&gt;"/>
    <x v="0"/>
    <s v="&lt;null&gt;"/>
    <s v="&lt;null&gt;"/>
    <s v="&lt;null&gt;"/>
    <s v="&lt;null&gt;"/>
    <n v="100"/>
    <s v="&lt;null&gt;"/>
    <s v="&lt;null&gt;"/>
    <s v="&lt;null&gt;"/>
    <s v="&lt;null&gt;"/>
    <m/>
    <m/>
    <m/>
    <m/>
  </r>
  <r>
    <x v="1370"/>
    <x v="1370"/>
    <s v="Verkeersveiligheid"/>
    <x v="4"/>
    <n v="2249"/>
    <s v="IN/001856"/>
    <s v="kruispunt Mariakerkelaan N33"/>
    <s v="studie VIAS\nOntsluitingsstudie lopende 2022\nmogelijks lichten maar geen garantie op doorstroming"/>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2250"/>
    <s v="IN/001857"/>
    <s v="E403 Izegem: herinrichting op- en afritcomplex nr7"/>
    <s v="&lt;null&gt;"/>
    <s v="Structurele Ingreep"/>
    <s v="WWV/INV/E403/1"/>
    <b v="0"/>
    <s v="Ingreep wordt niet opgevolgd in BOD"/>
    <s v="&lt;null&gt;"/>
    <s v="&lt;null&gt;"/>
    <s v="&lt;null&gt;"/>
    <s v="&lt;null&gt;"/>
    <s v="&lt;null&gt;"/>
    <x v="0"/>
    <s v="&lt;null&gt;"/>
    <s v="&lt;null&gt;"/>
    <s v="&lt;null&gt;"/>
    <s v="&lt;null&gt;"/>
    <s v="&lt;null&gt;"/>
    <s v="&lt;null&gt;"/>
    <s v="&lt;null&gt;"/>
    <s v="&lt;null&gt;"/>
    <s v="&lt;null&gt;"/>
    <m/>
    <m/>
    <m/>
    <m/>
  </r>
  <r>
    <x v="18"/>
    <x v="18"/>
    <s v="&lt;null&gt;"/>
    <x v="3"/>
    <n v="2251"/>
    <s v="IN/001858"/>
    <s v="N223/2 Aarschot aanleg fietspaden thv district"/>
    <s v="&lt;null&gt;"/>
    <s v="Structurele Ingreep"/>
    <s v="WVB/INV/N223/2"/>
    <b v="0"/>
    <s v="Ingreep wordt niet opgevolgd in BOD"/>
    <s v="&lt;null&gt;"/>
    <s v="&lt;null&gt;"/>
    <s v="&lt;null&gt;"/>
    <s v="&lt;null&gt;"/>
    <s v="&lt;null&gt;"/>
    <x v="0"/>
    <s v="&lt;null&gt;"/>
    <s v="&lt;null&gt;"/>
    <s v="&lt;null&gt;"/>
    <s v="&lt;null&gt;"/>
    <s v="&lt;null&gt;"/>
    <s v="&lt;null&gt;"/>
    <s v="&lt;null&gt;"/>
    <s v="&lt;null&gt;"/>
    <s v="&lt;null&gt;"/>
    <m/>
    <m/>
    <m/>
    <m/>
  </r>
  <r>
    <x v="18"/>
    <x v="18"/>
    <s v="&lt;null&gt;"/>
    <x v="3"/>
    <n v="2252"/>
    <s v="IN/001859"/>
    <s v="N29/5 Diest - Doortocht Schoonaerde"/>
    <s v="&lt;null&gt;"/>
    <s v="Structurele Ingreep"/>
    <s v="WVB/INV/N29/5"/>
    <b v="0"/>
    <s v="Ingreep wordt niet opgevolgd in BOD"/>
    <s v="&lt;null&gt;"/>
    <s v="&lt;null&gt;"/>
    <s v="&lt;null&gt;"/>
    <s v="&lt;null&gt;"/>
    <s v="&lt;null&gt;"/>
    <x v="0"/>
    <s v="&lt;null&gt;"/>
    <s v="&lt;null&gt;"/>
    <s v="&lt;null&gt;"/>
    <s v="&lt;null&gt;"/>
    <s v="&lt;null&gt;"/>
    <s v="&lt;null&gt;"/>
    <s v="&lt;null&gt;"/>
    <s v="&lt;null&gt;"/>
    <s v="&lt;null&gt;"/>
    <m/>
    <m/>
    <m/>
    <m/>
  </r>
  <r>
    <x v="18"/>
    <x v="18"/>
    <s v="&lt;null&gt;"/>
    <x v="3"/>
    <n v="2253"/>
    <s v="IN/001860"/>
    <s v="N34 Knokke-Heist - doortocht Heist"/>
    <s v="&lt;null&gt;"/>
    <s v="Structurele Ingreep"/>
    <s v="WWV/INV/N34/15"/>
    <b v="0"/>
    <s v="Ingreep wordt niet opgevolgd in BOD"/>
    <s v="&lt;null&gt;"/>
    <s v="&lt;null&gt;"/>
    <s v="&lt;null&gt;"/>
    <s v="&lt;null&gt;"/>
    <s v="&lt;null&gt;"/>
    <x v="0"/>
    <s v="&lt;null&gt;"/>
    <s v="&lt;null&gt;"/>
    <s v="&lt;null&gt;"/>
    <s v="&lt;null&gt;"/>
    <s v="&lt;null&gt;"/>
    <s v="&lt;null&gt;"/>
    <s v="&lt;null&gt;"/>
    <s v="&lt;null&gt;"/>
    <s v="&lt;null&gt;"/>
    <m/>
    <m/>
    <m/>
    <m/>
  </r>
  <r>
    <x v="18"/>
    <x v="18"/>
    <s v="&lt;null&gt;"/>
    <x v="3"/>
    <n v="2254"/>
    <s v="IN/001861"/>
    <s v="N318 Middelkerke - herinrichting thv Krokodiel"/>
    <s v="&lt;null&gt;"/>
    <s v="Structurele Ingreep"/>
    <s v="WWV/INV/N318/5"/>
    <b v="0"/>
    <s v="Ingreep wordt niet opgevolgd in BOD"/>
    <s v="&lt;null&gt;"/>
    <s v="&lt;null&gt;"/>
    <s v="&lt;null&gt;"/>
    <s v="&lt;null&gt;"/>
    <s v="&lt;null&gt;"/>
    <x v="0"/>
    <s v="&lt;null&gt;"/>
    <s v="&lt;null&gt;"/>
    <s v="&lt;null&gt;"/>
    <s v="&lt;null&gt;"/>
    <s v="&lt;null&gt;"/>
    <s v="&lt;null&gt;"/>
    <s v="&lt;null&gt;"/>
    <s v="&lt;null&gt;"/>
    <s v="&lt;null&gt;"/>
    <m/>
    <m/>
    <m/>
    <m/>
  </r>
  <r>
    <x v="18"/>
    <x v="18"/>
    <s v="&lt;null&gt;"/>
    <x v="3"/>
    <n v="2255"/>
    <s v="IN/001862"/>
    <s v="N29/4 Tienen Herinrichting N29 - R27 tot Deelberg"/>
    <s v="&lt;null&gt;"/>
    <s v="Structurele Ingreep"/>
    <s v="WVB/INV/N29/4"/>
    <b v="0"/>
    <s v="Ingreep wordt niet opgevolgd in BOD"/>
    <s v="&lt;null&gt;"/>
    <s v="&lt;null&gt;"/>
    <s v="&lt;null&gt;"/>
    <s v="&lt;null&gt;"/>
    <s v="&lt;null&gt;"/>
    <x v="0"/>
    <s v="&lt;null&gt;"/>
    <s v="&lt;null&gt;"/>
    <s v="&lt;null&gt;"/>
    <s v="&lt;null&gt;"/>
    <s v="&lt;null&gt;"/>
    <s v="&lt;null&gt;"/>
    <s v="&lt;null&gt;"/>
    <s v="&lt;null&gt;"/>
    <s v="&lt;null&gt;"/>
    <m/>
    <m/>
    <m/>
    <m/>
  </r>
  <r>
    <x v="1001"/>
    <x v="1001"/>
    <s v="Verkeersveiligheid"/>
    <x v="4"/>
    <n v="2256"/>
    <s v="IN/001863"/>
    <s v="Aanpassing fietsinfra lichtengeregeld kruispunt"/>
    <s v="Toeleidende fietspaden in de zijstraten\nlichtengeregelde FOP's ipv OFOS'en"/>
    <s v="Kleine Ingreep"/>
    <s v="&lt;null&gt;"/>
    <b v="0"/>
    <s v="Ingreep wordt niet opgevolgd in BOD"/>
    <s v="&lt;null&gt;"/>
    <s v="&lt;null&gt;"/>
    <s v="&lt;null&gt;"/>
    <s v="&lt;null&gt;"/>
    <s v="&lt;null&gt;"/>
    <x v="0"/>
    <s v="&lt;null&gt;"/>
    <s v="&lt;null&gt;"/>
    <s v="&lt;null&gt;"/>
    <s v="&lt;null&gt;"/>
    <n v="100"/>
    <s v="&lt;null&gt;"/>
    <s v="&lt;null&gt;"/>
    <s v="&lt;null&gt;"/>
    <s v="&lt;null&gt;"/>
    <m/>
    <m/>
    <m/>
    <m/>
  </r>
  <r>
    <x v="1001"/>
    <x v="1001"/>
    <s v="Verkeersveiligheid"/>
    <x v="4"/>
    <n v="2257"/>
    <s v="IN/001864"/>
    <s v="Punctuele verlichting van bestaande VOP"/>
    <s v="&lt;null&gt;"/>
    <s v="Kleine Ingreep"/>
    <s v="WL/INV/N2/16"/>
    <b v="0"/>
    <s v="Ingreep wordt niet opgevolgd in BOD"/>
    <s v="&lt;null&gt;"/>
    <s v="&lt;null&gt;"/>
    <s v="&lt;null&gt;"/>
    <s v="&lt;null&gt;"/>
    <s v="&lt;null&gt;"/>
    <x v="0"/>
    <s v="&lt;null&gt;"/>
    <s v="&lt;null&gt;"/>
    <s v="&lt;null&gt;"/>
    <s v="&lt;null&gt;"/>
    <n v="100"/>
    <s v="&lt;null&gt;"/>
    <s v="&lt;null&gt;"/>
    <s v="&lt;null&gt;"/>
    <s v="&lt;null&gt;"/>
    <m/>
    <m/>
    <m/>
    <m/>
  </r>
  <r>
    <x v="994"/>
    <x v="994"/>
    <s v="Verkeersveiligheid"/>
    <x v="4"/>
    <n v="2258"/>
    <s v="IN/001865"/>
    <s v="VOP en FOP voorzien van punctuele verlichting"/>
    <s v="&lt;null&gt;"/>
    <s v="Kleine Ingreep"/>
    <s v="WL/INV/N77/7"/>
    <b v="0"/>
    <s v="Ingreep wordt niet opgevolgd in BOD"/>
    <s v="&lt;null&gt;"/>
    <s v="&lt;null&gt;"/>
    <s v="&lt;null&gt;"/>
    <s v="&lt;null&gt;"/>
    <s v="&lt;null&gt;"/>
    <x v="0"/>
    <s v="&lt;null&gt;"/>
    <s v="&lt;null&gt;"/>
    <s v="&lt;null&gt;"/>
    <s v="&lt;null&gt;"/>
    <n v="100"/>
    <s v="&lt;null&gt;"/>
    <s v="&lt;null&gt;"/>
    <s v="&lt;null&gt;"/>
    <s v="&lt;null&gt;"/>
    <m/>
    <m/>
    <m/>
    <m/>
  </r>
  <r>
    <x v="1196"/>
    <x v="1196"/>
    <s v="Verkeersveiligheid"/>
    <x v="1"/>
    <n v="2302"/>
    <s v="IN/001866"/>
    <s v="N12 Herinrichting Turnhoutsebaan"/>
    <s v="&lt;null&gt;"/>
    <s v="Structurele Ingreep"/>
    <s v="WA/INV/N12/5"/>
    <b v="0"/>
    <s v="Ingreep wordt niet opgevolgd in BOD"/>
    <s v="&lt;null&gt;"/>
    <s v="&lt;null&gt;"/>
    <s v="&lt;null&gt;"/>
    <s v="&lt;null&gt;"/>
    <s v="&lt;null&gt;"/>
    <x v="0"/>
    <s v="&lt;null&gt;"/>
    <s v="&lt;null&gt;"/>
    <s v="&lt;null&gt;"/>
    <s v="&lt;null&gt;"/>
    <n v="1"/>
    <s v="&lt;null&gt;"/>
    <s v="&lt;null&gt;"/>
    <s v="&lt;null&gt;"/>
    <s v="&lt;null&gt;"/>
    <m/>
    <m/>
    <m/>
    <m/>
  </r>
  <r>
    <x v="1371"/>
    <x v="1371"/>
    <s v="Verkeersveiligheid"/>
    <x v="1"/>
    <n v="2302"/>
    <s v="IN/001866"/>
    <s v="N12 Herinrichting Turnhoutsebaan"/>
    <s v="&lt;null&gt;"/>
    <s v="Structurele Ingreep"/>
    <s v="WA/INV/N12/5"/>
    <b v="0"/>
    <s v="Ingreep wordt niet opgevolgd in BOD"/>
    <s v="&lt;null&gt;"/>
    <s v="&lt;null&gt;"/>
    <s v="&lt;null&gt;"/>
    <s v="&lt;null&gt;"/>
    <s v="&lt;null&gt;"/>
    <x v="0"/>
    <s v="&lt;null&gt;"/>
    <s v="&lt;null&gt;"/>
    <s v="&lt;null&gt;"/>
    <s v="&lt;null&gt;"/>
    <n v="1"/>
    <s v="&lt;null&gt;"/>
    <s v="&lt;null&gt;"/>
    <s v="&lt;null&gt;"/>
    <s v="&lt;null&gt;"/>
    <m/>
    <m/>
    <m/>
    <m/>
  </r>
  <r>
    <x v="1372"/>
    <x v="1372"/>
    <s v="Verkeersveiligheid"/>
    <x v="4"/>
    <n v="2302"/>
    <s v="IN/001866"/>
    <s v="N12 Herinrichting Turnhoutsebaan"/>
    <s v="&lt;null&gt;"/>
    <s v="Structurele Ingreep"/>
    <s v="WA/INV/N12/5"/>
    <b v="0"/>
    <s v="Ingreep wordt niet opgevolgd in BOD"/>
    <s v="&lt;null&gt;"/>
    <s v="&lt;null&gt;"/>
    <s v="&lt;null&gt;"/>
    <s v="&lt;null&gt;"/>
    <s v="&lt;null&gt;"/>
    <x v="0"/>
    <s v="&lt;null&gt;"/>
    <s v="&lt;null&gt;"/>
    <s v="&lt;null&gt;"/>
    <s v="&lt;null&gt;"/>
    <n v="1"/>
    <s v="&lt;null&gt;"/>
    <s v="&lt;null&gt;"/>
    <s v="&lt;null&gt;"/>
    <s v="&lt;null&gt;"/>
    <m/>
    <m/>
    <m/>
    <m/>
  </r>
  <r>
    <x v="18"/>
    <x v="18"/>
    <s v="&lt;null&gt;"/>
    <x v="3"/>
    <n v="2303"/>
    <s v="IN/001867"/>
    <s v="N458 Assenede aanleg fietspaden Boekhoute-F423"/>
    <s v="&lt;null&gt;"/>
    <s v="Structurele Ingreep"/>
    <s v="WOV/INV/N458/4"/>
    <b v="0"/>
    <s v="Ingreep wordt niet opgevolgd in BOD"/>
    <s v="&lt;null&gt;"/>
    <s v="&lt;null&gt;"/>
    <s v="&lt;null&gt;"/>
    <s v="&lt;null&gt;"/>
    <s v="&lt;null&gt;"/>
    <x v="0"/>
    <s v="&lt;null&gt;"/>
    <s v="&lt;null&gt;"/>
    <s v="&lt;null&gt;"/>
    <s v="&lt;null&gt;"/>
    <s v="&lt;null&gt;"/>
    <s v="&lt;null&gt;"/>
    <s v="&lt;null&gt;"/>
    <s v="&lt;null&gt;"/>
    <s v="&lt;null&gt;"/>
    <m/>
    <m/>
    <m/>
    <m/>
  </r>
  <r>
    <x v="18"/>
    <x v="18"/>
    <s v="&lt;null&gt;"/>
    <x v="3"/>
    <n v="2355"/>
    <s v="IN/001871"/>
    <s v="N35 Tielt: aanleg fietspaden vh BFF"/>
    <s v="&lt;null&gt;"/>
    <s v="Structurele Ingreep"/>
    <s v="WWV/INV/N35/1"/>
    <b v="0"/>
    <s v="Ingreep wordt niet opgevolgd in BOD"/>
    <s v="&lt;null&gt;"/>
    <s v="&lt;null&gt;"/>
    <s v="&lt;null&gt;"/>
    <s v="&lt;null&gt;"/>
    <s v="&lt;null&gt;"/>
    <x v="0"/>
    <s v="&lt;null&gt;"/>
    <s v="&lt;null&gt;"/>
    <s v="&lt;null&gt;"/>
    <s v="&lt;null&gt;"/>
    <s v="&lt;null&gt;"/>
    <s v="&lt;null&gt;"/>
    <s v="&lt;null&gt;"/>
    <s v="&lt;null&gt;"/>
    <s v="&lt;null&gt;"/>
    <m/>
    <m/>
    <m/>
    <m/>
  </r>
  <r>
    <x v="1006"/>
    <x v="1006"/>
    <s v="Verkeersveiligheid"/>
    <x v="4"/>
    <n v="2356"/>
    <s v="IN/001872"/>
    <s v="Ombouw VRI volgens actieplan + voorbereiding iVRI"/>
    <s v="&lt;null&gt;"/>
    <s v="Kleine Ingreep"/>
    <s v="&lt;null&gt;"/>
    <b v="0"/>
    <s v="Ingreep wordt niet opgevolgd in BOD"/>
    <s v="&lt;null&gt;"/>
    <s v="&lt;null&gt;"/>
    <s v="&lt;null&gt;"/>
    <s v="&lt;null&gt;"/>
    <s v="&lt;null&gt;"/>
    <x v="0"/>
    <s v="&lt;null&gt;"/>
    <s v="&lt;null&gt;"/>
    <s v="&lt;null&gt;"/>
    <s v="&lt;null&gt;"/>
    <n v="100"/>
    <s v="&lt;null&gt;"/>
    <s v="&lt;null&gt;"/>
    <s v="&lt;null&gt;"/>
    <s v="&lt;null&gt;"/>
    <m/>
    <m/>
    <m/>
    <m/>
  </r>
  <r>
    <x v="730"/>
    <x v="730"/>
    <s v="Verkeersveiligheid"/>
    <x v="4"/>
    <n v="2357"/>
    <s v="IN/001873"/>
    <s v="Aanpassen rotonde"/>
    <s v="- op de 4 takken een VOP in combi met dubbelrichtingsFOP's in fietslogoverbinding (inclusief aanpassen fietspaden rotonde).\n\n"/>
    <s v="Kleine Ingreep"/>
    <s v="&lt;null&gt;"/>
    <b v="0"/>
    <s v="Ingreep wordt niet opgevolgd in BOD"/>
    <s v="&lt;null&gt;"/>
    <s v="&lt;null&gt;"/>
    <s v="&lt;null&gt;"/>
    <s v="&lt;null&gt;"/>
    <s v="&lt;null&gt;"/>
    <x v="0"/>
    <s v="&lt;null&gt;"/>
    <s v="&lt;null&gt;"/>
    <s v="&lt;null&gt;"/>
    <s v="&lt;null&gt;"/>
    <n v="100"/>
    <s v="&lt;null&gt;"/>
    <s v="&lt;null&gt;"/>
    <s v="&lt;null&gt;"/>
    <s v="&lt;null&gt;"/>
    <m/>
    <m/>
    <m/>
    <m/>
  </r>
  <r>
    <x v="730"/>
    <x v="730"/>
    <s v="Verkeersveiligheid"/>
    <x v="4"/>
    <n v="2358"/>
    <s v="IN/001874"/>
    <s v="Snelheid naar 70 km/u"/>
    <s v="&lt;null&gt;"/>
    <s v="Kleine Ingreep"/>
    <s v="&lt;null&gt;"/>
    <b v="0"/>
    <s v="Ingreep wordt niet opgevolgd in BOD"/>
    <s v="&lt;null&gt;"/>
    <s v="&lt;null&gt;"/>
    <s v="&lt;null&gt;"/>
    <s v="&lt;null&gt;"/>
    <s v="&lt;null&gt;"/>
    <x v="0"/>
    <s v="&lt;null&gt;"/>
    <s v="&lt;null&gt;"/>
    <s v="&lt;null&gt;"/>
    <s v="&lt;null&gt;"/>
    <n v="100"/>
    <s v="&lt;null&gt;"/>
    <s v="&lt;null&gt;"/>
    <s v="&lt;null&gt;"/>
    <s v="&lt;null&gt;"/>
    <m/>
    <m/>
    <m/>
    <m/>
  </r>
  <r>
    <x v="1373"/>
    <x v="1373"/>
    <s v="Verkeersveiligheid"/>
    <x v="4"/>
    <n v="2359"/>
    <s v="IN/001875"/>
    <s v="Aanpassen kruispunt"/>
    <s v="versmallen noordelijke aansluiting, FOP's met bajonet en nieuwe bushalte/Hoppinpun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2360"/>
    <s v="IN/001876"/>
    <s v="Masterplan Calicannes"/>
    <s v="&lt;null&gt;"/>
    <s v="Structurele Ingreep"/>
    <s v="WWV/INV/N38/1"/>
    <b v="0"/>
    <s v="Ingreep wordt niet opgevolgd in BOD"/>
    <s v="&lt;null&gt;"/>
    <s v="&lt;null&gt;"/>
    <s v="&lt;null&gt;"/>
    <s v="&lt;null&gt;"/>
    <s v="&lt;null&gt;"/>
    <x v="0"/>
    <s v="&lt;null&gt;"/>
    <s v="&lt;null&gt;"/>
    <s v="&lt;null&gt;"/>
    <s v="&lt;null&gt;"/>
    <s v="&lt;null&gt;"/>
    <s v="&lt;null&gt;"/>
    <s v="&lt;null&gt;"/>
    <s v="&lt;null&gt;"/>
    <s v="&lt;null&gt;"/>
    <m/>
    <m/>
    <m/>
    <m/>
  </r>
  <r>
    <x v="18"/>
    <x v="18"/>
    <s v="&lt;null&gt;"/>
    <x v="3"/>
    <n v="2361"/>
    <s v="IN/001877"/>
    <s v="N38 Ieper - kruispunt Pilkemseweg"/>
    <s v="&lt;null&gt;"/>
    <s v="Structurele Ingreep"/>
    <s v="WWV/INV/N38/2"/>
    <b v="0"/>
    <s v="Ingreep wordt niet opgevolgd in BOD"/>
    <s v="&lt;null&gt;"/>
    <s v="&lt;null&gt;"/>
    <s v="&lt;null&gt;"/>
    <s v="&lt;null&gt;"/>
    <s v="&lt;null&gt;"/>
    <x v="0"/>
    <s v="&lt;null&gt;"/>
    <s v="&lt;null&gt;"/>
    <s v="&lt;null&gt;"/>
    <s v="&lt;null&gt;"/>
    <s v="&lt;null&gt;"/>
    <s v="&lt;null&gt;"/>
    <s v="&lt;null&gt;"/>
    <s v="&lt;null&gt;"/>
    <s v="&lt;null&gt;"/>
    <m/>
    <m/>
    <m/>
    <m/>
  </r>
  <r>
    <x v="1374"/>
    <x v="1374"/>
    <s v="Fiets"/>
    <x v="0"/>
    <n v="2362"/>
    <s v="IN/001878"/>
    <s v="R32 Hooglede: Fietstunnel thv Honzebrouckstraat"/>
    <s v="&lt;null&gt;"/>
    <s v="Structurele Ingreep"/>
    <s v="WWV/INV/R32/1"/>
    <b v="0"/>
    <s v="Ingreep wordt niet opgevolgd in BOD"/>
    <s v="&lt;null&gt;"/>
    <s v="&lt;null&gt;"/>
    <s v="&lt;null&gt;"/>
    <s v="&lt;null&gt;"/>
    <s v="&lt;null&gt;"/>
    <x v="0"/>
    <s v="&lt;null&gt;"/>
    <s v="&lt;null&gt;"/>
    <s v="&lt;null&gt;"/>
    <s v="&lt;null&gt;"/>
    <n v="100"/>
    <s v="&lt;null&gt;"/>
    <s v="&lt;null&gt;"/>
    <s v="&lt;null&gt;"/>
    <s v="&lt;null&gt;"/>
    <m/>
    <m/>
    <m/>
    <m/>
  </r>
  <r>
    <x v="1120"/>
    <x v="1120"/>
    <s v="Verkeersveiligheid"/>
    <x v="4"/>
    <n v="2363"/>
    <s v="IN/001879"/>
    <s v="SRK: N405 Aalst: vernieuwen slemlaag en VOP ter hoogte van school"/>
    <s v="Vernieuwen slemlaag en VOP ter hoogte van school  (SRK)"/>
    <s v="Kleine Ingreep"/>
    <s v="WOV/INV/N405/7"/>
    <b v="1"/>
    <s v="Ingreep wordt opgevolgd in BOD"/>
    <n v="11864"/>
    <s v="AWV/INV/2021/3_P4"/>
    <n v="110851"/>
    <n v="21065760"/>
    <s v="&lt;p&gt;Schoolrouteknelpunten (2021 (op 230))&lt;/p&gt;"/>
    <x v="23"/>
    <n v="8809"/>
    <s v="Vernieuwen slemlaag en VOP ter hoogte van school (SRK)"/>
    <s v="&lt;p&gt;Vernieuwen slemlaag en VOP ter hoogte van school (SRK)&lt;/p&gt;"/>
    <s v="WOV/INV/N405/7"/>
    <n v="100"/>
    <n v="33500"/>
    <n v="0"/>
    <n v="0"/>
    <n v="351.92"/>
    <n v="33500"/>
    <n v="0"/>
    <n v="0"/>
    <n v="351.92"/>
  </r>
  <r>
    <x v="1317"/>
    <x v="1317"/>
    <s v="Stimuleren Combimobiliteit"/>
    <x v="7"/>
    <n v="2364"/>
    <s v="IN/001880"/>
    <s v="Aanleg verhoogde bushaltehaven afm 30m x 2.70m"/>
    <s v="N403 Kemzeke kmp 6.400  aflopend rechts\nAanleg verhoogde bushaltehaven afm 30m x 2.70m"/>
    <s v="Kleine Ingreep"/>
    <s v="WOV/INV/N403/3"/>
    <b v="1"/>
    <s v="Ingreep wordt opgevolgd in BOD"/>
    <n v="11864"/>
    <s v="AWV/INV/2021/3_P4"/>
    <n v="110951"/>
    <n v="21069485"/>
    <s v="&lt;p&gt;Combimobiliteitsfonds (2021 en 2022 (op 032))&lt;/p&gt;"/>
    <x v="25"/>
    <n v="8810"/>
    <s v="N403 Kemzeke kmp 6.400  aflopend rechts Aanleg verhoogde bushaltehaven afm 30m x 2.70m (halte Kemzeke Dorp)"/>
    <s v="&lt;p&gt;N403 Kemzeke kmp 6.400 &amp;nbsp;aflopend rechts Aanleg verhoogde bushaltehaven afm 30m x 2.70m (halte Kemzeke Dorp)&lt;/p&gt;"/>
    <s v="WOV/INV/N403/3"/>
    <n v="100"/>
    <n v="17500"/>
    <n v="0"/>
    <n v="0"/>
    <n v="81.88"/>
    <n v="17500"/>
    <n v="0"/>
    <n v="0"/>
    <n v="81.88"/>
  </r>
  <r>
    <x v="1375"/>
    <x v="1375"/>
    <s v="Stimuleren Combimobiliteit"/>
    <x v="7"/>
    <n v="2365"/>
    <s v="IN/001881"/>
    <s v="N419 Kruibeke  kmp 8.331 - kmp 8.352 aflopend rechts Aanleg verhoogde bushaltehaven  afm 21m x3m (halte Kruibeke Moortelbaan)"/>
    <s v="N419 Kruibeke  kmp 8.331 - kmp 8.352 aflopend rechts Aanleg verhoogde bushaltehaven  afm 21m x3m (halte Kruibeke Moortelbaan)"/>
    <s v="Kleine Ingreep"/>
    <s v="WOV/INV/N419/9"/>
    <b v="1"/>
    <s v="Ingreep wordt opgevolgd in BOD"/>
    <n v="11864"/>
    <s v="AWV/INV/2021/3_P4"/>
    <n v="123301"/>
    <n v="22017035"/>
    <s v="&lt;p&gt;Bushaltes (2022 (op 214))&lt;/p&gt;"/>
    <x v="26"/>
    <n v="8434"/>
    <s v="N419 Kruibeke  kmp 8.331 - kmp 8.352 aflopend rechts Aanleg verhoogde bushaltehaven  afm 21m x3m (halte Kruibeke Moortelstraat)"/>
    <s v="&lt;p&gt;N419 Kruibeke &amp;nbsp;kmp 8.331 - kmp 8.352 aflopend rechts Aanleg verhoogde bushaltehaven &amp;nbsp;afm 21m x3m (halte Kruibeke Moortelstraat)&lt;/p&gt;"/>
    <s v="WOV/INV/N419/9"/>
    <n v="100"/>
    <n v="9900"/>
    <n v="0"/>
    <n v="0"/>
    <n v="28.61"/>
    <n v="9900"/>
    <n v="0"/>
    <n v="0"/>
    <n v="28.61"/>
  </r>
  <r>
    <x v="1375"/>
    <x v="1375"/>
    <s v="Stimuleren Combimobiliteit"/>
    <x v="7"/>
    <n v="2366"/>
    <s v="IN/001882"/>
    <s v="N419 Kruibeke kmp 8.324 -v kmp 8.371 oplopend rechts aanleg verhoogde bushaltehaven afm 47m x 3m (halte Kruibeke Moortelstraat)"/>
    <s v="N419 Kruibeke kmp 8.324 -v kmp 8.371 oplopend rechts\naanleg verhoogde bushaltehaven afm 47m x 3m (halte Kruibeke Moortelstraat)"/>
    <s v="Kleine Ingreep"/>
    <s v="WOV/INV/N419/10"/>
    <b v="1"/>
    <s v="Ingreep wordt opgevolgd in BOD"/>
    <n v="11864"/>
    <s v="AWV/INV/2021/3_P4"/>
    <n v="123301"/>
    <n v="22017035"/>
    <s v="&lt;p&gt;Bushaltes (2022 (op 214))&lt;/p&gt;"/>
    <x v="26"/>
    <n v="8811"/>
    <s v="N419 Kruibeke kmp 8.324 -v kmp 8.371 oplopend rechts aanleg verhoogde bushaltehaven afm 47m x 3m (halte Kruibeke Moortelstraat)"/>
    <s v="&lt;p&gt;N419 Kruibeke kmp 8.324 -v kmp 8.371 oplopend rechts&amp;nbsp;&lt;br&gt;aanleg verhoogde bushaltehaven afm 47m x 3m (halte Kruibeke Moortelstraat)&lt;/p&gt;"/>
    <s v="WOV/INV/N419/10"/>
    <n v="100"/>
    <n v="15700"/>
    <n v="0"/>
    <n v="0"/>
    <n v="1.02"/>
    <n v="15700"/>
    <n v="0"/>
    <n v="0"/>
    <n v="1.02"/>
  </r>
  <r>
    <x v="1376"/>
    <x v="1376"/>
    <s v="Stimuleren Combimobiliteit"/>
    <x v="7"/>
    <n v="2367"/>
    <s v="IN/001883"/>
    <s v="N419 Kruibeke kmp 8.981 - kmp 9.001 aflopend rechts  Aanleg verhoogde bushaltehaven afm 20m x 2m (halte Kruibeke Mercatorstraat)"/>
    <s v="N419 Kruibeke kmp 8.981 - kmp 9.001 aflopend rechts \nAanleg verhoogde bushaltehaven afm 20m x 2m (halte Kruibeke Mercatorstraat)"/>
    <s v="Kleine Ingreep"/>
    <s v="WOV/INV/N419/11"/>
    <b v="1"/>
    <s v="Ingreep wordt opgevolgd in BOD"/>
    <n v="11864"/>
    <s v="AWV/INV/2021/3_P4"/>
    <n v="123301"/>
    <n v="22017035"/>
    <s v="&lt;p&gt;Bushaltes (2022 (op 214))&lt;/p&gt;"/>
    <x v="26"/>
    <n v="8812"/>
    <s v="N419 Kruibeke kmp 8.981 - kmp 9.001 aflopend rechts  Aanleg verhoogde bushaltehaven afm 20m x 2m (halte Kruibeke Mercatorstraat)"/>
    <s v="&lt;p&gt;N419 Kruibeke kmp 8.981 - kmp 9.001 aflopend rechts &amp;nbsp;&lt;br&gt;Aanleg verhoogde bushaltehaven afm 20m x 2m (halte Kruibeke Mercatorstraat)&lt;/p&gt;"/>
    <s v="WOV/INV/N419/11"/>
    <n v="100"/>
    <n v="10100"/>
    <n v="0"/>
    <n v="0"/>
    <n v="29.79"/>
    <n v="10100"/>
    <n v="0"/>
    <n v="0"/>
    <n v="29.79"/>
  </r>
  <r>
    <x v="1376"/>
    <x v="1376"/>
    <s v="Stimuleren Combimobiliteit"/>
    <x v="7"/>
    <n v="2368"/>
    <s v="IN/001884"/>
    <s v="N419 Kruibeke kmp 9.003 - kmp 9.024 oplopend rechts Aanleg verhoogde bushaltehaven afm 21m x 2m (halte Kruibeke Mercatorstraat)"/>
    <s v="N419 Kruibeke kmp 9.003 - kmp 9.024 oplopend rechts\nAanleg verhoogde bushaltehaven afm 21m x 2m (halte Kruibeke Mercatorstraat)"/>
    <s v="Kleine Ingreep"/>
    <s v="WOV/INV/N419/12"/>
    <b v="1"/>
    <s v="Ingreep wordt opgevolgd in BOD"/>
    <n v="11864"/>
    <s v="AWV/INV/2021/3_P4"/>
    <n v="123301"/>
    <n v="22017035"/>
    <s v="&lt;p&gt;Bushaltes (2022 (op 214))&lt;/p&gt;"/>
    <x v="26"/>
    <n v="8813"/>
    <s v="N419 Kruibeke kmp 9.003 - kmp 9.024 oplopend rechts Aanleg verhoogde bushaltehaven afm 21m x 2m (halte Kruibeke Mercatorstraat)"/>
    <s v="&lt;p&gt;N419 Kruibeke kmp 9.003 - kmp 9.024 oplopend rechts&amp;nbsp;&lt;br&gt;Aanleg verhoogde bushaltehaven afm 21m x 2m (halte Kruibeke Mercatorstraat)&lt;/p&gt;"/>
    <s v="WOV/INV/N419/12"/>
    <n v="100"/>
    <n v="10400"/>
    <n v="0"/>
    <n v="0"/>
    <n v="36.380000000000003"/>
    <n v="10400"/>
    <n v="0"/>
    <n v="0"/>
    <n v="36.380000000000003"/>
  </r>
  <r>
    <x v="18"/>
    <x v="18"/>
    <s v="&lt;null&gt;"/>
    <x v="3"/>
    <n v="2369"/>
    <s v="IN/001885"/>
    <s v="N012 Doortocht Vosselaar"/>
    <s v="&lt;null&gt;"/>
    <s v="Structurele Ingreep"/>
    <s v="WA/INV/N012/11"/>
    <b v="0"/>
    <s v="Ingreep wordt niet opgevolgd in BOD"/>
    <s v="&lt;null&gt;"/>
    <s v="&lt;null&gt;"/>
    <s v="&lt;null&gt;"/>
    <s v="&lt;null&gt;"/>
    <s v="&lt;null&gt;"/>
    <x v="0"/>
    <s v="&lt;null&gt;"/>
    <s v="&lt;null&gt;"/>
    <s v="&lt;null&gt;"/>
    <s v="&lt;null&gt;"/>
    <s v="&lt;null&gt;"/>
    <s v="&lt;null&gt;"/>
    <s v="&lt;null&gt;"/>
    <s v="&lt;null&gt;"/>
    <s v="&lt;null&gt;"/>
    <m/>
    <m/>
    <m/>
    <m/>
  </r>
  <r>
    <x v="18"/>
    <x v="18"/>
    <s v="&lt;null&gt;"/>
    <x v="3"/>
    <n v="2370"/>
    <s v="IN/001886"/>
    <s v="R16 - LIER - Structureel onderhoud"/>
    <s v="&lt;null&gt;"/>
    <s v="Structurele Ingreep"/>
    <s v="WA/INV/R16/5"/>
    <b v="0"/>
    <s v="Ingreep wordt niet opgevolgd in BOD"/>
    <s v="&lt;null&gt;"/>
    <s v="&lt;null&gt;"/>
    <s v="&lt;null&gt;"/>
    <s v="&lt;null&gt;"/>
    <s v="&lt;null&gt;"/>
    <x v="0"/>
    <s v="&lt;null&gt;"/>
    <s v="&lt;null&gt;"/>
    <s v="&lt;null&gt;"/>
    <s v="&lt;null&gt;"/>
    <s v="&lt;null&gt;"/>
    <s v="&lt;null&gt;"/>
    <s v="&lt;null&gt;"/>
    <s v="&lt;null&gt;"/>
    <s v="&lt;null&gt;"/>
    <m/>
    <m/>
    <m/>
    <m/>
  </r>
  <r>
    <x v="1377"/>
    <x v="1377"/>
    <s v="Verkeersveiligheid"/>
    <x v="4"/>
    <n v="2371"/>
    <s v="IN/001887"/>
    <s v="SRK: N9 x R4 Melle: markeringen verbeteren"/>
    <s v="* opfrissen bestaande rode thermo.\n* 3 stuks nieuwe driehoekenstrepen volgens bijgevoegde schets.\n* aanpassen arcering.\n* 1 nieuwe B1 (zijde 900)."/>
    <s v="Kleine Ingreep"/>
    <s v="WOV/INV/N9/31"/>
    <b v="1"/>
    <s v="Ingreep wordt opgevolgd in BOD"/>
    <n v="11864"/>
    <s v="AWV/INV/2021/3_P4"/>
    <n v="110851"/>
    <n v="21065760"/>
    <s v="&lt;p&gt;Schoolrouteknelpunten (2021 (op 230))&lt;/p&gt;"/>
    <x v="23"/>
    <n v="8814"/>
    <s v="KP1631 - IN1887 : Melle : kruispunt N9xR4"/>
    <s v="&lt;p&gt;KP1631 - IN1887 : Melle : Markeringen aanpakken N9 x R4 + aanpakken van de hoogteverschillen in het fietspad&lt;/p&gt;"/>
    <s v="WOV/INV/N9/31"/>
    <n v="100"/>
    <n v="1300"/>
    <n v="0"/>
    <n v="367.00349999999997"/>
    <n v="932.99649999999997"/>
    <n v="1300"/>
    <n v="0"/>
    <n v="367.00349999999997"/>
    <n v="932.99649999999997"/>
  </r>
  <r>
    <x v="1378"/>
    <x v="1378"/>
    <s v="Verkeersveiligheid"/>
    <x v="4"/>
    <n v="2372"/>
    <s v="IN/001888"/>
    <s v="SRK: N9 Melle, N9 x Wautersdreef : middeneilanden"/>
    <s v="* Nieuw middeneilanden te lijmen + inboren.\n* 2 st nieuwe D1d (ø700)+ retroreflecterende kokers in verkeerseilanden.\n* Kopse kanten verkeerseiland wit te schilderen.\n* Eilanden opvullen met beton."/>
    <s v="Kleine Ingreep"/>
    <s v="WOV/INV/N9/32"/>
    <b v="1"/>
    <s v="Ingreep wordt opgevolgd in BOD"/>
    <n v="11864"/>
    <s v="AWV/INV/2021/3_P4"/>
    <n v="110851"/>
    <n v="21065760"/>
    <s v="&lt;p&gt;Schoolrouteknelpunten (2021 (op 230))&lt;/p&gt;"/>
    <x v="23"/>
    <n v="8816"/>
    <s v="KP1534 - IN1888 : Melle, N9 x Wautersdreef : Middeneilanden (SRK)"/>
    <s v="&lt;p&gt;KP1534 - IN1888 : Melle, N9 x Wautersdreef : Middeneilanden (SRK)&lt;/p&gt;"/>
    <s v="WOV/INV/N9/32"/>
    <n v="100"/>
    <n v="3800"/>
    <n v="3800"/>
    <n v="0"/>
    <n v="0"/>
    <n v="3800"/>
    <n v="3800"/>
    <n v="0"/>
    <n v="0"/>
  </r>
  <r>
    <x v="18"/>
    <x v="18"/>
    <s v="&lt;null&gt;"/>
    <x v="3"/>
    <n v="2373"/>
    <s v="IN/001889"/>
    <s v="N302 Diksmuide: Schoorbakkestraat: aanleg fietspad"/>
    <s v="&lt;null&gt;"/>
    <s v="Structurele Ingreep"/>
    <s v="WWV/INV/N302/1"/>
    <b v="0"/>
    <s v="Ingreep wordt niet opgevolgd in BOD"/>
    <s v="&lt;null&gt;"/>
    <s v="&lt;null&gt;"/>
    <s v="&lt;null&gt;"/>
    <s v="&lt;null&gt;"/>
    <s v="&lt;null&gt;"/>
    <x v="0"/>
    <s v="&lt;null&gt;"/>
    <s v="&lt;null&gt;"/>
    <s v="&lt;null&gt;"/>
    <s v="&lt;null&gt;"/>
    <s v="&lt;null&gt;"/>
    <s v="&lt;null&gt;"/>
    <s v="&lt;null&gt;"/>
    <s v="&lt;null&gt;"/>
    <s v="&lt;null&gt;"/>
    <m/>
    <m/>
    <m/>
    <m/>
  </r>
  <r>
    <x v="18"/>
    <x v="18"/>
    <s v="&lt;null&gt;"/>
    <x v="3"/>
    <n v="2374"/>
    <s v="IN/001890"/>
    <s v="N32 Torhout: heraanleg"/>
    <s v="&lt;null&gt;"/>
    <s v="Structurele Ingreep"/>
    <s v="WWV/INV/N32/10"/>
    <b v="0"/>
    <s v="Ingreep wordt niet opgevolgd in BOD"/>
    <s v="&lt;null&gt;"/>
    <s v="&lt;null&gt;"/>
    <s v="&lt;null&gt;"/>
    <s v="&lt;null&gt;"/>
    <s v="&lt;null&gt;"/>
    <x v="0"/>
    <s v="&lt;null&gt;"/>
    <s v="&lt;null&gt;"/>
    <s v="&lt;null&gt;"/>
    <s v="&lt;null&gt;"/>
    <s v="&lt;null&gt;"/>
    <s v="&lt;null&gt;"/>
    <s v="&lt;null&gt;"/>
    <s v="&lt;null&gt;"/>
    <s v="&lt;null&gt;"/>
    <m/>
    <m/>
    <m/>
    <m/>
  </r>
  <r>
    <x v="18"/>
    <x v="18"/>
    <s v="&lt;null&gt;"/>
    <x v="3"/>
    <n v="2375"/>
    <s v="IN/001891"/>
    <s v="N357 Wielsbeke struct onderhoud beton   fietspadpr"/>
    <s v="&lt;null&gt;"/>
    <s v="Structurele Ingreep"/>
    <s v="WWV/INV/N357/1"/>
    <b v="0"/>
    <s v="Ingreep wordt niet opgevolgd in BOD"/>
    <s v="&lt;null&gt;"/>
    <s v="&lt;null&gt;"/>
    <s v="&lt;null&gt;"/>
    <s v="&lt;null&gt;"/>
    <s v="&lt;null&gt;"/>
    <x v="0"/>
    <s v="&lt;null&gt;"/>
    <s v="&lt;null&gt;"/>
    <s v="&lt;null&gt;"/>
    <s v="&lt;null&gt;"/>
    <s v="&lt;null&gt;"/>
    <s v="&lt;null&gt;"/>
    <s v="&lt;null&gt;"/>
    <s v="&lt;null&gt;"/>
    <s v="&lt;null&gt;"/>
    <m/>
    <m/>
    <m/>
    <m/>
  </r>
  <r>
    <x v="79"/>
    <x v="79"/>
    <s v="Fiets"/>
    <x v="0"/>
    <n v="2376"/>
    <s v="IN/001892"/>
    <s v="N17 PSAM Aanleg vrijliggende fietspaden"/>
    <s v="&lt;null&gt;"/>
    <s v="Structurele Ingreep"/>
    <s v="WA/INV/N17/1"/>
    <b v="0"/>
    <s v="Ingreep wordt niet opgevolgd in BOD"/>
    <s v="&lt;null&gt;"/>
    <s v="&lt;null&gt;"/>
    <s v="&lt;null&gt;"/>
    <s v="&lt;null&gt;"/>
    <s v="&lt;null&gt;"/>
    <x v="0"/>
    <s v="&lt;null&gt;"/>
    <s v="&lt;null&gt;"/>
    <s v="&lt;null&gt;"/>
    <s v="&lt;null&gt;"/>
    <n v="100"/>
    <s v="&lt;null&gt;"/>
    <s v="&lt;null&gt;"/>
    <s v="&lt;null&gt;"/>
    <s v="&lt;null&gt;"/>
    <m/>
    <m/>
    <m/>
    <m/>
  </r>
  <r>
    <x v="18"/>
    <x v="18"/>
    <s v="&lt;null&gt;"/>
    <x v="3"/>
    <n v="2377"/>
    <s v="IN/001893"/>
    <s v="N279/1 Linter N279+N283 Fietspaden (mod 13)"/>
    <s v="&lt;null&gt;"/>
    <s v="Structurele Ingreep"/>
    <s v="WVB/INV/N279/1"/>
    <b v="0"/>
    <s v="Ingreep wordt niet opgevolgd in BOD"/>
    <s v="&lt;null&gt;"/>
    <s v="&lt;null&gt;"/>
    <s v="&lt;null&gt;"/>
    <s v="&lt;null&gt;"/>
    <s v="&lt;null&gt;"/>
    <x v="0"/>
    <s v="&lt;null&gt;"/>
    <s v="&lt;null&gt;"/>
    <s v="&lt;null&gt;"/>
    <s v="&lt;null&gt;"/>
    <s v="&lt;null&gt;"/>
    <s v="&lt;null&gt;"/>
    <s v="&lt;null&gt;"/>
    <s v="&lt;null&gt;"/>
    <s v="&lt;null&gt;"/>
    <m/>
    <m/>
    <m/>
    <m/>
  </r>
  <r>
    <x v="18"/>
    <x v="18"/>
    <s v="&lt;null&gt;"/>
    <x v="3"/>
    <n v="2378"/>
    <s v="IN/001894"/>
    <s v="R26 - Kiss and ride station Diest"/>
    <s v="&lt;null&gt;"/>
    <s v="Structurele Ingreep"/>
    <s v="WVB/INV/R26/1"/>
    <b v="0"/>
    <s v="Ingreep wordt niet opgevolgd in BOD"/>
    <s v="&lt;null&gt;"/>
    <s v="&lt;null&gt;"/>
    <s v="&lt;null&gt;"/>
    <s v="&lt;null&gt;"/>
    <s v="&lt;null&gt;"/>
    <x v="0"/>
    <s v="&lt;null&gt;"/>
    <s v="&lt;null&gt;"/>
    <s v="&lt;null&gt;"/>
    <s v="&lt;null&gt;"/>
    <s v="&lt;null&gt;"/>
    <s v="&lt;null&gt;"/>
    <s v="&lt;null&gt;"/>
    <s v="&lt;null&gt;"/>
    <s v="&lt;null&gt;"/>
    <m/>
    <m/>
    <m/>
    <m/>
  </r>
  <r>
    <x v="18"/>
    <x v="18"/>
    <s v="&lt;null&gt;"/>
    <x v="3"/>
    <n v="2379"/>
    <s v="IN/001895"/>
    <s v="X21/A3/76 Renovatie E40 Brussel - Luik: fase 2"/>
    <s v="&lt;null&gt;"/>
    <s v="Structurele Ingreep"/>
    <s v="WVB/INV/A3/3"/>
    <b v="0"/>
    <s v="Ingreep wordt niet opgevolgd in BOD"/>
    <s v="&lt;null&gt;"/>
    <s v="&lt;null&gt;"/>
    <s v="&lt;null&gt;"/>
    <s v="&lt;null&gt;"/>
    <s v="&lt;null&gt;"/>
    <x v="0"/>
    <s v="&lt;null&gt;"/>
    <s v="&lt;null&gt;"/>
    <s v="&lt;null&gt;"/>
    <s v="&lt;null&gt;"/>
    <s v="&lt;null&gt;"/>
    <s v="&lt;null&gt;"/>
    <s v="&lt;null&gt;"/>
    <s v="&lt;null&gt;"/>
    <s v="&lt;null&gt;"/>
    <m/>
    <m/>
    <m/>
    <m/>
  </r>
  <r>
    <x v="18"/>
    <x v="18"/>
    <s v="&lt;null&gt;"/>
    <x v="3"/>
    <n v="2380"/>
    <s v="IN/001896"/>
    <s v="ZZZZZZ_Renovatie E40 Brussel - Luik: fase 3"/>
    <s v="&lt;null&gt;"/>
    <s v="Structurele Ingreep"/>
    <s v="WVB/INV/A3/4"/>
    <b v="0"/>
    <s v="Ingreep wordt niet opgevolgd in BOD"/>
    <s v="&lt;null&gt;"/>
    <s v="&lt;null&gt;"/>
    <s v="&lt;null&gt;"/>
    <s v="&lt;null&gt;"/>
    <s v="&lt;null&gt;"/>
    <x v="0"/>
    <s v="&lt;null&gt;"/>
    <s v="&lt;null&gt;"/>
    <s v="&lt;null&gt;"/>
    <s v="&lt;null&gt;"/>
    <s v="&lt;null&gt;"/>
    <s v="&lt;null&gt;"/>
    <s v="&lt;null&gt;"/>
    <s v="&lt;null&gt;"/>
    <s v="&lt;null&gt;"/>
    <m/>
    <m/>
    <m/>
    <m/>
  </r>
  <r>
    <x v="18"/>
    <x v="18"/>
    <s v="&lt;null&gt;"/>
    <x v="3"/>
    <n v="2381"/>
    <s v="IN/001897"/>
    <s v="N29 - Bufferbekken Begijnebeek thv Klipgaardestr"/>
    <s v="&lt;null&gt;"/>
    <s v="Structurele Ingreep"/>
    <s v="WVB/INV/N29/8"/>
    <b v="0"/>
    <s v="Ingreep wordt niet opgevolgd in BOD"/>
    <s v="&lt;null&gt;"/>
    <s v="&lt;null&gt;"/>
    <s v="&lt;null&gt;"/>
    <s v="&lt;null&gt;"/>
    <s v="&lt;null&gt;"/>
    <x v="0"/>
    <s v="&lt;null&gt;"/>
    <s v="&lt;null&gt;"/>
    <s v="&lt;null&gt;"/>
    <s v="&lt;null&gt;"/>
    <s v="&lt;null&gt;"/>
    <s v="&lt;null&gt;"/>
    <s v="&lt;null&gt;"/>
    <s v="&lt;null&gt;"/>
    <s v="&lt;null&gt;"/>
    <m/>
    <m/>
    <m/>
    <m/>
  </r>
  <r>
    <x v="18"/>
    <x v="18"/>
    <s v="&lt;null&gt;"/>
    <x v="3"/>
    <n v="2382"/>
    <s v="IN/001898"/>
    <s v="N118 - Ravels - Structureel Onderhoud na M13"/>
    <s v="&lt;null&gt;"/>
    <s v="Structurele Ingreep"/>
    <s v="WA/INV/N118/11"/>
    <b v="0"/>
    <s v="Ingreep wordt niet opgevolgd in BOD"/>
    <s v="&lt;null&gt;"/>
    <s v="&lt;null&gt;"/>
    <s v="&lt;null&gt;"/>
    <s v="&lt;null&gt;"/>
    <s v="&lt;null&gt;"/>
    <x v="0"/>
    <s v="&lt;null&gt;"/>
    <s v="&lt;null&gt;"/>
    <s v="&lt;null&gt;"/>
    <s v="&lt;null&gt;"/>
    <s v="&lt;null&gt;"/>
    <s v="&lt;null&gt;"/>
    <s v="&lt;null&gt;"/>
    <s v="&lt;null&gt;"/>
    <s v="&lt;null&gt;"/>
    <m/>
    <m/>
    <m/>
    <m/>
  </r>
  <r>
    <x v="18"/>
    <x v="18"/>
    <s v="&lt;null&gt;"/>
    <x v="3"/>
    <n v="2383"/>
    <s v="IN/001899"/>
    <s v="TYS: Structureel onderhoud brandleiding"/>
    <s v="&lt;null&gt;"/>
    <s v="Structurele Ingreep"/>
    <s v="WA/INV/TYS/5"/>
    <b v="0"/>
    <s v="Ingreep wordt niet opgevolgd in BOD"/>
    <s v="&lt;null&gt;"/>
    <s v="&lt;null&gt;"/>
    <s v="&lt;null&gt;"/>
    <s v="&lt;null&gt;"/>
    <s v="&lt;null&gt;"/>
    <x v="0"/>
    <s v="&lt;null&gt;"/>
    <s v="&lt;null&gt;"/>
    <s v="&lt;null&gt;"/>
    <s v="&lt;null&gt;"/>
    <s v="&lt;null&gt;"/>
    <s v="&lt;null&gt;"/>
    <s v="&lt;null&gt;"/>
    <s v="&lt;null&gt;"/>
    <s v="&lt;null&gt;"/>
    <m/>
    <m/>
    <m/>
    <m/>
  </r>
  <r>
    <x v="1379"/>
    <x v="1379"/>
    <s v="Verkeersveiligheid"/>
    <x v="1"/>
    <n v="2384"/>
    <s v="IN/001900"/>
    <s v="Aanpassingen kruispunt."/>
    <s v="Rechtsaf voor rood"/>
    <s v="Kleine Ingreep"/>
    <s v="WA/INV/N177/12"/>
    <b v="1"/>
    <s v="Ingreep wordt opgevolgd in BOD"/>
    <n v="12666"/>
    <s v="AWV/INV/2021/3_P1"/>
    <n v="130201"/>
    <n v="21064980"/>
    <s v="&lt;p&gt;vastlegging gevaarlijke punten (2021)&lt;/p&gt;"/>
    <x v="10"/>
    <n v="10471"/>
    <s v="N177 Markgravenlei"/>
    <s v="&lt;null&gt;"/>
    <s v="WA/INV/N177/12"/>
    <n v="100"/>
    <n v="27640"/>
    <n v="0"/>
    <n v="0"/>
    <n v="0.49"/>
    <n v="27640"/>
    <n v="0"/>
    <n v="0"/>
    <n v="0.49"/>
  </r>
  <r>
    <x v="1380"/>
    <x v="1380"/>
    <s v="Verkeersveiligheid"/>
    <x v="1"/>
    <n v="2385"/>
    <s v="IN/001901"/>
    <s v="Studie N120 - N130"/>
    <s v="Studie herinrichting"/>
    <s v="Kleine Ingreep"/>
    <s v="&lt;null&gt;"/>
    <b v="0"/>
    <s v="Ingreep wordt niet opgevolgd in BOD"/>
    <s v="&lt;null&gt;"/>
    <s v="&lt;null&gt;"/>
    <s v="&lt;null&gt;"/>
    <s v="&lt;null&gt;"/>
    <s v="&lt;null&gt;"/>
    <x v="0"/>
    <s v="&lt;null&gt;"/>
    <s v="&lt;null&gt;"/>
    <s v="&lt;null&gt;"/>
    <s v="&lt;null&gt;"/>
    <n v="100"/>
    <s v="&lt;null&gt;"/>
    <s v="&lt;null&gt;"/>
    <s v="&lt;null&gt;"/>
    <s v="&lt;null&gt;"/>
    <m/>
    <m/>
    <m/>
    <m/>
  </r>
  <r>
    <x v="1381"/>
    <x v="1381"/>
    <s v="Verkeersveiligheid"/>
    <x v="4"/>
    <n v="2386"/>
    <s v="IN/001902"/>
    <s v="Bierbeek toevoegen van fietslicht FA en bordje B23 'rechtdoor door rood' N3xKoning Albertlaan"/>
    <s v="fietslicht FA toevoegen dat samen met fietsers FC en de voetgangers groen heeft in de vierkant groen fase.\nEr zal een bordje B23 'rechtdoor door rood' moeten bijgeplaatst worden zodat fietsers tot aan het fietslicht kunnen rijden."/>
    <s v="Kleine Ingreep"/>
    <s v="&lt;null&gt;"/>
    <b v="0"/>
    <s v="Ingreep wordt niet opgevolgd in BOD"/>
    <s v="&lt;null&gt;"/>
    <s v="&lt;null&gt;"/>
    <s v="&lt;null&gt;"/>
    <s v="&lt;null&gt;"/>
    <s v="&lt;null&gt;"/>
    <x v="0"/>
    <s v="&lt;null&gt;"/>
    <s v="&lt;null&gt;"/>
    <s v="&lt;null&gt;"/>
    <s v="&lt;null&gt;"/>
    <n v="100"/>
    <s v="&lt;null&gt;"/>
    <s v="&lt;null&gt;"/>
    <s v="&lt;null&gt;"/>
    <s v="&lt;null&gt;"/>
    <m/>
    <m/>
    <m/>
    <m/>
  </r>
  <r>
    <x v="1155"/>
    <x v="1155"/>
    <s v="Verkeersveiligheid"/>
    <x v="4"/>
    <n v="2387"/>
    <s v="IN/001903"/>
    <s v="Snelheidscamera's in beide richtingen"/>
    <s v="handhaving dmv singuliere camera's in vaste zone 50"/>
    <s v="Kleine Ingreep"/>
    <s v="&lt;null&gt;"/>
    <b v="0"/>
    <s v="Ingreep wordt niet opgevolgd in BOD"/>
    <s v="&lt;null&gt;"/>
    <s v="&lt;null&gt;"/>
    <s v="&lt;null&gt;"/>
    <s v="&lt;null&gt;"/>
    <s v="&lt;null&gt;"/>
    <x v="0"/>
    <s v="&lt;null&gt;"/>
    <s v="&lt;null&gt;"/>
    <s v="&lt;null&gt;"/>
    <s v="&lt;null&gt;"/>
    <n v="100"/>
    <s v="&lt;null&gt;"/>
    <s v="&lt;null&gt;"/>
    <s v="&lt;null&gt;"/>
    <s v="&lt;null&gt;"/>
    <m/>
    <m/>
    <m/>
    <m/>
  </r>
  <r>
    <x v="1382"/>
    <x v="1382"/>
    <s v="Verkeersveiligheid"/>
    <x v="4"/>
    <n v="2388"/>
    <s v="IN/001904"/>
    <s v="hermarkeren VOP"/>
    <s v="&lt;null&gt;"/>
    <s v="Kleine Ingreep"/>
    <s v="WL/INV/N754/14"/>
    <b v="1"/>
    <s v="Ingreep wordt opgevolgd in BOD"/>
    <n v="12817"/>
    <s v="AWV/INV/2021/3_P5"/>
    <n v="135951"/>
    <n v="22015560"/>
    <s v="&lt;p&gt;gevaarlijke punten, scholenroutes&lt;/p&gt;"/>
    <x v="14"/>
    <n v="9924"/>
    <s v="Alken_N754_12.866"/>
    <s v="&lt;null&gt;"/>
    <s v="WL/INV/N754/14"/>
    <n v="100"/>
    <n v="1000"/>
    <n v="0"/>
    <n v="0"/>
    <n v="0"/>
    <n v="1000"/>
    <n v="0"/>
    <n v="0"/>
    <n v="0"/>
  </r>
  <r>
    <x v="1382"/>
    <x v="1382"/>
    <s v="Verkeersveiligheid"/>
    <x v="4"/>
    <n v="2389"/>
    <s v="IN/001905"/>
    <s v="Zichtbaarheid VOP verbeteren"/>
    <s v="haag vervangen door lage beplanting en gedeelte parkeerstrook opheffen"/>
    <s v="Kleine Ingreep"/>
    <s v="WL/INV/N754/13"/>
    <b v="1"/>
    <s v="Ingreep wordt opgevolgd in BOD"/>
    <n v="12817"/>
    <s v="AWV/INV/2021/3_P5"/>
    <n v="135951"/>
    <n v="22015560"/>
    <s v="&lt;p&gt;gevaarlijke punten, scholenroutes&lt;/p&gt;"/>
    <x v="14"/>
    <n v="9925"/>
    <s v="ALken_N754_12.890"/>
    <s v="&lt;null&gt;"/>
    <s v="WL/INV/N754/13"/>
    <n v="100"/>
    <n v="1250"/>
    <n v="0"/>
    <n v="0"/>
    <n v="48.55"/>
    <n v="1250"/>
    <n v="0"/>
    <n v="0"/>
    <n v="48.55"/>
  </r>
  <r>
    <x v="1382"/>
    <x v="1382"/>
    <s v="Verkeersveiligheid"/>
    <x v="4"/>
    <n v="2390"/>
    <s v="IN/001906"/>
    <s v="Punctuele verlichting thv VOP"/>
    <s v="&lt;null&gt;"/>
    <s v="Kleine Ingreep"/>
    <s v="&lt;null&gt;"/>
    <b v="0"/>
    <s v="Ingreep wordt niet opgevolgd in BOD"/>
    <s v="&lt;null&gt;"/>
    <s v="&lt;null&gt;"/>
    <s v="&lt;null&gt;"/>
    <s v="&lt;null&gt;"/>
    <s v="&lt;null&gt;"/>
    <x v="0"/>
    <s v="&lt;null&gt;"/>
    <s v="&lt;null&gt;"/>
    <s v="&lt;null&gt;"/>
    <s v="&lt;null&gt;"/>
    <n v="100"/>
    <s v="&lt;null&gt;"/>
    <s v="&lt;null&gt;"/>
    <s v="&lt;null&gt;"/>
    <s v="&lt;null&gt;"/>
    <m/>
    <m/>
    <m/>
    <m/>
  </r>
  <r>
    <x v="1382"/>
    <x v="1382"/>
    <s v="Verkeersveiligheid"/>
    <x v="4"/>
    <n v="2391"/>
    <s v="IN/001907"/>
    <s v="Rugdekking fietsers aanbrengen op verschillende plaatsen"/>
    <s v="&lt;null&gt;"/>
    <s v="Kleine Ingreep"/>
    <s v="WL/INV/N754/12"/>
    <b v="1"/>
    <s v="Ingreep wordt opgevolgd in BOD"/>
    <n v="12817"/>
    <s v="AWV/INV/2021/3_P5"/>
    <n v="135951"/>
    <n v="22015560"/>
    <s v="&lt;p&gt;gevaarlijke punten, scholenroutes&lt;/p&gt;"/>
    <x v="14"/>
    <n v="9923"/>
    <s v="Alken_N754_12.700/12.950/13.190"/>
    <s v="&lt;null&gt;"/>
    <s v="WL/INV/N754/12"/>
    <n v="100"/>
    <n v="25000"/>
    <n v="0"/>
    <n v="0"/>
    <n v="1055.95"/>
    <n v="25000"/>
    <n v="0"/>
    <n v="0"/>
    <n v="1055.95"/>
  </r>
  <r>
    <x v="1382"/>
    <x v="1382"/>
    <s v="Verkeersveiligheid"/>
    <x v="4"/>
    <n v="2392"/>
    <s v="IN/001908"/>
    <s v="Snelheidsverlaging naar 50"/>
    <s v="&lt;null&gt;"/>
    <s v="Kleine Ingreep"/>
    <s v="&lt;null&gt;"/>
    <b v="0"/>
    <s v="Ingreep wordt niet opgevolgd in BOD"/>
    <s v="&lt;null&gt;"/>
    <s v="&lt;null&gt;"/>
    <s v="&lt;null&gt;"/>
    <s v="&lt;null&gt;"/>
    <s v="&lt;null&gt;"/>
    <x v="0"/>
    <s v="&lt;null&gt;"/>
    <s v="&lt;null&gt;"/>
    <s v="&lt;null&gt;"/>
    <s v="&lt;null&gt;"/>
    <n v="100"/>
    <s v="&lt;null&gt;"/>
    <s v="&lt;null&gt;"/>
    <s v="&lt;null&gt;"/>
    <s v="&lt;null&gt;"/>
    <m/>
    <m/>
    <m/>
    <m/>
  </r>
  <r>
    <x v="1382"/>
    <x v="1382"/>
    <s v="Verkeersveiligheid"/>
    <x v="4"/>
    <n v="2393"/>
    <s v="IN/001909"/>
    <s v="trajectcontrole gedeelte 50 km/u"/>
    <s v="&lt;null&gt;"/>
    <s v="Kleine Ingreep"/>
    <s v="&lt;null&gt;"/>
    <b v="0"/>
    <s v="Ingreep wordt niet opgevolgd in BOD"/>
    <s v="&lt;null&gt;"/>
    <s v="&lt;null&gt;"/>
    <s v="&lt;null&gt;"/>
    <s v="&lt;null&gt;"/>
    <s v="&lt;null&gt;"/>
    <x v="0"/>
    <s v="&lt;null&gt;"/>
    <s v="&lt;null&gt;"/>
    <s v="&lt;null&gt;"/>
    <s v="&lt;null&gt;"/>
    <n v="100"/>
    <s v="&lt;null&gt;"/>
    <s v="&lt;null&gt;"/>
    <s v="&lt;null&gt;"/>
    <s v="&lt;null&gt;"/>
    <m/>
    <m/>
    <m/>
    <m/>
  </r>
  <r>
    <x v="1382"/>
    <x v="1382"/>
    <s v="Verkeersveiligheid"/>
    <x v="4"/>
    <n v="2394"/>
    <s v="IN/001910"/>
    <s v="fietssuggestiestroken (zone te bepalen)"/>
    <s v="&lt;null&gt;"/>
    <s v="Kleine Ingreep"/>
    <s v="WL/INV/N754/15"/>
    <b v="1"/>
    <s v="Ingreep wordt opgevolgd in BOD"/>
    <n v="12817"/>
    <s v="AWV/INV/2021/3_P5"/>
    <n v="135951"/>
    <n v="22015560"/>
    <s v="&lt;p&gt;gevaarlijke punten, scholenroutes&lt;/p&gt;"/>
    <x v="14"/>
    <n v="10575"/>
    <s v="Alken_N754_13.600"/>
    <s v="&lt;null&gt;"/>
    <s v="WL/INV/N754/15"/>
    <n v="100"/>
    <n v="110000"/>
    <n v="0"/>
    <n v="0"/>
    <n v="0"/>
    <n v="110000"/>
    <n v="0"/>
    <n v="0"/>
    <n v="0"/>
  </r>
  <r>
    <x v="1382"/>
    <x v="1382"/>
    <s v="Verkeersveiligheid"/>
    <x v="4"/>
    <n v="2395"/>
    <s v="IN/001911"/>
    <s v="Aanpassen kruispunten Haverenbosstraat en de Klameerstraat"/>
    <s v="Het aanpassen van het kruispunt van de N754 met de Haverenbosstraat en de Klameerstraat.\n\nVersmallen aansluiting Klameerstraat door verwijdering middeneiland\n\nOntharden zone tussen Klameerstraat en Haverenbosstraat"/>
    <s v="Kleine Ingreep"/>
    <s v="&lt;null&gt;"/>
    <b v="0"/>
    <s v="Ingreep wordt niet opgevolgd in BOD"/>
    <s v="&lt;null&gt;"/>
    <s v="&lt;null&gt;"/>
    <s v="&lt;null&gt;"/>
    <s v="&lt;null&gt;"/>
    <s v="&lt;null&gt;"/>
    <x v="0"/>
    <s v="&lt;null&gt;"/>
    <s v="&lt;null&gt;"/>
    <s v="&lt;null&gt;"/>
    <s v="&lt;null&gt;"/>
    <n v="100"/>
    <s v="&lt;null&gt;"/>
    <s v="&lt;null&gt;"/>
    <s v="&lt;null&gt;"/>
    <s v="&lt;null&gt;"/>
    <m/>
    <m/>
    <m/>
    <m/>
  </r>
  <r>
    <x v="1383"/>
    <x v="1383"/>
    <s v="Fiets"/>
    <x v="0"/>
    <n v="2396"/>
    <s v="IN/001912"/>
    <s v="Bijkomende ingreep - plaatsen van een VFOP"/>
    <s v="Plaatsen van een VFOP thv de fietssnelweg F1 langs de Zenne, bij de oversteek met de R22."/>
    <s v="Kleine Ingreep"/>
    <s v="WVB/INV/R22/4"/>
    <b v="0"/>
    <s v="Ingreep wordt niet opgevolgd in BOD"/>
    <s v="&lt;null&gt;"/>
    <s v="&lt;null&gt;"/>
    <s v="&lt;null&gt;"/>
    <s v="&lt;null&gt;"/>
    <s v="&lt;null&gt;"/>
    <x v="0"/>
    <s v="&lt;null&gt;"/>
    <s v="&lt;null&gt;"/>
    <s v="&lt;null&gt;"/>
    <s v="&lt;null&gt;"/>
    <n v="100"/>
    <s v="&lt;null&gt;"/>
    <s v="&lt;null&gt;"/>
    <s v="&lt;null&gt;"/>
    <s v="&lt;null&gt;"/>
    <m/>
    <m/>
    <m/>
    <m/>
  </r>
  <r>
    <x v="1384"/>
    <x v="1384"/>
    <s v="Verkeersveiligheid"/>
    <x v="6"/>
    <n v="2397"/>
    <s v="IN/001913"/>
    <s v="Regenboogzebrapad aanbrengen"/>
    <s v="Regenboogzebrapad aanbrengen"/>
    <s v="Kleine Ingreep"/>
    <s v="WOV/INV/N462/7"/>
    <b v="1"/>
    <s v="Ingreep wordt opgevolgd in BOD"/>
    <n v="11864"/>
    <s v="AWV/INV/2021/3_P4"/>
    <n v="110851"/>
    <n v="21065760"/>
    <s v="&lt;p&gt;Schoolrouteknelpunten (2021 (op 230))&lt;/p&gt;"/>
    <x v="23"/>
    <n v="8926"/>
    <s v="Regenboogzebrapad aanbrengen Zottegem N462"/>
    <s v="&lt;p&gt;Regenboogzebrapad aanbrengen Zottegem N462&lt;/p&gt;"/>
    <s v="WOV/INV/N462/7"/>
    <n v="100"/>
    <n v="900"/>
    <n v="815.83500000000004"/>
    <n v="0"/>
    <n v="84.165000000000006"/>
    <n v="900"/>
    <n v="815.83500000000004"/>
    <n v="0"/>
    <n v="84.165000000000006"/>
  </r>
  <r>
    <x v="1385"/>
    <x v="1385"/>
    <s v="Stimuleren Combimobiliteit"/>
    <x v="7"/>
    <n v="2398"/>
    <s v="IN/001914"/>
    <s v="N37 te Aalter x Cijnsstraat : Aanleg van een nieuwe, vrijliggende bushaltehaven in beton thv de Cijnsstraat langs de Tieltsesteenweg AR"/>
    <s v="N37 te Aalter x Cijnsstraat : halte De Knok : Aanleg van een nieuwe, vrijliggende bushaltehaven in beton thv de Cijnsstraat langs de Tieltsesteenweg AR"/>
    <s v="Kleine Ingreep"/>
    <s v="WOV/INV/N37/4"/>
    <b v="1"/>
    <s v="Ingreep wordt opgevolgd in BOD"/>
    <n v="11864"/>
    <s v="AWV/INV/2021/3_P4"/>
    <n v="123301"/>
    <n v="22017035"/>
    <s v="&lt;p&gt;Bushaltes (2022 (op 214))&lt;/p&gt;"/>
    <x v="26"/>
    <n v="8924"/>
    <s v="N37 te Aalter x Cijnsstraat : Aanleg van een nieuwe, vrijliggende bushaltehaven in beton thv de Cijnsstraat langs de Tieltsesteenweg AR"/>
    <s v="&lt;p&gt;N37 te Aalter x Cijnsstraat : Aanleg van een nieuwe, vrijliggende bushaltehaven in beton thv de Cijnsstraat langs de Tieltsesteenweg AR&lt;/p&gt;"/>
    <s v="WOV/INV/N37/4"/>
    <n v="100"/>
    <n v="31000"/>
    <n v="0"/>
    <n v="0"/>
    <n v="917.9"/>
    <n v="31000"/>
    <n v="0"/>
    <n v="0"/>
    <n v="917.9"/>
  </r>
  <r>
    <x v="1385"/>
    <x v="1385"/>
    <s v="Stimuleren Combimobiliteit"/>
    <x v="7"/>
    <n v="2399"/>
    <s v="IN/001915"/>
    <s v="N37 te Aalter x Cijnsstraat : Aanleg van een nieuwe, vrijliggende bushaltehaven in beton thv de Cijnsstraat langs de Tieltsesteenweg OR"/>
    <s v="N37 te Aalter x Cijnsstraat : halte De Knok : Aanleg van een nieuwe, vrijliggende bushaltehaven in beton thv de Cijnsstraat langs de Tieltsesteenweg OR"/>
    <s v="Kleine Ingreep"/>
    <s v="WOV/INV/N37/5"/>
    <b v="1"/>
    <s v="Ingreep wordt opgevolgd in BOD"/>
    <n v="11864"/>
    <s v="AWV/INV/2021/3_P4"/>
    <n v="123301"/>
    <n v="22017035"/>
    <s v="&lt;p&gt;Bushaltes (2022 (op 214))&lt;/p&gt;"/>
    <x v="26"/>
    <n v="8925"/>
    <s v="N37 te Aalter x Cijnsstraat : Aanleg van een nieuwe, vrijliggende bushaltehaven in beton thv de Cijnsstraat langs de Tieltsesteenweg OR"/>
    <s v="&lt;p&gt;N37 te Aalter x Cijnsstraat : Aanleg van een nieuwe, vrijliggende bushaltehaven in beton thv de Cijnsstraat langs de Tieltsesteenweg OR&lt;/p&gt;"/>
    <s v="WOV/INV/N37/5"/>
    <n v="100"/>
    <n v="40000"/>
    <n v="0"/>
    <n v="0"/>
    <n v="102.66"/>
    <n v="40000"/>
    <n v="0"/>
    <n v="0"/>
    <n v="102.66"/>
  </r>
  <r>
    <x v="1386"/>
    <x v="1386"/>
    <s v="Stimuleren Combimobiliteit"/>
    <x v="7"/>
    <n v="2400"/>
    <s v="IN/001916"/>
    <s v="Bus: N454 Maarkedal: aanleg nieuwe bushalte (halte Schoolstraat), rechts"/>
    <s v="Bus: N454 Maarkedal: aanleg nieuwe bushalte (halte Schoolstraat), rechts"/>
    <s v="Kleine Ingreep"/>
    <s v="WOV/INV/N454/9"/>
    <b v="1"/>
    <s v="Ingreep wordt opgevolgd in BOD"/>
    <n v="11864"/>
    <s v="AWV/INV/2021/3_P4"/>
    <n v="123301"/>
    <n v="22017035"/>
    <s v="&lt;p&gt;Bushaltes (2022 (op 214))&lt;/p&gt;"/>
    <x v="26"/>
    <n v="8940"/>
    <s v="Aanleg nieuwe bushalte 18m Hofveldstraat te Maarkedal OR"/>
    <s v="&lt;p&gt;Aanleg nieuwe bushalte 18m Hofveldstraat te Maarkedal OR&lt;/p&gt;"/>
    <s v="WOV/INV/N454/9"/>
    <n v="100"/>
    <n v="14200"/>
    <n v="0"/>
    <n v="0"/>
    <n v="14.87"/>
    <n v="14200"/>
    <n v="0"/>
    <n v="0"/>
    <n v="14.87"/>
  </r>
  <r>
    <x v="1386"/>
    <x v="1386"/>
    <s v="Stimuleren Combimobiliteit"/>
    <x v="7"/>
    <n v="2401"/>
    <s v="IN/001917"/>
    <s v="Bus: N454 Maarkedal: aanleg nieuwe bushalte (halte Schoolstraat), links"/>
    <s v="Bus: N454 Maarkedal: aanleg nieuwe bushalte (halte Schoolstraat), links"/>
    <s v="Kleine Ingreep"/>
    <s v="WOV/INV/N454/10"/>
    <b v="1"/>
    <s v="Ingreep wordt opgevolgd in BOD"/>
    <n v="11864"/>
    <s v="AWV/INV/2021/3_P4"/>
    <n v="123301"/>
    <n v="22017035"/>
    <s v="&lt;p&gt;Bushaltes (2022 (op 214))&lt;/p&gt;"/>
    <x v="26"/>
    <n v="8941"/>
    <s v="Aanleg nieuwe bushalte 18m Hofveldstraat te Maarkedal AR"/>
    <s v="&lt;p&gt;Aanleg nieuwe bushalte 18m Hofveldstraat te Maarkedal AR&lt;/p&gt;"/>
    <s v="WOV/INV/N454/10"/>
    <n v="100"/>
    <n v="9400"/>
    <n v="0"/>
    <n v="0"/>
    <n v="15.69"/>
    <n v="9400"/>
    <n v="0"/>
    <n v="0"/>
    <n v="15.69"/>
  </r>
  <r>
    <x v="1363"/>
    <x v="1363"/>
    <s v="Stimuleren Combimobiliteit"/>
    <x v="7"/>
    <n v="2402"/>
    <s v="IN/001918"/>
    <s v="Aanleg Bushalte N460 x Waalhovestraat Ninove AR"/>
    <s v="Aanleg Bushalte N460 x Waalhovestraat Ninove AR"/>
    <s v="Kleine Ingreep"/>
    <s v="WOV/INV/N460/9"/>
    <b v="1"/>
    <s v="Ingreep wordt opgevolgd in BOD"/>
    <n v="11864"/>
    <s v="AWV/INV/2021/3_P4"/>
    <n v="123301"/>
    <n v="22017035"/>
    <s v="&lt;p&gt;Bushaltes (2022 (op 214))&lt;/p&gt;"/>
    <x v="26"/>
    <n v="8942"/>
    <s v="Aanleg Bushalte N460 x Waalhovestraat Ninove AR"/>
    <s v="&lt;p&gt;Aanleg Bushalte N460 x Waalhovestraat Ninove AR&lt;/p&gt;"/>
    <s v="WOV/INV/N460/9"/>
    <n v="100"/>
    <n v="24800"/>
    <n v="0"/>
    <n v="0"/>
    <n v="75.180000000000007"/>
    <n v="24800"/>
    <n v="0"/>
    <n v="0"/>
    <n v="75.180000000000007"/>
  </r>
  <r>
    <x v="18"/>
    <x v="18"/>
    <s v="&lt;null&gt;"/>
    <x v="3"/>
    <n v="2403"/>
    <s v="IN/001919"/>
    <s v="Bijkomende ingreep - Aanpassing complex A10 Affligem"/>
    <s v="Op- en afrittecomplex aanpassen door aanleg van een rotonde/keerpunt."/>
    <s v="Klein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2404"/>
    <s v="IN/001920"/>
    <s v="E40 Structureel onderhoud Goetsenhoven"/>
    <s v="&lt;null&gt;"/>
    <s v="Structurele Ingreep"/>
    <s v="WVB/INV/A3/13"/>
    <b v="0"/>
    <s v="Ingreep wordt niet opgevolgd in BOD"/>
    <s v="&lt;null&gt;"/>
    <s v="&lt;null&gt;"/>
    <s v="&lt;null&gt;"/>
    <s v="&lt;null&gt;"/>
    <s v="&lt;null&gt;"/>
    <x v="0"/>
    <s v="&lt;null&gt;"/>
    <s v="&lt;null&gt;"/>
    <s v="&lt;null&gt;"/>
    <s v="&lt;null&gt;"/>
    <s v="&lt;null&gt;"/>
    <s v="&lt;null&gt;"/>
    <s v="&lt;null&gt;"/>
    <s v="&lt;null&gt;"/>
    <s v="&lt;null&gt;"/>
    <m/>
    <m/>
    <m/>
    <m/>
  </r>
  <r>
    <x v="18"/>
    <x v="18"/>
    <s v="&lt;null&gt;"/>
    <x v="3"/>
    <n v="2405"/>
    <s v="IN/001921"/>
    <s v="E40 Structureel onderhoud Walshoutem"/>
    <s v="&lt;null&gt;"/>
    <s v="Structurele Ingreep"/>
    <s v="WVB/INV/A3/14"/>
    <b v="0"/>
    <s v="Ingreep wordt niet opgevolgd in BOD"/>
    <s v="&lt;null&gt;"/>
    <s v="&lt;null&gt;"/>
    <s v="&lt;null&gt;"/>
    <s v="&lt;null&gt;"/>
    <s v="&lt;null&gt;"/>
    <x v="0"/>
    <s v="&lt;null&gt;"/>
    <s v="&lt;null&gt;"/>
    <s v="&lt;null&gt;"/>
    <s v="&lt;null&gt;"/>
    <s v="&lt;null&gt;"/>
    <s v="&lt;null&gt;"/>
    <s v="&lt;null&gt;"/>
    <s v="&lt;null&gt;"/>
    <s v="&lt;null&gt;"/>
    <m/>
    <m/>
    <m/>
    <m/>
  </r>
  <r>
    <x v="18"/>
    <x v="18"/>
    <s v="&lt;null&gt;"/>
    <x v="3"/>
    <n v="2406"/>
    <s v="IN/001922"/>
    <s v="A12.DP11 Structureel Onderhoud (Meise)"/>
    <s v="&lt;null&gt;"/>
    <s v="Structurele Ingreep"/>
    <s v="WVB/INV/A12/8"/>
    <b v="0"/>
    <s v="Ingreep wordt niet opgevolgd in BOD"/>
    <s v="&lt;null&gt;"/>
    <s v="&lt;null&gt;"/>
    <s v="&lt;null&gt;"/>
    <s v="&lt;null&gt;"/>
    <s v="&lt;null&gt;"/>
    <x v="0"/>
    <s v="&lt;null&gt;"/>
    <s v="&lt;null&gt;"/>
    <s v="&lt;null&gt;"/>
    <s v="&lt;null&gt;"/>
    <s v="&lt;null&gt;"/>
    <s v="&lt;null&gt;"/>
    <s v="&lt;null&gt;"/>
    <s v="&lt;null&gt;"/>
    <s v="&lt;null&gt;"/>
    <m/>
    <m/>
    <m/>
    <m/>
  </r>
  <r>
    <x v="1387"/>
    <x v="1387"/>
    <s v="Verkeersveiligheid"/>
    <x v="4"/>
    <n v="2452"/>
    <s v="IN/001923"/>
    <s v="Leuven invoeren zone 30 op de N253 Sint-Jansbergsesteenweg"/>
    <s v="Stad Leuven stelt AR op voor invoeren van zone 30 die ruimer is dan enkel de gewestweg."/>
    <s v="Kleine Ingreep"/>
    <s v="WVB/INV/N253/13"/>
    <b v="0"/>
    <s v="Ingreep wordt niet opgevolgd in BOD"/>
    <s v="&lt;null&gt;"/>
    <s v="&lt;null&gt;"/>
    <s v="&lt;null&gt;"/>
    <s v="&lt;null&gt;"/>
    <s v="&lt;null&gt;"/>
    <x v="0"/>
    <s v="&lt;null&gt;"/>
    <s v="&lt;null&gt;"/>
    <s v="&lt;null&gt;"/>
    <s v="&lt;null&gt;"/>
    <n v="100"/>
    <s v="&lt;null&gt;"/>
    <s v="&lt;null&gt;"/>
    <s v="&lt;null&gt;"/>
    <s v="&lt;null&gt;"/>
    <m/>
    <m/>
    <m/>
    <m/>
  </r>
  <r>
    <x v="1388"/>
    <x v="1388"/>
    <s v="Verkeersveiligheid"/>
    <x v="5"/>
    <n v="2453"/>
    <s v="IN/001924"/>
    <s v="MIA: aanpakken verzakking rechterwielspoor N79"/>
    <s v="Aanpakken van funderingsproblemen ter hoogte van het rechtwielspoor door plaatselijk de opbouw de vernieuwen."/>
    <s v="Kleine Ingreep"/>
    <s v="WL/INV/N79/9"/>
    <b v="1"/>
    <s v="Ingreep wordt opgevolgd in BOD"/>
    <n v="11573"/>
    <s v="WL/INV/2021/7_P5"/>
    <n v="131401"/>
    <n v="21068770"/>
    <s v="&lt;p&gt;werken van Martens in district Zuid&lt;/p&gt;"/>
    <x v="2"/>
    <n v="9001"/>
    <s v="aanpakken verzakking rechterwielspoor N79"/>
    <s v="&lt;null&gt;"/>
    <s v="WL/INV/N79/9"/>
    <n v="100"/>
    <n v="127140.78"/>
    <n v="0"/>
    <n v="0"/>
    <n v="98.52"/>
    <n v="127140.78"/>
    <n v="0"/>
    <n v="0"/>
    <n v="98.52"/>
  </r>
  <r>
    <x v="1389"/>
    <x v="1389"/>
    <s v="Verkeersveiligheid"/>
    <x v="5"/>
    <n v="2502"/>
    <s v="IN/001925"/>
    <s v="Leopoldsburg: N746 aanpassen middenberm"/>
    <s v="Middenberm verlagen zodat de erftoegangen veiliger toegankelijk zijn."/>
    <s v="Kleine Ingreep"/>
    <s v="WL/INV/N746/11"/>
    <b v="1"/>
    <s v="Ingreep wordt opgevolgd in BOD"/>
    <n v="11576"/>
    <s v="WL/INV/2021/8_P3"/>
    <n v="110301"/>
    <n v="21067073"/>
    <s v="&lt;p&gt;werken van Gemoco in district West&lt;/p&gt;"/>
    <x v="2"/>
    <n v="7471"/>
    <s v="Leopoldsburg: N746 middenberm"/>
    <s v="&lt;null&gt;"/>
    <s v="WL/INV/N746/11"/>
    <n v="100"/>
    <n v="46000"/>
    <n v="0"/>
    <n v="28614.116000000002"/>
    <n v="17385.883999999998"/>
    <n v="46000"/>
    <n v="0"/>
    <n v="28614.116000000002"/>
    <n v="17385.883999999998"/>
  </r>
  <r>
    <x v="18"/>
    <x v="18"/>
    <s v="&lt;null&gt;"/>
    <x v="3"/>
    <n v="2503"/>
    <s v="IN/001926"/>
    <s v="R4 Merelbeke -aanleg fietstunnels onder op-/afritt"/>
    <s v="&lt;null&gt;"/>
    <s v="Structurele Ingreep"/>
    <s v="WOV/INV/R4/11"/>
    <b v="0"/>
    <s v="Ingreep wordt niet opgevolgd in BOD"/>
    <s v="&lt;null&gt;"/>
    <s v="&lt;null&gt;"/>
    <s v="&lt;null&gt;"/>
    <s v="&lt;null&gt;"/>
    <s v="&lt;null&gt;"/>
    <x v="0"/>
    <s v="&lt;null&gt;"/>
    <s v="&lt;null&gt;"/>
    <s v="&lt;null&gt;"/>
    <s v="&lt;null&gt;"/>
    <s v="&lt;null&gt;"/>
    <s v="&lt;null&gt;"/>
    <s v="&lt;null&gt;"/>
    <s v="&lt;null&gt;"/>
    <s v="&lt;null&gt;"/>
    <m/>
    <m/>
    <m/>
    <m/>
  </r>
  <r>
    <x v="18"/>
    <x v="18"/>
    <s v="&lt;null&gt;"/>
    <x v="3"/>
    <n v="2504"/>
    <s v="IN/001927"/>
    <s v="E40 Structureel onderhoud Gingelom"/>
    <s v="&lt;null&gt;"/>
    <s v="Structurele Ingreep"/>
    <s v="WVB/INV/A3/15"/>
    <b v="0"/>
    <s v="Ingreep wordt niet opgevolgd in BOD"/>
    <s v="&lt;null&gt;"/>
    <s v="&lt;null&gt;"/>
    <s v="&lt;null&gt;"/>
    <s v="&lt;null&gt;"/>
    <s v="&lt;null&gt;"/>
    <x v="0"/>
    <s v="&lt;null&gt;"/>
    <s v="&lt;null&gt;"/>
    <s v="&lt;null&gt;"/>
    <s v="&lt;null&gt;"/>
    <s v="&lt;null&gt;"/>
    <s v="&lt;null&gt;"/>
    <s v="&lt;null&gt;"/>
    <s v="&lt;null&gt;"/>
    <s v="&lt;null&gt;"/>
    <m/>
    <m/>
    <m/>
    <m/>
  </r>
  <r>
    <x v="18"/>
    <x v="18"/>
    <s v="&lt;null&gt;"/>
    <x v="3"/>
    <n v="2505"/>
    <s v="IN/001928"/>
    <s v="CRA Vernieuwing ventilatie"/>
    <s v="&lt;null&gt;"/>
    <s v="Structurele Ingreep"/>
    <s v="WA/INV/CRA/1"/>
    <b v="0"/>
    <s v="Ingreep wordt niet opgevolgd in BOD"/>
    <s v="&lt;null&gt;"/>
    <s v="&lt;null&gt;"/>
    <s v="&lt;null&gt;"/>
    <s v="&lt;null&gt;"/>
    <s v="&lt;null&gt;"/>
    <x v="0"/>
    <s v="&lt;null&gt;"/>
    <s v="&lt;null&gt;"/>
    <s v="&lt;null&gt;"/>
    <s v="&lt;null&gt;"/>
    <s v="&lt;null&gt;"/>
    <s v="&lt;null&gt;"/>
    <s v="&lt;null&gt;"/>
    <s v="&lt;null&gt;"/>
    <s v="&lt;null&gt;"/>
    <m/>
    <m/>
    <m/>
    <m/>
  </r>
  <r>
    <x v="735"/>
    <x v="735"/>
    <s v="Verkeersveiligheid"/>
    <x v="4"/>
    <n v="2506"/>
    <s v="IN/001929"/>
    <s v="VOP realiseren"/>
    <s v="Molsekiezel x Sterstraat - realisatie VOP + VVOP"/>
    <s v="Kleine Ingreep"/>
    <s v="WL/INV/N712/12"/>
    <b v="1"/>
    <s v="Ingreep wordt opgevolgd in BOD"/>
    <n v="12817"/>
    <s v="AWV/INV/2021/3_P5"/>
    <n v="135951"/>
    <n v="22015560"/>
    <s v="&lt;p&gt;gevaarlijke punten, scholenroutes&lt;/p&gt;"/>
    <x v="14"/>
    <n v="9361"/>
    <s v="Lommel_N712_KS174_9.318"/>
    <s v="&lt;null&gt;"/>
    <s v="WL/INV/N712/12"/>
    <n v="100"/>
    <n v="50000"/>
    <n v="0"/>
    <n v="0"/>
    <n v="47504.29"/>
    <n v="50000"/>
    <n v="0"/>
    <n v="0"/>
    <n v="47504.29"/>
  </r>
  <r>
    <x v="18"/>
    <x v="18"/>
    <s v="&lt;null&gt;"/>
    <x v="3"/>
    <n v="2507"/>
    <s v="IN/001930"/>
    <s v="Betonherstellingen Tijsmanstunnel"/>
    <s v="&lt;null&gt;"/>
    <s v="Structurel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2508"/>
    <s v="IN/001931"/>
    <s v="Zelzate renovatie dienstgebouwen"/>
    <s v="&lt;null&gt;"/>
    <s v="Structurele Ingreep"/>
    <s v="WA/INV/ZEL/1"/>
    <b v="0"/>
    <s v="Ingreep wordt niet opgevolgd in BOD"/>
    <s v="&lt;null&gt;"/>
    <s v="&lt;null&gt;"/>
    <s v="&lt;null&gt;"/>
    <s v="&lt;null&gt;"/>
    <s v="&lt;null&gt;"/>
    <x v="0"/>
    <s v="&lt;null&gt;"/>
    <s v="&lt;null&gt;"/>
    <s v="&lt;null&gt;"/>
    <s v="&lt;null&gt;"/>
    <s v="&lt;null&gt;"/>
    <s v="&lt;null&gt;"/>
    <s v="&lt;null&gt;"/>
    <s v="&lt;null&gt;"/>
    <s v="&lt;null&gt;"/>
    <m/>
    <m/>
    <m/>
    <m/>
  </r>
  <r>
    <x v="18"/>
    <x v="18"/>
    <s v="&lt;null&gt;"/>
    <x v="3"/>
    <n v="2509"/>
    <s v="IN/001932"/>
    <s v="Jan De Vostunnel: Glasdallen vandalismevrij maken"/>
    <s v="&lt;null&gt;"/>
    <s v="Structurele Ingreep"/>
    <s v="WA/INV/JDV/1"/>
    <b v="0"/>
    <s v="Ingreep wordt niet opgevolgd in BOD"/>
    <s v="&lt;null&gt;"/>
    <s v="&lt;null&gt;"/>
    <s v="&lt;null&gt;"/>
    <s v="&lt;null&gt;"/>
    <s v="&lt;null&gt;"/>
    <x v="0"/>
    <s v="&lt;null&gt;"/>
    <s v="&lt;null&gt;"/>
    <s v="&lt;null&gt;"/>
    <s v="&lt;null&gt;"/>
    <s v="&lt;null&gt;"/>
    <s v="&lt;null&gt;"/>
    <s v="&lt;null&gt;"/>
    <s v="&lt;null&gt;"/>
    <s v="&lt;null&gt;"/>
    <m/>
    <m/>
    <m/>
    <m/>
  </r>
  <r>
    <x v="1390"/>
    <x v="1390"/>
    <s v="Verkeersveiligheid"/>
    <x v="6"/>
    <n v="2510"/>
    <s v="IN/001933"/>
    <s v="Toevoegen van afslagstrook door enkel aanpassingen aan markering"/>
    <s v="&lt;null&gt;"/>
    <s v="Kleine Ingreep"/>
    <s v="WL/INV/N793/2"/>
    <b v="1"/>
    <s v="Ingreep wordt opgevolgd in BOD"/>
    <n v="11120"/>
    <s v="X70/0/370"/>
    <n v="86451"/>
    <n v="20072857"/>
    <s v="&lt;p&gt;Budget Limburg&lt;/p&gt;"/>
    <x v="27"/>
    <n v="9094"/>
    <s v="N793 wijzigen markering"/>
    <s v="&lt;null&gt;"/>
    <s v="WL/INV/N793/2"/>
    <n v="100"/>
    <n v="35000"/>
    <n v="0"/>
    <n v="0"/>
    <n v="3045"/>
    <n v="35000"/>
    <n v="0"/>
    <n v="0"/>
    <n v="3045"/>
  </r>
  <r>
    <x v="1391"/>
    <x v="1391"/>
    <s v="Verkeersveiligheid"/>
    <x v="6"/>
    <n v="2511"/>
    <s v="IN/001934"/>
    <s v="Bijkomende ingreep: verbeteren oversteekbaarheid N285 Kwakenbeekstraat-Zijpstraat"/>
    <s v="Aanleggen van middeneilanden ter verbetering van de oversteekbaarheid N285"/>
    <s v="Kleine Ingreep"/>
    <s v="WVB/INV/N285/10"/>
    <b v="1"/>
    <s v="Ingreep wordt opgevolgd in BOD"/>
    <n v="11865"/>
    <s v="AWV/INV/2021/3_P2"/>
    <n v="113351"/>
    <n v="21064994"/>
    <s v="&lt;p&gt;relance schoolroutes&lt;/p&gt;"/>
    <x v="9"/>
    <n v="9989"/>
    <s v="IN/001934 N285 Gooik Kwakenbeekstraat"/>
    <s v="&lt;null&gt;"/>
    <s v="WVB/INV/N285/10"/>
    <n v="100"/>
    <n v="300000"/>
    <n v="0"/>
    <n v="0"/>
    <n v="300000"/>
    <n v="300000"/>
    <n v="0"/>
    <n v="0"/>
    <n v="300000"/>
  </r>
  <r>
    <x v="1392"/>
    <x v="1392"/>
    <s v="Verkeersveiligheid"/>
    <x v="6"/>
    <n v="2512"/>
    <s v="IN/001935"/>
    <s v="Aanpassingen kruispunten N73 x Sint-Trudostraat en N73 x Sint-Elisabethlaan"/>
    <s v="Aanleg bushaltes en VRI aan Sint-Elisabethlaan.\nVerwijderen van bushaltes aan Sint-Trudostraat."/>
    <s v="Kleine Ingreep"/>
    <s v="WL/INV/N73/25"/>
    <b v="0"/>
    <s v="Ingreep wordt niet opgevolgd in BOD"/>
    <s v="&lt;null&gt;"/>
    <s v="&lt;null&gt;"/>
    <s v="&lt;null&gt;"/>
    <s v="&lt;null&gt;"/>
    <s v="&lt;null&gt;"/>
    <x v="0"/>
    <s v="&lt;null&gt;"/>
    <s v="&lt;null&gt;"/>
    <s v="&lt;null&gt;"/>
    <s v="&lt;null&gt;"/>
    <n v="100"/>
    <s v="&lt;null&gt;"/>
    <s v="&lt;null&gt;"/>
    <s v="&lt;null&gt;"/>
    <s v="&lt;null&gt;"/>
    <m/>
    <m/>
    <m/>
    <m/>
  </r>
  <r>
    <x v="1393"/>
    <x v="1393"/>
    <s v="Verkeersveiligheid"/>
    <x v="6"/>
    <n v="2513"/>
    <s v="IN/001936"/>
    <s v="Verplaatsen van VOP"/>
    <s v="&lt;null&gt;"/>
    <s v="Kleine Ingreep"/>
    <s v="WL/INV/N730/22"/>
    <b v="0"/>
    <s v="Ingreep wordt niet opgevolgd in BOD"/>
    <s v="&lt;null&gt;"/>
    <s v="&lt;null&gt;"/>
    <s v="&lt;null&gt;"/>
    <s v="&lt;null&gt;"/>
    <s v="&lt;null&gt;"/>
    <x v="0"/>
    <s v="&lt;null&gt;"/>
    <s v="&lt;null&gt;"/>
    <s v="&lt;null&gt;"/>
    <s v="&lt;null&gt;"/>
    <n v="100"/>
    <s v="&lt;null&gt;"/>
    <s v="&lt;null&gt;"/>
    <s v="&lt;null&gt;"/>
    <s v="&lt;null&gt;"/>
    <m/>
    <m/>
    <m/>
    <m/>
  </r>
  <r>
    <x v="1394"/>
    <x v="1394"/>
    <s v="Verkeersveiligheid"/>
    <x v="6"/>
    <n v="2514"/>
    <s v="IN/001937"/>
    <s v="Aanleg van verkeersplateau incl. VOP en FOP"/>
    <s v="&lt;null&gt;"/>
    <s v="Kleine Ingreep"/>
    <s v="WL/INV/N784/3"/>
    <b v="0"/>
    <s v="Ingreep wordt niet opgevolgd in BOD"/>
    <s v="&lt;null&gt;"/>
    <s v="&lt;null&gt;"/>
    <s v="&lt;null&gt;"/>
    <s v="&lt;null&gt;"/>
    <s v="&lt;null&gt;"/>
    <x v="0"/>
    <s v="&lt;null&gt;"/>
    <s v="&lt;null&gt;"/>
    <s v="&lt;null&gt;"/>
    <s v="&lt;null&gt;"/>
    <n v="100"/>
    <s v="&lt;null&gt;"/>
    <s v="&lt;null&gt;"/>
    <s v="&lt;null&gt;"/>
    <s v="&lt;null&gt;"/>
    <m/>
    <m/>
    <m/>
    <m/>
  </r>
  <r>
    <x v="1395"/>
    <x v="1395"/>
    <s v="Verkeersveiligheid"/>
    <x v="5"/>
    <n v="2515"/>
    <s v="IN/001938"/>
    <s v="Toevoegen van een VFOP"/>
    <s v="&lt;null&gt;"/>
    <s v="Kleine Ingreep"/>
    <s v="WL/INV/N614/3"/>
    <b v="1"/>
    <s v="Ingreep wordt opgevolgd in BOD"/>
    <n v="11569"/>
    <s v="WL/INV/2021/7_P1"/>
    <n v="131851"/>
    <n v="21067116"/>
    <s v="&lt;p&gt;werken van Gemoco in district Zuid&lt;/p&gt;"/>
    <x v="2"/>
    <n v="9021"/>
    <s v="Herstappe: N614 dubbelrichtingsoversteek"/>
    <m/>
    <s v="WL/INV/N614/3"/>
    <n v="100"/>
    <n v="173140.5"/>
    <n v="0"/>
    <n v="0"/>
    <n v="172702.5"/>
    <n v="173140.5"/>
    <n v="0"/>
    <n v="0"/>
    <n v="172702.5"/>
  </r>
  <r>
    <x v="1110"/>
    <x v="1110"/>
    <s v="Verkeersveiligheid"/>
    <x v="4"/>
    <n v="2516"/>
    <s v="IN/001939"/>
    <s v="SRK: N444 Gent: markeringen op kruispunt"/>
    <s v="Markeringen op kuispunt N444 met Poelstraat en Potaardeberg aanpassen"/>
    <s v="Kleine Ingreep"/>
    <s v="WOV/INV/N444/5"/>
    <b v="1"/>
    <s v="Ingreep wordt opgevolgd in BOD"/>
    <n v="11864"/>
    <s v="AWV/INV/2021/3_P4"/>
    <n v="110851"/>
    <n v="21065760"/>
    <s v="&lt;p&gt;Schoolrouteknelpunten (2021 (op 230))&lt;/p&gt;"/>
    <x v="23"/>
    <n v="9068"/>
    <s v="Markeringen op kuispunt N444 met Poelstraat en Potaardeberg aanpassen KS637 KP1566"/>
    <s v="&lt;p&gt;Markeringen op kuispunt N444 met Poelstraat en Potaardeberg aanpassen&lt;/p&gt;"/>
    <s v="WOV/INV/N444/5"/>
    <n v="100"/>
    <n v="1100"/>
    <n v="1031.3516999999999"/>
    <n v="0"/>
    <n v="68.648300000000006"/>
    <n v="1100"/>
    <n v="1031.3516999999999"/>
    <n v="0"/>
    <n v="68.648300000000006"/>
  </r>
  <r>
    <x v="18"/>
    <x v="18"/>
    <s v="&lt;null&gt;"/>
    <x v="3"/>
    <n v="2517"/>
    <s v="IN/001940"/>
    <s v="N315, aanleg fietspad Westouter"/>
    <s v="&lt;null&gt;"/>
    <s v="Structurele Ingreep"/>
    <s v="WWV/INV/N315/3"/>
    <b v="0"/>
    <s v="Ingreep wordt niet opgevolgd in BOD"/>
    <s v="&lt;null&gt;"/>
    <s v="&lt;null&gt;"/>
    <s v="&lt;null&gt;"/>
    <s v="&lt;null&gt;"/>
    <s v="&lt;null&gt;"/>
    <x v="0"/>
    <s v="&lt;null&gt;"/>
    <s v="&lt;null&gt;"/>
    <s v="&lt;null&gt;"/>
    <s v="&lt;null&gt;"/>
    <s v="&lt;null&gt;"/>
    <s v="&lt;null&gt;"/>
    <s v="&lt;null&gt;"/>
    <s v="&lt;null&gt;"/>
    <s v="&lt;null&gt;"/>
    <m/>
    <m/>
    <m/>
    <m/>
  </r>
  <r>
    <x v="18"/>
    <x v="18"/>
    <s v="&lt;null&gt;"/>
    <x v="3"/>
    <n v="2518"/>
    <s v="IN/001941"/>
    <s v="N315 rioleringswerken Sulferbergstraat"/>
    <s v="&lt;null&gt;"/>
    <s v="Structurele Ingreep"/>
    <s v="WWV/INV/N315/4"/>
    <b v="0"/>
    <s v="Ingreep wordt niet opgevolgd in BOD"/>
    <s v="&lt;null&gt;"/>
    <s v="&lt;null&gt;"/>
    <s v="&lt;null&gt;"/>
    <s v="&lt;null&gt;"/>
    <s v="&lt;null&gt;"/>
    <x v="0"/>
    <s v="&lt;null&gt;"/>
    <s v="&lt;null&gt;"/>
    <s v="&lt;null&gt;"/>
    <s v="&lt;null&gt;"/>
    <s v="&lt;null&gt;"/>
    <s v="&lt;null&gt;"/>
    <s v="&lt;null&gt;"/>
    <s v="&lt;null&gt;"/>
    <s v="&lt;null&gt;"/>
    <m/>
    <m/>
    <m/>
    <m/>
  </r>
  <r>
    <x v="701"/>
    <x v="701"/>
    <s v="Verkeersveiligheid"/>
    <x v="4"/>
    <n v="2519"/>
    <s v="IN/001942"/>
    <s v="N037 Ardooie Tielt"/>
    <s v="&lt;null&gt;"/>
    <s v="Structurele Ingreep"/>
    <s v="WWV/INV/N37/7"/>
    <b v="0"/>
    <s v="Ingreep wordt niet opgevolgd in BOD"/>
    <s v="&lt;null&gt;"/>
    <s v="&lt;null&gt;"/>
    <s v="&lt;null&gt;"/>
    <s v="&lt;null&gt;"/>
    <s v="&lt;null&gt;"/>
    <x v="0"/>
    <s v="&lt;null&gt;"/>
    <s v="&lt;null&gt;"/>
    <s v="&lt;null&gt;"/>
    <s v="&lt;null&gt;"/>
    <n v="50"/>
    <s v="&lt;null&gt;"/>
    <s v="&lt;null&gt;"/>
    <s v="&lt;null&gt;"/>
    <s v="&lt;null&gt;"/>
    <m/>
    <m/>
    <m/>
    <m/>
  </r>
  <r>
    <x v="975"/>
    <x v="975"/>
    <s v="Verkeersveiligheid"/>
    <x v="4"/>
    <n v="2519"/>
    <s v="IN/001942"/>
    <s v="N037 Ardooie Tielt"/>
    <s v="&lt;null&gt;"/>
    <s v="Structurele Ingreep"/>
    <s v="WWV/INV/N37/7"/>
    <b v="0"/>
    <s v="Ingreep wordt niet opgevolgd in BOD"/>
    <s v="&lt;null&gt;"/>
    <s v="&lt;null&gt;"/>
    <s v="&lt;null&gt;"/>
    <s v="&lt;null&gt;"/>
    <s v="&lt;null&gt;"/>
    <x v="0"/>
    <s v="&lt;null&gt;"/>
    <s v="&lt;null&gt;"/>
    <s v="&lt;null&gt;"/>
    <s v="&lt;null&gt;"/>
    <n v="50"/>
    <s v="&lt;null&gt;"/>
    <s v="&lt;null&gt;"/>
    <s v="&lt;null&gt;"/>
    <s v="&lt;null&gt;"/>
    <m/>
    <m/>
    <m/>
    <m/>
  </r>
  <r>
    <x v="18"/>
    <x v="18"/>
    <s v="&lt;null&gt;"/>
    <x v="3"/>
    <n v="2520"/>
    <s v="IN/001943"/>
    <s v="N050 fietspaden + doortocht St Antonius"/>
    <s v="&lt;null&gt;"/>
    <s v="Structurele Ingreep"/>
    <s v="WWV/INV/N50/14"/>
    <b v="0"/>
    <s v="Ingreep wordt niet opgevolgd in BOD"/>
    <s v="&lt;null&gt;"/>
    <s v="&lt;null&gt;"/>
    <s v="&lt;null&gt;"/>
    <s v="&lt;null&gt;"/>
    <s v="&lt;null&gt;"/>
    <x v="0"/>
    <s v="&lt;null&gt;"/>
    <s v="&lt;null&gt;"/>
    <s v="&lt;null&gt;"/>
    <s v="&lt;null&gt;"/>
    <s v="&lt;null&gt;"/>
    <s v="&lt;null&gt;"/>
    <s v="&lt;null&gt;"/>
    <s v="&lt;null&gt;"/>
    <s v="&lt;null&gt;"/>
    <m/>
    <m/>
    <m/>
    <m/>
  </r>
  <r>
    <x v="1396"/>
    <x v="1396"/>
    <s v="Verkeersveiligheid"/>
    <x v="1"/>
    <n v="2552"/>
    <s v="IN/001944"/>
    <s v="Verwijderen inhaalstroken"/>
    <s v="&lt;null&g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2553"/>
    <s v="IN/001945"/>
    <s v="HERINRICHTING F. ROOSEVELTLAAN"/>
    <s v="&lt;null&gt;"/>
    <s v="Structurele Ingreep"/>
    <s v="WVB/INV/N1/6"/>
    <b v="0"/>
    <s v="Ingreep wordt niet opgevolgd in BOD"/>
    <s v="&lt;null&gt;"/>
    <s v="&lt;null&gt;"/>
    <s v="&lt;null&gt;"/>
    <s v="&lt;null&gt;"/>
    <s v="&lt;null&gt;"/>
    <x v="0"/>
    <s v="&lt;null&gt;"/>
    <s v="&lt;null&gt;"/>
    <s v="&lt;null&gt;"/>
    <s v="&lt;null&gt;"/>
    <s v="&lt;null&gt;"/>
    <s v="&lt;null&gt;"/>
    <s v="&lt;null&gt;"/>
    <s v="&lt;null&gt;"/>
    <s v="&lt;null&gt;"/>
    <m/>
    <m/>
    <m/>
    <m/>
  </r>
  <r>
    <x v="18"/>
    <x v="18"/>
    <s v="&lt;null&gt;"/>
    <x v="3"/>
    <n v="2554"/>
    <s v="IN/001946"/>
    <s v="Geluidswerende maatregelen: beton wordt asfalt"/>
    <s v="&lt;null&gt;"/>
    <s v="Structurele Ingreep"/>
    <s v="WWV/INV/R32/3"/>
    <b v="0"/>
    <s v="Ingreep wordt niet opgevolgd in BOD"/>
    <s v="&lt;null&gt;"/>
    <s v="&lt;null&gt;"/>
    <s v="&lt;null&gt;"/>
    <s v="&lt;null&gt;"/>
    <s v="&lt;null&gt;"/>
    <x v="0"/>
    <s v="&lt;null&gt;"/>
    <s v="&lt;null&gt;"/>
    <s v="&lt;null&gt;"/>
    <s v="&lt;null&gt;"/>
    <s v="&lt;null&gt;"/>
    <s v="&lt;null&gt;"/>
    <s v="&lt;null&gt;"/>
    <s v="&lt;null&gt;"/>
    <s v="&lt;null&gt;"/>
    <m/>
    <m/>
    <m/>
    <m/>
  </r>
  <r>
    <x v="18"/>
    <x v="18"/>
    <s v="&lt;null&gt;"/>
    <x v="3"/>
    <n v="2602"/>
    <s v="IN/001947"/>
    <s v="R0 Halle Ecoduct Vlasmarktdreef"/>
    <s v="&lt;null&gt;"/>
    <s v="Structurele Ingreep"/>
    <s v="WVB/INV/R0/9"/>
    <b v="0"/>
    <s v="Ingreep wordt niet opgevolgd in BOD"/>
    <s v="&lt;null&gt;"/>
    <s v="&lt;null&gt;"/>
    <s v="&lt;null&gt;"/>
    <s v="&lt;null&gt;"/>
    <s v="&lt;null&gt;"/>
    <x v="0"/>
    <s v="&lt;null&gt;"/>
    <s v="&lt;null&gt;"/>
    <s v="&lt;null&gt;"/>
    <s v="&lt;null&gt;"/>
    <s v="&lt;null&gt;"/>
    <s v="&lt;null&gt;"/>
    <s v="&lt;null&gt;"/>
    <s v="&lt;null&gt;"/>
    <s v="&lt;null&gt;"/>
    <m/>
    <m/>
    <m/>
    <m/>
  </r>
  <r>
    <x v="18"/>
    <x v="18"/>
    <s v="&lt;null&gt;"/>
    <x v="3"/>
    <n v="2603"/>
    <s v="IN/001948"/>
    <s v="R0 - Verlenging oprit Groenendaal Hoeilaart"/>
    <s v="&lt;null&gt;"/>
    <s v="Structurele Ingreep"/>
    <s v="WVB/INV/R0/4"/>
    <b v="1"/>
    <s v="Ingreep wordt opgevolgd in BOD"/>
    <n v="10875"/>
    <s v="X70/0/338-p3"/>
    <n v="81501"/>
    <n v="21011288"/>
    <s v="&lt;p&gt;Vastlegging 4de jaar&lt;/p&gt;"/>
    <x v="6"/>
    <n v="6307"/>
    <s v="Oprit R0 Groenendaal: verlenging ikv verkeersveiligheid"/>
    <s v="&lt;p&gt;Aanpassing archeologienota ikv verkeersveiligheid&lt;/p&gt;"/>
    <s v="WVB/INV/R0/4"/>
    <s v="&lt;null&gt;"/>
    <n v="820.3"/>
    <n v="780"/>
    <n v="0"/>
    <n v="40.299999999999997"/>
    <m/>
    <m/>
    <m/>
    <m/>
  </r>
  <r>
    <x v="18"/>
    <x v="18"/>
    <s v="&lt;null&gt;"/>
    <x v="3"/>
    <n v="2604"/>
    <s v="IN/001949"/>
    <s v="X21/A3/84 Vervangen brug O30 in de E40 Leuven"/>
    <s v="&lt;null&gt;"/>
    <s v="Structurele Ingreep"/>
    <s v="WVB/INV/A3/2"/>
    <b v="0"/>
    <s v="Ingreep wordt niet opgevolgd in BOD"/>
    <s v="&lt;null&gt;"/>
    <s v="&lt;null&gt;"/>
    <s v="&lt;null&gt;"/>
    <s v="&lt;null&gt;"/>
    <s v="&lt;null&gt;"/>
    <x v="0"/>
    <s v="&lt;null&gt;"/>
    <s v="&lt;null&gt;"/>
    <s v="&lt;null&gt;"/>
    <s v="&lt;null&gt;"/>
    <s v="&lt;null&gt;"/>
    <s v="&lt;null&gt;"/>
    <s v="&lt;null&gt;"/>
    <s v="&lt;null&gt;"/>
    <s v="&lt;null&gt;"/>
    <m/>
    <m/>
    <m/>
    <m/>
  </r>
  <r>
    <x v="18"/>
    <x v="18"/>
    <s v="&lt;null&gt;"/>
    <x v="3"/>
    <n v="2605"/>
    <s v="IN/001950"/>
    <s v="A4  Overijse  vernieuwen brug O9 over Bredestraat"/>
    <s v="&lt;null&gt;"/>
    <s v="Structurele Ingreep"/>
    <s v="WVB/INV/A4/2"/>
    <b v="0"/>
    <s v="Ingreep wordt niet opgevolgd in BOD"/>
    <s v="&lt;null&gt;"/>
    <s v="&lt;null&gt;"/>
    <s v="&lt;null&gt;"/>
    <s v="&lt;null&gt;"/>
    <s v="&lt;null&gt;"/>
    <x v="0"/>
    <s v="&lt;null&gt;"/>
    <s v="&lt;null&gt;"/>
    <s v="&lt;null&gt;"/>
    <s v="&lt;null&gt;"/>
    <s v="&lt;null&gt;"/>
    <s v="&lt;null&gt;"/>
    <s v="&lt;null&gt;"/>
    <s v="&lt;null&gt;"/>
    <s v="&lt;null&gt;"/>
    <m/>
    <m/>
    <m/>
    <m/>
  </r>
  <r>
    <x v="18"/>
    <x v="18"/>
    <s v="&lt;null&gt;"/>
    <x v="3"/>
    <n v="2606"/>
    <s v="IN/001951"/>
    <s v="A4 - Afwatering E411"/>
    <s v="&lt;null&gt;"/>
    <s v="Structurele Ingreep"/>
    <s v="WVB/INV/A4/3"/>
    <b v="0"/>
    <s v="Ingreep wordt niet opgevolgd in BOD"/>
    <s v="&lt;null&gt;"/>
    <s v="&lt;null&gt;"/>
    <s v="&lt;null&gt;"/>
    <s v="&lt;null&gt;"/>
    <s v="&lt;null&gt;"/>
    <x v="0"/>
    <s v="&lt;null&gt;"/>
    <s v="&lt;null&gt;"/>
    <s v="&lt;null&gt;"/>
    <s v="&lt;null&gt;"/>
    <s v="&lt;null&gt;"/>
    <s v="&lt;null&gt;"/>
    <s v="&lt;null&gt;"/>
    <s v="&lt;null&gt;"/>
    <s v="&lt;null&gt;"/>
    <m/>
    <m/>
    <m/>
    <m/>
  </r>
  <r>
    <x v="190"/>
    <x v="190"/>
    <s v="Fiets"/>
    <x v="0"/>
    <n v="2607"/>
    <s v="IN/001952"/>
    <s v="N6-N28 fietspaden relanceplan"/>
    <s v="&lt;null&gt;"/>
    <s v="Structurele Ingreep"/>
    <s v="&lt;null&gt;"/>
    <b v="0"/>
    <s v="Ingreep wordt niet opgevolgd in BOD"/>
    <s v="&lt;null&gt;"/>
    <s v="&lt;null&gt;"/>
    <s v="&lt;null&gt;"/>
    <s v="&lt;null&gt;"/>
    <s v="&lt;null&gt;"/>
    <x v="0"/>
    <s v="&lt;null&gt;"/>
    <s v="&lt;null&gt;"/>
    <s v="&lt;null&gt;"/>
    <s v="&lt;null&gt;"/>
    <n v="100"/>
    <s v="&lt;null&gt;"/>
    <s v="&lt;null&gt;"/>
    <s v="&lt;null&gt;"/>
    <s v="&lt;null&gt;"/>
    <m/>
    <m/>
    <m/>
    <m/>
  </r>
  <r>
    <x v="89"/>
    <x v="89"/>
    <s v="Fiets"/>
    <x v="0"/>
    <n v="2608"/>
    <s v="IN/001953"/>
    <s v="N21 - Haacht Zoellaan tot station"/>
    <s v="&lt;null&gt;"/>
    <s v="Structurele Ingreep"/>
    <s v="WVB/INV/N21/5"/>
    <b v="0"/>
    <s v="Ingreep wordt niet opgevolgd in BOD"/>
    <s v="&lt;null&gt;"/>
    <s v="&lt;null&gt;"/>
    <s v="&lt;null&gt;"/>
    <s v="&lt;null&gt;"/>
    <s v="&lt;null&gt;"/>
    <x v="0"/>
    <s v="&lt;null&gt;"/>
    <s v="&lt;null&gt;"/>
    <s v="&lt;null&gt;"/>
    <s v="&lt;null&gt;"/>
    <n v="100"/>
    <s v="&lt;null&gt;"/>
    <s v="&lt;null&gt;"/>
    <s v="&lt;null&gt;"/>
    <s v="&lt;null&gt;"/>
    <m/>
    <m/>
    <m/>
    <m/>
  </r>
  <r>
    <x v="18"/>
    <x v="18"/>
    <s v="&lt;null&gt;"/>
    <x v="3"/>
    <n v="2609"/>
    <s v="IN/001954"/>
    <s v="N21 - Bouw EFRO-fietsbrug Brucargo"/>
    <s v="&lt;null&gt;"/>
    <s v="Structurele Ingreep"/>
    <s v="WVB/INV/N21/1"/>
    <b v="0"/>
    <s v="Ingreep wordt niet opgevolgd in BOD"/>
    <s v="&lt;null&gt;"/>
    <s v="&lt;null&gt;"/>
    <s v="&lt;null&gt;"/>
    <s v="&lt;null&gt;"/>
    <s v="&lt;null&gt;"/>
    <x v="0"/>
    <s v="&lt;null&gt;"/>
    <s v="&lt;null&gt;"/>
    <s v="&lt;null&gt;"/>
    <s v="&lt;null&gt;"/>
    <s v="&lt;null&gt;"/>
    <s v="&lt;null&gt;"/>
    <s v="&lt;null&gt;"/>
    <s v="&lt;null&gt;"/>
    <s v="&lt;null&gt;"/>
    <m/>
    <m/>
    <m/>
    <m/>
  </r>
  <r>
    <x v="1397"/>
    <x v="1397"/>
    <s v="Stimuleren Combimobiliteit"/>
    <x v="7"/>
    <n v="2610"/>
    <s v="IN/001955"/>
    <s v="Aanleg verhoogde bushalte afm 26mx 4,1m op N460 Ninove kmpt 8,677 Vogelzangstraat OR"/>
    <s v="Aanleg verhoogde bushalte afm 26mx 4,1m op N460 Ninove kmpt 8,677,\nhalte Vogelzangstraat, OR"/>
    <s v="Kleine Ingreep"/>
    <s v="WOV/INV/N460/10"/>
    <b v="1"/>
    <s v="Ingreep wordt opgevolgd in BOD"/>
    <n v="11864"/>
    <s v="AWV/INV/2021/3_P4"/>
    <n v="123301"/>
    <n v="22017035"/>
    <s v="&lt;p&gt;Bushaltes (2022 (op 214))&lt;/p&gt;"/>
    <x v="26"/>
    <n v="9158"/>
    <s v="Aanleg verhoogde bushalte afm 26mx 4,1m op N460 Ninove kmpt 8,677 Vogelzangstraat OR"/>
    <s v="&lt;p&gt;Aanleg verhoogde bushalte afm 26mx 4,1m op N460 Ninove kmpt 8,677 Vogelzangstraat OR&lt;/p&gt;"/>
    <s v="WOV/INV/N460/10"/>
    <n v="100"/>
    <n v="17300"/>
    <n v="0"/>
    <n v="0"/>
    <n v="38.840000000000003"/>
    <n v="17300"/>
    <n v="0"/>
    <n v="0"/>
    <n v="38.840000000000003"/>
  </r>
  <r>
    <x v="18"/>
    <x v="18"/>
    <s v="&lt;null&gt;"/>
    <x v="3"/>
    <n v="2611"/>
    <s v="IN/001956"/>
    <s v="studie Europapoort, Wevelgem"/>
    <s v="&lt;null&gt;"/>
    <s v="Structurele Ingreep"/>
    <s v="WWV/INV/A19/2"/>
    <b v="0"/>
    <s v="Ingreep wordt niet opgevolgd in BOD"/>
    <s v="&lt;null&gt;"/>
    <s v="&lt;null&gt;"/>
    <s v="&lt;null&gt;"/>
    <s v="&lt;null&gt;"/>
    <s v="&lt;null&gt;"/>
    <x v="0"/>
    <s v="&lt;null&gt;"/>
    <s v="&lt;null&gt;"/>
    <s v="&lt;null&gt;"/>
    <s v="&lt;null&gt;"/>
    <s v="&lt;null&gt;"/>
    <s v="&lt;null&gt;"/>
    <s v="&lt;null&gt;"/>
    <s v="&lt;null&gt;"/>
    <s v="&lt;null&gt;"/>
    <m/>
    <m/>
    <m/>
    <m/>
  </r>
  <r>
    <x v="1398"/>
    <x v="1398"/>
    <s v="Verkeersveiligheid"/>
    <x v="6"/>
    <n v="2612"/>
    <s v="IN/001957"/>
    <s v="Aanpassen V-plan thv N42 x N46"/>
    <s v="&lt;null&gt;"/>
    <s v="Kleine Ingreep"/>
    <s v="&lt;null&gt;"/>
    <b v="0"/>
    <s v="Ingreep wordt niet opgevolgd in BOD"/>
    <s v="&lt;null&gt;"/>
    <s v="&lt;null&gt;"/>
    <s v="&lt;null&gt;"/>
    <s v="&lt;null&gt;"/>
    <s v="&lt;null&gt;"/>
    <x v="0"/>
    <s v="&lt;null&gt;"/>
    <s v="&lt;null&gt;"/>
    <s v="&lt;null&gt;"/>
    <s v="&lt;null&gt;"/>
    <n v="100"/>
    <s v="&lt;null&gt;"/>
    <s v="&lt;null&gt;"/>
    <s v="&lt;null&gt;"/>
    <s v="&lt;null&gt;"/>
    <m/>
    <m/>
    <m/>
    <m/>
  </r>
  <r>
    <x v="1399"/>
    <x v="1399"/>
    <s v="Fiets"/>
    <x v="0"/>
    <n v="2613"/>
    <s v="IN/001958"/>
    <s v="N327 Tielt Wingene"/>
    <s v="Opbraak klinkers fietspad en vervangen door asfalt"/>
    <s v="Kleine Ingreep"/>
    <s v="WWV/INV/N327/6"/>
    <b v="1"/>
    <s v="Ingreep wordt opgevolgd in BOD"/>
    <n v="11568"/>
    <s v="WWV/INV/2021/10-3"/>
    <n v="96101"/>
    <n v="21050402"/>
    <s v="&lt;p&gt;Relance proefproject wegen West-Vlaanderen (MIA) Perceel 3: Regio Midwest - fiets&lt;/p&gt;"/>
    <x v="2"/>
    <n v="9205"/>
    <s v="N327 Tielt Wingene"/>
    <s v="&lt;null&gt;"/>
    <s v="WWV/INV/N327/6"/>
    <n v="100"/>
    <n v="113009.82"/>
    <n v="0"/>
    <n v="0"/>
    <n v="0"/>
    <n v="113009.82"/>
    <n v="0"/>
    <n v="0"/>
    <n v="0"/>
  </r>
  <r>
    <x v="1400"/>
    <x v="1400"/>
    <s v="Fiets"/>
    <x v="0"/>
    <n v="2614"/>
    <s v="IN/001959"/>
    <s v="N456 Kaprijke Molenstraat vrijliggende fietspaden"/>
    <s v="&lt;null&gt;"/>
    <s v="Structurele Ingreep"/>
    <s v="WOV/INV/N456/4"/>
    <b v="0"/>
    <s v="Ingreep wordt niet opgevolgd in BOD"/>
    <s v="&lt;null&gt;"/>
    <s v="&lt;null&gt;"/>
    <s v="&lt;null&gt;"/>
    <s v="&lt;null&gt;"/>
    <s v="&lt;null&gt;"/>
    <x v="0"/>
    <s v="&lt;null&gt;"/>
    <s v="&lt;null&gt;"/>
    <s v="&lt;null&gt;"/>
    <s v="&lt;null&gt;"/>
    <n v="100"/>
    <s v="&lt;null&gt;"/>
    <s v="&lt;null&gt;"/>
    <s v="&lt;null&gt;"/>
    <s v="&lt;null&gt;"/>
    <m/>
    <m/>
    <m/>
    <m/>
  </r>
  <r>
    <x v="18"/>
    <x v="18"/>
    <s v="&lt;null&gt;"/>
    <x v="3"/>
    <n v="2615"/>
    <s v="IN/001960"/>
    <s v="IMM Problemen waterinsijpeling"/>
    <s v="&lt;null&gt;"/>
    <s v="Structurele Ingreep"/>
    <s v="WA/INV/BEV/1"/>
    <b v="0"/>
    <s v="Ingreep wordt niet opgevolgd in BOD"/>
    <s v="&lt;null&gt;"/>
    <s v="&lt;null&gt;"/>
    <s v="&lt;null&gt;"/>
    <s v="&lt;null&gt;"/>
    <s v="&lt;null&gt;"/>
    <x v="0"/>
    <s v="&lt;null&gt;"/>
    <s v="&lt;null&gt;"/>
    <s v="&lt;null&gt;"/>
    <s v="&lt;null&gt;"/>
    <s v="&lt;null&gt;"/>
    <s v="&lt;null&gt;"/>
    <s v="&lt;null&gt;"/>
    <s v="&lt;null&gt;"/>
    <s v="&lt;null&gt;"/>
    <m/>
    <m/>
    <m/>
    <m/>
  </r>
  <r>
    <x v="1401"/>
    <x v="1401"/>
    <s v="Stimuleren Combimobiliteit"/>
    <x v="7"/>
    <n v="2616"/>
    <s v="IN/001961"/>
    <s v="N460 Ninove, halte Heghestraat"/>
    <s v="aanleggen toegankelijke halte;\nN460 Ninove, halte Heghestraat"/>
    <s v="Kleine Ingreep"/>
    <s v="&lt;null&gt;"/>
    <b v="0"/>
    <s v="Ingreep wordt niet opgevolgd in BOD"/>
    <s v="&lt;null&gt;"/>
    <s v="&lt;null&gt;"/>
    <s v="&lt;null&gt;"/>
    <s v="&lt;null&gt;"/>
    <s v="&lt;null&gt;"/>
    <x v="0"/>
    <s v="&lt;null&gt;"/>
    <s v="&lt;null&gt;"/>
    <s v="&lt;null&gt;"/>
    <s v="&lt;null&gt;"/>
    <n v="100"/>
    <s v="&lt;null&gt;"/>
    <s v="&lt;null&gt;"/>
    <s v="&lt;null&gt;"/>
    <s v="&lt;null&gt;"/>
    <m/>
    <m/>
    <m/>
    <m/>
  </r>
  <r>
    <x v="1402"/>
    <x v="1402"/>
    <s v="Stimuleren Combimobiliteit"/>
    <x v="7"/>
    <n v="2617"/>
    <s v="IN/001962"/>
    <s v="Erpe Mere St Annastraat, toegankelijke halte in beide richtingen"/>
    <s v="Aanleg toegankelijke halte\nN46 Erpe-Mere, halte Sint-Annastraat"/>
    <s v="Kleine Ingreep"/>
    <s v="WOV/INV/N46/11"/>
    <b v="1"/>
    <s v="Ingreep wordt opgevolgd in BOD"/>
    <n v="11864"/>
    <s v="AWV/INV/2021/3_P4"/>
    <n v="123301"/>
    <n v="22017035"/>
    <s v="&lt;p&gt;Bushaltes (2022 (op 214))&lt;/p&gt;"/>
    <x v="26"/>
    <n v="9265"/>
    <s v="Erpe Mere St Annastraat, toegankelijke halte in beide richtingen"/>
    <s v="&lt;p&gt;Erpe Mere St Annastraat, toegankelijke halte in beide richtingen&lt;/p&gt;"/>
    <s v="WOV/INV/N46/11"/>
    <n v="100"/>
    <n v="55000"/>
    <n v="0"/>
    <n v="0"/>
    <n v="140.52000000000001"/>
    <n v="55000"/>
    <n v="0"/>
    <n v="0"/>
    <n v="140.52000000000001"/>
  </r>
  <r>
    <x v="18"/>
    <x v="18"/>
    <s v="&lt;null&gt;"/>
    <x v="3"/>
    <n v="2618"/>
    <s v="IN/001963"/>
    <s v="Ingreep schoolroute in Harelbeke. Oversteek Marktstraat thv Stationsstraat"/>
    <s v="Voorzien van fietsoversteek thv de bestaande voetgangersoversteek. Aanpassen middengeleider en aanbrengen markeringen.\nAlsook het aanpassen van de signlisatie en de bewegwijzering naar de verschillende fietsroute."/>
    <s v="Klein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2619"/>
    <s v="IN/001964"/>
    <s v="Ingrepen schoolroute in Harelbeke. Oversteek Marktstraat thv Marktstraat 64"/>
    <s v="Aanleg van het dubbelrichtingsfietspad aan de zijde van de doorsteek naar de\nBallingweg."/>
    <s v="Kleine Ingreep"/>
    <s v="&lt;null&gt;"/>
    <b v="0"/>
    <s v="Ingreep wordt niet opgevolgd in BOD"/>
    <s v="&lt;null&gt;"/>
    <s v="&lt;null&gt;"/>
    <s v="&lt;null&gt;"/>
    <s v="&lt;null&gt;"/>
    <s v="&lt;null&gt;"/>
    <x v="0"/>
    <s v="&lt;null&gt;"/>
    <s v="&lt;null&gt;"/>
    <s v="&lt;null&gt;"/>
    <s v="&lt;null&gt;"/>
    <s v="&lt;null&gt;"/>
    <s v="&lt;null&gt;"/>
    <s v="&lt;null&gt;"/>
    <s v="&lt;null&gt;"/>
    <s v="&lt;null&gt;"/>
    <m/>
    <m/>
    <m/>
    <m/>
  </r>
  <r>
    <x v="1403"/>
    <x v="1403"/>
    <s v="Verkeersveiligheid"/>
    <x v="1"/>
    <n v="2620"/>
    <s v="IN/001965"/>
    <s v="Kruispunt N50 met de Sint Magriete Houtemlaan. Afsluiten linksafslagstrook."/>
    <s v="De linksafslagstraat naar de Sint Margriete Houtemlaan wordt afgesloten.\nHet kruispunt wordt rechtin/rechtsuit."/>
    <s v="Kleine Ingreep"/>
    <s v="WWV/INV/N50/15"/>
    <b v="1"/>
    <s v="Ingreep wordt opgevolgd in BOD"/>
    <n v="12024"/>
    <s v="AWV/INV/2021/3_P3"/>
    <n v="118201"/>
    <n v="21065772"/>
    <s v="&lt;p&gt;OF AWV/INV/2021/3 P3 3mh229 - gevaarlijke punten&lt;/p&gt;"/>
    <x v="10"/>
    <n v="9317"/>
    <s v="N50 Doorniksesteenweg Kortrijk"/>
    <s v="&lt;null&gt;"/>
    <s v="WWV/INV/N50/15"/>
    <n v="100"/>
    <n v="3600"/>
    <n v="0"/>
    <n v="2415.3150000000001"/>
    <n v="1184.6849999999999"/>
    <n v="3600"/>
    <n v="0"/>
    <n v="2415.3150000000001"/>
    <n v="1184.6849999999999"/>
  </r>
  <r>
    <x v="1404"/>
    <x v="1404"/>
    <s v="Verkeersveiligheid"/>
    <x v="1"/>
    <n v="2621"/>
    <s v="IN/001966"/>
    <s v="Kruispunt N50 met de Burg. Mayeurlaan. Aanliggend maken van fietspad."/>
    <s v="Aanliggend maken en accentueren van het fietspad thv het kruispunt."/>
    <s v="Kleine Ingreep"/>
    <s v="WWV/INV/N50/16"/>
    <b v="1"/>
    <s v="Ingreep wordt opgevolgd in BOD"/>
    <n v="12024"/>
    <s v="AWV/INV/2021/3_P3"/>
    <n v="118201"/>
    <n v="21065772"/>
    <s v="&lt;p&gt;OF AWV/INV/2021/3 P3 3mh229 - gevaarlijke punten&lt;/p&gt;"/>
    <x v="10"/>
    <n v="9318"/>
    <s v="N50 Burg Mayeurlaan Kortrijk"/>
    <s v="&lt;null&gt;"/>
    <s v="WWV/INV/N50/16"/>
    <n v="100"/>
    <n v="8500"/>
    <n v="0"/>
    <n v="3454.0898999999999"/>
    <n v="1493.75"/>
    <n v="8500"/>
    <n v="0"/>
    <n v="3454.0898999999999"/>
    <n v="1493.75"/>
  </r>
  <r>
    <x v="18"/>
    <x v="18"/>
    <s v="&lt;null&gt;"/>
    <x v="3"/>
    <n v="2622"/>
    <s v="IN/001967"/>
    <s v="A10 Oostkamp geluidsschermen"/>
    <s v="&lt;null&gt;"/>
    <s v="Structurele Ingreep"/>
    <s v="WWV/INV/A10/3"/>
    <b v="0"/>
    <s v="Ingreep wordt niet opgevolgd in BOD"/>
    <s v="&lt;null&gt;"/>
    <s v="&lt;null&gt;"/>
    <s v="&lt;null&gt;"/>
    <s v="&lt;null&gt;"/>
    <s v="&lt;null&gt;"/>
    <x v="0"/>
    <s v="&lt;null&gt;"/>
    <s v="&lt;null&gt;"/>
    <s v="&lt;null&gt;"/>
    <s v="&lt;null&gt;"/>
    <s v="&lt;null&gt;"/>
    <s v="&lt;null&gt;"/>
    <s v="&lt;null&gt;"/>
    <s v="&lt;null&gt;"/>
    <s v="&lt;null&gt;"/>
    <m/>
    <m/>
    <m/>
    <m/>
  </r>
  <r>
    <x v="1405"/>
    <x v="1405"/>
    <s v="Verkeersveiligheid"/>
    <x v="5"/>
    <n v="2623"/>
    <s v="IN/001968"/>
    <s v="Diepenbeek: N702 vernieuwen afrit Havenlaan"/>
    <s v="Vernieuwen asfalt + markeringen op de afrit van de N702 naar Havenlaan. Daarbij ook versmallen van de aansluiting ten behoeven van het zicht op het fietsverkeer."/>
    <s v="Kleine Ingreep"/>
    <s v="WL/INV/N702/5"/>
    <b v="1"/>
    <s v="Ingreep wordt opgevolgd in BOD"/>
    <n v="11587"/>
    <s v="WL/INV/2021/10_P3"/>
    <n v="131901"/>
    <n v="21066878"/>
    <s v="&lt;p&gt;werken van Hoogmartens in district Centraal&lt;/p&gt;"/>
    <x v="10"/>
    <n v="9023"/>
    <s v="&lt;null&gt;"/>
    <s v="&lt;p&gt;werken van Hoogmartens in district Centraal&lt;/p&gt;"/>
    <s v="WL/INV/N702/5"/>
    <n v="100"/>
    <n v="125281.21"/>
    <n v="76859.5"/>
    <n v="0"/>
    <n v="18400.546129999999"/>
    <n v="125281.21"/>
    <n v="76859.5"/>
    <n v="0"/>
    <n v="18400.546129999999"/>
  </r>
  <r>
    <x v="357"/>
    <x v="357"/>
    <s v="Verkeersveiligheid"/>
    <x v="1"/>
    <n v="2624"/>
    <s v="IN/001969"/>
    <s v="R30 - Brugge Aandeel uitvoering fietsbrug R30"/>
    <s v="&lt;null&gt;"/>
    <s v="Structurele Ingreep"/>
    <s v="WWV/INV/R30/3"/>
    <b v="0"/>
    <s v="Ingreep wordt niet opgevolgd in BOD"/>
    <s v="&lt;null&gt;"/>
    <s v="&lt;null&gt;"/>
    <s v="&lt;null&gt;"/>
    <s v="&lt;null&gt;"/>
    <s v="&lt;null&gt;"/>
    <x v="0"/>
    <s v="&lt;null&gt;"/>
    <s v="&lt;null&gt;"/>
    <s v="&lt;null&gt;"/>
    <s v="&lt;null&gt;"/>
    <n v="35"/>
    <s v="&lt;null&gt;"/>
    <s v="&lt;null&gt;"/>
    <s v="&lt;null&gt;"/>
    <s v="&lt;null&gt;"/>
    <m/>
    <m/>
    <m/>
    <m/>
  </r>
  <r>
    <x v="367"/>
    <x v="367"/>
    <s v="Verkeersveiligheid"/>
    <x v="1"/>
    <n v="2624"/>
    <s v="IN/001969"/>
    <s v="R30 - Brugge Aandeel uitvoering fietsbrug R30"/>
    <s v="&lt;null&gt;"/>
    <s v="Structurele Ingreep"/>
    <s v="WWV/INV/R30/3"/>
    <b v="0"/>
    <s v="Ingreep wordt niet opgevolgd in BOD"/>
    <s v="&lt;null&gt;"/>
    <s v="&lt;null&gt;"/>
    <s v="&lt;null&gt;"/>
    <s v="&lt;null&gt;"/>
    <s v="&lt;null&gt;"/>
    <x v="0"/>
    <s v="&lt;null&gt;"/>
    <s v="&lt;null&gt;"/>
    <s v="&lt;null&gt;"/>
    <s v="&lt;null&gt;"/>
    <n v="29"/>
    <s v="&lt;null&gt;"/>
    <s v="&lt;null&gt;"/>
    <s v="&lt;null&gt;"/>
    <s v="&lt;null&gt;"/>
    <m/>
    <m/>
    <m/>
    <m/>
  </r>
  <r>
    <x v="1212"/>
    <x v="1212"/>
    <s v="Verkeersveiligheid"/>
    <x v="1"/>
    <n v="2624"/>
    <s v="IN/001969"/>
    <s v="R30 - Brugge Aandeel uitvoering fietsbrug R30"/>
    <s v="&lt;null&gt;"/>
    <s v="Structurele Ingreep"/>
    <s v="WWV/INV/R30/3"/>
    <b v="0"/>
    <s v="Ingreep wordt niet opgevolgd in BOD"/>
    <s v="&lt;null&gt;"/>
    <s v="&lt;null&gt;"/>
    <s v="&lt;null&gt;"/>
    <s v="&lt;null&gt;"/>
    <s v="&lt;null&gt;"/>
    <x v="0"/>
    <s v="&lt;null&gt;"/>
    <s v="&lt;null&gt;"/>
    <s v="&lt;null&gt;"/>
    <s v="&lt;null&gt;"/>
    <n v="35"/>
    <s v="&lt;null&gt;"/>
    <s v="&lt;null&gt;"/>
    <s v="&lt;null&gt;"/>
    <s v="&lt;null&gt;"/>
    <m/>
    <m/>
    <m/>
    <m/>
  </r>
  <r>
    <x v="1406"/>
    <x v="1406"/>
    <s v="Stimuleren Combimobiliteit"/>
    <x v="2"/>
    <n v="2624"/>
    <s v="IN/001969"/>
    <s v="R30 - Brugge Aandeel uitvoering fietsbrug R30"/>
    <s v="&lt;null&gt;"/>
    <s v="Structurele Ingreep"/>
    <s v="WWV/INV/R30/3"/>
    <b v="0"/>
    <s v="Ingreep wordt niet opgevolgd in BOD"/>
    <s v="&lt;null&gt;"/>
    <s v="&lt;null&gt;"/>
    <s v="&lt;null&gt;"/>
    <s v="&lt;null&gt;"/>
    <s v="&lt;null&gt;"/>
    <x v="0"/>
    <s v="&lt;null&gt;"/>
    <s v="&lt;null&gt;"/>
    <s v="&lt;null&gt;"/>
    <s v="&lt;null&gt;"/>
    <n v="1"/>
    <s v="&lt;null&gt;"/>
    <s v="&lt;null&gt;"/>
    <s v="&lt;null&gt;"/>
    <s v="&lt;null&gt;"/>
    <m/>
    <m/>
    <m/>
    <m/>
  </r>
  <r>
    <x v="719"/>
    <x v="719"/>
    <s v="Verkeersveiligheid"/>
    <x v="4"/>
    <n v="2625"/>
    <s v="IN/001970"/>
    <s v="N368 beernem - Herinrichting kruispunt met N370"/>
    <s v="&lt;null&gt;"/>
    <s v="Structurele Ingreep"/>
    <s v="WWV/INV/N368/5"/>
    <b v="0"/>
    <s v="Ingreep wordt niet opgevolgd in BOD"/>
    <s v="&lt;null&gt;"/>
    <s v="&lt;null&gt;"/>
    <s v="&lt;null&gt;"/>
    <s v="&lt;null&gt;"/>
    <s v="&lt;null&gt;"/>
    <x v="0"/>
    <s v="&lt;null&gt;"/>
    <s v="&lt;null&gt;"/>
    <s v="&lt;null&gt;"/>
    <s v="&lt;null&gt;"/>
    <n v="30"/>
    <s v="&lt;null&gt;"/>
    <s v="&lt;null&gt;"/>
    <s v="&lt;null&gt;"/>
    <s v="&lt;null&gt;"/>
    <m/>
    <m/>
    <m/>
    <m/>
  </r>
  <r>
    <x v="18"/>
    <x v="18"/>
    <s v="&lt;null&gt;"/>
    <x v="3"/>
    <n v="2626"/>
    <s v="IN/001971"/>
    <s v="N31 Brugge - asweger"/>
    <s v="&lt;null&gt;"/>
    <s v="Structurele Ingreep"/>
    <s v="WWV/INV/N31/2"/>
    <b v="1"/>
    <s v="Ingreep wordt opgevolgd in BOD"/>
    <n v="10666"/>
    <s v="VWT/EW/2020/028"/>
    <n v="158801"/>
    <n v="22048646"/>
    <s v="&lt;p&gt;N31 - Expresweg te Brugge (kmp. 9,1 tot 10,1) - PWV297: Voorzien van verlichting t.h.v. locatie nieuwe asweeginstallatie, incl. verlichting van op- en afrit en bijhorende parking&lt;/p&gt;"/>
    <x v="3"/>
    <n v="10958"/>
    <s v="&lt;null&gt;"/>
    <s v="&lt;p&gt;N31 - Expresweg te Brugge (kmp. 9,1 tot 10,1) - PWV297: Voorzien van verlichting t.h.v. locatie nieuwe asweeginstallatie, incl. verlichting van op- en afrit en bijhorende parking&lt;/p&gt;"/>
    <s v="WWV/INV/N31/2"/>
    <s v="&lt;null&gt;"/>
    <n v="127120.81"/>
    <n v="0"/>
    <n v="0"/>
    <n v="0"/>
    <m/>
    <m/>
    <m/>
    <m/>
  </r>
  <r>
    <x v="18"/>
    <x v="18"/>
    <s v="&lt;null&gt;"/>
    <x v="3"/>
    <n v="2627"/>
    <s v="IN/001972"/>
    <s v="N326 Zuienkerke - structureel onderhoud fietspaden"/>
    <s v="&lt;null&gt;"/>
    <s v="Structurele Ingreep"/>
    <s v="WWV/INV/N326/1"/>
    <b v="0"/>
    <s v="Ingreep wordt niet opgevolgd in BOD"/>
    <s v="&lt;null&gt;"/>
    <s v="&lt;null&gt;"/>
    <s v="&lt;null&gt;"/>
    <s v="&lt;null&gt;"/>
    <s v="&lt;null&gt;"/>
    <x v="0"/>
    <s v="&lt;null&gt;"/>
    <s v="&lt;null&gt;"/>
    <s v="&lt;null&gt;"/>
    <s v="&lt;null&gt;"/>
    <s v="&lt;null&gt;"/>
    <s v="&lt;null&gt;"/>
    <s v="&lt;null&gt;"/>
    <s v="&lt;null&gt;"/>
    <s v="&lt;null&gt;"/>
    <m/>
    <m/>
    <m/>
    <m/>
  </r>
  <r>
    <x v="18"/>
    <x v="18"/>
    <s v="&lt;null&gt;"/>
    <x v="3"/>
    <n v="2628"/>
    <s v="IN/001973"/>
    <s v="N456 Sleidinge-Lembeke aanleg fietspaden"/>
    <s v="&lt;null&gt;"/>
    <s v="Structurele Ingreep"/>
    <s v="WOV/INV/N456/3"/>
    <b v="0"/>
    <s v="Ingreep wordt niet opgevolgd in BOD"/>
    <s v="&lt;null&gt;"/>
    <s v="&lt;null&gt;"/>
    <s v="&lt;null&gt;"/>
    <s v="&lt;null&gt;"/>
    <s v="&lt;null&gt;"/>
    <x v="0"/>
    <s v="&lt;null&gt;"/>
    <s v="&lt;null&gt;"/>
    <s v="&lt;null&gt;"/>
    <s v="&lt;null&gt;"/>
    <s v="&lt;null&gt;"/>
    <s v="&lt;null&gt;"/>
    <s v="&lt;null&gt;"/>
    <s v="&lt;null&gt;"/>
    <s v="&lt;null&gt;"/>
    <m/>
    <m/>
    <m/>
    <m/>
  </r>
  <r>
    <x v="1407"/>
    <x v="1407"/>
    <s v="Verkeersveiligheid"/>
    <x v="4"/>
    <n v="2629"/>
    <s v="IN/001974"/>
    <s v="Proefopstelling asverschuivingen"/>
    <s v="&lt;null&gt;"/>
    <s v="Kleine Ingreep"/>
    <s v="&lt;null&gt;"/>
    <b v="0"/>
    <s v="Ingreep wordt niet opgevolgd in BOD"/>
    <s v="&lt;null&gt;"/>
    <s v="&lt;null&gt;"/>
    <s v="&lt;null&gt;"/>
    <s v="&lt;null&gt;"/>
    <s v="&lt;null&gt;"/>
    <x v="0"/>
    <s v="&lt;null&gt;"/>
    <s v="&lt;null&gt;"/>
    <s v="&lt;null&gt;"/>
    <s v="&lt;null&gt;"/>
    <n v="100"/>
    <s v="&lt;null&gt;"/>
    <s v="&lt;null&gt;"/>
    <s v="&lt;null&gt;"/>
    <s v="&lt;null&gt;"/>
    <m/>
    <m/>
    <m/>
    <m/>
  </r>
  <r>
    <x v="1407"/>
    <x v="1407"/>
    <s v="Verkeersveiligheid"/>
    <x v="4"/>
    <n v="2630"/>
    <s v="IN/001975"/>
    <s v="Definitieve uitvoering versmalling en asverschuiving."/>
    <s v="&lt;null&gt;"/>
    <s v="Kleine Ingreep"/>
    <s v="&lt;null&gt;"/>
    <b v="0"/>
    <s v="Ingreep wordt niet opgevolgd in BOD"/>
    <s v="&lt;null&gt;"/>
    <s v="&lt;null&gt;"/>
    <s v="&lt;null&gt;"/>
    <s v="&lt;null&gt;"/>
    <s v="&lt;null&gt;"/>
    <x v="0"/>
    <s v="&lt;null&gt;"/>
    <s v="&lt;null&gt;"/>
    <s v="&lt;null&gt;"/>
    <s v="&lt;null&gt;"/>
    <n v="100"/>
    <s v="&lt;null&gt;"/>
    <s v="&lt;null&gt;"/>
    <s v="&lt;null&gt;"/>
    <s v="&lt;null&gt;"/>
    <m/>
    <m/>
    <m/>
    <m/>
  </r>
  <r>
    <x v="1408"/>
    <x v="1408"/>
    <s v="Stimuleren Combimobiliteit"/>
    <x v="2"/>
    <n v="2631"/>
    <s v="IN/001976"/>
    <s v="Opmeting + Ontwerp"/>
    <s v="&lt;null&gt;"/>
    <s v="Kleine Ingreep"/>
    <s v="WA/INV/N12/18"/>
    <b v="0"/>
    <s v="Ingreep wordt niet opgevolgd in BOD"/>
    <s v="&lt;null&gt;"/>
    <s v="&lt;null&gt;"/>
    <s v="&lt;null&gt;"/>
    <s v="&lt;null&gt;"/>
    <s v="&lt;null&gt;"/>
    <x v="0"/>
    <s v="&lt;null&gt;"/>
    <s v="&lt;null&gt;"/>
    <s v="&lt;null&gt;"/>
    <s v="&lt;null&gt;"/>
    <n v="100"/>
    <s v="&lt;null&gt;"/>
    <s v="&lt;null&gt;"/>
    <s v="&lt;null&gt;"/>
    <s v="&lt;null&gt;"/>
    <m/>
    <m/>
    <m/>
    <m/>
  </r>
  <r>
    <x v="1408"/>
    <x v="1408"/>
    <s v="Stimuleren Combimobiliteit"/>
    <x v="2"/>
    <n v="2632"/>
    <s v="IN/001977"/>
    <s v="Uitvoering"/>
    <s v="&lt;null&gt;"/>
    <s v="Kleine Ingreep"/>
    <s v="&lt;null&gt;"/>
    <b v="0"/>
    <s v="Ingreep wordt niet opgevolgd in BOD"/>
    <s v="&lt;null&gt;"/>
    <s v="&lt;null&gt;"/>
    <s v="&lt;null&gt;"/>
    <s v="&lt;null&gt;"/>
    <s v="&lt;null&gt;"/>
    <x v="0"/>
    <s v="&lt;null&gt;"/>
    <s v="&lt;null&gt;"/>
    <s v="&lt;null&gt;"/>
    <s v="&lt;null&gt;"/>
    <n v="100"/>
    <s v="&lt;null&gt;"/>
    <s v="&lt;null&gt;"/>
    <s v="&lt;null&gt;"/>
    <s v="&lt;null&gt;"/>
    <m/>
    <m/>
    <m/>
    <m/>
  </r>
  <r>
    <x v="1409"/>
    <x v="1409"/>
    <s v="Stimuleren Combimobiliteit"/>
    <x v="2"/>
    <n v="2633"/>
    <s v="IN/001978"/>
    <s v="Opmeting + Ontwerp"/>
    <s v="&lt;null&gt;"/>
    <s v="Kleine Ingreep"/>
    <s v="WA/INV/N19/11"/>
    <b v="0"/>
    <s v="Ingreep wordt niet opgevolgd in BOD"/>
    <s v="&lt;null&gt;"/>
    <s v="&lt;null&gt;"/>
    <s v="&lt;null&gt;"/>
    <s v="&lt;null&gt;"/>
    <s v="&lt;null&gt;"/>
    <x v="0"/>
    <s v="&lt;null&gt;"/>
    <s v="&lt;null&gt;"/>
    <s v="&lt;null&gt;"/>
    <s v="&lt;null&gt;"/>
    <n v="100"/>
    <s v="&lt;null&gt;"/>
    <s v="&lt;null&gt;"/>
    <s v="&lt;null&gt;"/>
    <s v="&lt;null&gt;"/>
    <m/>
    <m/>
    <m/>
    <m/>
  </r>
  <r>
    <x v="1410"/>
    <x v="1410"/>
    <s v="Stimuleren Combimobiliteit"/>
    <x v="2"/>
    <n v="2634"/>
    <s v="IN/001979"/>
    <s v="Hoppin Lichtaart Kerk - Opmeting + Ontwerp"/>
    <s v="&lt;null&gt;"/>
    <s v="Kleine Ingreep"/>
    <s v="WA/INV/N123/8"/>
    <b v="0"/>
    <s v="Ingreep wordt niet opgevolgd in BOD"/>
    <s v="&lt;null&gt;"/>
    <s v="&lt;null&gt;"/>
    <s v="&lt;null&gt;"/>
    <s v="&lt;null&gt;"/>
    <s v="&lt;null&gt;"/>
    <x v="0"/>
    <s v="&lt;null&gt;"/>
    <s v="&lt;null&gt;"/>
    <s v="&lt;null&gt;"/>
    <s v="&lt;null&gt;"/>
    <n v="100"/>
    <s v="&lt;null&gt;"/>
    <s v="&lt;null&gt;"/>
    <s v="&lt;null&gt;"/>
    <s v="&lt;null&gt;"/>
    <m/>
    <m/>
    <m/>
    <m/>
  </r>
  <r>
    <x v="1411"/>
    <x v="1411"/>
    <s v="Stimuleren Combimobiliteit"/>
    <x v="2"/>
    <n v="2635"/>
    <s v="IN/001980"/>
    <s v="Opmeting? + ontwerp"/>
    <m/>
    <s v="Kleine Ingreep"/>
    <s v="WA/INV/N12/19"/>
    <b v="0"/>
    <s v="Ingreep wordt niet opgevolgd in BOD"/>
    <s v="&lt;null&gt;"/>
    <s v="&lt;null&gt;"/>
    <s v="&lt;null&gt;"/>
    <s v="&lt;null&gt;"/>
    <s v="&lt;null&gt;"/>
    <x v="0"/>
    <s v="&lt;null&gt;"/>
    <s v="&lt;null&gt;"/>
    <s v="&lt;null&gt;"/>
    <s v="&lt;null&gt;"/>
    <n v="100"/>
    <s v="&lt;null&gt;"/>
    <s v="&lt;null&gt;"/>
    <s v="&lt;null&gt;"/>
    <s v="&lt;null&gt;"/>
    <m/>
    <m/>
    <m/>
    <m/>
  </r>
  <r>
    <x v="1412"/>
    <x v="1412"/>
    <s v="Stimuleren Combimobiliteit"/>
    <x v="2"/>
    <n v="2636"/>
    <s v="IN/001981"/>
    <s v="opmeting + ontwerp"/>
    <s v="&lt;null&gt;"/>
    <s v="Kleine Ingreep"/>
    <s v="WA/INV/N140/5"/>
    <b v="0"/>
    <s v="Ingreep wordt niet opgevolgd in BOD"/>
    <s v="&lt;null&gt;"/>
    <s v="&lt;null&gt;"/>
    <s v="&lt;null&gt;"/>
    <s v="&lt;null&gt;"/>
    <s v="&lt;null&gt;"/>
    <x v="0"/>
    <s v="&lt;null&gt;"/>
    <s v="&lt;null&gt;"/>
    <s v="&lt;null&gt;"/>
    <s v="&lt;null&gt;"/>
    <n v="100"/>
    <s v="&lt;null&gt;"/>
    <s v="&lt;null&gt;"/>
    <s v="&lt;null&gt;"/>
    <s v="&lt;null&gt;"/>
    <m/>
    <m/>
    <m/>
    <m/>
  </r>
  <r>
    <x v="1413"/>
    <x v="1413"/>
    <s v="Stimuleren Combimobiliteit"/>
    <x v="2"/>
    <n v="2637"/>
    <s v="IN/001982"/>
    <s v="Uitvoering"/>
    <s v="&lt;null&gt;"/>
    <s v="Kleine Ingreep"/>
    <s v="WA/INV/N12/22"/>
    <b v="1"/>
    <s v="Ingreep wordt opgevolgd in BOD"/>
    <n v="12666"/>
    <s v="AWV/INV/2021/3_P1"/>
    <n v="139251"/>
    <n v="21069266"/>
    <s v="&lt;p&gt;toegankelijke haltes op combimobiliteit 2021 AWV/INV/BDG/27/B003 (deel WA+WL) + hoppin 2021 (3.2mio)&lt;/p&gt;"/>
    <x v="25"/>
    <n v="11084"/>
    <s v="N12/22 bushalte Beerse Heibergsebaan"/>
    <s v="&lt;null&gt;"/>
    <s v="WA/INV/N12/22"/>
    <n v="100"/>
    <n v="54145"/>
    <n v="0"/>
    <n v="0"/>
    <n v="0.51"/>
    <n v="54145"/>
    <n v="0"/>
    <n v="0"/>
    <n v="0.51"/>
  </r>
  <r>
    <x v="1414"/>
    <x v="1414"/>
    <s v="Stimuleren Combimobiliteit"/>
    <x v="2"/>
    <n v="2638"/>
    <s v="IN/001983"/>
    <s v="studie naar uitvoering Hoppinpunt Vertrijk station"/>
    <s v="Studie naar de concrete inrichting van het Hoppinpunt obv de Unieke Verantwoordingsnota opgesteld door het studiebureau van de vervoersregio"/>
    <s v="Kleine Ingreep"/>
    <s v="&lt;null&gt;"/>
    <b v="0"/>
    <s v="Ingreep wordt niet opgevolgd in BOD"/>
    <s v="&lt;null&gt;"/>
    <s v="&lt;null&gt;"/>
    <s v="&lt;null&gt;"/>
    <s v="&lt;null&gt;"/>
    <s v="&lt;null&gt;"/>
    <x v="0"/>
    <s v="&lt;null&gt;"/>
    <s v="&lt;null&gt;"/>
    <s v="&lt;null&gt;"/>
    <s v="&lt;null&gt;"/>
    <n v="100"/>
    <s v="&lt;null&gt;"/>
    <s v="&lt;null&gt;"/>
    <s v="&lt;null&gt;"/>
    <s v="&lt;null&gt;"/>
    <m/>
    <m/>
    <m/>
    <m/>
  </r>
  <r>
    <x v="1415"/>
    <x v="1415"/>
    <s v="Verkeersveiligheid"/>
    <x v="4"/>
    <n v="2639"/>
    <s v="IN/001984"/>
    <s v="Trajectcontrole"/>
    <s v="TC2021_345 uit centraal regsiter\nUitvoerbaarheid te bekijken bij plaatsbezoek"/>
    <s v="Kleine Ingreep"/>
    <s v="&lt;null&gt;"/>
    <b v="0"/>
    <s v="Ingreep wordt niet opgevolgd in BOD"/>
    <s v="&lt;null&gt;"/>
    <s v="&lt;null&gt;"/>
    <s v="&lt;null&gt;"/>
    <s v="&lt;null&gt;"/>
    <s v="&lt;null&gt;"/>
    <x v="0"/>
    <s v="&lt;null&gt;"/>
    <s v="&lt;null&gt;"/>
    <s v="&lt;null&gt;"/>
    <s v="&lt;null&gt;"/>
    <n v="100"/>
    <s v="&lt;null&gt;"/>
    <s v="&lt;null&gt;"/>
    <s v="&lt;null&gt;"/>
    <s v="&lt;null&gt;"/>
    <m/>
    <m/>
    <m/>
    <m/>
  </r>
  <r>
    <x v="888"/>
    <x v="888"/>
    <s v="Verkeersveiligheid"/>
    <x v="4"/>
    <n v="2640"/>
    <s v="IN/001985"/>
    <s v="Trajectcontrole"/>
    <s v="TC2021_339 en TC2021_345 uit centraal register\nuitvoerbaarheid te bekijken bij plaatsbezoek"/>
    <s v="Kleine Ingreep"/>
    <s v="&lt;null&gt;"/>
    <b v="0"/>
    <s v="Ingreep wordt niet opgevolgd in BOD"/>
    <s v="&lt;null&gt;"/>
    <s v="&lt;null&gt;"/>
    <s v="&lt;null&gt;"/>
    <s v="&lt;null&gt;"/>
    <s v="&lt;null&gt;"/>
    <x v="0"/>
    <s v="&lt;null&gt;"/>
    <s v="&lt;null&gt;"/>
    <s v="&lt;null&gt;"/>
    <s v="&lt;null&gt;"/>
    <n v="100"/>
    <s v="&lt;null&gt;"/>
    <s v="&lt;null&gt;"/>
    <s v="&lt;null&gt;"/>
    <s v="&lt;null&gt;"/>
    <m/>
    <m/>
    <m/>
    <m/>
  </r>
  <r>
    <x v="804"/>
    <x v="804"/>
    <s v="Verkeersveiligheid"/>
    <x v="4"/>
    <n v="2641"/>
    <s v="IN/001986"/>
    <s v="Trajectcontrole"/>
    <s v="TC2021_282 in centraal register\nUitvoerbaarheid te bekijken bij plaatsbezoek"/>
    <s v="Kleine Ingreep"/>
    <s v="&lt;null&gt;"/>
    <b v="0"/>
    <s v="Ingreep wordt niet opgevolgd in BOD"/>
    <s v="&lt;null&gt;"/>
    <s v="&lt;null&gt;"/>
    <s v="&lt;null&gt;"/>
    <s v="&lt;null&gt;"/>
    <s v="&lt;null&gt;"/>
    <x v="0"/>
    <s v="&lt;null&gt;"/>
    <s v="&lt;null&gt;"/>
    <s v="&lt;null&gt;"/>
    <s v="&lt;null&gt;"/>
    <n v="100"/>
    <s v="&lt;null&gt;"/>
    <s v="&lt;null&gt;"/>
    <s v="&lt;null&gt;"/>
    <s v="&lt;null&gt;"/>
    <m/>
    <m/>
    <m/>
    <m/>
  </r>
  <r>
    <x v="1416"/>
    <x v="1416"/>
    <s v="Stimuleren Combimobiliteit"/>
    <x v="2"/>
    <n v="2652"/>
    <s v="IN/001987"/>
    <s v="Uitvoering"/>
    <s v="Ontwerp in opmaak intern\nhttps://service.projectplace.com/#direct/card/14588005"/>
    <s v="Kleine Ingreep"/>
    <s v="WA/INV/N18/14"/>
    <b v="0"/>
    <s v="Ingreep wordt niet opgevolgd in BOD"/>
    <s v="&lt;null&gt;"/>
    <s v="&lt;null&gt;"/>
    <s v="&lt;null&gt;"/>
    <s v="&lt;null&gt;"/>
    <s v="&lt;null&gt;"/>
    <x v="0"/>
    <s v="&lt;null&gt;"/>
    <s v="&lt;null&gt;"/>
    <s v="&lt;null&gt;"/>
    <s v="&lt;null&gt;"/>
    <n v="100"/>
    <s v="&lt;null&gt;"/>
    <s v="&lt;null&gt;"/>
    <s v="&lt;null&gt;"/>
    <s v="&lt;null&gt;"/>
    <m/>
    <m/>
    <m/>
    <m/>
  </r>
  <r>
    <x v="1417"/>
    <x v="1417"/>
    <s v="Stimuleren Combimobiliteit"/>
    <x v="2"/>
    <n v="2653"/>
    <s v="IN/001988"/>
    <s v="opmeting? + ontwerp"/>
    <s v="&lt;null&gt;"/>
    <s v="Kleine Ingreep"/>
    <s v="WA/INV/N146/4"/>
    <b v="0"/>
    <s v="Ingreep wordt niet opgevolgd in BOD"/>
    <s v="&lt;null&gt;"/>
    <s v="&lt;null&gt;"/>
    <s v="&lt;null&gt;"/>
    <s v="&lt;null&gt;"/>
    <s v="&lt;null&gt;"/>
    <x v="0"/>
    <s v="&lt;null&gt;"/>
    <s v="&lt;null&gt;"/>
    <s v="&lt;null&gt;"/>
    <s v="&lt;null&gt;"/>
    <n v="100"/>
    <s v="&lt;null&gt;"/>
    <s v="&lt;null&gt;"/>
    <s v="&lt;null&gt;"/>
    <s v="&lt;null&gt;"/>
    <m/>
    <m/>
    <m/>
    <m/>
  </r>
  <r>
    <x v="1418"/>
    <x v="1418"/>
    <s v="Stimuleren Combimobiliteit"/>
    <x v="2"/>
    <n v="2654"/>
    <s v="IN/001989"/>
    <s v="Opmeting + ontwerp"/>
    <s v="&lt;null&gt;"/>
    <s v="Kleine Ingreep"/>
    <s v="WA/INV/N131/2"/>
    <b v="0"/>
    <s v="Ingreep wordt niet opgevolgd in BOD"/>
    <s v="&lt;null&gt;"/>
    <s v="&lt;null&gt;"/>
    <s v="&lt;null&gt;"/>
    <s v="&lt;null&gt;"/>
    <s v="&lt;null&gt;"/>
    <x v="0"/>
    <s v="&lt;null&gt;"/>
    <s v="&lt;null&gt;"/>
    <s v="&lt;null&gt;"/>
    <s v="&lt;null&gt;"/>
    <n v="100"/>
    <s v="&lt;null&gt;"/>
    <s v="&lt;null&gt;"/>
    <s v="&lt;null&gt;"/>
    <s v="&lt;null&gt;"/>
    <m/>
    <m/>
    <m/>
    <m/>
  </r>
  <r>
    <x v="1419"/>
    <x v="1419"/>
    <s v="Stimuleren Combimobiliteit"/>
    <x v="2"/>
    <n v="2655"/>
    <s v="IN/001990"/>
    <s v="Uitvoering"/>
    <s v="Reeds ontwerp intern\nhttps://service.projectplace.com/#direct/card/11861479"/>
    <s v="Kleine Ingreep"/>
    <s v="WA/INV/N124/5"/>
    <b v="1"/>
    <s v="Ingreep wordt opgevolgd in BOD"/>
    <n v="12666"/>
    <s v="AWV/INV/2021/3_P1"/>
    <n v="139251"/>
    <n v="21069266"/>
    <s v="&lt;p&gt;toegankelijke haltes op combimobiliteit 2021 AWV/INV/BDG/27/B003 (deel WA+WL) + hoppin 2021 (3.2mio)&lt;/p&gt;"/>
    <x v="25"/>
    <n v="10623"/>
    <s v="N124 Merksplas Dorp Hoppin"/>
    <s v="&lt;null&gt;"/>
    <s v="WA/INV/N124/5"/>
    <n v="100"/>
    <n v="15557"/>
    <n v="0"/>
    <n v="0"/>
    <n v="0.74"/>
    <n v="15557"/>
    <n v="0"/>
    <n v="0"/>
    <n v="0.74"/>
  </r>
  <r>
    <x v="1420"/>
    <x v="1420"/>
    <s v="Verkeersveiligheid"/>
    <x v="1"/>
    <n v="2656"/>
    <s v="IN/001991"/>
    <s v="N78xKoninginnenlaan Aanleg Rotonde MM"/>
    <s v="&lt;null&gt;"/>
    <s v="Structurele Ingreep"/>
    <s v="WL/INV/N78/10"/>
    <b v="0"/>
    <s v="Ingreep wordt niet opgevolgd in BOD"/>
    <s v="&lt;null&gt;"/>
    <s v="&lt;null&gt;"/>
    <s v="&lt;null&gt;"/>
    <s v="&lt;null&gt;"/>
    <s v="&lt;null&gt;"/>
    <x v="0"/>
    <s v="&lt;null&gt;"/>
    <s v="&lt;null&gt;"/>
    <s v="&lt;null&gt;"/>
    <s v="&lt;null&gt;"/>
    <n v="50"/>
    <s v="&lt;null&gt;"/>
    <s v="&lt;null&gt;"/>
    <s v="&lt;null&gt;"/>
    <s v="&lt;null&gt;"/>
    <m/>
    <m/>
    <m/>
    <m/>
  </r>
  <r>
    <x v="1421"/>
    <x v="1421"/>
    <s v="Verkeersveiligheid"/>
    <x v="1"/>
    <n v="2657"/>
    <s v="IN/001992"/>
    <s v="QW accentueren fietspaden met rode slem"/>
    <s v="Voorlopige ingreep. Definitieve ingreep nog in onderzoek."/>
    <s v="Kleine Ingreep"/>
    <s v="WWV/INV/N50/17"/>
    <b v="1"/>
    <s v="Ingreep wordt opgevolgd in BOD"/>
    <n v="12024"/>
    <s v="AWV/INV/2021/3_P3"/>
    <n v="118201"/>
    <n v="21065772"/>
    <s v="&lt;p&gt;OF AWV/INV/2021/3 P3 3mh229 - gevaarlijke punten&lt;/p&gt;"/>
    <x v="10"/>
    <n v="9416"/>
    <s v="IN 1992 N50 Ieperstraat Kortrijk"/>
    <s v="&lt;null&gt;"/>
    <s v="WWV/INV/N50/17"/>
    <n v="100"/>
    <n v="2600"/>
    <n v="0"/>
    <n v="637.8075"/>
    <n v="459.1"/>
    <n v="2600"/>
    <n v="0"/>
    <n v="637.8075"/>
    <n v="459.1"/>
  </r>
  <r>
    <x v="1422"/>
    <x v="1422"/>
    <s v="Stimuleren Combimobiliteit"/>
    <x v="2"/>
    <n v="2658"/>
    <s v="IN/001993"/>
    <s v="BH Hoogstraten K. Boomstraat"/>
    <s v="ontwerp + opmeting"/>
    <s v="Kleine Ingreep"/>
    <s v="WA/INV/N14/12"/>
    <b v="0"/>
    <s v="Ingreep wordt niet opgevolgd in BOD"/>
    <s v="&lt;null&gt;"/>
    <s v="&lt;null&gt;"/>
    <s v="&lt;null&gt;"/>
    <s v="&lt;null&gt;"/>
    <s v="&lt;null&gt;"/>
    <x v="0"/>
    <s v="&lt;null&gt;"/>
    <s v="&lt;null&gt;"/>
    <s v="&lt;null&gt;"/>
    <s v="&lt;null&gt;"/>
    <n v="100"/>
    <s v="&lt;null&gt;"/>
    <s v="&lt;null&gt;"/>
    <s v="&lt;null&gt;"/>
    <s v="&lt;null&gt;"/>
    <m/>
    <m/>
    <m/>
    <m/>
  </r>
  <r>
    <x v="18"/>
    <x v="18"/>
    <s v="&lt;null&gt;"/>
    <x v="3"/>
    <n v="2659"/>
    <s v="IN/001994"/>
    <s v="Vrijliggende fietspaden N14 Duffel"/>
    <s v="&lt;null&gt;"/>
    <s v="Structurele Ingreep"/>
    <s v="WA/INV/N14/1"/>
    <b v="0"/>
    <s v="Ingreep wordt niet opgevolgd in BOD"/>
    <s v="&lt;null&gt;"/>
    <s v="&lt;null&gt;"/>
    <s v="&lt;null&gt;"/>
    <s v="&lt;null&gt;"/>
    <s v="&lt;null&gt;"/>
    <x v="0"/>
    <s v="&lt;null&gt;"/>
    <s v="&lt;null&gt;"/>
    <s v="&lt;null&gt;"/>
    <s v="&lt;null&gt;"/>
    <s v="&lt;null&gt;"/>
    <s v="&lt;null&gt;"/>
    <s v="&lt;null&gt;"/>
    <s v="&lt;null&gt;"/>
    <s v="&lt;null&gt;"/>
    <m/>
    <m/>
    <m/>
    <m/>
  </r>
  <r>
    <x v="1423"/>
    <x v="1423"/>
    <s v="Verkeersveiligheid"/>
    <x v="4"/>
    <n v="2660"/>
    <s v="IN/001995"/>
    <s v="SRK: R42 Sint-Niklaas: betere geleiding en RADR"/>
    <s v="Het kruispunt wordt (deels) voorzien van rechtsaf door rood + infrastructurele aanpassingen ter verbetering van de geleiding van en naar de Raapstraat (kant centrum) uit te voeren. De borden B22 zijn aangebracht, de infrastructurele aanpassingen zijn voor"/>
    <s v="Kleine Ingreep"/>
    <s v="WOV/INV/R42/4"/>
    <b v="0"/>
    <s v="Ingreep wordt niet opgevolgd in BOD"/>
    <s v="&lt;null&gt;"/>
    <s v="&lt;null&gt;"/>
    <s v="&lt;null&gt;"/>
    <s v="&lt;null&gt;"/>
    <s v="&lt;null&gt;"/>
    <x v="0"/>
    <s v="&lt;null&gt;"/>
    <s v="&lt;null&gt;"/>
    <s v="&lt;null&gt;"/>
    <s v="&lt;null&gt;"/>
    <n v="100"/>
    <s v="&lt;null&gt;"/>
    <s v="&lt;null&gt;"/>
    <s v="&lt;null&gt;"/>
    <s v="&lt;null&gt;"/>
    <m/>
    <m/>
    <m/>
    <m/>
  </r>
  <r>
    <x v="1424"/>
    <x v="1424"/>
    <s v="Verkeersveiligheid"/>
    <x v="4"/>
    <n v="2661"/>
    <s v="IN/001996"/>
    <s v="SRK: N16 Temse: conflictvrije lichtenregeling voor dubbelrichtingsfietsoversteek"/>
    <s v="&lt;null&gt;"/>
    <s v="Kleine Ingreep"/>
    <s v="WOV/INV/N16/2"/>
    <b v="0"/>
    <s v="Ingreep wordt niet opgevolgd in BOD"/>
    <s v="&lt;null&gt;"/>
    <s v="&lt;null&gt;"/>
    <s v="&lt;null&gt;"/>
    <s v="&lt;null&gt;"/>
    <s v="&lt;null&gt;"/>
    <x v="0"/>
    <s v="&lt;null&gt;"/>
    <s v="&lt;null&gt;"/>
    <s v="&lt;null&gt;"/>
    <s v="&lt;null&gt;"/>
    <n v="100"/>
    <s v="&lt;null&gt;"/>
    <s v="&lt;null&gt;"/>
    <s v="&lt;null&gt;"/>
    <s v="&lt;null&gt;"/>
    <m/>
    <m/>
    <m/>
    <m/>
  </r>
  <r>
    <x v="1425"/>
    <x v="1425"/>
    <s v="Verkeersveiligheid"/>
    <x v="4"/>
    <n v="2662"/>
    <s v="IN/001997"/>
    <s v="SRK: N46 Oudenaarde: hermarkering fietsoversteken"/>
    <s v="&lt;null&gt;"/>
    <s v="Kleine Ingreep"/>
    <s v="WOV/INV/N46/12"/>
    <b v="0"/>
    <s v="Ingreep wordt niet opgevolgd in BOD"/>
    <s v="&lt;null&gt;"/>
    <s v="&lt;null&gt;"/>
    <s v="&lt;null&gt;"/>
    <s v="&lt;null&gt;"/>
    <s v="&lt;null&gt;"/>
    <x v="0"/>
    <s v="&lt;null&gt;"/>
    <s v="&lt;null&gt;"/>
    <s v="&lt;null&gt;"/>
    <s v="&lt;null&gt;"/>
    <n v="100"/>
    <s v="&lt;null&gt;"/>
    <s v="&lt;null&gt;"/>
    <s v="&lt;null&gt;"/>
    <s v="&lt;null&gt;"/>
    <m/>
    <m/>
    <m/>
    <m/>
  </r>
  <r>
    <x v="1426"/>
    <x v="1426"/>
    <s v="Verkeersveiligheid"/>
    <x v="4"/>
    <n v="2663"/>
    <s v="IN/001998"/>
    <s v="SRK: N46 Oudenaarde: wegdek en fietsoversteekplaatsen"/>
    <s v="&lt;null&gt;"/>
    <s v="Kleine Ingreep"/>
    <s v="WOV/INV/N46/13"/>
    <b v="0"/>
    <s v="Ingreep wordt niet opgevolgd in BOD"/>
    <s v="&lt;null&gt;"/>
    <s v="&lt;null&gt;"/>
    <s v="&lt;null&gt;"/>
    <s v="&lt;null&gt;"/>
    <s v="&lt;null&gt;"/>
    <x v="0"/>
    <s v="&lt;null&gt;"/>
    <s v="&lt;null&gt;"/>
    <s v="&lt;null&gt;"/>
    <s v="&lt;null&gt;"/>
    <n v="100"/>
    <s v="&lt;null&gt;"/>
    <s v="&lt;null&gt;"/>
    <s v="&lt;null&gt;"/>
    <s v="&lt;null&gt;"/>
    <m/>
    <m/>
    <m/>
    <m/>
  </r>
  <r>
    <x v="1427"/>
    <x v="1427"/>
    <s v="Verkeersveiligheid"/>
    <x v="4"/>
    <n v="2664"/>
    <s v="IN/001999"/>
    <s v="SRK: N60 Oudenaarde: fietsoversteekvoorzieningen"/>
    <s v="SRK: Wegdek en oversteekmarkeringen"/>
    <s v="Kleine Ingreep"/>
    <s v="WOV/INV/N46/14"/>
    <b v="0"/>
    <s v="Ingreep wordt niet opgevolgd in BOD"/>
    <s v="&lt;null&gt;"/>
    <s v="&lt;null&gt;"/>
    <s v="&lt;null&gt;"/>
    <s v="&lt;null&gt;"/>
    <s v="&lt;null&gt;"/>
    <x v="0"/>
    <s v="&lt;null&gt;"/>
    <s v="&lt;null&gt;"/>
    <s v="&lt;null&gt;"/>
    <s v="&lt;null&gt;"/>
    <n v="100"/>
    <s v="&lt;null&gt;"/>
    <s v="&lt;null&gt;"/>
    <s v="&lt;null&gt;"/>
    <s v="&lt;null&gt;"/>
    <m/>
    <m/>
    <m/>
    <m/>
  </r>
  <r>
    <x v="1428"/>
    <x v="1428"/>
    <s v="Verkeersveiligheid"/>
    <x v="4"/>
    <n v="2665"/>
    <s v="IN/002000"/>
    <s v="SRK: N60 x N459 Oudenaarde: markering fietsoversteken"/>
    <s v="&lt;null&gt;"/>
    <s v="Kleine Ingreep"/>
    <s v="WOV/INV/NX/6"/>
    <b v="0"/>
    <s v="Ingreep wordt niet opgevolgd in BOD"/>
    <s v="&lt;null&gt;"/>
    <s v="&lt;null&gt;"/>
    <s v="&lt;null&gt;"/>
    <s v="&lt;null&gt;"/>
    <s v="&lt;null&gt;"/>
    <x v="0"/>
    <s v="&lt;null&gt;"/>
    <s v="&lt;null&gt;"/>
    <s v="&lt;null&gt;"/>
    <s v="&lt;null&gt;"/>
    <n v="100"/>
    <s v="&lt;null&gt;"/>
    <s v="&lt;null&gt;"/>
    <s v="&lt;null&gt;"/>
    <s v="&lt;null&gt;"/>
    <m/>
    <m/>
    <m/>
    <m/>
  </r>
  <r>
    <x v="1429"/>
    <x v="1429"/>
    <s v="Verkeersveiligheid"/>
    <x v="4"/>
    <n v="2666"/>
    <s v="IN/002001"/>
    <s v="Herinrichting kruispunt"/>
    <s v="&lt;null&gt;"/>
    <s v="Kleine Ingreep"/>
    <s v="WOV/INV/N70/11"/>
    <b v="0"/>
    <s v="Ingreep wordt niet opgevolgd in BOD"/>
    <s v="&lt;null&gt;"/>
    <s v="&lt;null&gt;"/>
    <s v="&lt;null&gt;"/>
    <s v="&lt;null&gt;"/>
    <s v="&lt;null&gt;"/>
    <x v="0"/>
    <s v="&lt;null&gt;"/>
    <s v="&lt;null&gt;"/>
    <s v="&lt;null&gt;"/>
    <s v="&lt;null&gt;"/>
    <n v="100"/>
    <s v="&lt;null&gt;"/>
    <s v="&lt;null&gt;"/>
    <s v="&lt;null&gt;"/>
    <s v="&lt;null&gt;"/>
    <m/>
    <m/>
    <m/>
    <m/>
  </r>
  <r>
    <x v="1430"/>
    <x v="1430"/>
    <s v="Verkeersveiligheid"/>
    <x v="4"/>
    <n v="2667"/>
    <s v="IN/002002"/>
    <s v="SRK: N47 Lebbeke: markering dubbelrichtingsoversteek"/>
    <s v="&lt;null&gt;"/>
    <s v="Kleine Ingreep"/>
    <s v="WOV/INV/NX/7"/>
    <b v="0"/>
    <s v="Ingreep wordt niet opgevolgd in BOD"/>
    <s v="&lt;null&gt;"/>
    <s v="&lt;null&gt;"/>
    <s v="&lt;null&gt;"/>
    <s v="&lt;null&gt;"/>
    <s v="&lt;null&gt;"/>
    <x v="0"/>
    <s v="&lt;null&gt;"/>
    <s v="&lt;null&gt;"/>
    <s v="&lt;null&gt;"/>
    <s v="&lt;null&gt;"/>
    <n v="100"/>
    <s v="&lt;null&gt;"/>
    <s v="&lt;null&gt;"/>
    <s v="&lt;null&gt;"/>
    <s v="&lt;null&gt;"/>
    <m/>
    <m/>
    <m/>
    <m/>
  </r>
  <r>
    <x v="1431"/>
    <x v="1431"/>
    <s v="Verkeersveiligheid"/>
    <x v="4"/>
    <n v="2668"/>
    <s v="IN/002003"/>
    <s v="SRK: N47 Lebbeke: markeringen fiets thv rotonde"/>
    <s v="&lt;null&gt;"/>
    <s v="Kleine Ingreep"/>
    <s v="WOV/INV/N47/9"/>
    <b v="0"/>
    <s v="Ingreep wordt niet opgevolgd in BOD"/>
    <s v="&lt;null&gt;"/>
    <s v="&lt;null&gt;"/>
    <s v="&lt;null&gt;"/>
    <s v="&lt;null&gt;"/>
    <s v="&lt;null&gt;"/>
    <x v="0"/>
    <s v="&lt;null&gt;"/>
    <s v="&lt;null&gt;"/>
    <s v="&lt;null&gt;"/>
    <s v="&lt;null&gt;"/>
    <n v="100"/>
    <s v="&lt;null&gt;"/>
    <s v="&lt;null&gt;"/>
    <s v="&lt;null&gt;"/>
    <s v="&lt;null&gt;"/>
    <m/>
    <m/>
    <m/>
    <m/>
  </r>
  <r>
    <x v="1432"/>
    <x v="1432"/>
    <s v="Verkeersveiligheid"/>
    <x v="4"/>
    <n v="2669"/>
    <s v="IN/002004"/>
    <s v="SRK: N47 Lebbeke: aanbrengen van fietssuggestiestroken"/>
    <s v="&lt;null&gt;"/>
    <s v="Kleine Ingreep"/>
    <s v="WOV/INV/N47/10"/>
    <b v="0"/>
    <s v="Ingreep wordt niet opgevolgd in BOD"/>
    <s v="&lt;null&gt;"/>
    <s v="&lt;null&gt;"/>
    <s v="&lt;null&gt;"/>
    <s v="&lt;null&gt;"/>
    <s v="&lt;null&gt;"/>
    <x v="0"/>
    <s v="&lt;null&gt;"/>
    <s v="&lt;null&gt;"/>
    <s v="&lt;null&gt;"/>
    <s v="&lt;null&gt;"/>
    <n v="100"/>
    <s v="&lt;null&gt;"/>
    <s v="&lt;null&gt;"/>
    <s v="&lt;null&gt;"/>
    <s v="&lt;null&gt;"/>
    <m/>
    <m/>
    <m/>
    <m/>
  </r>
  <r>
    <x v="1433"/>
    <x v="1433"/>
    <s v="Verkeersveiligheid"/>
    <x v="4"/>
    <n v="2670"/>
    <s v="IN/002005"/>
    <s v="SRK: N46 Geraardsbergen: aanpassing boordsteen"/>
    <s v="&lt;null&gt;"/>
    <s v="Kleine Ingreep"/>
    <s v="WOV/INV/N460/11"/>
    <b v="0"/>
    <s v="Ingreep wordt niet opgevolgd in BOD"/>
    <s v="&lt;null&gt;"/>
    <s v="&lt;null&gt;"/>
    <s v="&lt;null&gt;"/>
    <s v="&lt;null&gt;"/>
    <s v="&lt;null&gt;"/>
    <x v="0"/>
    <s v="&lt;null&gt;"/>
    <s v="&lt;null&gt;"/>
    <s v="&lt;null&gt;"/>
    <s v="&lt;null&gt;"/>
    <n v="100"/>
    <s v="&lt;null&gt;"/>
    <s v="&lt;null&gt;"/>
    <s v="&lt;null&gt;"/>
    <s v="&lt;null&gt;"/>
    <m/>
    <m/>
    <m/>
    <m/>
  </r>
  <r>
    <x v="1434"/>
    <x v="1434"/>
    <s v="Verkeersveiligheid"/>
    <x v="4"/>
    <n v="2671"/>
    <s v="IN/002006"/>
    <s v="SRK: N8 Geraardsbergen: octopuspalen en attentieverhogende markering"/>
    <s v="&lt;null&gt;"/>
    <s v="Kleine Ingreep"/>
    <s v="WOV/INV/N8/13"/>
    <b v="0"/>
    <s v="Ingreep wordt niet opgevolgd in BOD"/>
    <s v="&lt;null&gt;"/>
    <s v="&lt;null&gt;"/>
    <s v="&lt;null&gt;"/>
    <s v="&lt;null&gt;"/>
    <s v="&lt;null&gt;"/>
    <x v="0"/>
    <s v="&lt;null&gt;"/>
    <s v="&lt;null&gt;"/>
    <s v="&lt;null&gt;"/>
    <s v="&lt;null&gt;"/>
    <n v="100"/>
    <s v="&lt;null&gt;"/>
    <s v="&lt;null&gt;"/>
    <s v="&lt;null&gt;"/>
    <s v="&lt;null&gt;"/>
    <m/>
    <m/>
    <m/>
    <m/>
  </r>
  <r>
    <x v="1435"/>
    <x v="1435"/>
    <s v="Verkeersveiligheid"/>
    <x v="4"/>
    <n v="2672"/>
    <s v="IN/002007"/>
    <s v="SRK: N495 Geraardsbergen: opfrissing markeringen fietsoversteek"/>
    <s v="&lt;null&gt;"/>
    <s v="Kleine Ingreep"/>
    <s v="WOV/INV/N495/7"/>
    <b v="0"/>
    <s v="Ingreep wordt niet opgevolgd in BOD"/>
    <s v="&lt;null&gt;"/>
    <s v="&lt;null&gt;"/>
    <s v="&lt;null&gt;"/>
    <s v="&lt;null&gt;"/>
    <s v="&lt;null&gt;"/>
    <x v="0"/>
    <s v="&lt;null&gt;"/>
    <s v="&lt;null&gt;"/>
    <s v="&lt;null&gt;"/>
    <s v="&lt;null&gt;"/>
    <n v="100"/>
    <s v="&lt;null&gt;"/>
    <s v="&lt;null&gt;"/>
    <s v="&lt;null&gt;"/>
    <s v="&lt;null&gt;"/>
    <m/>
    <m/>
    <m/>
    <m/>
  </r>
  <r>
    <x v="1436"/>
    <x v="1436"/>
    <s v="Verkeersveiligheid"/>
    <x v="4"/>
    <n v="2673"/>
    <s v="IN/002008"/>
    <s v="SRK: N272 Geraardsbergen: markering fietsoversteek"/>
    <s v="&lt;null&gt;"/>
    <s v="Kleine Ingreep"/>
    <s v="WOV/INV/N272/1"/>
    <b v="0"/>
    <s v="Ingreep wordt niet opgevolgd in BOD"/>
    <s v="&lt;null&gt;"/>
    <s v="&lt;null&gt;"/>
    <s v="&lt;null&gt;"/>
    <s v="&lt;null&gt;"/>
    <s v="&lt;null&gt;"/>
    <x v="0"/>
    <s v="&lt;null&gt;"/>
    <s v="&lt;null&gt;"/>
    <s v="&lt;null&gt;"/>
    <s v="&lt;null&gt;"/>
    <n v="100"/>
    <s v="&lt;null&gt;"/>
    <s v="&lt;null&gt;"/>
    <s v="&lt;null&gt;"/>
    <s v="&lt;null&gt;"/>
    <m/>
    <m/>
    <m/>
    <m/>
  </r>
  <r>
    <x v="1437"/>
    <x v="1437"/>
    <s v="Verkeersveiligheid"/>
    <x v="4"/>
    <n v="2674"/>
    <s v="IN/002009"/>
    <s v="SRK : N35 Deinze: oversteekplaats : rechtsaf door roood"/>
    <s v="&lt;null&gt;"/>
    <s v="Kleine Ingreep"/>
    <s v="WOV/INV/NX/8"/>
    <b v="0"/>
    <s v="Ingreep wordt niet opgevolgd in BOD"/>
    <s v="&lt;null&gt;"/>
    <s v="&lt;null&gt;"/>
    <s v="&lt;null&gt;"/>
    <s v="&lt;null&gt;"/>
    <s v="&lt;null&gt;"/>
    <x v="0"/>
    <s v="&lt;null&gt;"/>
    <s v="&lt;null&gt;"/>
    <s v="&lt;null&gt;"/>
    <s v="&lt;null&gt;"/>
    <n v="100"/>
    <s v="&lt;null&gt;"/>
    <s v="&lt;null&gt;"/>
    <s v="&lt;null&gt;"/>
    <s v="&lt;null&gt;"/>
    <m/>
    <m/>
    <m/>
    <m/>
  </r>
  <r>
    <x v="18"/>
    <x v="18"/>
    <s v="&lt;null&gt;"/>
    <x v="3"/>
    <n v="2675"/>
    <s v="IN/002010"/>
    <s v="Structureel onderhoud"/>
    <s v="&lt;null&gt;"/>
    <s v="Kleine Ingreep"/>
    <s v="&lt;null&gt;"/>
    <b v="0"/>
    <s v="Ingreep wordt niet opgevolgd in BOD"/>
    <s v="&lt;null&gt;"/>
    <s v="&lt;null&gt;"/>
    <s v="&lt;null&gt;"/>
    <s v="&lt;null&gt;"/>
    <s v="&lt;null&gt;"/>
    <x v="0"/>
    <s v="&lt;null&gt;"/>
    <s v="&lt;null&gt;"/>
    <s v="&lt;null&gt;"/>
    <s v="&lt;null&gt;"/>
    <s v="&lt;null&gt;"/>
    <s v="&lt;null&gt;"/>
    <s v="&lt;null&gt;"/>
    <s v="&lt;null&gt;"/>
    <s v="&lt;null&gt;"/>
    <m/>
    <m/>
    <m/>
    <m/>
  </r>
  <r>
    <x v="1438"/>
    <x v="1438"/>
    <s v="Verkeersveiligheid"/>
    <x v="4"/>
    <n v="2676"/>
    <s v="IN/002011"/>
    <s v="SRK: N456 Sint-Laureins: oversteekplaats"/>
    <s v="Werken zoals besproken in PCV"/>
    <s v="Kleine Ingreep"/>
    <s v="WOV/INV/N456/16"/>
    <b v="0"/>
    <s v="Ingreep wordt niet opgevolgd in BOD"/>
    <s v="&lt;null&gt;"/>
    <s v="&lt;null&gt;"/>
    <s v="&lt;null&gt;"/>
    <s v="&lt;null&gt;"/>
    <s v="&lt;null&gt;"/>
    <x v="0"/>
    <s v="&lt;null&gt;"/>
    <s v="&lt;null&gt;"/>
    <s v="&lt;null&gt;"/>
    <s v="&lt;null&gt;"/>
    <n v="100"/>
    <s v="&lt;null&gt;"/>
    <s v="&lt;null&gt;"/>
    <s v="&lt;null&gt;"/>
    <s v="&lt;null&gt;"/>
    <m/>
    <m/>
    <m/>
    <m/>
  </r>
  <r>
    <x v="1439"/>
    <x v="1439"/>
    <s v="Verkeersveiligheid"/>
    <x v="4"/>
    <n v="2677"/>
    <s v="IN/002012"/>
    <s v="vervanging dynamisch bord"/>
    <s v="&lt;null&gt;"/>
    <s v="Kleine Ingreep"/>
    <s v="WA/INV/N16/8"/>
    <b v="0"/>
    <s v="Ingreep wordt niet opgevolgd in BOD"/>
    <s v="&lt;null&gt;"/>
    <s v="&lt;null&gt;"/>
    <s v="&lt;null&gt;"/>
    <s v="&lt;null&gt;"/>
    <s v="&lt;null&gt;"/>
    <x v="0"/>
    <s v="&lt;null&gt;"/>
    <s v="&lt;null&gt;"/>
    <s v="&lt;null&gt;"/>
    <s v="&lt;null&gt;"/>
    <n v="100"/>
    <s v="&lt;null&gt;"/>
    <s v="&lt;null&gt;"/>
    <s v="&lt;null&gt;"/>
    <s v="&lt;null&gt;"/>
    <m/>
    <m/>
    <m/>
    <m/>
  </r>
  <r>
    <x v="1440"/>
    <x v="1440"/>
    <s v="Verkeersveiligheid"/>
    <x v="4"/>
    <n v="2678"/>
    <s v="IN/002013"/>
    <s v="Aanpassing fietsinfrastructuur en VRI"/>
    <s v="&lt;null&gt;"/>
    <s v="Kleine Ingreep"/>
    <s v="WWV/INV/A19/3"/>
    <b v="0"/>
    <s v="Ingreep wordt niet opgevolgd in BOD"/>
    <s v="&lt;null&gt;"/>
    <s v="&lt;null&gt;"/>
    <s v="&lt;null&gt;"/>
    <s v="&lt;null&gt;"/>
    <s v="&lt;null&gt;"/>
    <x v="0"/>
    <s v="&lt;null&gt;"/>
    <s v="&lt;null&gt;"/>
    <s v="&lt;null&gt;"/>
    <s v="&lt;null&gt;"/>
    <n v="100"/>
    <s v="&lt;null&gt;"/>
    <s v="&lt;null&gt;"/>
    <s v="&lt;null&gt;"/>
    <s v="&lt;null&gt;"/>
    <m/>
    <m/>
    <m/>
    <m/>
  </r>
  <r>
    <x v="1441"/>
    <x v="1441"/>
    <s v="Verkeersveiligheid"/>
    <x v="4"/>
    <n v="2679"/>
    <s v="IN/002014"/>
    <s v="Herinrichting volgens PCV"/>
    <s v="&lt;null&gt;"/>
    <s v="Kleine Ingreep"/>
    <s v="WA/INV/N108/8"/>
    <b v="0"/>
    <s v="Ingreep wordt niet opgevolgd in BOD"/>
    <s v="&lt;null&gt;"/>
    <s v="&lt;null&gt;"/>
    <s v="&lt;null&gt;"/>
    <s v="&lt;null&gt;"/>
    <s v="&lt;null&gt;"/>
    <x v="0"/>
    <s v="&lt;null&gt;"/>
    <s v="&lt;null&gt;"/>
    <s v="&lt;null&gt;"/>
    <s v="&lt;null&gt;"/>
    <n v="100"/>
    <s v="&lt;null&gt;"/>
    <s v="&lt;null&gt;"/>
    <s v="&lt;null&gt;"/>
    <s v="&lt;null&gt;"/>
    <m/>
    <m/>
    <m/>
    <m/>
  </r>
  <r>
    <x v="18"/>
    <x v="18"/>
    <s v="&lt;null&gt;"/>
    <x v="3"/>
    <n v="2680"/>
    <s v="IN/002015"/>
    <s v="N3/E40 - Bowstringbrug over E40 (Bertem)"/>
    <s v="&lt;null&gt;"/>
    <s v="Structurele Ingreep"/>
    <s v="WVB/INV/N3/3"/>
    <b v="0"/>
    <s v="Ingreep wordt niet opgevolgd in BOD"/>
    <s v="&lt;null&gt;"/>
    <s v="&lt;null&gt;"/>
    <s v="&lt;null&gt;"/>
    <s v="&lt;null&gt;"/>
    <s v="&lt;null&gt;"/>
    <x v="0"/>
    <s v="&lt;null&gt;"/>
    <s v="&lt;null&gt;"/>
    <s v="&lt;null&gt;"/>
    <s v="&lt;null&gt;"/>
    <s v="&lt;null&gt;"/>
    <s v="&lt;null&gt;"/>
    <s v="&lt;null&gt;"/>
    <s v="&lt;null&gt;"/>
    <s v="&lt;null&gt;"/>
    <m/>
    <m/>
    <m/>
    <m/>
  </r>
  <r>
    <x v="1442"/>
    <x v="1442"/>
    <s v="Verkeersveiligheid"/>
    <x v="4"/>
    <n v="2681"/>
    <s v="IN/002016"/>
    <s v="Wegenis"/>
    <s v="er is een PCV dossier geweest om de middelste rijstrook weg te halen en die ruimte te gebruiken voor de fietspaden. Momenteel zijn er betonplaatherstellingen, vervolgens markeringen. Dit wordt meegenomen in het PCV dossier Sint-Bernard. Uitvoering in 2021"/>
    <s v="Kleine Ingreep"/>
    <s v="WVB/INV/NX/7"/>
    <b v="0"/>
    <s v="Ingreep wordt niet opgevolgd in BOD"/>
    <s v="&lt;null&gt;"/>
    <s v="&lt;null&gt;"/>
    <s v="&lt;null&gt;"/>
    <s v="&lt;null&gt;"/>
    <s v="&lt;null&gt;"/>
    <x v="0"/>
    <s v="&lt;null&gt;"/>
    <s v="&lt;null&gt;"/>
    <s v="&lt;null&gt;"/>
    <s v="&lt;null&gt;"/>
    <n v="100"/>
    <s v="&lt;null&gt;"/>
    <s v="&lt;null&gt;"/>
    <s v="&lt;null&gt;"/>
    <s v="&lt;null&gt;"/>
    <m/>
    <m/>
    <m/>
    <m/>
  </r>
  <r>
    <x v="1443"/>
    <x v="1443"/>
    <s v="Verkeersveiligheid"/>
    <x v="4"/>
    <n v="2682"/>
    <s v="IN/002017"/>
    <s v="Aanleg middeneiland"/>
    <s v="&lt;null&gt;"/>
    <s v="Kleine Ingreep"/>
    <s v="WVB/INV/NX/8"/>
    <b v="0"/>
    <s v="Ingreep wordt niet opgevolgd in BOD"/>
    <s v="&lt;null&gt;"/>
    <s v="&lt;null&gt;"/>
    <s v="&lt;null&gt;"/>
    <s v="&lt;null&gt;"/>
    <s v="&lt;null&gt;"/>
    <x v="0"/>
    <s v="&lt;null&gt;"/>
    <s v="&lt;null&gt;"/>
    <s v="&lt;null&gt;"/>
    <s v="&lt;null&gt;"/>
    <n v="100"/>
    <s v="&lt;null&gt;"/>
    <s v="&lt;null&gt;"/>
    <s v="&lt;null&gt;"/>
    <s v="&lt;null&gt;"/>
    <m/>
    <m/>
    <m/>
    <m/>
  </r>
  <r>
    <x v="1444"/>
    <x v="1444"/>
    <s v="Verkeersveiligheid"/>
    <x v="4"/>
    <n v="2683"/>
    <s v="IN/002018"/>
    <s v="Hermarkering fietsvoorzieningen en signalisatie"/>
    <s v="&lt;null&gt;"/>
    <s v="Kleine Ingreep"/>
    <s v="WA/INV/N108/9"/>
    <b v="0"/>
    <s v="Ingreep wordt niet opgevolgd in BOD"/>
    <s v="&lt;null&gt;"/>
    <s v="&lt;null&gt;"/>
    <s v="&lt;null&gt;"/>
    <s v="&lt;null&gt;"/>
    <s v="&lt;null&gt;"/>
    <x v="0"/>
    <s v="&lt;null&gt;"/>
    <s v="&lt;null&gt;"/>
    <s v="&lt;null&gt;"/>
    <s v="&lt;null&gt;"/>
    <n v="100"/>
    <s v="&lt;null&gt;"/>
    <s v="&lt;null&gt;"/>
    <s v="&lt;null&gt;"/>
    <s v="&lt;null&gt;"/>
    <m/>
    <m/>
    <m/>
    <m/>
  </r>
  <r>
    <x v="1445"/>
    <x v="1445"/>
    <s v="Verkeersveiligheid"/>
    <x v="4"/>
    <n v="2684"/>
    <s v="IN/002019"/>
    <s v="Fietssuggestiestroken en zone 30"/>
    <s v="om tegemoet te komen aan de vraag werden fietssuggestiestroken toegevoegd en werd heel deze zone toegevoegd aan een vaste zone 30."/>
    <s v="Kleine Ingreep"/>
    <s v="WVB/INV/N234/4"/>
    <b v="0"/>
    <s v="Ingreep wordt niet opgevolgd in BOD"/>
    <s v="&lt;null&gt;"/>
    <s v="&lt;null&gt;"/>
    <s v="&lt;null&gt;"/>
    <s v="&lt;null&gt;"/>
    <s v="&lt;null&gt;"/>
    <x v="0"/>
    <s v="&lt;null&gt;"/>
    <s v="&lt;null&gt;"/>
    <s v="&lt;null&gt;"/>
    <s v="&lt;null&gt;"/>
    <n v="100"/>
    <s v="&lt;null&gt;"/>
    <s v="&lt;null&gt;"/>
    <s v="&lt;null&gt;"/>
    <s v="&lt;null&gt;"/>
    <m/>
    <m/>
    <m/>
    <m/>
  </r>
  <r>
    <x v="1446"/>
    <x v="1446"/>
    <s v="Verkeersveiligheid"/>
    <x v="4"/>
    <n v="2685"/>
    <s v="IN/002020"/>
    <s v="Middengeleiders"/>
    <s v="reeds uitgevoerd"/>
    <s v="Kleine Ingreep"/>
    <s v="WWV/INV/N36/16"/>
    <b v="0"/>
    <s v="Ingreep wordt niet opgevolgd in BOD"/>
    <s v="&lt;null&gt;"/>
    <s v="&lt;null&gt;"/>
    <s v="&lt;null&gt;"/>
    <s v="&lt;null&gt;"/>
    <s v="&lt;null&gt;"/>
    <x v="0"/>
    <s v="&lt;null&gt;"/>
    <s v="&lt;null&gt;"/>
    <s v="&lt;null&gt;"/>
    <s v="&lt;null&gt;"/>
    <n v="100"/>
    <s v="&lt;null&gt;"/>
    <s v="&lt;null&gt;"/>
    <s v="&lt;null&gt;"/>
    <s v="&lt;null&gt;"/>
    <m/>
    <m/>
    <m/>
    <m/>
  </r>
  <r>
    <x v="1447"/>
    <x v="1447"/>
    <s v="Verkeersveiligheid"/>
    <x v="4"/>
    <n v="2686"/>
    <s v="IN/002021"/>
    <s v="Paaltjes ter bescherming van voetgangers"/>
    <s v="&lt;null&gt;"/>
    <s v="Kleine Ingreep"/>
    <s v="WL/INV/N141/12"/>
    <b v="0"/>
    <s v="Ingreep wordt niet opgevolgd in BOD"/>
    <s v="&lt;null&gt;"/>
    <s v="&lt;null&gt;"/>
    <s v="&lt;null&gt;"/>
    <s v="&lt;null&gt;"/>
    <s v="&lt;null&gt;"/>
    <x v="0"/>
    <s v="&lt;null&gt;"/>
    <s v="&lt;null&gt;"/>
    <s v="&lt;null&gt;"/>
    <s v="&lt;null&gt;"/>
    <n v="100"/>
    <s v="&lt;null&gt;"/>
    <s v="&lt;null&gt;"/>
    <s v="&lt;null&gt;"/>
    <s v="&lt;null&gt;"/>
    <m/>
    <m/>
    <m/>
    <m/>
  </r>
  <r>
    <x v="1448"/>
    <x v="1448"/>
    <s v="Verkeersveiligheid"/>
    <x v="4"/>
    <n v="2687"/>
    <s v="IN/002022"/>
    <s v="Aanpassingen VRI"/>
    <s v="&lt;null&gt;"/>
    <s v="Kleine Ingreep"/>
    <s v="WL/INV/N78/35"/>
    <b v="0"/>
    <s v="Ingreep wordt niet opgevolgd in BOD"/>
    <s v="&lt;null&gt;"/>
    <s v="&lt;null&gt;"/>
    <s v="&lt;null&gt;"/>
    <s v="&lt;null&gt;"/>
    <s v="&lt;null&gt;"/>
    <x v="0"/>
    <s v="&lt;null&gt;"/>
    <s v="&lt;null&gt;"/>
    <s v="&lt;null&gt;"/>
    <s v="&lt;null&gt;"/>
    <n v="100"/>
    <s v="&lt;null&gt;"/>
    <s v="&lt;null&gt;"/>
    <s v="&lt;null&gt;"/>
    <s v="&lt;null&gt;"/>
    <m/>
    <m/>
    <m/>
    <m/>
  </r>
  <r>
    <x v="1449"/>
    <x v="1449"/>
    <s v="Verkeersveiligheid"/>
    <x v="4"/>
    <n v="2688"/>
    <s v="IN/002023"/>
    <s v="Opfrissing markeringen"/>
    <s v="&lt;null&gt;"/>
    <s v="Kleine Ingreep"/>
    <s v="WWV/INV/NX/4"/>
    <b v="0"/>
    <s v="Ingreep wordt niet opgevolgd in BOD"/>
    <s v="&lt;null&gt;"/>
    <s v="&lt;null&gt;"/>
    <s v="&lt;null&gt;"/>
    <s v="&lt;null&gt;"/>
    <s v="&lt;null&gt;"/>
    <x v="0"/>
    <s v="&lt;null&gt;"/>
    <s v="&lt;null&gt;"/>
    <s v="&lt;null&gt;"/>
    <s v="&lt;null&gt;"/>
    <n v="100"/>
    <s v="&lt;null&gt;"/>
    <s v="&lt;null&gt;"/>
    <s v="&lt;null&gt;"/>
    <s v="&lt;null&gt;"/>
    <m/>
    <m/>
    <m/>
    <m/>
  </r>
  <r>
    <x v="1450"/>
    <x v="1450"/>
    <s v="Verkeersveiligheid"/>
    <x v="4"/>
    <n v="2689"/>
    <s v="IN/002024"/>
    <s v="Herinrichting volgens PCV"/>
    <s v="PCV dossier uitgevoerd"/>
    <s v="Kleine Ingreep"/>
    <s v="WWV/INV/N369/2"/>
    <b v="0"/>
    <s v="Ingreep wordt niet opgevolgd in BOD"/>
    <s v="&lt;null&gt;"/>
    <s v="&lt;null&gt;"/>
    <s v="&lt;null&gt;"/>
    <s v="&lt;null&gt;"/>
    <s v="&lt;null&gt;"/>
    <x v="0"/>
    <s v="&lt;null&gt;"/>
    <s v="&lt;null&gt;"/>
    <s v="&lt;null&gt;"/>
    <s v="&lt;null&gt;"/>
    <n v="100"/>
    <s v="&lt;null&gt;"/>
    <s v="&lt;null&gt;"/>
    <s v="&lt;null&gt;"/>
    <s v="&lt;null&gt;"/>
    <m/>
    <m/>
    <m/>
    <m/>
  </r>
  <r>
    <x v="1451"/>
    <x v="1451"/>
    <s v="Verkeersveiligheid"/>
    <x v="4"/>
    <n v="2690"/>
    <s v="IN/002025"/>
    <s v="Herinrichting oversteek"/>
    <s v="PCV dossier werd reeds voorafgaand uitgevoerd"/>
    <s v="Kleine Ingreep"/>
    <s v="WWV/INV/N369/3"/>
    <b v="0"/>
    <s v="Ingreep wordt niet opgevolgd in BOD"/>
    <s v="&lt;null&gt;"/>
    <s v="&lt;null&gt;"/>
    <s v="&lt;null&gt;"/>
    <s v="&lt;null&gt;"/>
    <s v="&lt;null&gt;"/>
    <x v="0"/>
    <s v="&lt;null&gt;"/>
    <s v="&lt;null&gt;"/>
    <s v="&lt;null&gt;"/>
    <s v="&lt;null&gt;"/>
    <n v="100"/>
    <s v="&lt;null&gt;"/>
    <s v="&lt;null&gt;"/>
    <s v="&lt;null&gt;"/>
    <s v="&lt;null&gt;"/>
    <m/>
    <m/>
    <m/>
    <m/>
  </r>
  <r>
    <x v="1452"/>
    <x v="1452"/>
    <s v="Verkeersveiligheid"/>
    <x v="4"/>
    <n v="2691"/>
    <s v="IN/002026"/>
    <s v="Aanpassing V-plan"/>
    <s v="&lt;null&gt;"/>
    <s v="Kleine Ingreep"/>
    <s v="WA/INV/NX/2"/>
    <b v="0"/>
    <s v="Ingreep wordt niet opgevolgd in BOD"/>
    <s v="&lt;null&gt;"/>
    <s v="&lt;null&gt;"/>
    <s v="&lt;null&gt;"/>
    <s v="&lt;null&gt;"/>
    <s v="&lt;null&gt;"/>
    <x v="0"/>
    <s v="&lt;null&gt;"/>
    <s v="&lt;null&gt;"/>
    <s v="&lt;null&gt;"/>
    <s v="&lt;null&gt;"/>
    <n v="100"/>
    <s v="&lt;null&gt;"/>
    <s v="&lt;null&gt;"/>
    <s v="&lt;null&gt;"/>
    <s v="&lt;null&gt;"/>
    <m/>
    <m/>
    <m/>
    <m/>
  </r>
  <r>
    <x v="1453"/>
    <x v="1453"/>
    <s v="Verkeersveiligheid"/>
    <x v="4"/>
    <n v="2692"/>
    <s v="IN/002027"/>
    <s v="Aanbrengen zone 30"/>
    <s v="&lt;null&gt;"/>
    <s v="Kleine Ingreep"/>
    <s v="WVB/INV/N2/20"/>
    <b v="0"/>
    <s v="Ingreep wordt niet opgevolgd in BOD"/>
    <s v="&lt;null&gt;"/>
    <s v="&lt;null&gt;"/>
    <s v="&lt;null&gt;"/>
    <s v="&lt;null&gt;"/>
    <s v="&lt;null&gt;"/>
    <x v="0"/>
    <s v="&lt;null&gt;"/>
    <s v="&lt;null&gt;"/>
    <s v="&lt;null&gt;"/>
    <s v="&lt;null&gt;"/>
    <n v="100"/>
    <s v="&lt;null&gt;"/>
    <s v="&lt;null&gt;"/>
    <s v="&lt;null&gt;"/>
    <s v="&lt;null&gt;"/>
    <m/>
    <m/>
    <m/>
    <m/>
  </r>
  <r>
    <x v="1454"/>
    <x v="1454"/>
    <s v="Verkeersveiligheid"/>
    <x v="4"/>
    <n v="2693"/>
    <s v="IN/002028"/>
    <s v="opfrissing markeringen"/>
    <s v="&lt;null&gt;"/>
    <s v="Kleine Ingreep"/>
    <s v="WWV/INV/N50/18"/>
    <b v="0"/>
    <s v="Ingreep wordt niet opgevolgd in BOD"/>
    <s v="&lt;null&gt;"/>
    <s v="&lt;null&gt;"/>
    <s v="&lt;null&gt;"/>
    <s v="&lt;null&gt;"/>
    <s v="&lt;null&gt;"/>
    <x v="0"/>
    <s v="&lt;null&gt;"/>
    <s v="&lt;null&gt;"/>
    <s v="&lt;null&gt;"/>
    <s v="&lt;null&gt;"/>
    <n v="100"/>
    <s v="&lt;null&gt;"/>
    <s v="&lt;null&gt;"/>
    <s v="&lt;null&gt;"/>
    <s v="&lt;null&gt;"/>
    <m/>
    <m/>
    <m/>
    <m/>
  </r>
  <r>
    <x v="1455"/>
    <x v="1455"/>
    <s v="Verkeersveiligheid"/>
    <x v="4"/>
    <n v="2694"/>
    <s v="IN/002029"/>
    <s v="Opfrissing markeringen"/>
    <s v="&lt;null&gt;"/>
    <s v="Kleine Ingreep"/>
    <s v="WWV/INV/N8/36"/>
    <b v="0"/>
    <s v="Ingreep wordt niet opgevolgd in BOD"/>
    <s v="&lt;null&gt;"/>
    <s v="&lt;null&gt;"/>
    <s v="&lt;null&gt;"/>
    <s v="&lt;null&gt;"/>
    <s v="&lt;null&gt;"/>
    <x v="0"/>
    <s v="&lt;null&gt;"/>
    <s v="&lt;null&gt;"/>
    <s v="&lt;null&gt;"/>
    <s v="&lt;null&gt;"/>
    <n v="100"/>
    <s v="&lt;null&gt;"/>
    <s v="&lt;null&gt;"/>
    <s v="&lt;null&gt;"/>
    <s v="&lt;null&gt;"/>
    <m/>
    <m/>
    <m/>
    <m/>
  </r>
  <r>
    <x v="1456"/>
    <x v="1456"/>
    <s v="Verkeersveiligheid"/>
    <x v="4"/>
    <n v="2695"/>
    <s v="IN/002030"/>
    <s v="Onderhoud markeringen"/>
    <s v="&lt;null&gt;"/>
    <s v="Kleine Ingreep"/>
    <s v="WA/INV/N116/10"/>
    <b v="0"/>
    <s v="Ingreep wordt niet opgevolgd in BOD"/>
    <s v="&lt;null&gt;"/>
    <s v="&lt;null&gt;"/>
    <s v="&lt;null&gt;"/>
    <s v="&lt;null&gt;"/>
    <s v="&lt;null&gt;"/>
    <x v="0"/>
    <s v="&lt;null&gt;"/>
    <s v="&lt;null&gt;"/>
    <s v="&lt;null&gt;"/>
    <s v="&lt;null&gt;"/>
    <n v="100"/>
    <s v="&lt;null&gt;"/>
    <s v="&lt;null&gt;"/>
    <s v="&lt;null&gt;"/>
    <s v="&lt;null&gt;"/>
    <m/>
    <m/>
    <m/>
    <m/>
  </r>
  <r>
    <x v="1457"/>
    <x v="1457"/>
    <s v="Verkeersveiligheid"/>
    <x v="4"/>
    <n v="2696"/>
    <s v="IN/002031"/>
    <s v="Herstelling knipperlichten"/>
    <s v="&lt;null&gt;"/>
    <s v="Kleine Ingreep"/>
    <s v="WA/INV/NX/4"/>
    <b v="0"/>
    <s v="Ingreep wordt niet opgevolgd in BOD"/>
    <s v="&lt;null&gt;"/>
    <s v="&lt;null&gt;"/>
    <s v="&lt;null&gt;"/>
    <s v="&lt;null&gt;"/>
    <s v="&lt;null&gt;"/>
    <x v="0"/>
    <s v="&lt;null&gt;"/>
    <s v="&lt;null&gt;"/>
    <s v="&lt;null&gt;"/>
    <s v="&lt;null&gt;"/>
    <n v="100"/>
    <s v="&lt;null&gt;"/>
    <s v="&lt;null&gt;"/>
    <s v="&lt;null&gt;"/>
    <s v="&lt;null&gt;"/>
    <m/>
    <m/>
    <m/>
    <m/>
  </r>
  <r>
    <x v="1458"/>
    <x v="1458"/>
    <s v="Verkeersveiligheid"/>
    <x v="4"/>
    <n v="2697"/>
    <s v="IN/002032"/>
    <s v="Herinrichting volgens PCV"/>
    <s v="&lt;null&gt;"/>
    <s v="Kleine Ingreep"/>
    <s v="WA/INV/N1/24"/>
    <b v="0"/>
    <s v="Ingreep wordt niet opgevolgd in BOD"/>
    <s v="&lt;null&gt;"/>
    <s v="&lt;null&gt;"/>
    <s v="&lt;null&gt;"/>
    <s v="&lt;null&gt;"/>
    <s v="&lt;null&gt;"/>
    <x v="0"/>
    <s v="&lt;null&gt;"/>
    <s v="&lt;null&gt;"/>
    <s v="&lt;null&gt;"/>
    <s v="&lt;null&gt;"/>
    <n v="100"/>
    <s v="&lt;null&gt;"/>
    <s v="&lt;null&gt;"/>
    <s v="&lt;null&gt;"/>
    <s v="&lt;null&gt;"/>
    <m/>
    <m/>
    <m/>
    <m/>
  </r>
  <r>
    <x v="1459"/>
    <x v="1459"/>
    <s v="Verkeersveiligheid"/>
    <x v="4"/>
    <n v="2698"/>
    <s v="IN/002033"/>
    <s v="Herinrichting volgens PCV"/>
    <s v="Oversteekplaats beveiligen. Is uitgevoerd"/>
    <s v="Kleine Ingreep"/>
    <s v="WWV/INV/N36/17"/>
    <b v="0"/>
    <s v="Ingreep wordt niet opgevolgd in BOD"/>
    <s v="&lt;null&gt;"/>
    <s v="&lt;null&gt;"/>
    <s v="&lt;null&gt;"/>
    <s v="&lt;null&gt;"/>
    <s v="&lt;null&gt;"/>
    <x v="0"/>
    <s v="&lt;null&gt;"/>
    <s v="&lt;null&gt;"/>
    <s v="&lt;null&gt;"/>
    <s v="&lt;null&gt;"/>
    <n v="100"/>
    <s v="&lt;null&gt;"/>
    <s v="&lt;null&gt;"/>
    <s v="&lt;null&gt;"/>
    <s v="&lt;null&gt;"/>
    <m/>
    <m/>
    <m/>
    <m/>
  </r>
  <r>
    <x v="1460"/>
    <x v="1460"/>
    <s v="Verkeersveiligheid"/>
    <x v="4"/>
    <n v="2699"/>
    <s v="IN/002034"/>
    <s v="Zone 30 en markeringen"/>
    <s v="verschillende werken in 1, dus meerdere contactpersonen"/>
    <s v="Kleine Ingreep"/>
    <s v="WWV/INV/N35/12"/>
    <b v="0"/>
    <s v="Ingreep wordt niet opgevolgd in BOD"/>
    <s v="&lt;null&gt;"/>
    <s v="&lt;null&gt;"/>
    <s v="&lt;null&gt;"/>
    <s v="&lt;null&gt;"/>
    <s v="&lt;null&gt;"/>
    <x v="0"/>
    <s v="&lt;null&gt;"/>
    <s v="&lt;null&gt;"/>
    <s v="&lt;null&gt;"/>
    <s v="&lt;null&gt;"/>
    <n v="100"/>
    <s v="&lt;null&gt;"/>
    <s v="&lt;null&gt;"/>
    <s v="&lt;null&gt;"/>
    <s v="&lt;null&gt;"/>
    <m/>
    <m/>
    <m/>
    <m/>
  </r>
  <r>
    <x v="1461"/>
    <x v="1461"/>
    <s v="Verkeersveiligheid"/>
    <x v="1"/>
    <n v="2700"/>
    <s v="IN/002035"/>
    <s v="Heraanleg + VRI"/>
    <s v="Heraanleg door Lantis, medefinancier AWV"/>
    <s v="Kleine Ingreep"/>
    <s v="WA/INV/N129/1"/>
    <b v="0"/>
    <s v="Ingreep wordt niet opgevolgd in BOD"/>
    <s v="&lt;null&gt;"/>
    <s v="&lt;null&gt;"/>
    <s v="&lt;null&gt;"/>
    <s v="&lt;null&gt;"/>
    <s v="&lt;null&gt;"/>
    <x v="0"/>
    <s v="&lt;null&gt;"/>
    <s v="&lt;null&gt;"/>
    <s v="&lt;null&gt;"/>
    <s v="&lt;null&gt;"/>
    <n v="100"/>
    <s v="&lt;null&gt;"/>
    <s v="&lt;null&gt;"/>
    <s v="&lt;null&gt;"/>
    <s v="&lt;null&gt;"/>
    <m/>
    <m/>
    <m/>
    <m/>
  </r>
  <r>
    <x v="18"/>
    <x v="18"/>
    <s v="&lt;null&gt;"/>
    <x v="3"/>
    <n v="2701"/>
    <s v="IN/002036"/>
    <s v="A14 Dienstenzone Rekkem"/>
    <s v="&lt;null&gt;"/>
    <s v="Structurele Ingreep"/>
    <s v="WWV/INV/A14/3"/>
    <b v="0"/>
    <s v="Ingreep wordt niet opgevolgd in BOD"/>
    <s v="&lt;null&gt;"/>
    <s v="&lt;null&gt;"/>
    <s v="&lt;null&gt;"/>
    <s v="&lt;null&gt;"/>
    <s v="&lt;null&gt;"/>
    <x v="0"/>
    <s v="&lt;null&gt;"/>
    <s v="&lt;null&gt;"/>
    <s v="&lt;null&gt;"/>
    <s v="&lt;null&gt;"/>
    <s v="&lt;null&gt;"/>
    <s v="&lt;null&gt;"/>
    <s v="&lt;null&gt;"/>
    <s v="&lt;null&gt;"/>
    <s v="&lt;null&gt;"/>
    <m/>
    <m/>
    <m/>
    <m/>
  </r>
  <r>
    <x v="1462"/>
    <x v="1462"/>
    <s v="Verkeersveiligheid"/>
    <x v="1"/>
    <n v="2702"/>
    <s v="IN/002037"/>
    <s v="Fietspad omgelegd, aparte fase voor fietsers"/>
    <s v="&lt;null&gt;"/>
    <s v="Kleine Ingreep"/>
    <s v="WWV/INV/R31/3"/>
    <b v="0"/>
    <s v="Ingreep wordt niet opgevolgd in BOD"/>
    <s v="&lt;null&gt;"/>
    <s v="&lt;null&gt;"/>
    <s v="&lt;null&gt;"/>
    <s v="&lt;null&gt;"/>
    <s v="&lt;null&gt;"/>
    <x v="0"/>
    <s v="&lt;null&gt;"/>
    <s v="&lt;null&gt;"/>
    <s v="&lt;null&gt;"/>
    <s v="&lt;null&gt;"/>
    <n v="100"/>
    <s v="&lt;null&gt;"/>
    <s v="&lt;null&gt;"/>
    <s v="&lt;null&gt;"/>
    <s v="&lt;null&gt;"/>
    <m/>
    <m/>
    <m/>
    <m/>
  </r>
  <r>
    <x v="1463"/>
    <x v="1463"/>
    <s v="Verkeersveiligheid"/>
    <x v="1"/>
    <n v="2703"/>
    <s v="IN/002038"/>
    <s v="VLCC ingevoerd &amp; conflictvrije regeling ingevoerd"/>
    <s v="&lt;null&gt;"/>
    <s v="Kleine Ingreep"/>
    <s v="WA/INV/N116/11"/>
    <b v="0"/>
    <s v="Ingreep wordt niet opgevolgd in BOD"/>
    <s v="&lt;null&gt;"/>
    <s v="&lt;null&gt;"/>
    <s v="&lt;null&gt;"/>
    <s v="&lt;null&gt;"/>
    <s v="&lt;null&gt;"/>
    <x v="0"/>
    <s v="&lt;null&gt;"/>
    <s v="&lt;null&gt;"/>
    <s v="&lt;null&gt;"/>
    <s v="&lt;null&gt;"/>
    <n v="100"/>
    <s v="&lt;null&gt;"/>
    <s v="&lt;null&gt;"/>
    <s v="&lt;null&gt;"/>
    <s v="&lt;null&gt;"/>
    <m/>
    <m/>
    <m/>
    <m/>
  </r>
  <r>
    <x v="1464"/>
    <x v="1464"/>
    <s v="Verkeersveiligheid"/>
    <x v="1"/>
    <n v="2704"/>
    <s v="IN/002039"/>
    <s v="Investeringsproject Gevaarlijke punt in Zonhoven : Beringersteenweg, Heuveneindeweg, N74 Richting Hasselt"/>
    <s v="&lt;null&gt;"/>
    <s v="Kleine Ingreep"/>
    <s v="WL/INV/N74/10"/>
    <b v="0"/>
    <s v="Ingreep wordt niet opgevolgd in BOD"/>
    <s v="&lt;null&gt;"/>
    <s v="&lt;null&gt;"/>
    <s v="&lt;null&gt;"/>
    <s v="&lt;null&gt;"/>
    <s v="&lt;null&gt;"/>
    <x v="0"/>
    <s v="&lt;null&gt;"/>
    <s v="&lt;null&gt;"/>
    <s v="&lt;null&gt;"/>
    <s v="&lt;null&gt;"/>
    <n v="100"/>
    <s v="&lt;null&gt;"/>
    <s v="&lt;null&gt;"/>
    <s v="&lt;null&gt;"/>
    <s v="&lt;null&gt;"/>
    <m/>
    <m/>
    <m/>
    <m/>
  </r>
  <r>
    <x v="1465"/>
    <x v="1465"/>
    <s v="Verkeersveiligheid"/>
    <x v="1"/>
    <n v="2705"/>
    <s v="IN/002040"/>
    <s v="Investeringsproject Gevaarlijke punt in Zoersel : A21-E34 Richting Antwerpen"/>
    <s v="&lt;null&gt;"/>
    <s v="Kleine Ingreep"/>
    <s v="WA/INV/A21/1"/>
    <b v="0"/>
    <s v="Ingreep wordt niet opgevolgd in BOD"/>
    <s v="&lt;null&gt;"/>
    <s v="&lt;null&gt;"/>
    <s v="&lt;null&gt;"/>
    <s v="&lt;null&gt;"/>
    <s v="&lt;null&gt;"/>
    <x v="0"/>
    <s v="&lt;null&gt;"/>
    <s v="&lt;null&gt;"/>
    <s v="&lt;null&gt;"/>
    <s v="&lt;null&gt;"/>
    <n v="100"/>
    <s v="&lt;null&gt;"/>
    <s v="&lt;null&gt;"/>
    <s v="&lt;null&gt;"/>
    <s v="&lt;null&gt;"/>
    <m/>
    <m/>
    <m/>
    <m/>
  </r>
  <r>
    <x v="1466"/>
    <x v="1466"/>
    <s v="Verkeersveiligheid"/>
    <x v="1"/>
    <n v="2706"/>
    <s v="IN/002041"/>
    <s v="Aflsuiten Molenstraat, enkel dwarsing fietsers nog mogelijk"/>
    <s v="&lt;null&gt;"/>
    <s v="Kleine Ingreep"/>
    <s v="WWV/INV/N382/13"/>
    <b v="0"/>
    <s v="Ingreep wordt niet opgevolgd in BOD"/>
    <s v="&lt;null&gt;"/>
    <s v="&lt;null&gt;"/>
    <s v="&lt;null&gt;"/>
    <s v="&lt;null&gt;"/>
    <s v="&lt;null&gt;"/>
    <x v="0"/>
    <s v="&lt;null&gt;"/>
    <s v="&lt;null&gt;"/>
    <s v="&lt;null&gt;"/>
    <s v="&lt;null&gt;"/>
    <n v="100"/>
    <s v="&lt;null&gt;"/>
    <s v="&lt;null&gt;"/>
    <s v="&lt;null&gt;"/>
    <s v="&lt;null&gt;"/>
    <m/>
    <m/>
    <m/>
    <m/>
  </r>
  <r>
    <x v="1467"/>
    <x v="1467"/>
    <s v="Verkeersveiligheid"/>
    <x v="1"/>
    <n v="2707"/>
    <s v="IN/002042"/>
    <s v="Aparte fietsfase + conflictvrij linksaf"/>
    <s v="&lt;null&gt;"/>
    <s v="Kleine Ingreep"/>
    <s v="WWV/INV/NX/5"/>
    <b v="0"/>
    <s v="Ingreep wordt niet opgevolgd in BOD"/>
    <s v="&lt;null&gt;"/>
    <s v="&lt;null&gt;"/>
    <s v="&lt;null&gt;"/>
    <s v="&lt;null&gt;"/>
    <s v="&lt;null&gt;"/>
    <x v="0"/>
    <s v="&lt;null&gt;"/>
    <s v="&lt;null&gt;"/>
    <s v="&lt;null&gt;"/>
    <s v="&lt;null&gt;"/>
    <n v="100"/>
    <s v="&lt;null&gt;"/>
    <s v="&lt;null&gt;"/>
    <s v="&lt;null&gt;"/>
    <s v="&lt;null&gt;"/>
    <m/>
    <m/>
    <m/>
    <m/>
  </r>
  <r>
    <x v="1468"/>
    <x v="1468"/>
    <s v="Verkeersveiligheid"/>
    <x v="1"/>
    <n v="2708"/>
    <s v="IN/002043"/>
    <s v="Aparte fietsfase om R32 te dwarsen"/>
    <s v="&lt;null&gt;"/>
    <s v="Kleine Ingreep"/>
    <s v="WWV/INV/NX/6"/>
    <b v="0"/>
    <s v="Ingreep wordt niet opgevolgd in BOD"/>
    <s v="&lt;null&gt;"/>
    <s v="&lt;null&gt;"/>
    <s v="&lt;null&gt;"/>
    <s v="&lt;null&gt;"/>
    <s v="&lt;null&gt;"/>
    <x v="0"/>
    <s v="&lt;null&gt;"/>
    <s v="&lt;null&gt;"/>
    <s v="&lt;null&gt;"/>
    <s v="&lt;null&gt;"/>
    <n v="100"/>
    <s v="&lt;null&gt;"/>
    <s v="&lt;null&gt;"/>
    <s v="&lt;null&gt;"/>
    <s v="&lt;null&gt;"/>
    <m/>
    <m/>
    <m/>
    <m/>
  </r>
  <r>
    <x v="1469"/>
    <x v="1469"/>
    <s v="Verkeersveiligheid"/>
    <x v="1"/>
    <n v="2709"/>
    <s v="IN/002044"/>
    <s v="Enkelrichting maken van de Lucien Vandefonteynelaan"/>
    <s v="&lt;null&gt;"/>
    <s v="Kleine Ingreep"/>
    <s v="WOV/INV/NX/9"/>
    <b v="0"/>
    <s v="Ingreep wordt niet opgevolgd in BOD"/>
    <s v="&lt;null&gt;"/>
    <s v="&lt;null&gt;"/>
    <s v="&lt;null&gt;"/>
    <s v="&lt;null&gt;"/>
    <s v="&lt;null&gt;"/>
    <x v="0"/>
    <s v="&lt;null&gt;"/>
    <s v="&lt;null&gt;"/>
    <s v="&lt;null&gt;"/>
    <s v="&lt;null&gt;"/>
    <n v="100"/>
    <s v="&lt;null&gt;"/>
    <s v="&lt;null&gt;"/>
    <s v="&lt;null&gt;"/>
    <s v="&lt;null&gt;"/>
    <m/>
    <m/>
    <m/>
    <m/>
  </r>
  <r>
    <x v="1470"/>
    <x v="1470"/>
    <s v="Verkeersveiligheid"/>
    <x v="1"/>
    <n v="2710"/>
    <s v="IN/002045"/>
    <s v="Snelheid in bochten naar 70 km/u"/>
    <s v="&lt;null&gt;"/>
    <s v="Kleine Ingreep"/>
    <s v="WVB/INV/NX/9"/>
    <b v="0"/>
    <s v="Ingreep wordt niet opgevolgd in BOD"/>
    <s v="&lt;null&gt;"/>
    <s v="&lt;null&gt;"/>
    <s v="&lt;null&gt;"/>
    <s v="&lt;null&gt;"/>
    <s v="&lt;null&gt;"/>
    <x v="0"/>
    <s v="&lt;null&gt;"/>
    <s v="&lt;null&gt;"/>
    <s v="&lt;null&gt;"/>
    <s v="&lt;null&gt;"/>
    <n v="100"/>
    <s v="&lt;null&gt;"/>
    <s v="&lt;null&gt;"/>
    <s v="&lt;null&gt;"/>
    <s v="&lt;null&gt;"/>
    <m/>
    <m/>
    <m/>
    <m/>
  </r>
  <r>
    <x v="1471"/>
    <x v="1471"/>
    <s v="Verkeersveiligheid"/>
    <x v="1"/>
    <n v="2711"/>
    <s v="IN/002046"/>
    <s v="Investeringsproject gevaarlijk punt in Lier : Aarschotsesteenweg, Schollebeekstraat"/>
    <s v="&lt;null&gt;"/>
    <s v="Kleine Ingreep"/>
    <s v="WA/INV/N10/17"/>
    <b v="0"/>
    <s v="Ingreep wordt niet opgevolgd in BOD"/>
    <s v="&lt;null&gt;"/>
    <s v="&lt;null&gt;"/>
    <s v="&lt;null&gt;"/>
    <s v="&lt;null&gt;"/>
    <s v="&lt;null&gt;"/>
    <x v="0"/>
    <s v="&lt;null&gt;"/>
    <s v="&lt;null&gt;"/>
    <s v="&lt;null&gt;"/>
    <s v="&lt;null&gt;"/>
    <n v="100"/>
    <s v="&lt;null&gt;"/>
    <s v="&lt;null&gt;"/>
    <s v="&lt;null&gt;"/>
    <s v="&lt;null&gt;"/>
    <m/>
    <m/>
    <m/>
    <m/>
  </r>
  <r>
    <x v="1472"/>
    <x v="1472"/>
    <s v="Verkeersveiligheid"/>
    <x v="1"/>
    <n v="2712"/>
    <s v="IN/002047"/>
    <s v="VRI geplaatst"/>
    <s v="&lt;null&gt;"/>
    <s v="Kleine Ingreep"/>
    <s v="WL/INV/N74/11"/>
    <b v="0"/>
    <s v="Ingreep wordt niet opgevolgd in BOD"/>
    <s v="&lt;null&gt;"/>
    <s v="&lt;null&gt;"/>
    <s v="&lt;null&gt;"/>
    <s v="&lt;null&gt;"/>
    <s v="&lt;null&gt;"/>
    <x v="0"/>
    <s v="&lt;null&gt;"/>
    <s v="&lt;null&gt;"/>
    <s v="&lt;null&gt;"/>
    <s v="&lt;null&gt;"/>
    <n v="100"/>
    <s v="&lt;null&gt;"/>
    <s v="&lt;null&gt;"/>
    <s v="&lt;null&gt;"/>
    <s v="&lt;null&gt;"/>
    <m/>
    <m/>
    <m/>
    <m/>
  </r>
  <r>
    <x v="1473"/>
    <x v="1473"/>
    <s v="Verkeersveiligheid"/>
    <x v="1"/>
    <n v="2713"/>
    <s v="IN/002048"/>
    <s v="Aanleg taper"/>
    <s v="&lt;null&gt;"/>
    <s v="Kleine Ingreep"/>
    <s v="WVB/INV/A10/4"/>
    <b v="0"/>
    <s v="Ingreep wordt niet opgevolgd in BOD"/>
    <s v="&lt;null&gt;"/>
    <s v="&lt;null&gt;"/>
    <s v="&lt;null&gt;"/>
    <s v="&lt;null&gt;"/>
    <s v="&lt;null&gt;"/>
    <x v="0"/>
    <s v="&lt;null&gt;"/>
    <s v="&lt;null&gt;"/>
    <s v="&lt;null&gt;"/>
    <s v="&lt;null&gt;"/>
    <n v="100"/>
    <s v="&lt;null&gt;"/>
    <s v="&lt;null&gt;"/>
    <s v="&lt;null&gt;"/>
    <s v="&lt;null&gt;"/>
    <m/>
    <m/>
    <m/>
    <m/>
  </r>
  <r>
    <x v="1474"/>
    <x v="1474"/>
    <s v="Verkeersveiligheid"/>
    <x v="1"/>
    <n v="2714"/>
    <s v="IN/002049"/>
    <s v="Asverschuiving om zicht te creëren van op zijtakken en snelheid te remmen op gewestweg"/>
    <s v="&lt;null&gt;"/>
    <s v="Kleine Ingreep"/>
    <s v="WWV/INV/NX/7"/>
    <b v="0"/>
    <s v="Ingreep wordt niet opgevolgd in BOD"/>
    <s v="&lt;null&gt;"/>
    <s v="&lt;null&gt;"/>
    <s v="&lt;null&gt;"/>
    <s v="&lt;null&gt;"/>
    <s v="&lt;null&gt;"/>
    <x v="0"/>
    <s v="&lt;null&gt;"/>
    <s v="&lt;null&gt;"/>
    <s v="&lt;null&gt;"/>
    <s v="&lt;null&gt;"/>
    <n v="100"/>
    <s v="&lt;null&gt;"/>
    <s v="&lt;null&gt;"/>
    <s v="&lt;null&gt;"/>
    <s v="&lt;null&gt;"/>
    <m/>
    <m/>
    <m/>
    <m/>
  </r>
  <r>
    <x v="1475"/>
    <x v="1475"/>
    <s v="Verkeersveiligheid"/>
    <x v="1"/>
    <n v="2715"/>
    <s v="IN/002050"/>
    <s v="QW conflict RA met fietsers. Rechttrekken en accentueren dwarsing R30"/>
    <s v="&lt;null&gt;"/>
    <s v="Kleine Ingreep"/>
    <s v="WWV/INV/NX/8"/>
    <b v="0"/>
    <s v="Ingreep wordt niet opgevolgd in BOD"/>
    <s v="&lt;null&gt;"/>
    <s v="&lt;null&gt;"/>
    <s v="&lt;null&gt;"/>
    <s v="&lt;null&gt;"/>
    <s v="&lt;null&gt;"/>
    <x v="0"/>
    <s v="&lt;null&gt;"/>
    <s v="&lt;null&gt;"/>
    <s v="&lt;null&gt;"/>
    <s v="&lt;null&gt;"/>
    <n v="100"/>
    <s v="&lt;null&gt;"/>
    <s v="&lt;null&gt;"/>
    <s v="&lt;null&gt;"/>
    <s v="&lt;null&gt;"/>
    <m/>
    <m/>
    <m/>
    <m/>
  </r>
  <r>
    <x v="1476"/>
    <x v="1476"/>
    <s v="Verkeersveiligheid"/>
    <x v="1"/>
    <n v="2716"/>
    <s v="IN/002051"/>
    <s v="Aanpassing belijning (rijbaanversmalling) en snelheidsregime"/>
    <s v="&lt;null&gt;"/>
    <s v="Kleine Ingreep"/>
    <s v="WWV/INV/N9/5"/>
    <b v="0"/>
    <s v="Ingreep wordt niet opgevolgd in BOD"/>
    <s v="&lt;null&gt;"/>
    <s v="&lt;null&gt;"/>
    <s v="&lt;null&gt;"/>
    <s v="&lt;null&gt;"/>
    <s v="&lt;null&gt;"/>
    <x v="0"/>
    <s v="&lt;null&gt;"/>
    <s v="&lt;null&gt;"/>
    <s v="&lt;null&gt;"/>
    <s v="&lt;null&gt;"/>
    <n v="100"/>
    <s v="&lt;null&gt;"/>
    <s v="&lt;null&gt;"/>
    <s v="&lt;null&gt;"/>
    <s v="&lt;null&gt;"/>
    <m/>
    <m/>
    <m/>
    <m/>
  </r>
  <r>
    <x v="1477"/>
    <x v="1477"/>
    <s v="Verkeersveiligheid"/>
    <x v="1"/>
    <n v="2717"/>
    <s v="IN/002052"/>
    <s v="Plaatsen VRI"/>
    <s v="&lt;null&gt;"/>
    <s v="Kleine Ingreep"/>
    <s v="WA/INV/NX/5"/>
    <b v="0"/>
    <s v="Ingreep wordt niet opgevolgd in BOD"/>
    <s v="&lt;null&gt;"/>
    <s v="&lt;null&gt;"/>
    <s v="&lt;null&gt;"/>
    <s v="&lt;null&gt;"/>
    <s v="&lt;null&gt;"/>
    <x v="0"/>
    <s v="&lt;null&gt;"/>
    <s v="&lt;null&gt;"/>
    <s v="&lt;null&gt;"/>
    <s v="&lt;null&gt;"/>
    <n v="100"/>
    <s v="&lt;null&gt;"/>
    <s v="&lt;null&gt;"/>
    <s v="&lt;null&gt;"/>
    <s v="&lt;null&gt;"/>
    <m/>
    <m/>
    <m/>
    <m/>
  </r>
  <r>
    <x v="1478"/>
    <x v="1478"/>
    <s v="Verkeersveiligheid"/>
    <x v="1"/>
    <n v="2718"/>
    <s v="IN/002053"/>
    <s v="Plaatsing trajectcontrole"/>
    <s v="&lt;null&gt;"/>
    <s v="Kleine Ingreep"/>
    <s v="WA/INV/N49/1"/>
    <b v="0"/>
    <s v="Ingreep wordt niet opgevolgd in BOD"/>
    <s v="&lt;null&gt;"/>
    <s v="&lt;null&gt;"/>
    <s v="&lt;null&gt;"/>
    <s v="&lt;null&gt;"/>
    <s v="&lt;null&gt;"/>
    <x v="0"/>
    <s v="&lt;null&gt;"/>
    <s v="&lt;null&gt;"/>
    <s v="&lt;null&gt;"/>
    <s v="&lt;null&gt;"/>
    <n v="100"/>
    <s v="&lt;null&gt;"/>
    <s v="&lt;null&gt;"/>
    <s v="&lt;null&gt;"/>
    <s v="&lt;null&gt;"/>
    <m/>
    <m/>
    <m/>
    <m/>
  </r>
  <r>
    <x v="1479"/>
    <x v="1479"/>
    <s v="Verkeersveiligheid"/>
    <x v="1"/>
    <n v="2719"/>
    <s v="IN/002054"/>
    <s v="Herinrichting wegens afbraak brug"/>
    <s v="&lt;null&gt;"/>
    <s v="Kleine Ingreep"/>
    <s v="WA/INV/N129/2"/>
    <b v="0"/>
    <s v="Ingreep wordt niet opgevolgd in BOD"/>
    <s v="&lt;null&gt;"/>
    <s v="&lt;null&gt;"/>
    <s v="&lt;null&gt;"/>
    <s v="&lt;null&gt;"/>
    <s v="&lt;null&gt;"/>
    <x v="0"/>
    <s v="&lt;null&gt;"/>
    <s v="&lt;null&gt;"/>
    <s v="&lt;null&gt;"/>
    <s v="&lt;null&gt;"/>
    <n v="100"/>
    <s v="&lt;null&gt;"/>
    <s v="&lt;null&gt;"/>
    <s v="&lt;null&gt;"/>
    <s v="&lt;null&gt;"/>
    <m/>
    <m/>
    <m/>
    <m/>
  </r>
  <r>
    <x v="1480"/>
    <x v="1480"/>
    <s v="Verkeersveiligheid"/>
    <x v="1"/>
    <n v="2720"/>
    <s v="IN/002055"/>
    <s v="Verbieden van een aantal bewegingen"/>
    <s v="&lt;null&gt;"/>
    <s v="Kleine Ingreep"/>
    <s v="WOV/INV/N41/5"/>
    <b v="0"/>
    <s v="Ingreep wordt niet opgevolgd in BOD"/>
    <s v="&lt;null&gt;"/>
    <s v="&lt;null&gt;"/>
    <s v="&lt;null&gt;"/>
    <s v="&lt;null&gt;"/>
    <s v="&lt;null&gt;"/>
    <x v="0"/>
    <s v="&lt;null&gt;"/>
    <s v="&lt;null&gt;"/>
    <s v="&lt;null&gt;"/>
    <s v="&lt;null&gt;"/>
    <n v="100"/>
    <s v="&lt;null&gt;"/>
    <s v="&lt;null&gt;"/>
    <s v="&lt;null&gt;"/>
    <s v="&lt;null&gt;"/>
    <m/>
    <m/>
    <m/>
    <m/>
  </r>
  <r>
    <x v="1481"/>
    <x v="1481"/>
    <s v="Verkeersveiligheid"/>
    <x v="6"/>
    <n v="2721"/>
    <s v="IN/002056"/>
    <s v="Aanleg nieuwe FOP"/>
    <s v="Op deze locatie is een nieuwe FOP aangelegd naar aanleiding van een structureel onderhoud van de rijbaan. Melding is gekomen dat de zichtbaarheid op de opgestelde fietser die van het enkelrichtingsfietspad naar het dubbelrichtingsfietspad wenst over te st"/>
    <s v="Kleine Ingreep"/>
    <s v="WA/INV/N108/10"/>
    <b v="0"/>
    <s v="Ingreep wordt niet opgevolgd in BOD"/>
    <s v="&lt;null&gt;"/>
    <s v="&lt;null&gt;"/>
    <s v="&lt;null&gt;"/>
    <s v="&lt;null&gt;"/>
    <s v="&lt;null&gt;"/>
    <x v="0"/>
    <s v="&lt;null&gt;"/>
    <s v="&lt;null&gt;"/>
    <s v="&lt;null&gt;"/>
    <s v="&lt;null&gt;"/>
    <n v="100"/>
    <s v="&lt;null&gt;"/>
    <s v="&lt;null&gt;"/>
    <s v="&lt;null&gt;"/>
    <s v="&lt;null&gt;"/>
    <m/>
    <m/>
    <m/>
    <m/>
  </r>
  <r>
    <x v="18"/>
    <x v="18"/>
    <s v="&lt;null&gt;"/>
    <x v="3"/>
    <n v="2722"/>
    <s v="IN/002057"/>
    <s v="N20 : Kortessem : FOP Hemelspark"/>
    <s v="&lt;null&gt;"/>
    <s v="Structurele Ingreep"/>
    <s v="WL/INV/N20/1"/>
    <b v="0"/>
    <s v="Ingreep wordt niet opgevolgd in BOD"/>
    <s v="&lt;null&gt;"/>
    <s v="&lt;null&gt;"/>
    <s v="&lt;null&gt;"/>
    <s v="&lt;null&gt;"/>
    <s v="&lt;null&gt;"/>
    <x v="0"/>
    <s v="&lt;null&gt;"/>
    <s v="&lt;null&gt;"/>
    <s v="&lt;null&gt;"/>
    <s v="&lt;null&gt;"/>
    <s v="&lt;null&gt;"/>
    <s v="&lt;null&gt;"/>
    <s v="&lt;null&gt;"/>
    <s v="&lt;null&gt;"/>
    <s v="&lt;null&gt;"/>
    <m/>
    <m/>
    <m/>
    <m/>
  </r>
  <r>
    <x v="1482"/>
    <x v="1482"/>
    <s v="Verkeersveiligheid"/>
    <x v="4"/>
    <n v="2723"/>
    <s v="IN/002058"/>
    <s v="Bypass rotonde Keibergstraat naar ventweg"/>
    <m/>
    <s v="Kleine Ingreep"/>
    <s v="WWV/INV/R34/3"/>
    <b v="1"/>
    <s v="Ingreep wordt opgevolgd in BOD"/>
    <n v="12024"/>
    <s v="AWV/INV/2021/3_P3"/>
    <n v="118401"/>
    <n v="21065771"/>
    <s v="&lt;p&gt;OF AWV/INV/2021/3 P3 3mh230 schoolroutes&lt;/p&gt;"/>
    <x v="9"/>
    <n v="11196"/>
    <s v="IN2058 R34 Keibergstraat Torhout"/>
    <s v="&lt;null&gt;"/>
    <s v="WWV/INV/R34/3"/>
    <n v="100"/>
    <n v="10000"/>
    <n v="0"/>
    <n v="0"/>
    <n v="10000"/>
    <n v="10000"/>
    <n v="0"/>
    <n v="0"/>
    <n v="10000"/>
  </r>
  <r>
    <x v="1483"/>
    <x v="1483"/>
    <s v="Stimuleren Combimobiliteit"/>
    <x v="2"/>
    <n v="2752"/>
    <s v="IN/002059"/>
    <s v="Vlimmeren Statiestraat halteinfra"/>
    <s v="&lt;null&gt;"/>
    <s v="Kleine Ingreep"/>
    <s v="WA/INV/NX/6"/>
    <b v="0"/>
    <s v="Ingreep wordt niet opgevolgd in BOD"/>
    <s v="&lt;null&gt;"/>
    <s v="&lt;null&gt;"/>
    <s v="&lt;null&gt;"/>
    <s v="&lt;null&gt;"/>
    <s v="&lt;null&gt;"/>
    <x v="0"/>
    <s v="&lt;null&gt;"/>
    <s v="&lt;null&gt;"/>
    <s v="&lt;null&gt;"/>
    <s v="&lt;null&gt;"/>
    <n v="100"/>
    <s v="&lt;null&gt;"/>
    <s v="&lt;null&gt;"/>
    <s v="&lt;null&gt;"/>
    <s v="&lt;null&gt;"/>
    <m/>
    <m/>
    <m/>
    <m/>
  </r>
  <r>
    <x v="1483"/>
    <x v="1483"/>
    <s v="Stimuleren Combimobiliteit"/>
    <x v="2"/>
    <n v="2753"/>
    <s v="IN/002060"/>
    <s v="Vlimmeren Statiestraat Hoppinzuil"/>
    <s v="&lt;null&gt;"/>
    <s v="Kleine Ingreep"/>
    <s v="&lt;null&gt;"/>
    <b v="0"/>
    <s v="Ingreep wordt niet opgevolgd in BOD"/>
    <s v="&lt;null&gt;"/>
    <s v="&lt;null&gt;"/>
    <s v="&lt;null&gt;"/>
    <s v="&lt;null&gt;"/>
    <s v="&lt;null&gt;"/>
    <x v="0"/>
    <s v="&lt;null&gt;"/>
    <s v="&lt;null&gt;"/>
    <s v="&lt;null&gt;"/>
    <s v="&lt;null&gt;"/>
    <n v="100"/>
    <s v="&lt;null&gt;"/>
    <s v="&lt;null&gt;"/>
    <s v="&lt;null&gt;"/>
    <s v="&lt;null&gt;"/>
    <m/>
    <m/>
    <m/>
    <m/>
  </r>
  <r>
    <x v="1484"/>
    <x v="1484"/>
    <s v="Stimuleren Combimobiliteit"/>
    <x v="2"/>
    <n v="2754"/>
    <s v="IN/002061"/>
    <s v="Ramsel Truitseinde Halteinfra"/>
    <s v="&lt;null&gt;"/>
    <s v="Kleine Ingreep"/>
    <s v="WA/INV/N19/12"/>
    <b v="0"/>
    <s v="Ingreep wordt niet opgevolgd in BOD"/>
    <s v="&lt;null&gt;"/>
    <s v="&lt;null&gt;"/>
    <s v="&lt;null&gt;"/>
    <s v="&lt;null&gt;"/>
    <s v="&lt;null&gt;"/>
    <x v="0"/>
    <s v="&lt;null&gt;"/>
    <s v="&lt;null&gt;"/>
    <s v="&lt;null&gt;"/>
    <s v="&lt;null&gt;"/>
    <n v="100"/>
    <s v="&lt;null&gt;"/>
    <s v="&lt;null&gt;"/>
    <s v="&lt;null&gt;"/>
    <s v="&lt;null&gt;"/>
    <m/>
    <m/>
    <m/>
    <m/>
  </r>
  <r>
    <x v="1484"/>
    <x v="1484"/>
    <s v="Stimuleren Combimobiliteit"/>
    <x v="2"/>
    <n v="2755"/>
    <s v="IN/002062"/>
    <s v="Ramsel Truitseinde Hoppinzuil"/>
    <s v="&lt;null&gt;"/>
    <s v="Kleine Ingreep"/>
    <s v="&lt;null&gt;"/>
    <b v="0"/>
    <s v="Ingreep wordt niet opgevolgd in BOD"/>
    <s v="&lt;null&gt;"/>
    <s v="&lt;null&gt;"/>
    <s v="&lt;null&gt;"/>
    <s v="&lt;null&gt;"/>
    <s v="&lt;null&gt;"/>
    <x v="0"/>
    <s v="&lt;null&gt;"/>
    <s v="&lt;null&gt;"/>
    <s v="&lt;null&gt;"/>
    <s v="&lt;null&gt;"/>
    <n v="100"/>
    <s v="&lt;null&gt;"/>
    <s v="&lt;null&gt;"/>
    <s v="&lt;null&gt;"/>
    <s v="&lt;null&gt;"/>
    <m/>
    <m/>
    <m/>
    <m/>
  </r>
  <r>
    <x v="1485"/>
    <x v="1485"/>
    <s v="Stimuleren Combimobiliteit"/>
    <x v="2"/>
    <n v="2756"/>
    <s v="IN/002063"/>
    <s v="Tielendijk Halteinfra"/>
    <s v="&lt;null&gt;"/>
    <s v="Kleine Ingreep"/>
    <s v="WA/INV/N19/13"/>
    <b v="0"/>
    <s v="Ingreep wordt niet opgevolgd in BOD"/>
    <s v="&lt;null&gt;"/>
    <s v="&lt;null&gt;"/>
    <s v="&lt;null&gt;"/>
    <s v="&lt;null&gt;"/>
    <s v="&lt;null&gt;"/>
    <x v="0"/>
    <s v="&lt;null&gt;"/>
    <s v="&lt;null&gt;"/>
    <s v="&lt;null&gt;"/>
    <s v="&lt;null&gt;"/>
    <n v="100"/>
    <s v="&lt;null&gt;"/>
    <s v="&lt;null&gt;"/>
    <s v="&lt;null&gt;"/>
    <s v="&lt;null&gt;"/>
    <m/>
    <m/>
    <m/>
    <m/>
  </r>
  <r>
    <x v="1485"/>
    <x v="1485"/>
    <s v="Stimuleren Combimobiliteit"/>
    <x v="2"/>
    <n v="2757"/>
    <s v="IN/002064"/>
    <s v="Tielendijk Hoppinzuil"/>
    <s v="&lt;null&gt;"/>
    <s v="Kleine Ingreep"/>
    <s v="&lt;null&gt;"/>
    <b v="0"/>
    <s v="Ingreep wordt niet opgevolgd in BOD"/>
    <s v="&lt;null&gt;"/>
    <s v="&lt;null&gt;"/>
    <s v="&lt;null&gt;"/>
    <s v="&lt;null&gt;"/>
    <s v="&lt;null&gt;"/>
    <x v="0"/>
    <s v="&lt;null&gt;"/>
    <s v="&lt;null&gt;"/>
    <s v="&lt;null&gt;"/>
    <s v="&lt;null&gt;"/>
    <n v="100"/>
    <s v="&lt;null&gt;"/>
    <s v="&lt;null&gt;"/>
    <s v="&lt;null&gt;"/>
    <s v="&lt;null&gt;"/>
    <m/>
    <m/>
    <m/>
    <m/>
  </r>
  <r>
    <x v="1486"/>
    <x v="1486"/>
    <s v="Stimuleren Combimobiliteit"/>
    <x v="2"/>
    <n v="2758"/>
    <s v="IN/002065"/>
    <s v="Rijkevorsel Dorp Halteinfra"/>
    <s v="&lt;null&gt;"/>
    <s v="Kleine Ingreep"/>
    <s v="WA/INV/N14/13"/>
    <b v="0"/>
    <s v="Ingreep wordt niet opgevolgd in BOD"/>
    <s v="&lt;null&gt;"/>
    <s v="&lt;null&gt;"/>
    <s v="&lt;null&gt;"/>
    <s v="&lt;null&gt;"/>
    <s v="&lt;null&gt;"/>
    <x v="0"/>
    <s v="&lt;null&gt;"/>
    <s v="&lt;null&gt;"/>
    <s v="&lt;null&gt;"/>
    <s v="&lt;null&gt;"/>
    <n v="100"/>
    <s v="&lt;null&gt;"/>
    <s v="&lt;null&gt;"/>
    <s v="&lt;null&gt;"/>
    <s v="&lt;null&gt;"/>
    <m/>
    <m/>
    <m/>
    <m/>
  </r>
  <r>
    <x v="1486"/>
    <x v="1486"/>
    <s v="Stimuleren Combimobiliteit"/>
    <x v="2"/>
    <n v="2759"/>
    <s v="IN/002066"/>
    <s v="Rijkevorsel Dorp Hoppinzuil"/>
    <s v="&lt;null&gt;"/>
    <s v="Kleine Ingreep"/>
    <s v="&lt;null&gt;"/>
    <b v="0"/>
    <s v="Ingreep wordt niet opgevolgd in BOD"/>
    <s v="&lt;null&gt;"/>
    <s v="&lt;null&gt;"/>
    <s v="&lt;null&gt;"/>
    <s v="&lt;null&gt;"/>
    <s v="&lt;null&gt;"/>
    <x v="0"/>
    <s v="&lt;null&gt;"/>
    <s v="&lt;null&gt;"/>
    <s v="&lt;null&gt;"/>
    <s v="&lt;null&gt;"/>
    <n v="100"/>
    <s v="&lt;null&gt;"/>
    <s v="&lt;null&gt;"/>
    <s v="&lt;null&gt;"/>
    <s v="&lt;null&gt;"/>
    <m/>
    <m/>
    <m/>
    <m/>
  </r>
  <r>
    <x v="1487"/>
    <x v="1487"/>
    <s v="Stimuleren Combimobiliteit"/>
    <x v="2"/>
    <n v="2760"/>
    <s v="IN/002067"/>
    <s v="Kasterlee Dorp Halteinfra"/>
    <s v="&lt;null&gt;"/>
    <s v="Kleine Ingreep"/>
    <s v="WA/INV/N19/14"/>
    <b v="0"/>
    <s v="Ingreep wordt niet opgevolgd in BOD"/>
    <s v="&lt;null&gt;"/>
    <s v="&lt;null&gt;"/>
    <s v="&lt;null&gt;"/>
    <s v="&lt;null&gt;"/>
    <s v="&lt;null&gt;"/>
    <x v="0"/>
    <s v="&lt;null&gt;"/>
    <s v="&lt;null&gt;"/>
    <s v="&lt;null&gt;"/>
    <s v="&lt;null&gt;"/>
    <n v="100"/>
    <s v="&lt;null&gt;"/>
    <s v="&lt;null&gt;"/>
    <s v="&lt;null&gt;"/>
    <s v="&lt;null&gt;"/>
    <m/>
    <m/>
    <m/>
    <m/>
  </r>
  <r>
    <x v="1487"/>
    <x v="1487"/>
    <s v="Stimuleren Combimobiliteit"/>
    <x v="2"/>
    <n v="2761"/>
    <s v="IN/002068"/>
    <s v="Kasterlee Dorp Hoppinzuil"/>
    <s v="&lt;null&gt;"/>
    <s v="Kleine Ingreep"/>
    <s v="&lt;null&gt;"/>
    <b v="0"/>
    <s v="Ingreep wordt niet opgevolgd in BOD"/>
    <s v="&lt;null&gt;"/>
    <s v="&lt;null&gt;"/>
    <s v="&lt;null&gt;"/>
    <s v="&lt;null&gt;"/>
    <s v="&lt;null&gt;"/>
    <x v="0"/>
    <s v="&lt;null&gt;"/>
    <s v="&lt;null&gt;"/>
    <s v="&lt;null&gt;"/>
    <s v="&lt;null&gt;"/>
    <n v="100"/>
    <s v="&lt;null&gt;"/>
    <s v="&lt;null&gt;"/>
    <s v="&lt;null&gt;"/>
    <s v="&lt;null&gt;"/>
    <m/>
    <m/>
    <m/>
    <m/>
  </r>
  <r>
    <x v="1488"/>
    <x v="1488"/>
    <s v="Stimuleren Combimobiliteit"/>
    <x v="2"/>
    <n v="2762"/>
    <s v="IN/002069"/>
    <s v="Olen Dorp Halteinfra"/>
    <s v="&lt;null&gt;"/>
    <s v="Kleine Ingreep"/>
    <s v="WA/INV/N152/6"/>
    <b v="0"/>
    <s v="Ingreep wordt niet opgevolgd in BOD"/>
    <s v="&lt;null&gt;"/>
    <s v="&lt;null&gt;"/>
    <s v="&lt;null&gt;"/>
    <s v="&lt;null&gt;"/>
    <s v="&lt;null&gt;"/>
    <x v="0"/>
    <s v="&lt;null&gt;"/>
    <s v="&lt;null&gt;"/>
    <s v="&lt;null&gt;"/>
    <s v="&lt;null&gt;"/>
    <n v="100"/>
    <s v="&lt;null&gt;"/>
    <s v="&lt;null&gt;"/>
    <s v="&lt;null&gt;"/>
    <s v="&lt;null&gt;"/>
    <m/>
    <m/>
    <m/>
    <m/>
  </r>
  <r>
    <x v="1488"/>
    <x v="1488"/>
    <s v="Stimuleren Combimobiliteit"/>
    <x v="2"/>
    <n v="2763"/>
    <s v="IN/002070"/>
    <s v="Olen Dorp Hoppinzuil"/>
    <s v="&lt;null&g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2764"/>
    <s v="IN/002071"/>
    <s v="Tongeren T-forum N20"/>
    <s v="&lt;null&gt;"/>
    <s v="Structurele Ingreep"/>
    <s v="&lt;null&gt;"/>
    <b v="0"/>
    <s v="Ingreep wordt niet opgevolgd in BOD"/>
    <s v="&lt;null&gt;"/>
    <s v="&lt;null&gt;"/>
    <s v="&lt;null&gt;"/>
    <s v="&lt;null&gt;"/>
    <s v="&lt;null&gt;"/>
    <x v="0"/>
    <s v="&lt;null&gt;"/>
    <s v="&lt;null&gt;"/>
    <s v="&lt;null&gt;"/>
    <s v="&lt;null&gt;"/>
    <s v="&lt;null&gt;"/>
    <s v="&lt;null&gt;"/>
    <s v="&lt;null&gt;"/>
    <s v="&lt;null&gt;"/>
    <s v="&lt;null&gt;"/>
    <m/>
    <m/>
    <m/>
    <m/>
  </r>
  <r>
    <x v="1489"/>
    <x v="1489"/>
    <s v="Stimuleren Combimobiliteit"/>
    <x v="2"/>
    <n v="2765"/>
    <s v="IN/002072"/>
    <s v="N76 Oudsbergen Doorstroming Opglabbeek fase 2"/>
    <s v="&lt;null&gt;"/>
    <s v="Structurele Ingreep"/>
    <s v="WL/INV/N76/4"/>
    <b v="0"/>
    <s v="Ingreep wordt niet opgevolgd in BOD"/>
    <s v="&lt;null&gt;"/>
    <s v="&lt;null&gt;"/>
    <s v="&lt;null&gt;"/>
    <s v="&lt;null&gt;"/>
    <s v="&lt;null&gt;"/>
    <x v="0"/>
    <s v="&lt;null&gt;"/>
    <s v="&lt;null&gt;"/>
    <s v="&lt;null&gt;"/>
    <s v="&lt;null&gt;"/>
    <n v="10"/>
    <s v="&lt;null&gt;"/>
    <s v="&lt;null&gt;"/>
    <s v="&lt;null&gt;"/>
    <s v="&lt;null&gt;"/>
    <m/>
    <m/>
    <m/>
    <m/>
  </r>
  <r>
    <x v="1490"/>
    <x v="1490"/>
    <s v="Verkeersveiligheid"/>
    <x v="1"/>
    <n v="2766"/>
    <s v="IN/002073"/>
    <s v="Toeleidende fietspaden in zijstraten"/>
    <s v="&lt;null&gt;"/>
    <s v="Kleine Ingreep"/>
    <s v="&lt;null&gt;"/>
    <b v="0"/>
    <s v="Ingreep wordt niet opgevolgd in BOD"/>
    <s v="&lt;null&gt;"/>
    <s v="&lt;null&gt;"/>
    <s v="&lt;null&gt;"/>
    <s v="&lt;null&gt;"/>
    <s v="&lt;null&gt;"/>
    <x v="0"/>
    <s v="&lt;null&gt;"/>
    <s v="&lt;null&gt;"/>
    <s v="&lt;null&gt;"/>
    <s v="&lt;null&gt;"/>
    <n v="100"/>
    <s v="&lt;null&gt;"/>
    <s v="&lt;null&gt;"/>
    <s v="&lt;null&gt;"/>
    <s v="&lt;null&gt;"/>
    <m/>
    <m/>
    <m/>
    <m/>
  </r>
  <r>
    <x v="1490"/>
    <x v="1490"/>
    <s v="Verkeersveiligheid"/>
    <x v="1"/>
    <n v="2767"/>
    <s v="IN/002074"/>
    <s v="Punctuele verlichting aanbrengen thv de fietsoversteken"/>
    <s v="&lt;null&gt;"/>
    <s v="Kleine Ingreep"/>
    <s v="&lt;null&gt;"/>
    <b v="0"/>
    <s v="Ingreep wordt niet opgevolgd in BOD"/>
    <s v="&lt;null&gt;"/>
    <s v="&lt;null&gt;"/>
    <s v="&lt;null&gt;"/>
    <s v="&lt;null&gt;"/>
    <s v="&lt;null&gt;"/>
    <x v="0"/>
    <s v="&lt;null&gt;"/>
    <s v="&lt;null&gt;"/>
    <s v="&lt;null&gt;"/>
    <s v="&lt;null&gt;"/>
    <n v="100"/>
    <s v="&lt;null&gt;"/>
    <s v="&lt;null&gt;"/>
    <s v="&lt;null&gt;"/>
    <s v="&lt;null&gt;"/>
    <m/>
    <m/>
    <m/>
    <m/>
  </r>
  <r>
    <x v="1490"/>
    <x v="1490"/>
    <s v="Verkeersveiligheid"/>
    <x v="1"/>
    <n v="2768"/>
    <s v="IN/002075"/>
    <s v="Verticale en horizontale signalisatie vernieuwen"/>
    <s v="&lt;null&g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2769"/>
    <s v="IN/002076"/>
    <s v="A3/E40 - Bermbrug (Bertem)"/>
    <s v="&lt;null&gt;"/>
    <s v="Structurele Ingreep"/>
    <s v="WVB/INV/A3/11"/>
    <b v="0"/>
    <s v="Ingreep wordt niet opgevolgd in BOD"/>
    <s v="&lt;null&gt;"/>
    <s v="&lt;null&gt;"/>
    <s v="&lt;null&gt;"/>
    <s v="&lt;null&gt;"/>
    <s v="&lt;null&gt;"/>
    <x v="0"/>
    <s v="&lt;null&gt;"/>
    <s v="&lt;null&gt;"/>
    <s v="&lt;null&gt;"/>
    <s v="&lt;null&gt;"/>
    <s v="&lt;null&gt;"/>
    <s v="&lt;null&gt;"/>
    <s v="&lt;null&gt;"/>
    <s v="&lt;null&gt;"/>
    <s v="&lt;null&gt;"/>
    <m/>
    <m/>
    <m/>
    <m/>
  </r>
  <r>
    <x v="18"/>
    <x v="18"/>
    <s v="&lt;null&gt;"/>
    <x v="3"/>
    <n v="2770"/>
    <s v="IN/002077"/>
    <s v="Project K-R8"/>
    <s v="deelname aan GRUP K-R8, verbetering leefbaarheid tussen complexen Kortrijk-Oost en Kortrijk-Zuid. Deze studie kan tevens het sluiten van R8 over de reservatiestrook omvatten."/>
    <s v="Structurele Ingreep"/>
    <s v="WWV/INV/A14/1"/>
    <b v="0"/>
    <s v="Ingreep wordt niet opgevolgd in BOD"/>
    <s v="&lt;null&gt;"/>
    <s v="&lt;null&gt;"/>
    <s v="&lt;null&gt;"/>
    <s v="&lt;null&gt;"/>
    <s v="&lt;null&gt;"/>
    <x v="0"/>
    <s v="&lt;null&gt;"/>
    <s v="&lt;null&gt;"/>
    <s v="&lt;null&gt;"/>
    <s v="&lt;null&gt;"/>
    <s v="&lt;null&gt;"/>
    <s v="&lt;null&gt;"/>
    <s v="&lt;null&gt;"/>
    <s v="&lt;null&gt;"/>
    <s v="&lt;null&gt;"/>
    <m/>
    <m/>
    <m/>
    <m/>
  </r>
  <r>
    <x v="18"/>
    <x v="18"/>
    <s v="&lt;null&gt;"/>
    <x v="3"/>
    <n v="2771"/>
    <s v="IN/002078"/>
    <s v="N303 Zonnebeke, aanleg carpoolparking."/>
    <s v="&lt;null&gt;"/>
    <s v="Structurele Ingreep"/>
    <s v="WWV/INV/N303/1"/>
    <b v="0"/>
    <s v="Ingreep wordt niet opgevolgd in BOD"/>
    <s v="&lt;null&gt;"/>
    <s v="&lt;null&gt;"/>
    <s v="&lt;null&gt;"/>
    <s v="&lt;null&gt;"/>
    <s v="&lt;null&gt;"/>
    <x v="0"/>
    <s v="&lt;null&gt;"/>
    <s v="&lt;null&gt;"/>
    <s v="&lt;null&gt;"/>
    <s v="&lt;null&gt;"/>
    <s v="&lt;null&gt;"/>
    <s v="&lt;null&gt;"/>
    <s v="&lt;null&gt;"/>
    <s v="&lt;null&gt;"/>
    <s v="&lt;null&gt;"/>
    <m/>
    <m/>
    <m/>
    <m/>
  </r>
  <r>
    <x v="1491"/>
    <x v="1491"/>
    <s v="Verkeersveiligheid"/>
    <x v="1"/>
    <n v="2772"/>
    <s v="IN/002079"/>
    <s v="N49 Ombouw van de N49 tot autosnelweg, deelproject"/>
    <s v="&lt;null&gt;"/>
    <s v="Structurele Ingreep"/>
    <s v="WWV/INV/N49/6"/>
    <b v="0"/>
    <s v="Ingreep wordt niet opgevolgd in BOD"/>
    <s v="&lt;null&gt;"/>
    <s v="&lt;null&gt;"/>
    <s v="&lt;null&gt;"/>
    <s v="&lt;null&gt;"/>
    <s v="&lt;null&gt;"/>
    <x v="0"/>
    <s v="&lt;null&gt;"/>
    <s v="&lt;null&gt;"/>
    <s v="&lt;null&gt;"/>
    <s v="&lt;null&gt;"/>
    <n v="10"/>
    <s v="&lt;null&gt;"/>
    <s v="&lt;null&gt;"/>
    <s v="&lt;null&gt;"/>
    <s v="&lt;null&gt;"/>
    <m/>
    <m/>
    <m/>
    <m/>
  </r>
  <r>
    <x v="83"/>
    <x v="83"/>
    <s v="Fiets"/>
    <x v="0"/>
    <n v="2773"/>
    <s v="IN/002080"/>
    <s v="N725 Lummen Fietspaden Blanklaerstraat"/>
    <s v="&lt;null&gt;"/>
    <s v="Structurele Ingreep"/>
    <s v="WL/INV/N725/4"/>
    <b v="0"/>
    <s v="Ingreep wordt niet opgevolgd in BOD"/>
    <s v="&lt;null&gt;"/>
    <s v="&lt;null&gt;"/>
    <s v="&lt;null&gt;"/>
    <s v="&lt;null&gt;"/>
    <s v="&lt;null&gt;"/>
    <x v="0"/>
    <s v="&lt;null&gt;"/>
    <s v="&lt;null&gt;"/>
    <s v="&lt;null&gt;"/>
    <s v="&lt;null&gt;"/>
    <n v="100"/>
    <s v="&lt;null&gt;"/>
    <s v="&lt;null&gt;"/>
    <s v="&lt;null&gt;"/>
    <s v="&lt;null&gt;"/>
    <m/>
    <m/>
    <m/>
    <m/>
  </r>
  <r>
    <x v="1492"/>
    <x v="1492"/>
    <s v="Verkeersveiligheid"/>
    <x v="6"/>
    <n v="2774"/>
    <s v="IN/002081"/>
    <s v="N133 - WUUSTWEZEL - heraanleg Dorpstraat"/>
    <s v="&lt;null&gt;"/>
    <s v="Structurele Ingreep"/>
    <s v="WA/INV/N133/3"/>
    <b v="0"/>
    <s v="Ingreep wordt niet opgevolgd in BOD"/>
    <s v="&lt;null&gt;"/>
    <s v="&lt;null&gt;"/>
    <s v="&lt;null&gt;"/>
    <s v="&lt;null&gt;"/>
    <s v="&lt;null&gt;"/>
    <x v="0"/>
    <s v="&lt;null&gt;"/>
    <s v="&lt;null&gt;"/>
    <s v="&lt;null&gt;"/>
    <s v="&lt;null&gt;"/>
    <n v="0"/>
    <s v="&lt;null&gt;"/>
    <s v="&lt;null&gt;"/>
    <s v="&lt;null&gt;"/>
    <s v="&lt;null&gt;"/>
    <m/>
    <m/>
    <m/>
    <m/>
  </r>
  <r>
    <x v="1493"/>
    <x v="1493"/>
    <s v="Stimuleren Combimobiliteit"/>
    <x v="2"/>
    <n v="2774"/>
    <s v="IN/002081"/>
    <s v="N133 - WUUSTWEZEL - heraanleg Dorpstraat"/>
    <s v="&lt;null&gt;"/>
    <s v="Structurele Ingreep"/>
    <s v="WA/INV/N133/3"/>
    <b v="0"/>
    <s v="Ingreep wordt niet opgevolgd in BOD"/>
    <s v="&lt;null&gt;"/>
    <s v="&lt;null&gt;"/>
    <s v="&lt;null&gt;"/>
    <s v="&lt;null&gt;"/>
    <s v="&lt;null&gt;"/>
    <x v="0"/>
    <s v="&lt;null&gt;"/>
    <s v="&lt;null&gt;"/>
    <s v="&lt;null&gt;"/>
    <s v="&lt;null&gt;"/>
    <n v="0"/>
    <s v="&lt;null&gt;"/>
    <s v="&lt;null&gt;"/>
    <s v="&lt;null&gt;"/>
    <s v="&lt;null&gt;"/>
    <m/>
    <m/>
    <m/>
    <m/>
  </r>
  <r>
    <x v="18"/>
    <x v="18"/>
    <s v="&lt;null&gt;"/>
    <x v="3"/>
    <n v="2775"/>
    <s v="IN/002082"/>
    <s v="N116 Wommelgem Busbaan studie"/>
    <s v="&lt;null&gt;"/>
    <s v="Structurele Ingreep"/>
    <s v="WA/INV/N116/9"/>
    <b v="0"/>
    <s v="Ingreep wordt niet opgevolgd in BOD"/>
    <s v="&lt;null&gt;"/>
    <s v="&lt;null&gt;"/>
    <s v="&lt;null&gt;"/>
    <s v="&lt;null&gt;"/>
    <s v="&lt;null&gt;"/>
    <x v="0"/>
    <s v="&lt;null&gt;"/>
    <s v="&lt;null&gt;"/>
    <s v="&lt;null&gt;"/>
    <s v="&lt;null&gt;"/>
    <s v="&lt;null&gt;"/>
    <s v="&lt;null&gt;"/>
    <s v="&lt;null&gt;"/>
    <s v="&lt;null&gt;"/>
    <s v="&lt;null&gt;"/>
    <m/>
    <m/>
    <m/>
    <m/>
  </r>
  <r>
    <x v="18"/>
    <x v="18"/>
    <s v="&lt;null&gt;"/>
    <x v="3"/>
    <n v="2776"/>
    <s v="IN/002083"/>
    <s v="N50 Kuurne - doortrekken R8"/>
    <s v="&lt;null&gt;"/>
    <s v="Structurele Ingreep"/>
    <s v="WWV/INV/R8/1"/>
    <b v="0"/>
    <s v="Ingreep wordt niet opgevolgd in BOD"/>
    <s v="&lt;null&gt;"/>
    <s v="&lt;null&gt;"/>
    <s v="&lt;null&gt;"/>
    <s v="&lt;null&gt;"/>
    <s v="&lt;null&gt;"/>
    <x v="0"/>
    <s v="&lt;null&gt;"/>
    <s v="&lt;null&gt;"/>
    <s v="&lt;null&gt;"/>
    <s v="&lt;null&gt;"/>
    <s v="&lt;null&gt;"/>
    <s v="&lt;null&gt;"/>
    <s v="&lt;null&gt;"/>
    <s v="&lt;null&gt;"/>
    <s v="&lt;null&gt;"/>
    <m/>
    <m/>
    <m/>
    <m/>
  </r>
  <r>
    <x v="18"/>
    <x v="18"/>
    <s v="&lt;null&gt;"/>
    <x v="3"/>
    <n v="2777"/>
    <s v="IN/002084"/>
    <s v="E403 Kortrijk- Roeselare, beide richtingen"/>
    <s v="&lt;null&gt;"/>
    <s v="Structurele Ingreep"/>
    <s v="WWV/INV/E403/7"/>
    <b v="0"/>
    <s v="Ingreep wordt niet opgevolgd in BOD"/>
    <s v="&lt;null&gt;"/>
    <s v="&lt;null&gt;"/>
    <s v="&lt;null&gt;"/>
    <s v="&lt;null&gt;"/>
    <s v="&lt;null&gt;"/>
    <x v="0"/>
    <s v="&lt;null&gt;"/>
    <s v="&lt;null&gt;"/>
    <s v="&lt;null&gt;"/>
    <s v="&lt;null&gt;"/>
    <s v="&lt;null&gt;"/>
    <s v="&lt;null&gt;"/>
    <s v="&lt;null&gt;"/>
    <s v="&lt;null&gt;"/>
    <s v="&lt;null&gt;"/>
    <m/>
    <m/>
    <m/>
    <m/>
  </r>
  <r>
    <x v="18"/>
    <x v="18"/>
    <s v="&lt;null&gt;"/>
    <x v="3"/>
    <n v="2778"/>
    <s v="IN/002085"/>
    <s v="N8 Kortrijk - herinrichting Meensesteenweg"/>
    <s v="&lt;null&gt;"/>
    <s v="Structurele Ingreep"/>
    <s v="WWV/INV/N8/8"/>
    <b v="0"/>
    <s v="Ingreep wordt niet opgevolgd in BOD"/>
    <s v="&lt;null&gt;"/>
    <s v="&lt;null&gt;"/>
    <s v="&lt;null&gt;"/>
    <s v="&lt;null&gt;"/>
    <s v="&lt;null&gt;"/>
    <x v="0"/>
    <s v="&lt;null&gt;"/>
    <s v="&lt;null&gt;"/>
    <s v="&lt;null&gt;"/>
    <s v="&lt;null&gt;"/>
    <s v="&lt;null&gt;"/>
    <s v="&lt;null&gt;"/>
    <s v="&lt;null&gt;"/>
    <s v="&lt;null&gt;"/>
    <s v="&lt;null&gt;"/>
    <m/>
    <m/>
    <m/>
    <m/>
  </r>
  <r>
    <x v="18"/>
    <x v="18"/>
    <s v="&lt;null&gt;"/>
    <x v="3"/>
    <n v="2779"/>
    <s v="IN/002086"/>
    <s v="Fietsersbrug ter hoogte van Celieplas"/>
    <s v="&lt;null&gt;"/>
    <s v="Structurele Ingreep"/>
    <s v="WOV/INV/N49/5"/>
    <b v="0"/>
    <s v="Ingreep wordt niet opgevolgd in BOD"/>
    <s v="&lt;null&gt;"/>
    <s v="&lt;null&gt;"/>
    <s v="&lt;null&gt;"/>
    <s v="&lt;null&gt;"/>
    <s v="&lt;null&gt;"/>
    <x v="0"/>
    <s v="&lt;null&gt;"/>
    <s v="&lt;null&gt;"/>
    <s v="&lt;null&gt;"/>
    <s v="&lt;null&gt;"/>
    <s v="&lt;null&gt;"/>
    <s v="&lt;null&gt;"/>
    <s v="&lt;null&gt;"/>
    <s v="&lt;null&gt;"/>
    <s v="&lt;null&gt;"/>
    <m/>
    <m/>
    <m/>
    <m/>
  </r>
  <r>
    <x v="18"/>
    <x v="18"/>
    <s v="&lt;null&gt;"/>
    <x v="3"/>
    <n v="2780"/>
    <s v="IN/002087"/>
    <s v="N50 Kortrijk Doorniksesteenweg HOV"/>
    <s v="&lt;null&gt;"/>
    <s v="Structurele Ingreep"/>
    <s v="WWV/INV/N50/3"/>
    <b v="0"/>
    <s v="Ingreep wordt niet opgevolgd in BOD"/>
    <s v="&lt;null&gt;"/>
    <s v="&lt;null&gt;"/>
    <s v="&lt;null&gt;"/>
    <s v="&lt;null&gt;"/>
    <s v="&lt;null&gt;"/>
    <x v="0"/>
    <s v="&lt;null&gt;"/>
    <s v="&lt;null&gt;"/>
    <s v="&lt;null&gt;"/>
    <s v="&lt;null&gt;"/>
    <s v="&lt;null&gt;"/>
    <s v="&lt;null&gt;"/>
    <s v="&lt;null&gt;"/>
    <s v="&lt;null&gt;"/>
    <s v="&lt;null&gt;"/>
    <m/>
    <m/>
    <m/>
    <m/>
  </r>
  <r>
    <x v="18"/>
    <x v="18"/>
    <s v="&lt;null&gt;"/>
    <x v="3"/>
    <n v="2781"/>
    <s v="IN/002088"/>
    <s v="E403 N36 Roeselare - herstel brug B50"/>
    <s v="&lt;null&gt;"/>
    <s v="Structurele Ingreep"/>
    <s v="WWV/INV/E403/6"/>
    <b v="0"/>
    <s v="Ingreep wordt niet opgevolgd in BOD"/>
    <s v="&lt;null&gt;"/>
    <s v="&lt;null&gt;"/>
    <s v="&lt;null&gt;"/>
    <s v="&lt;null&gt;"/>
    <s v="&lt;null&gt;"/>
    <x v="0"/>
    <s v="&lt;null&gt;"/>
    <s v="&lt;null&gt;"/>
    <s v="&lt;null&gt;"/>
    <s v="&lt;null&gt;"/>
    <s v="&lt;null&gt;"/>
    <s v="&lt;null&gt;"/>
    <s v="&lt;null&gt;"/>
    <s v="&lt;null&gt;"/>
    <s v="&lt;null&gt;"/>
    <m/>
    <m/>
    <m/>
    <m/>
  </r>
  <r>
    <x v="18"/>
    <x v="18"/>
    <s v="&lt;null&gt;"/>
    <x v="3"/>
    <n v="2782"/>
    <s v="IN/002089"/>
    <s v="E17 Waregem - brug in Nokerseweg"/>
    <s v="&lt;null&gt;"/>
    <s v="Structurele Ingreep"/>
    <s v="WWV/INV/E17/8"/>
    <b v="0"/>
    <s v="Ingreep wordt niet opgevolgd in BOD"/>
    <s v="&lt;null&gt;"/>
    <s v="&lt;null&gt;"/>
    <s v="&lt;null&gt;"/>
    <s v="&lt;null&gt;"/>
    <s v="&lt;null&gt;"/>
    <x v="0"/>
    <s v="&lt;null&gt;"/>
    <s v="&lt;null&gt;"/>
    <s v="&lt;null&gt;"/>
    <s v="&lt;null&gt;"/>
    <s v="&lt;null&gt;"/>
    <s v="&lt;null&gt;"/>
    <s v="&lt;null&gt;"/>
    <s v="&lt;null&gt;"/>
    <s v="&lt;null&gt;"/>
    <m/>
    <m/>
    <m/>
    <m/>
  </r>
  <r>
    <x v="18"/>
    <x v="18"/>
    <s v="&lt;null&gt;"/>
    <x v="3"/>
    <n v="2783"/>
    <s v="IN/002090"/>
    <s v="E17 Kortrijk-  Bufferbekken EI en persleiding"/>
    <s v="&lt;null&gt;"/>
    <s v="Structurele Ingreep"/>
    <s v="WWV/INV/E17/3"/>
    <b v="0"/>
    <s v="Ingreep wordt niet opgevolgd in BOD"/>
    <s v="&lt;null&gt;"/>
    <s v="&lt;null&gt;"/>
    <s v="&lt;null&gt;"/>
    <s v="&lt;null&gt;"/>
    <s v="&lt;null&gt;"/>
    <x v="0"/>
    <s v="&lt;null&gt;"/>
    <s v="&lt;null&gt;"/>
    <s v="&lt;null&gt;"/>
    <s v="&lt;null&gt;"/>
    <s v="&lt;null&gt;"/>
    <s v="&lt;null&gt;"/>
    <s v="&lt;null&gt;"/>
    <s v="&lt;null&gt;"/>
    <s v="&lt;null&gt;"/>
    <m/>
    <m/>
    <m/>
    <m/>
  </r>
  <r>
    <x v="18"/>
    <x v="18"/>
    <s v="&lt;null&gt;"/>
    <x v="3"/>
    <n v="2784"/>
    <s v="IN/002091"/>
    <s v="N34 Nieuwpoort - structureel onderhoud Langebrug"/>
    <s v="&lt;null&gt;"/>
    <s v="Structurele Ingreep"/>
    <s v="WWV/INV/N34/7"/>
    <b v="0"/>
    <s v="Ingreep wordt niet opgevolgd in BOD"/>
    <s v="&lt;null&gt;"/>
    <s v="&lt;null&gt;"/>
    <s v="&lt;null&gt;"/>
    <s v="&lt;null&gt;"/>
    <s v="&lt;null&gt;"/>
    <x v="0"/>
    <s v="&lt;null&gt;"/>
    <s v="&lt;null&gt;"/>
    <s v="&lt;null&gt;"/>
    <s v="&lt;null&gt;"/>
    <s v="&lt;null&gt;"/>
    <s v="&lt;null&gt;"/>
    <s v="&lt;null&gt;"/>
    <s v="&lt;null&gt;"/>
    <s v="&lt;null&gt;"/>
    <m/>
    <m/>
    <m/>
    <m/>
  </r>
  <r>
    <x v="18"/>
    <x v="18"/>
    <s v="&lt;null&gt;"/>
    <x v="3"/>
    <n v="2785"/>
    <s v="IN/002092"/>
    <s v="N17 Ontsluiting De Winning"/>
    <s v="&lt;null&gt;"/>
    <s v="Structurele Ingreep"/>
    <s v="WA/INV/N17/3"/>
    <b v="0"/>
    <s v="Ingreep wordt niet opgevolgd in BOD"/>
    <s v="&lt;null&gt;"/>
    <s v="&lt;null&gt;"/>
    <s v="&lt;null&gt;"/>
    <s v="&lt;null&gt;"/>
    <s v="&lt;null&gt;"/>
    <x v="0"/>
    <s v="&lt;null&gt;"/>
    <s v="&lt;null&gt;"/>
    <s v="&lt;null&gt;"/>
    <s v="&lt;null&gt;"/>
    <s v="&lt;null&gt;"/>
    <s v="&lt;null&gt;"/>
    <s v="&lt;null&gt;"/>
    <s v="&lt;null&gt;"/>
    <s v="&lt;null&gt;"/>
    <m/>
    <m/>
    <m/>
    <m/>
  </r>
  <r>
    <x v="18"/>
    <x v="18"/>
    <s v="&lt;null&gt;"/>
    <x v="3"/>
    <n v="2786"/>
    <s v="IN/002093"/>
    <s v="N10 Berlaar-HODB Herinrichting Aarschotsebaan"/>
    <s v="&lt;null&gt;"/>
    <s v="Structurele Ingreep"/>
    <s v="WA/INV/N10/1"/>
    <b v="0"/>
    <s v="Ingreep wordt niet opgevolgd in BOD"/>
    <s v="&lt;null&gt;"/>
    <s v="&lt;null&gt;"/>
    <s v="&lt;null&gt;"/>
    <s v="&lt;null&gt;"/>
    <s v="&lt;null&gt;"/>
    <x v="0"/>
    <s v="&lt;null&gt;"/>
    <s v="&lt;null&gt;"/>
    <s v="&lt;null&gt;"/>
    <s v="&lt;null&gt;"/>
    <s v="&lt;null&gt;"/>
    <s v="&lt;null&gt;"/>
    <s v="&lt;null&gt;"/>
    <s v="&lt;null&gt;"/>
    <s v="&lt;null&gt;"/>
    <m/>
    <m/>
    <m/>
    <m/>
  </r>
  <r>
    <x v="18"/>
    <x v="18"/>
    <s v="&lt;null&gt;"/>
    <x v="3"/>
    <n v="2787"/>
    <s v="IN/002094"/>
    <s v="N1 Kontich Herinrichting Koningin Astridlaan"/>
    <s v="&lt;null&gt;"/>
    <s v="Structurele Ingreep"/>
    <s v="WA/INV/N001/3"/>
    <b v="0"/>
    <s v="Ingreep wordt niet opgevolgd in BOD"/>
    <s v="&lt;null&gt;"/>
    <s v="&lt;null&gt;"/>
    <s v="&lt;null&gt;"/>
    <s v="&lt;null&gt;"/>
    <s v="&lt;null&gt;"/>
    <x v="0"/>
    <s v="&lt;null&gt;"/>
    <s v="&lt;null&gt;"/>
    <s v="&lt;null&gt;"/>
    <s v="&lt;null&gt;"/>
    <s v="&lt;null&gt;"/>
    <s v="&lt;null&gt;"/>
    <s v="&lt;null&gt;"/>
    <s v="&lt;null&gt;"/>
    <s v="&lt;null&gt;"/>
    <m/>
    <m/>
    <m/>
    <m/>
  </r>
  <r>
    <x v="18"/>
    <x v="18"/>
    <s v="&lt;null&gt;"/>
    <x v="3"/>
    <n v="2788"/>
    <s v="IN/002095"/>
    <s v="R6 SKW Milderende maatregelen"/>
    <s v="&lt;null&gt;"/>
    <s v="Structurele Ingreep"/>
    <s v="WA/INV/R6/2"/>
    <b v="0"/>
    <s v="Ingreep wordt niet opgevolgd in BOD"/>
    <s v="&lt;null&gt;"/>
    <s v="&lt;null&gt;"/>
    <s v="&lt;null&gt;"/>
    <s v="&lt;null&gt;"/>
    <s v="&lt;null&gt;"/>
    <x v="0"/>
    <s v="&lt;null&gt;"/>
    <s v="&lt;null&gt;"/>
    <s v="&lt;null&gt;"/>
    <s v="&lt;null&gt;"/>
    <s v="&lt;null&gt;"/>
    <s v="&lt;null&gt;"/>
    <s v="&lt;null&gt;"/>
    <s v="&lt;null&gt;"/>
    <s v="&lt;null&gt;"/>
    <m/>
    <m/>
    <m/>
    <m/>
  </r>
  <r>
    <x v="18"/>
    <x v="18"/>
    <s v="&lt;null&gt;"/>
    <x v="3"/>
    <n v="2789"/>
    <s v="IN/002096"/>
    <s v="N10 Rotonde Schrieksesteenweg TV3V 1279"/>
    <s v="&lt;null&gt;"/>
    <s v="Structurele Ingreep"/>
    <s v="WA/INV/N10/4"/>
    <b v="0"/>
    <s v="Ingreep wordt niet opgevolgd in BOD"/>
    <s v="&lt;null&gt;"/>
    <s v="&lt;null&gt;"/>
    <s v="&lt;null&gt;"/>
    <s v="&lt;null&gt;"/>
    <s v="&lt;null&gt;"/>
    <x v="0"/>
    <s v="&lt;null&gt;"/>
    <s v="&lt;null&gt;"/>
    <s v="&lt;null&gt;"/>
    <s v="&lt;null&gt;"/>
    <s v="&lt;null&gt;"/>
    <s v="&lt;null&gt;"/>
    <s v="&lt;null&gt;"/>
    <s v="&lt;null&gt;"/>
    <s v="&lt;null&gt;"/>
    <m/>
    <m/>
    <m/>
    <m/>
  </r>
  <r>
    <x v="18"/>
    <x v="18"/>
    <s v="&lt;null&gt;"/>
    <x v="3"/>
    <n v="2790"/>
    <s v="IN/002097"/>
    <s v="N171 Rumst doortrekking fase 3"/>
    <s v="&lt;null&gt;"/>
    <s v="Structurele Ingreep"/>
    <s v="WA/INV/N171/1"/>
    <b v="0"/>
    <s v="Ingreep wordt niet opgevolgd in BOD"/>
    <s v="&lt;null&gt;"/>
    <s v="&lt;null&gt;"/>
    <s v="&lt;null&gt;"/>
    <s v="&lt;null&gt;"/>
    <s v="&lt;null&gt;"/>
    <x v="0"/>
    <s v="&lt;null&gt;"/>
    <s v="&lt;null&gt;"/>
    <s v="&lt;null&gt;"/>
    <s v="&lt;null&gt;"/>
    <s v="&lt;null&gt;"/>
    <s v="&lt;null&gt;"/>
    <s v="&lt;null&gt;"/>
    <s v="&lt;null&gt;"/>
    <s v="&lt;null&gt;"/>
    <m/>
    <m/>
    <m/>
    <m/>
  </r>
  <r>
    <x v="18"/>
    <x v="18"/>
    <s v="&lt;null&gt;"/>
    <x v="3"/>
    <n v="2791"/>
    <s v="IN/002098"/>
    <s v="A12 Aartselaar Ombouw A12 tot prim. weg- rout2030"/>
    <s v="&lt;null&gt;"/>
    <s v="Structurele Ingreep"/>
    <s v="WA/INV/A12/3"/>
    <b v="0"/>
    <s v="Ingreep wordt niet opgevolgd in BOD"/>
    <s v="&lt;null&gt;"/>
    <s v="&lt;null&gt;"/>
    <s v="&lt;null&gt;"/>
    <s v="&lt;null&gt;"/>
    <s v="&lt;null&gt;"/>
    <x v="0"/>
    <s v="&lt;null&gt;"/>
    <s v="&lt;null&gt;"/>
    <s v="&lt;null&gt;"/>
    <s v="&lt;null&gt;"/>
    <s v="&lt;null&gt;"/>
    <s v="&lt;null&gt;"/>
    <s v="&lt;null&gt;"/>
    <s v="&lt;null&gt;"/>
    <s v="&lt;null&gt;"/>
    <m/>
    <m/>
    <m/>
    <m/>
  </r>
  <r>
    <x v="18"/>
    <x v="18"/>
    <s v="&lt;null&gt;"/>
    <x v="3"/>
    <n v="2792"/>
    <s v="IN/002099"/>
    <s v="N327 Wielsbeke herinrichten met fietspad en RWA"/>
    <s v="&lt;null&gt;"/>
    <s v="Structurele Ingreep"/>
    <s v="WWV/INV/N327/2"/>
    <b v="0"/>
    <s v="Ingreep wordt niet opgevolgd in BOD"/>
    <s v="&lt;null&gt;"/>
    <s v="&lt;null&gt;"/>
    <s v="&lt;null&gt;"/>
    <s v="&lt;null&gt;"/>
    <s v="&lt;null&gt;"/>
    <x v="0"/>
    <s v="&lt;null&gt;"/>
    <s v="&lt;null&gt;"/>
    <s v="&lt;null&gt;"/>
    <s v="&lt;null&gt;"/>
    <s v="&lt;null&gt;"/>
    <s v="&lt;null&gt;"/>
    <s v="&lt;null&gt;"/>
    <s v="&lt;null&gt;"/>
    <s v="&lt;null&gt;"/>
    <m/>
    <m/>
    <m/>
    <m/>
  </r>
  <r>
    <x v="18"/>
    <x v="18"/>
    <s v="&lt;null&gt;"/>
    <x v="3"/>
    <n v="2793"/>
    <s v="IN/002100"/>
    <s v="R40 Gent bouw Verapazbrug"/>
    <s v="&lt;null&gt;"/>
    <s v="Structurele Ingreep"/>
    <s v="WOV/INV/R40/2"/>
    <b v="0"/>
    <s v="Ingreep wordt niet opgevolgd in BOD"/>
    <s v="&lt;null&gt;"/>
    <s v="&lt;null&gt;"/>
    <s v="&lt;null&gt;"/>
    <s v="&lt;null&gt;"/>
    <s v="&lt;null&gt;"/>
    <x v="0"/>
    <s v="&lt;null&gt;"/>
    <s v="&lt;null&gt;"/>
    <s v="&lt;null&gt;"/>
    <s v="&lt;null&gt;"/>
    <s v="&lt;null&gt;"/>
    <s v="&lt;null&gt;"/>
    <s v="&lt;null&gt;"/>
    <s v="&lt;null&gt;"/>
    <s v="&lt;null&gt;"/>
    <m/>
    <m/>
    <m/>
    <m/>
  </r>
  <r>
    <x v="18"/>
    <x v="18"/>
    <s v="&lt;null&gt;"/>
    <x v="3"/>
    <n v="2794"/>
    <s v="IN/002101"/>
    <s v="N60 Oudenaarde SOVII Bruwaan"/>
    <s v="Het bedrijventerrein Bruwaan Noord wordt ontwikkeld en moet ontsloten worden op de N60 via de rotonde van Eine. \nIn het kader van de SOVII zal AWV als medefinancier instaan voor 60%  van de reële kosten voor de aanpassing van de rotonde door de aanleg va"/>
    <s v="Structurele Ingreep"/>
    <s v="WOV/INV/N60/13"/>
    <b v="0"/>
    <s v="Ingreep wordt niet opgevolgd in BOD"/>
    <s v="&lt;null&gt;"/>
    <s v="&lt;null&gt;"/>
    <s v="&lt;null&gt;"/>
    <s v="&lt;null&gt;"/>
    <s v="&lt;null&gt;"/>
    <x v="0"/>
    <s v="&lt;null&gt;"/>
    <s v="&lt;null&gt;"/>
    <s v="&lt;null&gt;"/>
    <s v="&lt;null&gt;"/>
    <s v="&lt;null&gt;"/>
    <s v="&lt;null&gt;"/>
    <s v="&lt;null&gt;"/>
    <s v="&lt;null&gt;"/>
    <s v="&lt;null&gt;"/>
    <m/>
    <m/>
    <m/>
    <m/>
  </r>
  <r>
    <x v="18"/>
    <x v="18"/>
    <s v="&lt;null&gt;"/>
    <x v="3"/>
    <n v="2795"/>
    <s v="IN/002102"/>
    <s v="N9 Eeklo Leopoldlaan"/>
    <s v="&lt;null&gt;"/>
    <s v="Structurele Ingreep"/>
    <s v="WOV/INV/N9/1"/>
    <b v="0"/>
    <s v="Ingreep wordt niet opgevolgd in BOD"/>
    <s v="&lt;null&gt;"/>
    <s v="&lt;null&gt;"/>
    <s v="&lt;null&gt;"/>
    <s v="&lt;null&gt;"/>
    <s v="&lt;null&gt;"/>
    <x v="0"/>
    <s v="&lt;null&gt;"/>
    <s v="&lt;null&gt;"/>
    <s v="&lt;null&gt;"/>
    <s v="&lt;null&gt;"/>
    <s v="&lt;null&gt;"/>
    <s v="&lt;null&gt;"/>
    <s v="&lt;null&gt;"/>
    <s v="&lt;null&gt;"/>
    <s v="&lt;null&gt;"/>
    <m/>
    <m/>
    <m/>
    <m/>
  </r>
  <r>
    <x v="18"/>
    <x v="18"/>
    <s v="&lt;null&gt;"/>
    <x v="3"/>
    <n v="2796"/>
    <s v="IN/002103"/>
    <s v="R40 Gent heraanleg kruispunt Groot-Brittanniëlaan"/>
    <s v="&lt;null&gt;"/>
    <s v="Structurele Ingreep"/>
    <s v="WOV/INV/R40/8"/>
    <b v="0"/>
    <s v="Ingreep wordt niet opgevolgd in BOD"/>
    <s v="&lt;null&gt;"/>
    <s v="&lt;null&gt;"/>
    <s v="&lt;null&gt;"/>
    <s v="&lt;null&gt;"/>
    <s v="&lt;null&gt;"/>
    <x v="0"/>
    <s v="&lt;null&gt;"/>
    <s v="&lt;null&gt;"/>
    <s v="&lt;null&gt;"/>
    <s v="&lt;null&gt;"/>
    <s v="&lt;null&gt;"/>
    <s v="&lt;null&gt;"/>
    <s v="&lt;null&gt;"/>
    <s v="&lt;null&gt;"/>
    <s v="&lt;null&gt;"/>
    <m/>
    <m/>
    <m/>
    <m/>
  </r>
  <r>
    <x v="18"/>
    <x v="18"/>
    <s v="&lt;null&gt;"/>
    <x v="3"/>
    <n v="2797"/>
    <s v="IN/002104"/>
    <s v="R43 Eeklo fase 1 Den Teut Industrielaan"/>
    <s v="&lt;null&gt;"/>
    <s v="Structurele Ingreep"/>
    <s v="WOV/INV/R43/1"/>
    <b v="0"/>
    <s v="Ingreep wordt niet opgevolgd in BOD"/>
    <s v="&lt;null&gt;"/>
    <s v="&lt;null&gt;"/>
    <s v="&lt;null&gt;"/>
    <s v="&lt;null&gt;"/>
    <s v="&lt;null&gt;"/>
    <x v="0"/>
    <s v="&lt;null&gt;"/>
    <s v="&lt;null&gt;"/>
    <s v="&lt;null&gt;"/>
    <s v="&lt;null&gt;"/>
    <s v="&lt;null&gt;"/>
    <s v="&lt;null&gt;"/>
    <s v="&lt;null&gt;"/>
    <s v="&lt;null&gt;"/>
    <s v="&lt;null&gt;"/>
    <m/>
    <m/>
    <m/>
    <m/>
  </r>
  <r>
    <x v="423"/>
    <x v="423"/>
    <s v="Verkeersveiligheid"/>
    <x v="1"/>
    <n v="2798"/>
    <s v="IN/002105"/>
    <s v="N466 Gent Drongensesteenweg doorstroming bus"/>
    <s v="&lt;null&gt;"/>
    <s v="Structurele Ingreep"/>
    <s v="WOV/INV/N466/3"/>
    <b v="0"/>
    <s v="Ingreep wordt niet opgevolgd in BOD"/>
    <s v="&lt;null&gt;"/>
    <s v="&lt;null&gt;"/>
    <s v="&lt;null&gt;"/>
    <s v="&lt;null&gt;"/>
    <s v="&lt;null&gt;"/>
    <x v="0"/>
    <s v="&lt;null&gt;"/>
    <s v="&lt;null&gt;"/>
    <s v="&lt;null&gt;"/>
    <s v="&lt;null&gt;"/>
    <n v="100"/>
    <s v="&lt;null&gt;"/>
    <s v="&lt;null&gt;"/>
    <s v="&lt;null&gt;"/>
    <s v="&lt;null&gt;"/>
    <m/>
    <m/>
    <m/>
    <m/>
  </r>
  <r>
    <x v="18"/>
    <x v="18"/>
    <s v="&lt;null&gt;"/>
    <x v="3"/>
    <n v="2799"/>
    <s v="IN/002106"/>
    <s v="N35 Deinze Tieltsesteenweg"/>
    <s v="&lt;null&gt;"/>
    <s v="Structurele Ingreep"/>
    <s v="WOV/INV/N35/1"/>
    <b v="0"/>
    <s v="Ingreep wordt niet opgevolgd in BOD"/>
    <s v="&lt;null&gt;"/>
    <s v="&lt;null&gt;"/>
    <s v="&lt;null&gt;"/>
    <s v="&lt;null&gt;"/>
    <s v="&lt;null&gt;"/>
    <x v="0"/>
    <s v="&lt;null&gt;"/>
    <s v="&lt;null&gt;"/>
    <s v="&lt;null&gt;"/>
    <s v="&lt;null&gt;"/>
    <s v="&lt;null&gt;"/>
    <s v="&lt;null&gt;"/>
    <s v="&lt;null&gt;"/>
    <s v="&lt;null&gt;"/>
    <s v="&lt;null&gt;"/>
    <m/>
    <m/>
    <m/>
    <m/>
  </r>
  <r>
    <x v="18"/>
    <x v="18"/>
    <s v="&lt;null&gt;"/>
    <x v="3"/>
    <n v="2800"/>
    <s v="IN/002107"/>
    <s v="N31 Brugge Omvorming tot vlaamse hoofdweg"/>
    <s v="&lt;null&gt;"/>
    <s v="Structurele Ingreep"/>
    <s v="WWV/INV/N31/4"/>
    <b v="0"/>
    <s v="Ingreep wordt niet opgevolgd in BOD"/>
    <s v="&lt;null&gt;"/>
    <s v="&lt;null&gt;"/>
    <s v="&lt;null&gt;"/>
    <s v="&lt;null&gt;"/>
    <s v="&lt;null&gt;"/>
    <x v="0"/>
    <s v="&lt;null&gt;"/>
    <s v="&lt;null&gt;"/>
    <s v="&lt;null&gt;"/>
    <s v="&lt;null&gt;"/>
    <s v="&lt;null&gt;"/>
    <s v="&lt;null&gt;"/>
    <s v="&lt;null&gt;"/>
    <s v="&lt;null&gt;"/>
    <s v="&lt;null&gt;"/>
    <m/>
    <m/>
    <m/>
    <m/>
  </r>
  <r>
    <x v="18"/>
    <x v="18"/>
    <s v="&lt;null&gt;"/>
    <x v="3"/>
    <n v="2801"/>
    <s v="IN/002108"/>
    <s v="N494 Kruisem WP Structureel onderhoud met fietspad"/>
    <s v="&lt;null&gt;"/>
    <s v="Structurele Ingreep"/>
    <s v="WOV/INV/N494/2"/>
    <b v="0"/>
    <s v="Ingreep wordt niet opgevolgd in BOD"/>
    <s v="&lt;null&gt;"/>
    <s v="&lt;null&gt;"/>
    <s v="&lt;null&gt;"/>
    <s v="&lt;null&gt;"/>
    <s v="&lt;null&gt;"/>
    <x v="0"/>
    <s v="&lt;null&gt;"/>
    <s v="&lt;null&gt;"/>
    <s v="&lt;null&gt;"/>
    <s v="&lt;null&gt;"/>
    <s v="&lt;null&gt;"/>
    <s v="&lt;null&gt;"/>
    <s v="&lt;null&gt;"/>
    <s v="&lt;null&gt;"/>
    <s v="&lt;null&gt;"/>
    <m/>
    <m/>
    <m/>
    <m/>
  </r>
  <r>
    <x v="18"/>
    <x v="18"/>
    <s v="&lt;null&gt;"/>
    <x v="3"/>
    <n v="2802"/>
    <s v="IN/002109"/>
    <s v="N47 Lebbeke Brusselsesteenweg"/>
    <s v="&lt;null&gt;"/>
    <s v="Structurele Ingreep"/>
    <s v="WOV/INV/N47/6"/>
    <b v="0"/>
    <s v="Ingreep wordt niet opgevolgd in BOD"/>
    <s v="&lt;null&gt;"/>
    <s v="&lt;null&gt;"/>
    <s v="&lt;null&gt;"/>
    <s v="&lt;null&gt;"/>
    <s v="&lt;null&gt;"/>
    <x v="0"/>
    <s v="&lt;null&gt;"/>
    <s v="&lt;null&gt;"/>
    <s v="&lt;null&gt;"/>
    <s v="&lt;null&gt;"/>
    <s v="&lt;null&gt;"/>
    <s v="&lt;null&gt;"/>
    <s v="&lt;null&gt;"/>
    <s v="&lt;null&gt;"/>
    <s v="&lt;null&gt;"/>
    <m/>
    <m/>
    <m/>
    <m/>
  </r>
  <r>
    <x v="18"/>
    <x v="18"/>
    <s v="&lt;null&gt;"/>
    <x v="3"/>
    <n v="2803"/>
    <s v="IN/002110"/>
    <s v="E40 Aalst (Italiënweg) Verlengen geluidsschermen"/>
    <s v="&lt;null&gt;"/>
    <s v="Structurele Ingreep"/>
    <s v="WOV/INV/E40/6"/>
    <b v="0"/>
    <s v="Ingreep wordt niet opgevolgd in BOD"/>
    <s v="&lt;null&gt;"/>
    <s v="&lt;null&gt;"/>
    <s v="&lt;null&gt;"/>
    <s v="&lt;null&gt;"/>
    <s v="&lt;null&gt;"/>
    <x v="0"/>
    <s v="&lt;null&gt;"/>
    <s v="&lt;null&gt;"/>
    <s v="&lt;null&gt;"/>
    <s v="&lt;null&gt;"/>
    <s v="&lt;null&gt;"/>
    <s v="&lt;null&gt;"/>
    <s v="&lt;null&gt;"/>
    <s v="&lt;null&gt;"/>
    <s v="&lt;null&gt;"/>
    <m/>
    <m/>
    <m/>
    <m/>
  </r>
  <r>
    <x v="18"/>
    <x v="18"/>
    <s v="&lt;null&gt;"/>
    <x v="3"/>
    <n v="2804"/>
    <s v="IN/002111"/>
    <s v="N462 Sint-Lievens-Houtem Bavegem fietspaden"/>
    <s v="&lt;null&gt;"/>
    <s v="Structurele Ingreep"/>
    <s v="WOV/INV/N462/3"/>
    <b v="0"/>
    <s v="Ingreep wordt niet opgevolgd in BOD"/>
    <s v="&lt;null&gt;"/>
    <s v="&lt;null&gt;"/>
    <s v="&lt;null&gt;"/>
    <s v="&lt;null&gt;"/>
    <s v="&lt;null&gt;"/>
    <x v="0"/>
    <s v="&lt;null&gt;"/>
    <s v="&lt;null&gt;"/>
    <s v="&lt;null&gt;"/>
    <s v="&lt;null&gt;"/>
    <s v="&lt;null&gt;"/>
    <s v="&lt;null&gt;"/>
    <s v="&lt;null&gt;"/>
    <s v="&lt;null&gt;"/>
    <s v="&lt;null&gt;"/>
    <m/>
    <m/>
    <m/>
    <m/>
  </r>
  <r>
    <x v="18"/>
    <x v="18"/>
    <s v="&lt;null&gt;"/>
    <x v="3"/>
    <n v="2805"/>
    <s v="IN/002112"/>
    <s v="N42 rondweg St Lievens Esse"/>
    <s v="&lt;null&gt;"/>
    <s v="Structurele Ingreep"/>
    <s v="WOV/INV/N42/5"/>
    <b v="0"/>
    <s v="Ingreep wordt niet opgevolgd in BOD"/>
    <s v="&lt;null&gt;"/>
    <s v="&lt;null&gt;"/>
    <s v="&lt;null&gt;"/>
    <s v="&lt;null&gt;"/>
    <s v="&lt;null&gt;"/>
    <x v="0"/>
    <s v="&lt;null&gt;"/>
    <s v="&lt;null&gt;"/>
    <s v="&lt;null&gt;"/>
    <s v="&lt;null&gt;"/>
    <s v="&lt;null&gt;"/>
    <s v="&lt;null&gt;"/>
    <s v="&lt;null&gt;"/>
    <s v="&lt;null&gt;"/>
    <s v="&lt;null&gt;"/>
    <m/>
    <m/>
    <m/>
    <m/>
  </r>
  <r>
    <x v="1494"/>
    <x v="1494"/>
    <s v="Verkeersveiligheid"/>
    <x v="1"/>
    <n v="2806"/>
    <s v="IN/002113"/>
    <s v="N42 Wetteren - Zottegem Ombouw tot primaire weg II"/>
    <s v="&lt;null&gt;"/>
    <s v="Structurele Ingreep"/>
    <s v="WOV/INV/N42/3"/>
    <b v="0"/>
    <s v="Ingreep wordt niet opgevolgd in BOD"/>
    <s v="&lt;null&gt;"/>
    <s v="&lt;null&gt;"/>
    <s v="&lt;null&gt;"/>
    <s v="&lt;null&gt;"/>
    <s v="&lt;null&gt;"/>
    <x v="0"/>
    <s v="&lt;null&gt;"/>
    <s v="&lt;null&gt;"/>
    <s v="&lt;null&gt;"/>
    <s v="&lt;null&gt;"/>
    <n v="0"/>
    <s v="&lt;null&gt;"/>
    <s v="&lt;null&gt;"/>
    <s v="&lt;null&gt;"/>
    <s v="&lt;null&gt;"/>
    <m/>
    <m/>
    <m/>
    <m/>
  </r>
  <r>
    <x v="18"/>
    <x v="18"/>
    <s v="&lt;null&gt;"/>
    <x v="3"/>
    <n v="2807"/>
    <s v="IN/002114"/>
    <s v="N406 N41  rondweg Gijzegem/ontsluit Pachthofstraat"/>
    <s v="&lt;null&gt;"/>
    <s v="Structurele Ingreep"/>
    <s v="WOV/INV/N406/2"/>
    <b v="0"/>
    <s v="Ingreep wordt niet opgevolgd in BOD"/>
    <s v="&lt;null&gt;"/>
    <s v="&lt;null&gt;"/>
    <s v="&lt;null&gt;"/>
    <s v="&lt;null&gt;"/>
    <s v="&lt;null&gt;"/>
    <x v="0"/>
    <s v="&lt;null&gt;"/>
    <s v="&lt;null&gt;"/>
    <s v="&lt;null&gt;"/>
    <s v="&lt;null&gt;"/>
    <s v="&lt;null&gt;"/>
    <s v="&lt;null&gt;"/>
    <s v="&lt;null&gt;"/>
    <s v="&lt;null&gt;"/>
    <s v="&lt;null&gt;"/>
    <m/>
    <m/>
    <m/>
    <m/>
  </r>
  <r>
    <x v="18"/>
    <x v="18"/>
    <s v="&lt;null&gt;"/>
    <x v="3"/>
    <n v="2808"/>
    <s v="IN/002115"/>
    <s v="N462 Wetteren fietspaden Westrem"/>
    <s v="&lt;null&gt;"/>
    <s v="Structurele Ingreep"/>
    <s v="WOV/INV/N462/1"/>
    <b v="0"/>
    <s v="Ingreep wordt niet opgevolgd in BOD"/>
    <s v="&lt;null&gt;"/>
    <s v="&lt;null&gt;"/>
    <s v="&lt;null&gt;"/>
    <s v="&lt;null&gt;"/>
    <s v="&lt;null&gt;"/>
    <x v="0"/>
    <s v="&lt;null&gt;"/>
    <s v="&lt;null&gt;"/>
    <s v="&lt;null&gt;"/>
    <s v="&lt;null&gt;"/>
    <s v="&lt;null&gt;"/>
    <s v="&lt;null&gt;"/>
    <s v="&lt;null&gt;"/>
    <s v="&lt;null&gt;"/>
    <s v="&lt;null&gt;"/>
    <m/>
    <m/>
    <m/>
    <m/>
  </r>
  <r>
    <x v="18"/>
    <x v="18"/>
    <s v="&lt;null&gt;"/>
    <x v="3"/>
    <n v="2809"/>
    <s v="IN/002116"/>
    <s v="N8 Ninove herinrichting Brusselsesteenweg"/>
    <s v="&lt;null&gt;"/>
    <s v="Structurele Ingreep"/>
    <s v="WOV/INV/N8/4"/>
    <b v="0"/>
    <s v="Ingreep wordt niet opgevolgd in BOD"/>
    <s v="&lt;null&gt;"/>
    <s v="&lt;null&gt;"/>
    <s v="&lt;null&gt;"/>
    <s v="&lt;null&gt;"/>
    <s v="&lt;null&gt;"/>
    <x v="0"/>
    <s v="&lt;null&gt;"/>
    <s v="&lt;null&gt;"/>
    <s v="&lt;null&gt;"/>
    <s v="&lt;null&gt;"/>
    <s v="&lt;null&gt;"/>
    <s v="&lt;null&gt;"/>
    <s v="&lt;null&gt;"/>
    <s v="&lt;null&gt;"/>
    <s v="&lt;null&gt;"/>
    <m/>
    <m/>
    <m/>
    <m/>
  </r>
  <r>
    <x v="1495"/>
    <x v="1495"/>
    <s v="Stimuleren Combimobiliteit"/>
    <x v="2"/>
    <n v="2810"/>
    <s v="IN/002117"/>
    <s v="N9 Gentsesteenweg Erpe-Mere/Lede"/>
    <s v="&lt;null&gt;"/>
    <s v="Structurele Ingreep"/>
    <s v="WOV/INV/N9/10"/>
    <b v="0"/>
    <s v="Ingreep wordt niet opgevolgd in BOD"/>
    <s v="&lt;null&gt;"/>
    <s v="&lt;null&gt;"/>
    <s v="&lt;null&gt;"/>
    <s v="&lt;null&gt;"/>
    <s v="&lt;null&gt;"/>
    <x v="0"/>
    <s v="&lt;null&gt;"/>
    <s v="&lt;null&gt;"/>
    <s v="&lt;null&gt;"/>
    <s v="&lt;null&gt;"/>
    <n v="1"/>
    <s v="&lt;null&gt;"/>
    <s v="&lt;null&gt;"/>
    <s v="&lt;null&gt;"/>
    <s v="&lt;null&gt;"/>
    <m/>
    <m/>
    <m/>
    <m/>
  </r>
  <r>
    <x v="1496"/>
    <x v="1496"/>
    <s v="Stimuleren Combimobiliteit"/>
    <x v="2"/>
    <n v="2810"/>
    <s v="IN/002117"/>
    <s v="N9 Gentsesteenweg Erpe-Mere/Lede"/>
    <s v="&lt;null&gt;"/>
    <s v="Structurele Ingreep"/>
    <s v="WOV/INV/N9/10"/>
    <b v="0"/>
    <s v="Ingreep wordt niet opgevolgd in BOD"/>
    <s v="&lt;null&gt;"/>
    <s v="&lt;null&gt;"/>
    <s v="&lt;null&gt;"/>
    <s v="&lt;null&gt;"/>
    <s v="&lt;null&gt;"/>
    <x v="0"/>
    <s v="&lt;null&gt;"/>
    <s v="&lt;null&gt;"/>
    <s v="&lt;null&gt;"/>
    <s v="&lt;null&gt;"/>
    <n v="1"/>
    <s v="&lt;null&gt;"/>
    <s v="&lt;null&gt;"/>
    <s v="&lt;null&gt;"/>
    <s v="&lt;null&gt;"/>
    <m/>
    <m/>
    <m/>
    <m/>
  </r>
  <r>
    <x v="1497"/>
    <x v="1497"/>
    <s v="Stimuleren Combimobiliteit"/>
    <x v="2"/>
    <n v="2810"/>
    <s v="IN/002117"/>
    <s v="N9 Gentsesteenweg Erpe-Mere/Lede"/>
    <s v="&lt;null&gt;"/>
    <s v="Structurele Ingreep"/>
    <s v="WOV/INV/N9/10"/>
    <b v="0"/>
    <s v="Ingreep wordt niet opgevolgd in BOD"/>
    <s v="&lt;null&gt;"/>
    <s v="&lt;null&gt;"/>
    <s v="&lt;null&gt;"/>
    <s v="&lt;null&gt;"/>
    <s v="&lt;null&gt;"/>
    <x v="0"/>
    <s v="&lt;null&gt;"/>
    <s v="&lt;null&gt;"/>
    <s v="&lt;null&gt;"/>
    <s v="&lt;null&gt;"/>
    <n v="1"/>
    <s v="&lt;null&gt;"/>
    <s v="&lt;null&gt;"/>
    <s v="&lt;null&gt;"/>
    <s v="&lt;null&gt;"/>
    <m/>
    <m/>
    <m/>
    <m/>
  </r>
  <r>
    <x v="1498"/>
    <x v="1498"/>
    <s v="Stimuleren Combimobiliteit"/>
    <x v="2"/>
    <n v="2810"/>
    <s v="IN/002117"/>
    <s v="N9 Gentsesteenweg Erpe-Mere/Lede"/>
    <s v="&lt;null&gt;"/>
    <s v="Structurele Ingreep"/>
    <s v="WOV/INV/N9/10"/>
    <b v="0"/>
    <s v="Ingreep wordt niet opgevolgd in BOD"/>
    <s v="&lt;null&gt;"/>
    <s v="&lt;null&gt;"/>
    <s v="&lt;null&gt;"/>
    <s v="&lt;null&gt;"/>
    <s v="&lt;null&gt;"/>
    <x v="0"/>
    <s v="&lt;null&gt;"/>
    <s v="&lt;null&gt;"/>
    <s v="&lt;null&gt;"/>
    <s v="&lt;null&gt;"/>
    <n v="1"/>
    <s v="&lt;null&gt;"/>
    <s v="&lt;null&gt;"/>
    <s v="&lt;null&gt;"/>
    <s v="&lt;null&gt;"/>
    <m/>
    <m/>
    <m/>
    <m/>
  </r>
  <r>
    <x v="18"/>
    <x v="18"/>
    <s v="&lt;null&gt;"/>
    <x v="3"/>
    <n v="2811"/>
    <s v="IN/002118"/>
    <s v="N46 Herzele en Zwalm fietspaden"/>
    <s v="&lt;null&gt;"/>
    <s v="Structurele Ingreep"/>
    <s v="WOV/INV/N46/2"/>
    <b v="0"/>
    <s v="Ingreep wordt niet opgevolgd in BOD"/>
    <s v="&lt;null&gt;"/>
    <s v="&lt;null&gt;"/>
    <s v="&lt;null&gt;"/>
    <s v="&lt;null&gt;"/>
    <s v="&lt;null&gt;"/>
    <x v="0"/>
    <s v="&lt;null&gt;"/>
    <s v="&lt;null&gt;"/>
    <s v="&lt;null&gt;"/>
    <s v="&lt;null&gt;"/>
    <s v="&lt;null&gt;"/>
    <s v="&lt;null&gt;"/>
    <s v="&lt;null&gt;"/>
    <s v="&lt;null&gt;"/>
    <s v="&lt;null&gt;"/>
    <m/>
    <m/>
    <m/>
    <m/>
  </r>
  <r>
    <x v="18"/>
    <x v="18"/>
    <s v="&lt;null&gt;"/>
    <x v="3"/>
    <n v="2812"/>
    <s v="IN/002119"/>
    <s v="N31 Brugge Fietsverbinding Evendijk-West"/>
    <s v="&lt;null&gt;"/>
    <s v="Structurele Ingreep"/>
    <s v="WWV/INV/N31/5"/>
    <b v="1"/>
    <s v="Ingreep wordt opgevolgd in BOD"/>
    <n v="12024"/>
    <s v="AWV/INV/2021/3_P3"/>
    <n v="130301"/>
    <n v="22023232"/>
    <s v="&lt;p&gt;N31 BV5 AWV/INV/2021/3 P3 3mh227&amp;nbsp;&lt;/p&gt;"/>
    <x v="7"/>
    <n v="8938"/>
    <s v="&lt;null&gt;"/>
    <s v="&lt;p&gt;N31 BV5 AWV/INV/2021/3 P3 3mh227&amp;nbsp;&lt;/p&gt;"/>
    <s v="WWV/INV/N31/5"/>
    <s v="&lt;null&gt;"/>
    <n v="206611.57"/>
    <n v="152451.97863"/>
    <n v="6454.76"/>
    <n v="0"/>
    <m/>
    <m/>
    <m/>
    <m/>
  </r>
  <r>
    <x v="18"/>
    <x v="18"/>
    <s v="&lt;null&gt;"/>
    <x v="3"/>
    <n v="2813"/>
    <s v="IN/002120"/>
    <s v="N374 Brugge Studie doortocht Brugse Steenweg"/>
    <s v="&lt;null&gt;"/>
    <s v="Structurele Ingreep"/>
    <s v="WWV/INV/N374/3"/>
    <b v="0"/>
    <s v="Ingreep wordt niet opgevolgd in BOD"/>
    <s v="&lt;null&gt;"/>
    <s v="&lt;null&gt;"/>
    <s v="&lt;null&gt;"/>
    <s v="&lt;null&gt;"/>
    <s v="&lt;null&gt;"/>
    <x v="0"/>
    <s v="&lt;null&gt;"/>
    <s v="&lt;null&gt;"/>
    <s v="&lt;null&gt;"/>
    <s v="&lt;null&gt;"/>
    <s v="&lt;null&gt;"/>
    <s v="&lt;null&gt;"/>
    <s v="&lt;null&gt;"/>
    <s v="&lt;null&gt;"/>
    <s v="&lt;null&gt;"/>
    <m/>
    <m/>
    <m/>
    <m/>
  </r>
  <r>
    <x v="18"/>
    <x v="18"/>
    <s v="&lt;null&gt;"/>
    <x v="3"/>
    <n v="2814"/>
    <s v="IN/002121"/>
    <s v="N700 Bilzen - structureel onderhoud"/>
    <s v="&lt;null&gt;"/>
    <s v="Structurele Ingreep"/>
    <s v="WL/INV/N700/2"/>
    <b v="0"/>
    <s v="Ingreep wordt niet opgevolgd in BOD"/>
    <s v="&lt;null&gt;"/>
    <s v="&lt;null&gt;"/>
    <s v="&lt;null&gt;"/>
    <s v="&lt;null&gt;"/>
    <s v="&lt;null&gt;"/>
    <x v="0"/>
    <s v="&lt;null&gt;"/>
    <s v="&lt;null&gt;"/>
    <s v="&lt;null&gt;"/>
    <s v="&lt;null&gt;"/>
    <s v="&lt;null&gt;"/>
    <s v="&lt;null&gt;"/>
    <s v="&lt;null&gt;"/>
    <s v="&lt;null&gt;"/>
    <s v="&lt;null&gt;"/>
    <m/>
    <m/>
    <m/>
    <m/>
  </r>
  <r>
    <x v="18"/>
    <x v="18"/>
    <s v="&lt;null&gt;"/>
    <x v="3"/>
    <n v="2815"/>
    <s v="IN/002122"/>
    <s v="N779 Genk - schoolomgeving de Bijbel"/>
    <s v="&lt;null&gt;"/>
    <s v="Structurele Ingreep"/>
    <s v="WL/INV/N779/1"/>
    <b v="0"/>
    <s v="Ingreep wordt niet opgevolgd in BOD"/>
    <s v="&lt;null&gt;"/>
    <s v="&lt;null&gt;"/>
    <s v="&lt;null&gt;"/>
    <s v="&lt;null&gt;"/>
    <s v="&lt;null&gt;"/>
    <x v="0"/>
    <s v="&lt;null&gt;"/>
    <s v="&lt;null&gt;"/>
    <s v="&lt;null&gt;"/>
    <s v="&lt;null&gt;"/>
    <s v="&lt;null&gt;"/>
    <s v="&lt;null&gt;"/>
    <s v="&lt;null&gt;"/>
    <s v="&lt;null&gt;"/>
    <s v="&lt;null&gt;"/>
    <m/>
    <m/>
    <m/>
    <m/>
  </r>
  <r>
    <x v="1367"/>
    <x v="1367"/>
    <s v="Verkeersveiligheid"/>
    <x v="5"/>
    <n v="2816"/>
    <s v="IN/002123"/>
    <s v="N80 Sint-Truiden - herinrichting"/>
    <s v="&lt;null&gt;"/>
    <s v="Structurele Ingreep"/>
    <s v="WL/INV/N80/2"/>
    <b v="0"/>
    <s v="Ingreep wordt niet opgevolgd in BOD"/>
    <s v="&lt;null&gt;"/>
    <s v="&lt;null&gt;"/>
    <s v="&lt;null&gt;"/>
    <s v="&lt;null&gt;"/>
    <s v="&lt;null&gt;"/>
    <x v="0"/>
    <s v="&lt;null&gt;"/>
    <s v="&lt;null&gt;"/>
    <s v="&lt;null&gt;"/>
    <s v="&lt;null&gt;"/>
    <n v="1"/>
    <s v="&lt;null&gt;"/>
    <s v="&lt;null&gt;"/>
    <s v="&lt;null&gt;"/>
    <s v="&lt;null&gt;"/>
    <m/>
    <m/>
    <m/>
    <m/>
  </r>
  <r>
    <x v="91"/>
    <x v="91"/>
    <s v="Fiets"/>
    <x v="0"/>
    <n v="2817"/>
    <s v="IN/002124"/>
    <s v="N72 Zonhoven - aanleg riolering en fietspaden"/>
    <s v="&lt;null&gt;"/>
    <s v="Structurele Ingreep"/>
    <s v="WL/INV/N72/7"/>
    <b v="0"/>
    <s v="Ingreep wordt niet opgevolgd in BOD"/>
    <s v="&lt;null&gt;"/>
    <s v="&lt;null&gt;"/>
    <s v="&lt;null&gt;"/>
    <s v="&lt;null&gt;"/>
    <s v="&lt;null&gt;"/>
    <x v="0"/>
    <s v="&lt;null&gt;"/>
    <s v="&lt;null&gt;"/>
    <s v="&lt;null&gt;"/>
    <s v="&lt;null&gt;"/>
    <n v="1"/>
    <s v="&lt;null&gt;"/>
    <s v="&lt;null&gt;"/>
    <s v="&lt;null&gt;"/>
    <s v="&lt;null&gt;"/>
    <m/>
    <m/>
    <m/>
    <m/>
  </r>
  <r>
    <x v="1499"/>
    <x v="1499"/>
    <s v="Stimuleren Combimobiliteit"/>
    <x v="2"/>
    <n v="2817"/>
    <s v="IN/002124"/>
    <s v="N72 Zonhoven - aanleg riolering en fietspaden"/>
    <s v="&lt;null&gt;"/>
    <s v="Structurele Ingreep"/>
    <s v="WL/INV/N72/7"/>
    <b v="0"/>
    <s v="Ingreep wordt niet opgevolgd in BOD"/>
    <s v="&lt;null&gt;"/>
    <s v="&lt;null&gt;"/>
    <s v="&lt;null&gt;"/>
    <s v="&lt;null&gt;"/>
    <s v="&lt;null&gt;"/>
    <x v="0"/>
    <s v="&lt;null&gt;"/>
    <s v="&lt;null&gt;"/>
    <s v="&lt;null&gt;"/>
    <s v="&lt;null&gt;"/>
    <n v="1"/>
    <s v="&lt;null&gt;"/>
    <s v="&lt;null&gt;"/>
    <s v="&lt;null&gt;"/>
    <s v="&lt;null&gt;"/>
    <m/>
    <m/>
    <m/>
    <m/>
  </r>
  <r>
    <x v="18"/>
    <x v="18"/>
    <s v="&lt;null&gt;"/>
    <x v="3"/>
    <n v="2818"/>
    <s v="IN/002125"/>
    <s v="N2 tussen R71 en N729 herinrichting, Hasselt"/>
    <s v="&lt;null&gt;"/>
    <s v="Structurele Ingreep"/>
    <s v="WL/INV/N2/1"/>
    <b v="0"/>
    <s v="Ingreep wordt niet opgevolgd in BOD"/>
    <s v="&lt;null&gt;"/>
    <s v="&lt;null&gt;"/>
    <s v="&lt;null&gt;"/>
    <s v="&lt;null&gt;"/>
    <s v="&lt;null&gt;"/>
    <x v="0"/>
    <s v="&lt;null&gt;"/>
    <s v="&lt;null&gt;"/>
    <s v="&lt;null&gt;"/>
    <s v="&lt;null&gt;"/>
    <s v="&lt;null&gt;"/>
    <s v="&lt;null&gt;"/>
    <s v="&lt;null&gt;"/>
    <s v="&lt;null&gt;"/>
    <s v="&lt;null&gt;"/>
    <m/>
    <m/>
    <m/>
    <m/>
  </r>
  <r>
    <x v="18"/>
    <x v="18"/>
    <s v="&lt;null&gt;"/>
    <x v="3"/>
    <n v="2819"/>
    <s v="IN/002126"/>
    <s v="N47 Lebbeke herinrichting Dendermondsesteenweg"/>
    <s v="&lt;null&gt;"/>
    <s v="Structurele Ingreep"/>
    <s v="WOV/INV/N47/5"/>
    <b v="0"/>
    <s v="Ingreep wordt niet opgevolgd in BOD"/>
    <s v="&lt;null&gt;"/>
    <s v="&lt;null&gt;"/>
    <s v="&lt;null&gt;"/>
    <s v="&lt;null&gt;"/>
    <s v="&lt;null&gt;"/>
    <x v="0"/>
    <s v="&lt;null&gt;"/>
    <s v="&lt;null&gt;"/>
    <s v="&lt;null&gt;"/>
    <s v="&lt;null&gt;"/>
    <s v="&lt;null&gt;"/>
    <s v="&lt;null&gt;"/>
    <s v="&lt;null&gt;"/>
    <s v="&lt;null&gt;"/>
    <s v="&lt;null&gt;"/>
    <m/>
    <m/>
    <m/>
    <m/>
  </r>
  <r>
    <x v="18"/>
    <x v="18"/>
    <s v="&lt;null&gt;"/>
    <x v="3"/>
    <n v="2820"/>
    <s v="IN/002127"/>
    <s v="N8 Ninove heraanleg Elisabethlaan en Leopoldlaan"/>
    <s v="&lt;null&gt;"/>
    <s v="Structurele Ingreep"/>
    <s v="WOV/INV/N8/6"/>
    <b v="0"/>
    <s v="Ingreep wordt niet opgevolgd in BOD"/>
    <s v="&lt;null&gt;"/>
    <s v="&lt;null&gt;"/>
    <s v="&lt;null&gt;"/>
    <s v="&lt;null&gt;"/>
    <s v="&lt;null&gt;"/>
    <x v="0"/>
    <s v="&lt;null&gt;"/>
    <s v="&lt;null&gt;"/>
    <s v="&lt;null&gt;"/>
    <s v="&lt;null&gt;"/>
    <s v="&lt;null&gt;"/>
    <s v="&lt;null&gt;"/>
    <s v="&lt;null&gt;"/>
    <s v="&lt;null&gt;"/>
    <s v="&lt;null&gt;"/>
    <m/>
    <m/>
    <m/>
    <m/>
  </r>
  <r>
    <x v="18"/>
    <x v="18"/>
    <s v="&lt;null&gt;"/>
    <x v="3"/>
    <n v="2821"/>
    <s v="IN/002128"/>
    <s v="N730 Zutendaal overdracht en vernieuwing Asserweg"/>
    <s v="&lt;null&gt;"/>
    <s v="Structurele Ingreep"/>
    <s v="WL/INV/N730/7"/>
    <b v="0"/>
    <s v="Ingreep wordt niet opgevolgd in BOD"/>
    <s v="&lt;null&gt;"/>
    <s v="&lt;null&gt;"/>
    <s v="&lt;null&gt;"/>
    <s v="&lt;null&gt;"/>
    <s v="&lt;null&gt;"/>
    <x v="0"/>
    <s v="&lt;null&gt;"/>
    <s v="&lt;null&gt;"/>
    <s v="&lt;null&gt;"/>
    <s v="&lt;null&gt;"/>
    <s v="&lt;null&gt;"/>
    <s v="&lt;null&gt;"/>
    <s v="&lt;null&gt;"/>
    <s v="&lt;null&gt;"/>
    <s v="&lt;null&gt;"/>
    <m/>
    <m/>
    <m/>
    <m/>
  </r>
  <r>
    <x v="18"/>
    <x v="18"/>
    <s v="&lt;null&gt;"/>
    <x v="3"/>
    <n v="2822"/>
    <s v="IN/002129"/>
    <s v="N78 Maasm. Oostelijke ontsluitingsweg kruispunt"/>
    <s v="&lt;null&gt;"/>
    <s v="Structurele Ingreep"/>
    <s v="WL/INV/N78/4"/>
    <b v="0"/>
    <s v="Ingreep wordt niet opgevolgd in BOD"/>
    <s v="&lt;null&gt;"/>
    <s v="&lt;null&gt;"/>
    <s v="&lt;null&gt;"/>
    <s v="&lt;null&gt;"/>
    <s v="&lt;null&gt;"/>
    <x v="0"/>
    <s v="&lt;null&gt;"/>
    <s v="&lt;null&gt;"/>
    <s v="&lt;null&gt;"/>
    <s v="&lt;null&gt;"/>
    <s v="&lt;null&gt;"/>
    <s v="&lt;null&gt;"/>
    <s v="&lt;null&gt;"/>
    <s v="&lt;null&gt;"/>
    <s v="&lt;null&gt;"/>
    <m/>
    <m/>
    <m/>
    <m/>
  </r>
  <r>
    <x v="87"/>
    <x v="87"/>
    <s v="Fiets"/>
    <x v="0"/>
    <n v="2823"/>
    <s v="IN/002130"/>
    <s v="N748 Peer Aanleg fietspaden Bokt"/>
    <s v="&lt;null&gt;"/>
    <s v="Structurele Ingreep"/>
    <s v="WL/INV/N748/1"/>
    <b v="0"/>
    <s v="Ingreep wordt niet opgevolgd in BOD"/>
    <s v="&lt;null&gt;"/>
    <s v="&lt;null&gt;"/>
    <s v="&lt;null&gt;"/>
    <s v="&lt;null&gt;"/>
    <s v="&lt;null&gt;"/>
    <x v="0"/>
    <s v="&lt;null&gt;"/>
    <s v="&lt;null&gt;"/>
    <s v="&lt;null&gt;"/>
    <s v="&lt;null&gt;"/>
    <n v="80"/>
    <s v="&lt;null&gt;"/>
    <s v="&lt;null&gt;"/>
    <s v="&lt;null&gt;"/>
    <s v="&lt;null&gt;"/>
    <m/>
    <m/>
    <m/>
    <m/>
  </r>
  <r>
    <x v="18"/>
    <x v="18"/>
    <s v="&lt;null&gt;"/>
    <x v="3"/>
    <n v="2824"/>
    <s v="IN/002131"/>
    <s v="E17 Waasmunster - plaatsing geluidsschermen"/>
    <s v="&lt;null&gt;"/>
    <s v="Structurele Ingreep"/>
    <s v="WOV/INV/E17/3"/>
    <b v="0"/>
    <s v="Ingreep wordt niet opgevolgd in BOD"/>
    <s v="&lt;null&gt;"/>
    <s v="&lt;null&gt;"/>
    <s v="&lt;null&gt;"/>
    <s v="&lt;null&gt;"/>
    <s v="&lt;null&gt;"/>
    <x v="0"/>
    <s v="&lt;null&gt;"/>
    <s v="&lt;null&gt;"/>
    <s v="&lt;null&gt;"/>
    <s v="&lt;null&gt;"/>
    <s v="&lt;null&gt;"/>
    <s v="&lt;null&gt;"/>
    <s v="&lt;null&gt;"/>
    <s v="&lt;null&gt;"/>
    <s v="&lt;null&gt;"/>
    <m/>
    <m/>
    <m/>
    <m/>
  </r>
  <r>
    <x v="18"/>
    <x v="18"/>
    <s v="&lt;null&gt;"/>
    <x v="3"/>
    <n v="2825"/>
    <s v="IN/002132"/>
    <s v="N42 Wetteren - Bouw van een carpoolparking"/>
    <s v="*1: Aanpassing huidige parking aan Krëfel\n*2: Nieuwe locatie op voormalig terrein van AWV-regie in Wetteren (naast politie), dus niet langs gewestweg."/>
    <s v="Structurele Ingreep"/>
    <s v="WOV/INV/N42/4"/>
    <b v="0"/>
    <s v="Ingreep wordt niet opgevolgd in BOD"/>
    <s v="&lt;null&gt;"/>
    <s v="&lt;null&gt;"/>
    <s v="&lt;null&gt;"/>
    <s v="&lt;null&gt;"/>
    <s v="&lt;null&gt;"/>
    <x v="0"/>
    <s v="&lt;null&gt;"/>
    <s v="&lt;null&gt;"/>
    <s v="&lt;null&gt;"/>
    <s v="&lt;null&gt;"/>
    <s v="&lt;null&gt;"/>
    <s v="&lt;null&gt;"/>
    <s v="&lt;null&gt;"/>
    <s v="&lt;null&gt;"/>
    <s v="&lt;null&gt;"/>
    <m/>
    <m/>
    <m/>
    <m/>
  </r>
  <r>
    <x v="18"/>
    <x v="18"/>
    <s v="&lt;null&gt;"/>
    <x v="3"/>
    <n v="2826"/>
    <s v="IN/002133"/>
    <s v="E40/R4 tss Merelbeke"/>
    <s v="&lt;null&gt;"/>
    <s v="Structurele Ingreep"/>
    <s v="WOV/INV/E40/1"/>
    <b v="0"/>
    <s v="Ingreep wordt niet opgevolgd in BOD"/>
    <s v="&lt;null&gt;"/>
    <s v="&lt;null&gt;"/>
    <s v="&lt;null&gt;"/>
    <s v="&lt;null&gt;"/>
    <s v="&lt;null&gt;"/>
    <x v="0"/>
    <s v="&lt;null&gt;"/>
    <s v="&lt;null&gt;"/>
    <s v="&lt;null&gt;"/>
    <s v="&lt;null&gt;"/>
    <s v="&lt;null&gt;"/>
    <s v="&lt;null&gt;"/>
    <s v="&lt;null&gt;"/>
    <s v="&lt;null&gt;"/>
    <s v="&lt;null&gt;"/>
    <m/>
    <m/>
    <m/>
    <m/>
  </r>
  <r>
    <x v="18"/>
    <x v="18"/>
    <s v="&lt;null&gt;"/>
    <x v="3"/>
    <n v="2827"/>
    <s v="IN/002134"/>
    <s v="E34 Stekene - project nieuw nevenbedrijf"/>
    <s v="&lt;null&gt;"/>
    <s v="Structurele Ingreep"/>
    <s v="WOV/INV/E34/1"/>
    <b v="0"/>
    <s v="Ingreep wordt niet opgevolgd in BOD"/>
    <s v="&lt;null&gt;"/>
    <s v="&lt;null&gt;"/>
    <s v="&lt;null&gt;"/>
    <s v="&lt;null&gt;"/>
    <s v="&lt;null&gt;"/>
    <x v="0"/>
    <s v="&lt;null&gt;"/>
    <s v="&lt;null&gt;"/>
    <s v="&lt;null&gt;"/>
    <s v="&lt;null&gt;"/>
    <s v="&lt;null&gt;"/>
    <s v="&lt;null&gt;"/>
    <s v="&lt;null&gt;"/>
    <s v="&lt;null&gt;"/>
    <s v="&lt;null&gt;"/>
    <m/>
    <m/>
    <m/>
    <m/>
  </r>
  <r>
    <x v="18"/>
    <x v="18"/>
    <s v="&lt;null&gt;"/>
    <x v="3"/>
    <n v="2828"/>
    <s v="IN/002135"/>
    <s v="E17 tss Temse / Kruibeke - optimalisatie"/>
    <s v="MKBA-studie naar optimalisatie E17 tss Temse en Kruibeke"/>
    <s v="Structurele Ingreep"/>
    <s v="WOV/INV/E17/2"/>
    <b v="0"/>
    <s v="Ingreep wordt niet opgevolgd in BOD"/>
    <s v="&lt;null&gt;"/>
    <s v="&lt;null&gt;"/>
    <s v="&lt;null&gt;"/>
    <s v="&lt;null&gt;"/>
    <s v="&lt;null&gt;"/>
    <x v="0"/>
    <s v="&lt;null&gt;"/>
    <s v="&lt;null&gt;"/>
    <s v="&lt;null&gt;"/>
    <s v="&lt;null&gt;"/>
    <s v="&lt;null&gt;"/>
    <s v="&lt;null&gt;"/>
    <s v="&lt;null&gt;"/>
    <s v="&lt;null&gt;"/>
    <s v="&lt;null&gt;"/>
    <m/>
    <m/>
    <m/>
    <m/>
  </r>
  <r>
    <x v="18"/>
    <x v="18"/>
    <s v="&lt;null&gt;"/>
    <x v="3"/>
    <n v="2829"/>
    <s v="IN/002136"/>
    <s v="N44 Aalter - geluidsschermen langs N44"/>
    <s v="&lt;null&gt;"/>
    <s v="Structurele Ingreep"/>
    <s v="WOV/INV/N44/2"/>
    <b v="0"/>
    <s v="Ingreep wordt niet opgevolgd in BOD"/>
    <s v="&lt;null&gt;"/>
    <s v="&lt;null&gt;"/>
    <s v="&lt;null&gt;"/>
    <s v="&lt;null&gt;"/>
    <s v="&lt;null&gt;"/>
    <x v="0"/>
    <s v="&lt;null&gt;"/>
    <s v="&lt;null&gt;"/>
    <s v="&lt;null&gt;"/>
    <s v="&lt;null&gt;"/>
    <s v="&lt;null&gt;"/>
    <s v="&lt;null&gt;"/>
    <s v="&lt;null&gt;"/>
    <s v="&lt;null&gt;"/>
    <s v="&lt;null&gt;"/>
    <m/>
    <m/>
    <m/>
    <m/>
  </r>
  <r>
    <x v="18"/>
    <x v="18"/>
    <s v="&lt;null&gt;"/>
    <x v="3"/>
    <n v="2830"/>
    <s v="IN/002137"/>
    <s v="E17 Waasmunster - project uitbreiding nevenbedrijf"/>
    <s v="&lt;null&gt;"/>
    <s v="Structurele Ingreep"/>
    <s v="WOV/INV/E17/7"/>
    <b v="0"/>
    <s v="Ingreep wordt niet opgevolgd in BOD"/>
    <s v="&lt;null&gt;"/>
    <s v="&lt;null&gt;"/>
    <s v="&lt;null&gt;"/>
    <s v="&lt;null&gt;"/>
    <s v="&lt;null&gt;"/>
    <x v="0"/>
    <s v="&lt;null&gt;"/>
    <s v="&lt;null&gt;"/>
    <s v="&lt;null&gt;"/>
    <s v="&lt;null&gt;"/>
    <s v="&lt;null&gt;"/>
    <s v="&lt;null&gt;"/>
    <s v="&lt;null&gt;"/>
    <s v="&lt;null&gt;"/>
    <s v="&lt;null&gt;"/>
    <m/>
    <m/>
    <m/>
    <m/>
  </r>
  <r>
    <x v="18"/>
    <x v="18"/>
    <s v="&lt;null&gt;"/>
    <x v="3"/>
    <n v="2831"/>
    <s v="IN/002138"/>
    <s v="A10/E40 Drongen vervangen 2 bovenbruggen"/>
    <s v="&lt;null&gt;"/>
    <s v="Structurele Ingreep"/>
    <s v="WOV/INV/A10/6"/>
    <b v="0"/>
    <s v="Ingreep wordt niet opgevolgd in BOD"/>
    <s v="&lt;null&gt;"/>
    <s v="&lt;null&gt;"/>
    <s v="&lt;null&gt;"/>
    <s v="&lt;null&gt;"/>
    <s v="&lt;null&gt;"/>
    <x v="0"/>
    <s v="&lt;null&gt;"/>
    <s v="&lt;null&gt;"/>
    <s v="&lt;null&gt;"/>
    <s v="&lt;null&gt;"/>
    <s v="&lt;null&gt;"/>
    <s v="&lt;null&gt;"/>
    <s v="&lt;null&gt;"/>
    <s v="&lt;null&gt;"/>
    <s v="&lt;null&gt;"/>
    <m/>
    <m/>
    <m/>
    <m/>
  </r>
  <r>
    <x v="18"/>
    <x v="18"/>
    <s v="&lt;null&gt;"/>
    <x v="3"/>
    <n v="2832"/>
    <s v="IN/002139"/>
    <s v="A10/E40 Erpe Mere vervanging brug spoor"/>
    <s v="&lt;null&gt;"/>
    <s v="Structurele Ingreep"/>
    <s v="WOV/INV/A10/4"/>
    <b v="0"/>
    <s v="Ingreep wordt niet opgevolgd in BOD"/>
    <s v="&lt;null&gt;"/>
    <s v="&lt;null&gt;"/>
    <s v="&lt;null&gt;"/>
    <s v="&lt;null&gt;"/>
    <s v="&lt;null&gt;"/>
    <x v="0"/>
    <s v="&lt;null&gt;"/>
    <s v="&lt;null&gt;"/>
    <s v="&lt;null&gt;"/>
    <s v="&lt;null&gt;"/>
    <s v="&lt;null&gt;"/>
    <s v="&lt;null&gt;"/>
    <s v="&lt;null&gt;"/>
    <s v="&lt;null&gt;"/>
    <s v="&lt;null&gt;"/>
    <m/>
    <m/>
    <m/>
    <m/>
  </r>
  <r>
    <x v="18"/>
    <x v="18"/>
    <s v="&lt;null&gt;"/>
    <x v="3"/>
    <n v="2833"/>
    <s v="IN/002140"/>
    <s v="A14/E17 Zwijnaarde Slingerviaducten"/>
    <s v="&lt;null&gt;"/>
    <s v="Structurele Ingreep"/>
    <s v="WOV/INV/A14/2"/>
    <b v="0"/>
    <s v="Ingreep wordt niet opgevolgd in BOD"/>
    <s v="&lt;null&gt;"/>
    <s v="&lt;null&gt;"/>
    <s v="&lt;null&gt;"/>
    <s v="&lt;null&gt;"/>
    <s v="&lt;null&gt;"/>
    <x v="0"/>
    <s v="&lt;null&gt;"/>
    <s v="&lt;null&gt;"/>
    <s v="&lt;null&gt;"/>
    <s v="&lt;null&gt;"/>
    <s v="&lt;null&gt;"/>
    <s v="&lt;null&gt;"/>
    <s v="&lt;null&gt;"/>
    <s v="&lt;null&gt;"/>
    <s v="&lt;null&gt;"/>
    <m/>
    <m/>
    <m/>
    <m/>
  </r>
  <r>
    <x v="18"/>
    <x v="18"/>
    <s v="&lt;null&gt;"/>
    <x v="3"/>
    <n v="2834"/>
    <s v="IN/002141"/>
    <s v="E313 Ranst vernieuwen brug Vaartstraat"/>
    <s v="&lt;null&gt;"/>
    <s v="Structurele Ingreep"/>
    <s v="WOV/INV/E313/1"/>
    <b v="0"/>
    <s v="Ingreep wordt niet opgevolgd in BOD"/>
    <s v="&lt;null&gt;"/>
    <s v="&lt;null&gt;"/>
    <s v="&lt;null&gt;"/>
    <s v="&lt;null&gt;"/>
    <s v="&lt;null&gt;"/>
    <x v="0"/>
    <s v="&lt;null&gt;"/>
    <s v="&lt;null&gt;"/>
    <s v="&lt;null&gt;"/>
    <s v="&lt;null&gt;"/>
    <s v="&lt;null&gt;"/>
    <s v="&lt;null&gt;"/>
    <s v="&lt;null&gt;"/>
    <s v="&lt;null&gt;"/>
    <s v="&lt;null&gt;"/>
    <m/>
    <m/>
    <m/>
    <m/>
  </r>
  <r>
    <x v="18"/>
    <x v="18"/>
    <s v="&lt;null&gt;"/>
    <x v="3"/>
    <n v="2835"/>
    <s v="IN/002142"/>
    <s v="N152_9 Olen Carpoolparking"/>
    <s v="&lt;null&gt;"/>
    <s v="Structurele Ingreep"/>
    <s v="WA/INV/N152/3"/>
    <b v="0"/>
    <s v="Ingreep wordt niet opgevolgd in BOD"/>
    <s v="&lt;null&gt;"/>
    <s v="&lt;null&gt;"/>
    <s v="&lt;null&gt;"/>
    <s v="&lt;null&gt;"/>
    <s v="&lt;null&gt;"/>
    <x v="0"/>
    <s v="&lt;null&gt;"/>
    <s v="&lt;null&gt;"/>
    <s v="&lt;null&gt;"/>
    <s v="&lt;null&gt;"/>
    <s v="&lt;null&gt;"/>
    <s v="&lt;null&gt;"/>
    <s v="&lt;null&gt;"/>
    <s v="&lt;null&gt;"/>
    <s v="&lt;null&gt;"/>
    <m/>
    <m/>
    <m/>
    <m/>
  </r>
  <r>
    <x v="18"/>
    <x v="18"/>
    <s v="&lt;null&gt;"/>
    <x v="3"/>
    <n v="2836"/>
    <s v="IN/002143"/>
    <s v="X21/N253/23 Quick Wins: deel 2"/>
    <s v="&lt;null&gt;"/>
    <s v="Structurele Ingreep"/>
    <s v="WVB/INV/N253/2"/>
    <b v="0"/>
    <s v="Ingreep wordt niet opgevolgd in BOD"/>
    <s v="&lt;null&gt;"/>
    <s v="&lt;null&gt;"/>
    <s v="&lt;null&gt;"/>
    <s v="&lt;null&gt;"/>
    <s v="&lt;null&gt;"/>
    <x v="0"/>
    <s v="&lt;null&gt;"/>
    <s v="&lt;null&gt;"/>
    <s v="&lt;null&gt;"/>
    <s v="&lt;null&gt;"/>
    <s v="&lt;null&gt;"/>
    <s v="&lt;null&gt;"/>
    <s v="&lt;null&gt;"/>
    <s v="&lt;null&gt;"/>
    <s v="&lt;null&gt;"/>
    <m/>
    <m/>
    <m/>
    <m/>
  </r>
  <r>
    <x v="18"/>
    <x v="18"/>
    <s v="&lt;null&gt;"/>
    <x v="3"/>
    <n v="2837"/>
    <s v="IN/002144"/>
    <s v="N116 -  RANST - Massenhovensesteenweg"/>
    <s v="&lt;null&gt;"/>
    <s v="Structurele Ingreep"/>
    <s v="WA/INV/N116/2"/>
    <b v="0"/>
    <s v="Ingreep wordt niet opgevolgd in BOD"/>
    <s v="&lt;null&gt;"/>
    <s v="&lt;null&gt;"/>
    <s v="&lt;null&gt;"/>
    <s v="&lt;null&gt;"/>
    <s v="&lt;null&gt;"/>
    <x v="0"/>
    <s v="&lt;null&gt;"/>
    <s v="&lt;null&gt;"/>
    <s v="&lt;null&gt;"/>
    <s v="&lt;null&gt;"/>
    <s v="&lt;null&gt;"/>
    <s v="&lt;null&gt;"/>
    <s v="&lt;null&gt;"/>
    <s v="&lt;null&gt;"/>
    <s v="&lt;null&gt;"/>
    <m/>
    <m/>
    <m/>
    <m/>
  </r>
  <r>
    <x v="1500"/>
    <x v="1500"/>
    <s v="Stimuleren Combimobiliteit"/>
    <x v="2"/>
    <n v="2838"/>
    <s v="IN/002145"/>
    <s v="N14 - RANST - Oostmalsesteenweg"/>
    <s v="&lt;null&gt;"/>
    <s v="Structurele Ingreep"/>
    <s v="WA/INV/N14/2"/>
    <b v="0"/>
    <s v="Ingreep wordt niet opgevolgd in BOD"/>
    <s v="&lt;null&gt;"/>
    <s v="&lt;null&gt;"/>
    <s v="&lt;null&gt;"/>
    <s v="&lt;null&gt;"/>
    <s v="&lt;null&gt;"/>
    <x v="0"/>
    <s v="&lt;null&gt;"/>
    <s v="&lt;null&gt;"/>
    <s v="&lt;null&gt;"/>
    <s v="&lt;null&gt;"/>
    <n v="0"/>
    <s v="&lt;null&gt;"/>
    <s v="&lt;null&gt;"/>
    <s v="&lt;null&gt;"/>
    <s v="&lt;null&gt;"/>
    <m/>
    <m/>
    <m/>
    <m/>
  </r>
  <r>
    <x v="18"/>
    <x v="18"/>
    <s v="&lt;null&gt;"/>
    <x v="3"/>
    <n v="2839"/>
    <s v="IN/002146"/>
    <s v="E19 SO MEER =&gt; BRECHT (A0010002)"/>
    <s v="&lt;null&gt;"/>
    <s v="Structurele Ingreep"/>
    <s v="WA/INV/A001/6"/>
    <b v="0"/>
    <s v="Ingreep wordt niet opgevolgd in BOD"/>
    <s v="&lt;null&gt;"/>
    <s v="&lt;null&gt;"/>
    <s v="&lt;null&gt;"/>
    <s v="&lt;null&gt;"/>
    <s v="&lt;null&gt;"/>
    <x v="0"/>
    <s v="&lt;null&gt;"/>
    <s v="&lt;null&gt;"/>
    <s v="&lt;null&gt;"/>
    <s v="&lt;null&gt;"/>
    <s v="&lt;null&gt;"/>
    <s v="&lt;null&gt;"/>
    <s v="&lt;null&gt;"/>
    <s v="&lt;null&gt;"/>
    <s v="&lt;null&gt;"/>
    <m/>
    <m/>
    <m/>
    <m/>
  </r>
  <r>
    <x v="953"/>
    <x v="953"/>
    <s v="Verkeersveiligheid"/>
    <x v="4"/>
    <n v="2840"/>
    <s v="IN/002147"/>
    <s v="N121 s Gravenwezel - Kruispunt De Kaak"/>
    <s v="&lt;null&gt;"/>
    <s v="Structurele Ingreep"/>
    <s v="WA/INV/N121/3"/>
    <b v="0"/>
    <s v="Ingreep wordt niet opgevolgd in BOD"/>
    <s v="&lt;null&gt;"/>
    <s v="&lt;null&gt;"/>
    <s v="&lt;null&gt;"/>
    <s v="&lt;null&gt;"/>
    <s v="&lt;null&gt;"/>
    <x v="0"/>
    <s v="&lt;null&gt;"/>
    <s v="&lt;null&gt;"/>
    <s v="&lt;null&gt;"/>
    <s v="&lt;null&gt;"/>
    <n v="50"/>
    <s v="&lt;null&gt;"/>
    <s v="&lt;null&gt;"/>
    <s v="&lt;null&gt;"/>
    <s v="&lt;null&gt;"/>
    <m/>
    <m/>
    <m/>
    <m/>
  </r>
  <r>
    <x v="18"/>
    <x v="18"/>
    <s v="&lt;null&gt;"/>
    <x v="3"/>
    <n v="2841"/>
    <s v="IN/002148"/>
    <s v="E19 SO GRENS =&gt; MEER + complexen"/>
    <s v="&lt;null&gt;"/>
    <s v="Structurele Ingreep"/>
    <s v="WA/INV/A001/5"/>
    <b v="0"/>
    <s v="Ingreep wordt niet opgevolgd in BOD"/>
    <s v="&lt;null&gt;"/>
    <s v="&lt;null&gt;"/>
    <s v="&lt;null&gt;"/>
    <s v="&lt;null&gt;"/>
    <s v="&lt;null&gt;"/>
    <x v="0"/>
    <s v="&lt;null&gt;"/>
    <s v="&lt;null&gt;"/>
    <s v="&lt;null&gt;"/>
    <s v="&lt;null&gt;"/>
    <s v="&lt;null&gt;"/>
    <s v="&lt;null&gt;"/>
    <s v="&lt;null&gt;"/>
    <s v="&lt;null&gt;"/>
    <s v="&lt;null&gt;"/>
    <m/>
    <m/>
    <m/>
    <m/>
  </r>
  <r>
    <x v="1501"/>
    <x v="1501"/>
    <s v="Stimuleren Combimobiliteit"/>
    <x v="2"/>
    <n v="2842"/>
    <s v="IN/002149"/>
    <s v="N014 - ZOERSEL - Ringweg"/>
    <s v="&lt;null&gt;"/>
    <s v="Structurele Ingreep"/>
    <s v="WA/INV/N014/1"/>
    <b v="0"/>
    <s v="Ingreep wordt niet opgevolgd in BOD"/>
    <s v="&lt;null&gt;"/>
    <s v="&lt;null&gt;"/>
    <s v="&lt;null&gt;"/>
    <s v="&lt;null&gt;"/>
    <s v="&lt;null&gt;"/>
    <x v="0"/>
    <s v="&lt;null&gt;"/>
    <s v="&lt;null&gt;"/>
    <s v="&lt;null&gt;"/>
    <s v="&lt;null&gt;"/>
    <n v="0"/>
    <s v="&lt;null&gt;"/>
    <s v="&lt;null&gt;"/>
    <s v="&lt;null&gt;"/>
    <s v="&lt;null&gt;"/>
    <m/>
    <m/>
    <m/>
    <m/>
  </r>
  <r>
    <x v="18"/>
    <x v="18"/>
    <s v="&lt;null&gt;"/>
    <x v="3"/>
    <n v="2843"/>
    <s v="IN/002150"/>
    <s v="N012 MALLE - ZOERSEL Vrijliggend fietspad"/>
    <s v="&lt;null&gt;"/>
    <s v="Structurele Ingreep"/>
    <s v="WA/INV/N012/1"/>
    <b v="0"/>
    <s v="Ingreep wordt niet opgevolgd in BOD"/>
    <s v="&lt;null&gt;"/>
    <s v="&lt;null&gt;"/>
    <s v="&lt;null&gt;"/>
    <s v="&lt;null&gt;"/>
    <s v="&lt;null&gt;"/>
    <x v="0"/>
    <s v="&lt;null&gt;"/>
    <s v="&lt;null&gt;"/>
    <s v="&lt;null&gt;"/>
    <s v="&lt;null&gt;"/>
    <s v="&lt;null&gt;"/>
    <s v="&lt;null&gt;"/>
    <s v="&lt;null&gt;"/>
    <s v="&lt;null&gt;"/>
    <s v="&lt;null&gt;"/>
    <m/>
    <m/>
    <m/>
    <m/>
  </r>
  <r>
    <x v="18"/>
    <x v="18"/>
    <s v="&lt;null&gt;"/>
    <x v="3"/>
    <n v="2844"/>
    <s v="IN/002151"/>
    <s v="N153 Structureel onderhoud Malle"/>
    <s v="&lt;null&gt;"/>
    <s v="Structurele Ingreep"/>
    <s v="WA/INV/N153/10"/>
    <b v="0"/>
    <s v="Ingreep wordt niet opgevolgd in BOD"/>
    <s v="&lt;null&gt;"/>
    <s v="&lt;null&gt;"/>
    <s v="&lt;null&gt;"/>
    <s v="&lt;null&gt;"/>
    <s v="&lt;null&gt;"/>
    <x v="0"/>
    <s v="&lt;null&gt;"/>
    <s v="&lt;null&gt;"/>
    <s v="&lt;null&gt;"/>
    <s v="&lt;null&gt;"/>
    <s v="&lt;null&gt;"/>
    <s v="&lt;null&gt;"/>
    <s v="&lt;null&gt;"/>
    <s v="&lt;null&gt;"/>
    <s v="&lt;null&gt;"/>
    <m/>
    <m/>
    <m/>
    <m/>
  </r>
  <r>
    <x v="1502"/>
    <x v="1502"/>
    <s v="Stimuleren Combimobiliteit"/>
    <x v="2"/>
    <n v="2845"/>
    <s v="IN/002152"/>
    <s v="N111 Kapellen Fietspaden Klinkaardstraat"/>
    <s v="&lt;null&gt;"/>
    <s v="Structurele Ingreep"/>
    <s v="WA/INV/N111/3"/>
    <b v="0"/>
    <s v="Ingreep wordt niet opgevolgd in BOD"/>
    <s v="&lt;null&gt;"/>
    <s v="&lt;null&gt;"/>
    <s v="&lt;null&gt;"/>
    <s v="&lt;null&gt;"/>
    <s v="&lt;null&gt;"/>
    <x v="0"/>
    <s v="&lt;null&gt;"/>
    <s v="&lt;null&gt;"/>
    <s v="&lt;null&gt;"/>
    <s v="&lt;null&gt;"/>
    <n v="0"/>
    <s v="&lt;null&gt;"/>
    <s v="&lt;null&gt;"/>
    <s v="&lt;null&gt;"/>
    <s v="&lt;null&gt;"/>
    <m/>
    <m/>
    <m/>
    <m/>
  </r>
  <r>
    <x v="80"/>
    <x v="80"/>
    <s v="Fiets"/>
    <x v="0"/>
    <n v="2846"/>
    <s v="IN/002153"/>
    <s v="N114 Fietspaden Leugenberg - routeplan 2030"/>
    <s v="&lt;null&gt;"/>
    <s v="Structurele Ingreep"/>
    <s v="WA/INV/N114/3"/>
    <b v="0"/>
    <s v="Ingreep wordt niet opgevolgd in BOD"/>
    <s v="&lt;null&gt;"/>
    <s v="&lt;null&gt;"/>
    <s v="&lt;null&gt;"/>
    <s v="&lt;null&gt;"/>
    <s v="&lt;null&gt;"/>
    <x v="0"/>
    <s v="&lt;null&gt;"/>
    <s v="&lt;null&gt;"/>
    <s v="&lt;null&gt;"/>
    <s v="&lt;null&gt;"/>
    <n v="25"/>
    <s v="&lt;null&gt;"/>
    <s v="&lt;null&gt;"/>
    <s v="&lt;null&gt;"/>
    <s v="&lt;null&gt;"/>
    <m/>
    <m/>
    <m/>
    <m/>
  </r>
  <r>
    <x v="81"/>
    <x v="81"/>
    <s v="Fiets"/>
    <x v="0"/>
    <n v="2846"/>
    <s v="IN/002153"/>
    <s v="N114 Fietspaden Leugenberg - routeplan 2030"/>
    <s v="&lt;null&gt;"/>
    <s v="Structurele Ingreep"/>
    <s v="WA/INV/N114/3"/>
    <b v="0"/>
    <s v="Ingreep wordt niet opgevolgd in BOD"/>
    <s v="&lt;null&gt;"/>
    <s v="&lt;null&gt;"/>
    <s v="&lt;null&gt;"/>
    <s v="&lt;null&gt;"/>
    <s v="&lt;null&gt;"/>
    <x v="0"/>
    <s v="&lt;null&gt;"/>
    <s v="&lt;null&gt;"/>
    <s v="&lt;null&gt;"/>
    <s v="&lt;null&gt;"/>
    <n v="25"/>
    <s v="&lt;null&gt;"/>
    <s v="&lt;null&gt;"/>
    <s v="&lt;null&gt;"/>
    <s v="&lt;null&gt;"/>
    <m/>
    <m/>
    <m/>
    <m/>
  </r>
  <r>
    <x v="207"/>
    <x v="207"/>
    <s v="Fiets"/>
    <x v="0"/>
    <n v="2846"/>
    <s v="IN/002153"/>
    <s v="N114 Fietspaden Leugenberg - routeplan 2030"/>
    <s v="&lt;null&gt;"/>
    <s v="Structurele Ingreep"/>
    <s v="WA/INV/N114/3"/>
    <b v="0"/>
    <s v="Ingreep wordt niet opgevolgd in BOD"/>
    <s v="&lt;null&gt;"/>
    <s v="&lt;null&gt;"/>
    <s v="&lt;null&gt;"/>
    <s v="&lt;null&gt;"/>
    <s v="&lt;null&gt;"/>
    <x v="0"/>
    <s v="&lt;null&gt;"/>
    <s v="&lt;null&gt;"/>
    <s v="&lt;null&gt;"/>
    <s v="&lt;null&gt;"/>
    <n v="25"/>
    <s v="&lt;null&gt;"/>
    <s v="&lt;null&gt;"/>
    <s v="&lt;null&gt;"/>
    <s v="&lt;null&gt;"/>
    <m/>
    <m/>
    <m/>
    <m/>
  </r>
  <r>
    <x v="1503"/>
    <x v="1503"/>
    <s v="Fiets"/>
    <x v="0"/>
    <n v="2846"/>
    <s v="IN/002153"/>
    <s v="N114 Fietspaden Leugenberg - routeplan 2030"/>
    <s v="&lt;null&gt;"/>
    <s v="Structurele Ingreep"/>
    <s v="WA/INV/N114/3"/>
    <b v="0"/>
    <s v="Ingreep wordt niet opgevolgd in BOD"/>
    <s v="&lt;null&gt;"/>
    <s v="&lt;null&gt;"/>
    <s v="&lt;null&gt;"/>
    <s v="&lt;null&gt;"/>
    <s v="&lt;null&gt;"/>
    <x v="0"/>
    <s v="&lt;null&gt;"/>
    <s v="&lt;null&gt;"/>
    <s v="&lt;null&gt;"/>
    <s v="&lt;null&gt;"/>
    <n v="25"/>
    <s v="&lt;null&gt;"/>
    <s v="&lt;null&gt;"/>
    <s v="&lt;null&gt;"/>
    <s v="&lt;null&gt;"/>
    <m/>
    <m/>
    <m/>
    <m/>
  </r>
  <r>
    <x v="1504"/>
    <x v="1504"/>
    <s v="Stimuleren Combimobiliteit"/>
    <x v="7"/>
    <n v="2847"/>
    <s v="IN/002154"/>
    <s v="Aanpassen bushalte &quot;Sint-Martinusschool&quot;"/>
    <s v="Aanpassen bushalte &quot;Sint-Martinusschool&quot;"/>
    <s v="Kleine Ingreep"/>
    <s v="&lt;null&gt;"/>
    <b v="0"/>
    <s v="Ingreep wordt niet opgevolgd in BOD"/>
    <s v="&lt;null&gt;"/>
    <s v="&lt;null&gt;"/>
    <s v="&lt;null&gt;"/>
    <s v="&lt;null&gt;"/>
    <s v="&lt;null&gt;"/>
    <x v="0"/>
    <s v="&lt;null&gt;"/>
    <s v="&lt;null&gt;"/>
    <s v="&lt;null&gt;"/>
    <s v="&lt;null&gt;"/>
    <n v="100"/>
    <s v="&lt;null&gt;"/>
    <s v="&lt;null&gt;"/>
    <s v="&lt;null&gt;"/>
    <s v="&lt;null&gt;"/>
    <m/>
    <m/>
    <m/>
    <m/>
  </r>
  <r>
    <x v="1505"/>
    <x v="1505"/>
    <s v="Stimuleren Combimobiliteit"/>
    <x v="2"/>
    <n v="2848"/>
    <s v="IN/002155"/>
    <s v="N79 : Riemst :Vroenhoven"/>
    <s v="&lt;null&gt;"/>
    <s v="Structurele Ingreep"/>
    <s v="WL/INV/N79/1"/>
    <b v="0"/>
    <s v="Ingreep wordt niet opgevolgd in BOD"/>
    <s v="&lt;null&gt;"/>
    <s v="&lt;null&gt;"/>
    <s v="&lt;null&gt;"/>
    <s v="&lt;null&gt;"/>
    <s v="&lt;null&gt;"/>
    <x v="0"/>
    <s v="&lt;null&gt;"/>
    <s v="&lt;null&gt;"/>
    <s v="&lt;null&gt;"/>
    <s v="&lt;null&gt;"/>
    <n v="50"/>
    <s v="&lt;null&gt;"/>
    <s v="&lt;null&gt;"/>
    <s v="&lt;null&gt;"/>
    <s v="&lt;null&gt;"/>
    <m/>
    <m/>
    <m/>
    <m/>
  </r>
  <r>
    <x v="1506"/>
    <x v="1506"/>
    <s v="Stimuleren Combimobiliteit"/>
    <x v="2"/>
    <n v="2848"/>
    <s v="IN/002155"/>
    <s v="N79 : Riemst :Vroenhoven"/>
    <s v="&lt;null&gt;"/>
    <s v="Structurele Ingreep"/>
    <s v="WL/INV/N79/1"/>
    <b v="0"/>
    <s v="Ingreep wordt niet opgevolgd in BOD"/>
    <s v="&lt;null&gt;"/>
    <s v="&lt;null&gt;"/>
    <s v="&lt;null&gt;"/>
    <s v="&lt;null&gt;"/>
    <s v="&lt;null&gt;"/>
    <x v="0"/>
    <s v="&lt;null&gt;"/>
    <s v="&lt;null&gt;"/>
    <s v="&lt;null&gt;"/>
    <s v="&lt;null&gt;"/>
    <n v="50"/>
    <s v="&lt;null&gt;"/>
    <s v="&lt;null&gt;"/>
    <s v="&lt;null&gt;"/>
    <s v="&lt;null&gt;"/>
    <m/>
    <m/>
    <m/>
    <m/>
  </r>
  <r>
    <x v="1504"/>
    <x v="1504"/>
    <s v="Stimuleren Combimobiliteit"/>
    <x v="7"/>
    <n v="2849"/>
    <s v="IN/002156"/>
    <s v="aanpassing halte &quot;Sint-Martinusschool&quot;"/>
    <s v="Overijse N4 aanpassing halte &quot;Sint-Martinusschool&quot;"/>
    <s v="Kleine Ingreep"/>
    <s v="WVB/INV/N4/10"/>
    <b v="1"/>
    <s v="Ingreep wordt opgevolgd in BOD"/>
    <n v="10663"/>
    <s v="X21/0/490"/>
    <n v="130901"/>
    <n v="22024704"/>
    <s v="&lt;p&gt;B-jaar X21/0/490(V01)&lt;/p&gt;"/>
    <x v="26"/>
    <n v="9699"/>
    <s v="N4 Overijse halte &quot;Sint-Martinusschool&quot;"/>
    <s v="&lt;p&gt;aanpassen bushalte&lt;/p&gt;"/>
    <s v="WVB/INV/N4/10"/>
    <n v="100"/>
    <n v="45000"/>
    <n v="45000"/>
    <n v="0"/>
    <n v="0"/>
    <n v="45000"/>
    <n v="45000"/>
    <n v="0"/>
    <n v="0"/>
  </r>
  <r>
    <x v="803"/>
    <x v="803"/>
    <s v="Verkeersveiligheid"/>
    <x v="4"/>
    <n v="2850"/>
    <s v="IN/002157"/>
    <s v="N671 Riemst fase 2 3"/>
    <s v="&lt;null&gt;"/>
    <s v="Structurele Ingreep"/>
    <s v="WL/INV/N671/2"/>
    <b v="0"/>
    <s v="Ingreep wordt niet opgevolgd in BOD"/>
    <s v="&lt;null&gt;"/>
    <s v="&lt;null&gt;"/>
    <s v="&lt;null&gt;"/>
    <s v="&lt;null&gt;"/>
    <s v="&lt;null&gt;"/>
    <x v="0"/>
    <s v="&lt;null&gt;"/>
    <s v="&lt;null&gt;"/>
    <s v="&lt;null&gt;"/>
    <s v="&lt;null&gt;"/>
    <n v="100"/>
    <s v="&lt;null&gt;"/>
    <s v="&lt;null&gt;"/>
    <s v="&lt;null&gt;"/>
    <s v="&lt;null&gt;"/>
    <m/>
    <m/>
    <m/>
    <m/>
  </r>
  <r>
    <x v="18"/>
    <x v="18"/>
    <s v="&lt;null&gt;"/>
    <x v="3"/>
    <n v="2851"/>
    <s v="IN/002158"/>
    <s v="N2 : Bilzen :  spoorwegtunnel"/>
    <s v="&lt;null&gt;"/>
    <s v="Structurele Ingreep"/>
    <s v="WL/INV/N2/3"/>
    <b v="0"/>
    <s v="Ingreep wordt niet opgevolgd in BOD"/>
    <s v="&lt;null&gt;"/>
    <s v="&lt;null&gt;"/>
    <s v="&lt;null&gt;"/>
    <s v="&lt;null&gt;"/>
    <s v="&lt;null&gt;"/>
    <x v="0"/>
    <s v="&lt;null&gt;"/>
    <s v="&lt;null&gt;"/>
    <s v="&lt;null&gt;"/>
    <s v="&lt;null&gt;"/>
    <s v="&lt;null&gt;"/>
    <s v="&lt;null&gt;"/>
    <s v="&lt;null&gt;"/>
    <s v="&lt;null&gt;"/>
    <s v="&lt;null&gt;"/>
    <m/>
    <m/>
    <m/>
    <m/>
  </r>
  <r>
    <x v="18"/>
    <x v="18"/>
    <s v="&lt;null&gt;"/>
    <x v="3"/>
    <n v="2852"/>
    <s v="IN/002159"/>
    <s v="N3 : St. Truiden : fietspaden"/>
    <s v="&lt;null&gt;"/>
    <s v="Structurele Ingreep"/>
    <s v="WL/INV/N3/1"/>
    <b v="0"/>
    <s v="Ingreep wordt niet opgevolgd in BOD"/>
    <s v="&lt;null&gt;"/>
    <s v="&lt;null&gt;"/>
    <s v="&lt;null&gt;"/>
    <s v="&lt;null&gt;"/>
    <s v="&lt;null&gt;"/>
    <x v="0"/>
    <s v="&lt;null&gt;"/>
    <s v="&lt;null&gt;"/>
    <s v="&lt;null&gt;"/>
    <s v="&lt;null&gt;"/>
    <s v="&lt;null&gt;"/>
    <s v="&lt;null&gt;"/>
    <s v="&lt;null&gt;"/>
    <s v="&lt;null&gt;"/>
    <s v="&lt;null&gt;"/>
    <m/>
    <m/>
    <m/>
    <m/>
  </r>
  <r>
    <x v="960"/>
    <x v="960"/>
    <s v="Verkeersveiligheid"/>
    <x v="4"/>
    <n v="2853"/>
    <s v="IN/002160"/>
    <s v="aanpassen VOP + VRI"/>
    <s v="- aanpassen VRI\n- FOP toevoegen\n- FOP verplaatsen naar trageweg\n- voetpad voorzien achter bomen (gracht inbuizen?)"/>
    <s v="Kleine Ingreep"/>
    <s v="WA/INV/N18/15"/>
    <b v="0"/>
    <s v="Ingreep wordt niet opgevolgd in BOD"/>
    <s v="&lt;null&gt;"/>
    <s v="&lt;null&gt;"/>
    <s v="&lt;null&gt;"/>
    <s v="&lt;null&gt;"/>
    <s v="&lt;null&gt;"/>
    <x v="0"/>
    <s v="&lt;null&gt;"/>
    <s v="&lt;null&gt;"/>
    <s v="&lt;null&gt;"/>
    <s v="&lt;null&gt;"/>
    <n v="100"/>
    <s v="&lt;null&gt;"/>
    <s v="&lt;null&gt;"/>
    <s v="&lt;null&gt;"/>
    <s v="&lt;null&gt;"/>
    <m/>
    <m/>
    <m/>
    <m/>
  </r>
  <r>
    <x v="18"/>
    <x v="18"/>
    <s v="&lt;null&gt;"/>
    <x v="3"/>
    <n v="2854"/>
    <s v="IN/002161"/>
    <s v="CP Oostelijke Verbinding - onderzoeksfase"/>
    <s v="&lt;null&gt;"/>
    <s v="Structurele Ingreep"/>
    <s v="WA/INV/CPO/1"/>
    <b v="0"/>
    <s v="Ingreep wordt niet opgevolgd in BOD"/>
    <s v="&lt;null&gt;"/>
    <s v="&lt;null&gt;"/>
    <s v="&lt;null&gt;"/>
    <s v="&lt;null&gt;"/>
    <s v="&lt;null&gt;"/>
    <x v="0"/>
    <s v="&lt;null&gt;"/>
    <s v="&lt;null&gt;"/>
    <s v="&lt;null&gt;"/>
    <s v="&lt;null&gt;"/>
    <s v="&lt;null&gt;"/>
    <s v="&lt;null&gt;"/>
    <s v="&lt;null&gt;"/>
    <s v="&lt;null&gt;"/>
    <s v="&lt;null&gt;"/>
    <m/>
    <m/>
    <m/>
    <m/>
  </r>
  <r>
    <x v="18"/>
    <x v="18"/>
    <s v="&lt;null&gt;"/>
    <x v="3"/>
    <n v="2855"/>
    <s v="IN/002162"/>
    <s v="N275 - Aandeel wegenis bij F205 DWV"/>
    <s v="&lt;null&gt;"/>
    <s v="Structurele Ingreep"/>
    <s v="WVB/INV/N275/2"/>
    <b v="0"/>
    <s v="Ingreep wordt niet opgevolgd in BOD"/>
    <s v="&lt;null&gt;"/>
    <s v="&lt;null&gt;"/>
    <s v="&lt;null&gt;"/>
    <s v="&lt;null&gt;"/>
    <s v="&lt;null&gt;"/>
    <x v="0"/>
    <s v="&lt;null&gt;"/>
    <s v="&lt;null&gt;"/>
    <s v="&lt;null&gt;"/>
    <s v="&lt;null&gt;"/>
    <s v="&lt;null&gt;"/>
    <s v="&lt;null&gt;"/>
    <s v="&lt;null&gt;"/>
    <s v="&lt;null&gt;"/>
    <s v="&lt;null&gt;"/>
    <m/>
    <m/>
    <m/>
    <m/>
  </r>
  <r>
    <x v="1507"/>
    <x v="1507"/>
    <s v="Verkeersveiligheid"/>
    <x v="4"/>
    <n v="2856"/>
    <s v="IN/002163"/>
    <s v="Verwijderen kolken uit fietspad thv van Bresserdijk"/>
    <s v="&lt;null&gt;"/>
    <s v="Kleine Ingreep"/>
    <s v="WA/INV/N103/3"/>
    <b v="0"/>
    <s v="Ingreep wordt niet opgevolgd in BOD"/>
    <s v="&lt;null&gt;"/>
    <s v="&lt;null&gt;"/>
    <s v="&lt;null&gt;"/>
    <s v="&lt;null&gt;"/>
    <s v="&lt;null&gt;"/>
    <x v="0"/>
    <s v="&lt;null&gt;"/>
    <s v="&lt;null&gt;"/>
    <s v="&lt;null&gt;"/>
    <s v="&lt;null&gt;"/>
    <n v="100"/>
    <s v="&lt;null&gt;"/>
    <s v="&lt;null&gt;"/>
    <s v="&lt;null&gt;"/>
    <s v="&lt;null&gt;"/>
    <m/>
    <m/>
    <m/>
    <m/>
  </r>
  <r>
    <x v="675"/>
    <x v="675"/>
    <s v="Verkeersveiligheid"/>
    <x v="4"/>
    <n v="2857"/>
    <s v="IN/002164"/>
    <s v="N28 Pepingen"/>
    <s v="&lt;null&gt;"/>
    <s v="Structurele Ingreep"/>
    <s v="WVB/INV/N28/1"/>
    <b v="0"/>
    <s v="Ingreep wordt niet opgevolgd in BOD"/>
    <s v="&lt;null&gt;"/>
    <s v="&lt;null&gt;"/>
    <s v="&lt;null&gt;"/>
    <s v="&lt;null&gt;"/>
    <s v="&lt;null&gt;"/>
    <x v="0"/>
    <s v="&lt;null&gt;"/>
    <s v="&lt;null&gt;"/>
    <s v="&lt;null&gt;"/>
    <s v="&lt;null&gt;"/>
    <n v="2"/>
    <s v="&lt;null&gt;"/>
    <s v="&lt;null&gt;"/>
    <s v="&lt;null&gt;"/>
    <s v="&lt;null&gt;"/>
    <m/>
    <m/>
    <m/>
    <m/>
  </r>
  <r>
    <x v="1508"/>
    <x v="1508"/>
    <s v="Stimuleren Combimobiliteit"/>
    <x v="2"/>
    <n v="2857"/>
    <s v="IN/002164"/>
    <s v="N28 Pepingen"/>
    <s v="&lt;null&gt;"/>
    <s v="Structurele Ingreep"/>
    <s v="WVB/INV/N28/1"/>
    <b v="0"/>
    <s v="Ingreep wordt niet opgevolgd in BOD"/>
    <s v="&lt;null&gt;"/>
    <s v="&lt;null&gt;"/>
    <s v="&lt;null&gt;"/>
    <s v="&lt;null&gt;"/>
    <s v="&lt;null&gt;"/>
    <x v="0"/>
    <s v="&lt;null&gt;"/>
    <s v="&lt;null&gt;"/>
    <s v="&lt;null&gt;"/>
    <s v="&lt;null&gt;"/>
    <n v="2"/>
    <s v="&lt;null&gt;"/>
    <s v="&lt;null&gt;"/>
    <s v="&lt;null&gt;"/>
    <s v="&lt;null&gt;"/>
    <m/>
    <m/>
    <m/>
    <m/>
  </r>
  <r>
    <x v="18"/>
    <x v="18"/>
    <s v="&lt;null&gt;"/>
    <x v="3"/>
    <n v="2858"/>
    <s v="IN/002165"/>
    <s v="N285 - Corridorprojecten"/>
    <s v="&lt;null&gt;"/>
    <s v="Structurele Ingreep"/>
    <s v="WVB/INV/N285/2"/>
    <b v="0"/>
    <s v="Ingreep wordt niet opgevolgd in BOD"/>
    <s v="&lt;null&gt;"/>
    <s v="&lt;null&gt;"/>
    <s v="&lt;null&gt;"/>
    <s v="&lt;null&gt;"/>
    <s v="&lt;null&gt;"/>
    <x v="0"/>
    <s v="&lt;null&gt;"/>
    <s v="&lt;null&gt;"/>
    <s v="&lt;null&gt;"/>
    <s v="&lt;null&gt;"/>
    <s v="&lt;null&gt;"/>
    <s v="&lt;null&gt;"/>
    <s v="&lt;null&gt;"/>
    <s v="&lt;null&gt;"/>
    <s v="&lt;null&gt;"/>
    <m/>
    <m/>
    <m/>
    <m/>
  </r>
  <r>
    <x v="18"/>
    <x v="18"/>
    <s v="&lt;null&gt;"/>
    <x v="3"/>
    <n v="2859"/>
    <s v="IN/002166"/>
    <s v="N700 Bilzen : westelijke ontsluitingsweg"/>
    <s v="&lt;null&gt;"/>
    <s v="Structurele Ingreep"/>
    <s v="WL/INV/N700/1"/>
    <b v="0"/>
    <s v="Ingreep wordt niet opgevolgd in BOD"/>
    <s v="&lt;null&gt;"/>
    <s v="&lt;null&gt;"/>
    <s v="&lt;null&gt;"/>
    <s v="&lt;null&gt;"/>
    <s v="&lt;null&gt;"/>
    <x v="0"/>
    <s v="&lt;null&gt;"/>
    <s v="&lt;null&gt;"/>
    <s v="&lt;null&gt;"/>
    <s v="&lt;null&gt;"/>
    <s v="&lt;null&gt;"/>
    <s v="&lt;null&gt;"/>
    <s v="&lt;null&gt;"/>
    <s v="&lt;null&gt;"/>
    <s v="&lt;null&gt;"/>
    <m/>
    <m/>
    <m/>
    <m/>
  </r>
  <r>
    <x v="18"/>
    <x v="18"/>
    <s v="&lt;null&gt;"/>
    <x v="3"/>
    <n v="2860"/>
    <s v="IN/002167"/>
    <s v="N79 : Tongeren : omleidingsweg fase 3"/>
    <s v="&lt;null&gt;"/>
    <s v="Structurele Ingreep"/>
    <s v="WL/INV/N79/3"/>
    <b v="0"/>
    <s v="Ingreep wordt niet opgevolgd in BOD"/>
    <s v="&lt;null&gt;"/>
    <s v="&lt;null&gt;"/>
    <s v="&lt;null&gt;"/>
    <s v="&lt;null&gt;"/>
    <s v="&lt;null&gt;"/>
    <x v="0"/>
    <s v="&lt;null&gt;"/>
    <s v="&lt;null&gt;"/>
    <s v="&lt;null&gt;"/>
    <s v="&lt;null&gt;"/>
    <s v="&lt;null&gt;"/>
    <s v="&lt;null&gt;"/>
    <s v="&lt;null&gt;"/>
    <s v="&lt;null&gt;"/>
    <s v="&lt;null&gt;"/>
    <m/>
    <m/>
    <m/>
    <m/>
  </r>
  <r>
    <x v="299"/>
    <x v="299"/>
    <s v="Verkeersveiligheid"/>
    <x v="1"/>
    <n v="2861"/>
    <s v="IN/002168"/>
    <s v="R10 - aanpassingen markeringen"/>
    <s v="Optimalisatie markering"/>
    <s v="Kleine Ingreep"/>
    <s v="WA/INV/R10/7"/>
    <b v="0"/>
    <s v="Ingreep wordt niet opgevolgd in BOD"/>
    <s v="&lt;null&gt;"/>
    <s v="&lt;null&gt;"/>
    <s v="&lt;null&gt;"/>
    <s v="&lt;null&gt;"/>
    <s v="&lt;null&gt;"/>
    <x v="0"/>
    <s v="&lt;null&gt;"/>
    <s v="&lt;null&gt;"/>
    <s v="&lt;null&gt;"/>
    <s v="&lt;null&gt;"/>
    <n v="50"/>
    <s v="&lt;null&gt;"/>
    <s v="&lt;null&gt;"/>
    <s v="&lt;null&gt;"/>
    <s v="&lt;null&gt;"/>
    <m/>
    <m/>
    <m/>
    <m/>
  </r>
  <r>
    <x v="1243"/>
    <x v="1243"/>
    <s v="Verkeersveiligheid"/>
    <x v="1"/>
    <n v="2861"/>
    <s v="IN/002168"/>
    <s v="R10 - aanpassingen markeringen"/>
    <s v="Optimalisatie markering"/>
    <s v="Kleine Ingreep"/>
    <s v="WA/INV/R10/7"/>
    <b v="0"/>
    <s v="Ingreep wordt niet opgevolgd in BOD"/>
    <s v="&lt;null&gt;"/>
    <s v="&lt;null&gt;"/>
    <s v="&lt;null&gt;"/>
    <s v="&lt;null&gt;"/>
    <s v="&lt;null&gt;"/>
    <x v="0"/>
    <s v="&lt;null&gt;"/>
    <s v="&lt;null&gt;"/>
    <s v="&lt;null&gt;"/>
    <s v="&lt;null&gt;"/>
    <n v="50"/>
    <s v="&lt;null&gt;"/>
    <s v="&lt;null&gt;"/>
    <s v="&lt;null&gt;"/>
    <s v="&lt;null&gt;"/>
    <m/>
    <m/>
    <m/>
    <m/>
  </r>
  <r>
    <x v="1289"/>
    <x v="1289"/>
    <s v="Verkeersveiligheid"/>
    <x v="1"/>
    <n v="2862"/>
    <s v="IN/002169"/>
    <s v="uitbreiden bebouwde kom + 50 handhaven met trajectcontrole"/>
    <s v="&lt;null&gt;"/>
    <s v="Kleine Ingreep"/>
    <s v="&lt;null&gt;"/>
    <b v="0"/>
    <s v="Ingreep wordt niet opgevolgd in BOD"/>
    <s v="&lt;null&gt;"/>
    <s v="&lt;null&gt;"/>
    <s v="&lt;null&gt;"/>
    <s v="&lt;null&gt;"/>
    <s v="&lt;null&gt;"/>
    <x v="0"/>
    <s v="&lt;null&gt;"/>
    <s v="&lt;null&gt;"/>
    <s v="&lt;null&gt;"/>
    <s v="&lt;null&gt;"/>
    <n v="100"/>
    <s v="&lt;null&gt;"/>
    <s v="&lt;null&gt;"/>
    <s v="&lt;null&gt;"/>
    <s v="&lt;null&gt;"/>
    <m/>
    <m/>
    <m/>
    <m/>
  </r>
  <r>
    <x v="1509"/>
    <x v="1509"/>
    <s v="Stimuleren Combimobiliteit"/>
    <x v="7"/>
    <n v="2863"/>
    <s v="IN/002170"/>
    <s v="Sint-Steven-Woluwe halte Woluwedal"/>
    <s v="aanpassing bushalte en fietspad"/>
    <s v="Kleine Ingreep"/>
    <s v="WVB/INV/N2/21"/>
    <b v="1"/>
    <s v="Ingreep wordt opgevolgd in BOD"/>
    <n v="10663"/>
    <s v="X21/0/490"/>
    <n v="130901"/>
    <n v="22024704"/>
    <s v="&lt;p&gt;B-jaar X21/0/490(V01)&lt;/p&gt;"/>
    <x v="26"/>
    <n v="9934"/>
    <s v="N2 Zaventem halte Woluwedal"/>
    <s v="&lt;p&gt;aanpassing bushalte&lt;/p&gt;"/>
    <s v="WVB/INV/N2/21"/>
    <n v="100"/>
    <n v="34500"/>
    <n v="0"/>
    <n v="33065.733480000003"/>
    <n v="1434.2665199999999"/>
    <n v="34500"/>
    <n v="0"/>
    <n v="33065.733480000003"/>
    <n v="1434.2665199999999"/>
  </r>
  <r>
    <x v="1510"/>
    <x v="1510"/>
    <s v="Verkeersveiligheid"/>
    <x v="1"/>
    <n v="2864"/>
    <s v="IN/002171"/>
    <s v="N115 x N117 - Herinrichting Kruispunt"/>
    <s v="PCV dossier"/>
    <s v="Kleine Ingreep"/>
    <s v="&lt;null&gt;"/>
    <b v="0"/>
    <s v="Ingreep wordt niet opgevolgd in BOD"/>
    <s v="&lt;null&gt;"/>
    <s v="&lt;null&gt;"/>
    <s v="&lt;null&gt;"/>
    <s v="&lt;null&gt;"/>
    <s v="&lt;null&gt;"/>
    <x v="0"/>
    <s v="&lt;null&gt;"/>
    <s v="&lt;null&gt;"/>
    <s v="&lt;null&gt;"/>
    <s v="&lt;null&gt;"/>
    <n v="80"/>
    <s v="&lt;null&gt;"/>
    <s v="&lt;null&gt;"/>
    <s v="&lt;null&gt;"/>
    <s v="&lt;null&gt;"/>
    <m/>
    <m/>
    <m/>
    <m/>
  </r>
  <r>
    <x v="1511"/>
    <x v="1511"/>
    <s v="Stimuleren Combimobiliteit"/>
    <x v="2"/>
    <n v="2864"/>
    <s v="IN/002171"/>
    <s v="N115 x N117 - Herinrichting Kruispunt"/>
    <s v="PCV dossier"/>
    <s v="Kleine Ingreep"/>
    <s v="&lt;null&gt;"/>
    <b v="0"/>
    <s v="Ingreep wordt niet opgevolgd in BOD"/>
    <s v="&lt;null&gt;"/>
    <s v="&lt;null&gt;"/>
    <s v="&lt;null&gt;"/>
    <s v="&lt;null&gt;"/>
    <s v="&lt;null&gt;"/>
    <x v="0"/>
    <s v="&lt;null&gt;"/>
    <s v="&lt;null&gt;"/>
    <s v="&lt;null&gt;"/>
    <s v="&lt;null&gt;"/>
    <n v="20"/>
    <s v="&lt;null&gt;"/>
    <s v="&lt;null&gt;"/>
    <s v="&lt;null&gt;"/>
    <s v="&lt;null&gt;"/>
    <m/>
    <m/>
    <m/>
    <m/>
  </r>
  <r>
    <x v="1512"/>
    <x v="1512"/>
    <s v="Verkeersveiligheid"/>
    <x v="4"/>
    <n v="2865"/>
    <s v="IN/002172"/>
    <s v="Fietspadverlichting"/>
    <s v="&lt;null&gt;"/>
    <s v="Kleine Ingreep"/>
    <s v="&lt;null&gt;"/>
    <b v="0"/>
    <s v="Ingreep wordt niet opgevolgd in BOD"/>
    <s v="&lt;null&gt;"/>
    <s v="&lt;null&gt;"/>
    <s v="&lt;null&gt;"/>
    <s v="&lt;null&gt;"/>
    <s v="&lt;null&gt;"/>
    <x v="0"/>
    <s v="&lt;null&gt;"/>
    <s v="&lt;null&gt;"/>
    <s v="&lt;null&gt;"/>
    <s v="&lt;null&gt;"/>
    <n v="100"/>
    <s v="&lt;null&gt;"/>
    <s v="&lt;null&gt;"/>
    <s v="&lt;null&gt;"/>
    <s v="&lt;null&gt;"/>
    <m/>
    <m/>
    <m/>
    <m/>
  </r>
  <r>
    <x v="1513"/>
    <x v="1513"/>
    <s v="Verkeersveiligheid"/>
    <x v="4"/>
    <n v="2866"/>
    <s v="IN/002173"/>
    <s v="N32 Brugsesteenweg Roeselare - fietspad verleggen naar asfaltstrook"/>
    <s v="&lt;null&gt;"/>
    <s v="Kleine Ingreep"/>
    <s v="WWV/INV/N32/11"/>
    <b v="1"/>
    <s v="Ingreep wordt opgevolgd in BOD"/>
    <n v="12024"/>
    <s v="AWV/INV/2021/3_P3"/>
    <n v="118401"/>
    <n v="21065771"/>
    <s v="&lt;p&gt;OF AWV/INV/2021/3 P3 3mh230 schoolroutes&lt;/p&gt;"/>
    <x v="9"/>
    <n v="9980"/>
    <s v="IN2173 N32 Roeslare Brugsesteenweg"/>
    <s v="&lt;null&gt;"/>
    <s v="WWV/INV/N32/11"/>
    <n v="100"/>
    <n v="130000"/>
    <n v="0"/>
    <n v="0"/>
    <n v="130000"/>
    <n v="130000"/>
    <n v="0"/>
    <n v="0"/>
    <n v="130000"/>
  </r>
  <r>
    <x v="18"/>
    <x v="18"/>
    <s v="&lt;null&gt;"/>
    <x v="3"/>
    <n v="2867"/>
    <s v="IN/002174"/>
    <s v="N119 - Turnhout - Module 13 Kastelein"/>
    <s v="&lt;null&gt;"/>
    <s v="Structurele Ingreep"/>
    <s v="WA/INV/N119/1"/>
    <b v="0"/>
    <s v="Ingreep wordt niet opgevolgd in BOD"/>
    <s v="&lt;null&gt;"/>
    <s v="&lt;null&gt;"/>
    <s v="&lt;null&gt;"/>
    <s v="&lt;null&gt;"/>
    <s v="&lt;null&gt;"/>
    <x v="0"/>
    <s v="&lt;null&gt;"/>
    <s v="&lt;null&gt;"/>
    <s v="&lt;null&gt;"/>
    <s v="&lt;null&gt;"/>
    <s v="&lt;null&gt;"/>
    <s v="&lt;null&gt;"/>
    <s v="&lt;null&gt;"/>
    <s v="&lt;null&gt;"/>
    <s v="&lt;null&gt;"/>
    <m/>
    <m/>
    <m/>
    <m/>
  </r>
  <r>
    <x v="18"/>
    <x v="18"/>
    <s v="&lt;null&gt;"/>
    <x v="3"/>
    <n v="2868"/>
    <s v="IN/002175"/>
    <s v="R13 - N119 - Turnhout - Aanpassingen kruispunt"/>
    <s v="&lt;null&gt;"/>
    <s v="Structurele Ingreep"/>
    <s v="WA/INV/R13/1"/>
    <b v="0"/>
    <s v="Ingreep wordt niet opgevolgd in BOD"/>
    <s v="&lt;null&gt;"/>
    <s v="&lt;null&gt;"/>
    <s v="&lt;null&gt;"/>
    <s v="&lt;null&gt;"/>
    <s v="&lt;null&gt;"/>
    <x v="0"/>
    <s v="&lt;null&gt;"/>
    <s v="&lt;null&gt;"/>
    <s v="&lt;null&gt;"/>
    <s v="&lt;null&gt;"/>
    <s v="&lt;null&gt;"/>
    <s v="&lt;null&gt;"/>
    <s v="&lt;null&gt;"/>
    <s v="&lt;null&gt;"/>
    <s v="&lt;null&gt;"/>
    <m/>
    <m/>
    <m/>
    <m/>
  </r>
  <r>
    <x v="18"/>
    <x v="18"/>
    <s v="&lt;null&gt;"/>
    <x v="3"/>
    <n v="2869"/>
    <s v="IN/002176"/>
    <s v="N13 - Aansluiting Industrielaan op E313"/>
    <s v="&lt;null&gt;"/>
    <s v="Structurele Ingreep"/>
    <s v="WA/INV/N013/2"/>
    <b v="0"/>
    <s v="Ingreep wordt niet opgevolgd in BOD"/>
    <s v="&lt;null&gt;"/>
    <s v="&lt;null&gt;"/>
    <s v="&lt;null&gt;"/>
    <s v="&lt;null&gt;"/>
    <s v="&lt;null&gt;"/>
    <x v="0"/>
    <s v="&lt;null&gt;"/>
    <s v="&lt;null&gt;"/>
    <s v="&lt;null&gt;"/>
    <s v="&lt;null&gt;"/>
    <s v="&lt;null&gt;"/>
    <s v="&lt;null&gt;"/>
    <s v="&lt;null&gt;"/>
    <s v="&lt;null&gt;"/>
    <s v="&lt;null&gt;"/>
    <m/>
    <m/>
    <m/>
    <m/>
  </r>
  <r>
    <x v="18"/>
    <x v="18"/>
    <s v="&lt;null&gt;"/>
    <x v="3"/>
    <n v="2870"/>
    <s v="IN/002177"/>
    <s v="N142 - Geel"/>
    <s v="&lt;null&gt;"/>
    <s v="Structurele Ingreep"/>
    <s v="WA/INV/N142/1"/>
    <b v="0"/>
    <s v="Ingreep wordt niet opgevolgd in BOD"/>
    <s v="&lt;null&gt;"/>
    <s v="&lt;null&gt;"/>
    <s v="&lt;null&gt;"/>
    <s v="&lt;null&gt;"/>
    <s v="&lt;null&gt;"/>
    <x v="0"/>
    <s v="&lt;null&gt;"/>
    <s v="&lt;null&gt;"/>
    <s v="&lt;null&gt;"/>
    <s v="&lt;null&gt;"/>
    <s v="&lt;null&gt;"/>
    <s v="&lt;null&gt;"/>
    <s v="&lt;null&gt;"/>
    <s v="&lt;null&gt;"/>
    <s v="&lt;null&gt;"/>
    <m/>
    <m/>
    <m/>
    <m/>
  </r>
  <r>
    <x v="18"/>
    <x v="18"/>
    <s v="&lt;null&gt;"/>
    <x v="3"/>
    <n v="2871"/>
    <s v="IN/002178"/>
    <s v="N71 - Structureel onderhoud Mol"/>
    <s v="&lt;null&gt;"/>
    <s v="Structurele Ingreep"/>
    <s v="WA/INV/N71/2"/>
    <b v="0"/>
    <s v="Ingreep wordt niet opgevolgd in BOD"/>
    <s v="&lt;null&gt;"/>
    <s v="&lt;null&gt;"/>
    <s v="&lt;null&gt;"/>
    <s v="&lt;null&gt;"/>
    <s v="&lt;null&gt;"/>
    <x v="0"/>
    <s v="&lt;null&gt;"/>
    <s v="&lt;null&gt;"/>
    <s v="&lt;null&gt;"/>
    <s v="&lt;null&gt;"/>
    <s v="&lt;null&gt;"/>
    <s v="&lt;null&gt;"/>
    <s v="&lt;null&gt;"/>
    <s v="&lt;null&gt;"/>
    <s v="&lt;null&gt;"/>
    <m/>
    <m/>
    <m/>
    <m/>
  </r>
  <r>
    <x v="1514"/>
    <x v="1514"/>
    <s v="Verkeersveiligheid"/>
    <x v="4"/>
    <n v="2872"/>
    <s v="IN/002179"/>
    <s v="Asfalt ipv klinkers op fietspad in doortocht Berlare"/>
    <s v="Asfalt ipv klinkers op fietspad in doortocht Berlare"/>
    <s v="Kleine Ingreep"/>
    <s v="WOV/INV/N467/5"/>
    <b v="0"/>
    <s v="Ingreep wordt niet opgevolgd in BOD"/>
    <s v="&lt;null&gt;"/>
    <s v="&lt;null&gt;"/>
    <s v="&lt;null&gt;"/>
    <s v="&lt;null&gt;"/>
    <s v="&lt;null&gt;"/>
    <x v="0"/>
    <s v="&lt;null&gt;"/>
    <s v="&lt;null&gt;"/>
    <s v="&lt;null&gt;"/>
    <s v="&lt;null&gt;"/>
    <n v="100"/>
    <s v="&lt;null&gt;"/>
    <s v="&lt;null&gt;"/>
    <s v="&lt;null&gt;"/>
    <s v="&lt;null&gt;"/>
    <m/>
    <m/>
    <m/>
    <m/>
  </r>
  <r>
    <x v="1249"/>
    <x v="1249"/>
    <s v="Verkeersveiligheid"/>
    <x v="4"/>
    <n v="2902"/>
    <s v="IN/002180"/>
    <s v="Onteigening hoek"/>
    <s v="&lt;null&g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2903"/>
    <s v="IN/002181"/>
    <s v="Heraanleg fietspad in Wijnegem op N12 6.1 - 7.1"/>
    <s v="&lt;null&gt;"/>
    <s v="Kleine Ingreep"/>
    <s v="WA/INV/N12/20"/>
    <b v="1"/>
    <s v="Ingreep wordt opgevolgd in BOD"/>
    <n v="11021"/>
    <s v="AWV/INV/2021/1_P1"/>
    <n v="84101"/>
    <n v="21022702"/>
    <s v="&lt;p&gt;Relance fiets Antwerpen&lt;/p&gt;"/>
    <x v="1"/>
    <n v="8390"/>
    <s v="Heraanleg fietspad in Wijnegem op N12 6.1 - 7.1"/>
    <s v="&lt;null&gt;"/>
    <s v="WA/INV/N12/20"/>
    <s v="&lt;null&gt;"/>
    <n v="237501.17"/>
    <n v="0"/>
    <n v="0"/>
    <n v="0"/>
    <m/>
    <m/>
    <m/>
    <m/>
  </r>
  <r>
    <x v="18"/>
    <x v="18"/>
    <s v="&lt;null&gt;"/>
    <x v="3"/>
    <n v="2904"/>
    <s v="IN/002182"/>
    <s v="Heraanleg fietspad in Wijnegem op N12 9.5 - 10.6"/>
    <s v="&lt;null&gt;"/>
    <s v="Kleine Ingreep"/>
    <s v="WA/INV/N12/21"/>
    <b v="1"/>
    <s v="Ingreep wordt opgevolgd in BOD"/>
    <n v="11021"/>
    <s v="AWV/INV/2021/1_P1"/>
    <n v="84101"/>
    <n v="21022702"/>
    <s v="&lt;p&gt;Relance fiets Antwerpen&lt;/p&gt;"/>
    <x v="1"/>
    <n v="8821"/>
    <s v="Heraanleg fietspad in Wijnegem op N12 9.5 - 10.6"/>
    <s v="&lt;null&gt;"/>
    <s v="WA/INV/N12/21"/>
    <s v="&lt;null&gt;"/>
    <n v="380397.09"/>
    <n v="0"/>
    <n v="0"/>
    <n v="0"/>
    <m/>
    <m/>
    <m/>
    <m/>
  </r>
  <r>
    <x v="1515"/>
    <x v="1515"/>
    <s v="Verkeersveiligheid"/>
    <x v="1"/>
    <n v="2905"/>
    <s v="IN/002183"/>
    <s v="aanpassing veiligheid nav dodelijk ongeval"/>
    <s v="aanpassen en uitbreiden markeringen om snelheid omlaag te halen"/>
    <s v="Kleine Ingreep"/>
    <s v="WVB/INV/N223/5"/>
    <b v="0"/>
    <s v="Ingreep wordt niet opgevolgd in BOD"/>
    <s v="&lt;null&gt;"/>
    <s v="&lt;null&gt;"/>
    <s v="&lt;null&gt;"/>
    <s v="&lt;null&gt;"/>
    <s v="&lt;null&gt;"/>
    <x v="0"/>
    <s v="&lt;null&gt;"/>
    <s v="&lt;null&gt;"/>
    <s v="&lt;null&gt;"/>
    <s v="&lt;null&gt;"/>
    <n v="100"/>
    <s v="&lt;null&gt;"/>
    <s v="&lt;null&gt;"/>
    <s v="&lt;null&gt;"/>
    <s v="&lt;null&gt;"/>
    <m/>
    <m/>
    <m/>
    <m/>
  </r>
  <r>
    <x v="1516"/>
    <x v="1516"/>
    <s v="Verkeersveiligheid"/>
    <x v="1"/>
    <n v="2906"/>
    <s v="IN/002184"/>
    <s v="Vroentestraat/Rodestraat, gevaarlijk punt (16,700) PCV-dossier VB-357"/>
    <s v="aanpassingen gevaarlijk kruispunt"/>
    <s v="Kleine Ingreep"/>
    <s v="&lt;null&gt;"/>
    <b v="0"/>
    <s v="Ingreep wordt niet opgevolgd in BOD"/>
    <s v="&lt;null&gt;"/>
    <s v="&lt;null&gt;"/>
    <s v="&lt;null&gt;"/>
    <s v="&lt;null&gt;"/>
    <s v="&lt;null&gt;"/>
    <x v="0"/>
    <s v="&lt;null&gt;"/>
    <s v="&lt;null&gt;"/>
    <s v="&lt;null&gt;"/>
    <s v="&lt;null&gt;"/>
    <n v="100"/>
    <s v="&lt;null&gt;"/>
    <s v="&lt;null&gt;"/>
    <s v="&lt;null&gt;"/>
    <s v="&lt;null&gt;"/>
    <m/>
    <m/>
    <m/>
    <m/>
  </r>
  <r>
    <x v="1070"/>
    <x v="1070"/>
    <s v="Verkeersveiligheid"/>
    <x v="4"/>
    <n v="2907"/>
    <s v="IN/002185"/>
    <s v="SRK: N17 Dendermonde: aanbrengen suggestiestroken aan beide zijden van het kruispunt"/>
    <s v="aanbrengen suggestiestroken aan beide zijden van het kruispunt"/>
    <s v="Kleine Ingreep"/>
    <s v="WOV/INV/N17/7"/>
    <b v="1"/>
    <s v="Ingreep wordt opgevolgd in BOD"/>
    <n v="11864"/>
    <s v="AWV/INV/2021/3_P4"/>
    <n v="110851"/>
    <n v="21065760"/>
    <s v="&lt;p&gt;Schoolrouteknelpunten (2021 (op 230))&lt;/p&gt;"/>
    <x v="23"/>
    <n v="9967"/>
    <s v="Baasrode (Dendermonde) N17: Aanbrengen suggestiestroken aan beide zijden van het kruispunt SRK"/>
    <s v="&lt;p&gt;Baasrode (Dendermonde) N17: Aanbrengen suggestiestroken aan beide zijden van het kruispunt SRK&lt;/p&gt;"/>
    <s v="WOV/INV/N17/7"/>
    <n v="100"/>
    <n v="2800"/>
    <n v="0"/>
    <n v="0"/>
    <n v="13.27"/>
    <n v="2800"/>
    <n v="0"/>
    <n v="0"/>
    <n v="13.27"/>
  </r>
  <r>
    <x v="1087"/>
    <x v="1087"/>
    <s v="Verkeersveiligheid"/>
    <x v="4"/>
    <n v="2908"/>
    <s v="IN/002186"/>
    <s v="SRK: N449 Wachtebeke: plateaumarkering thv Overledebrug"/>
    <s v="SRK Overledebrug plateaumarkering (KS370); aangebracht tijdens vernieuwing dorpskern"/>
    <s v="Kleine Ingreep"/>
    <s v="WOV/INV/N449/9"/>
    <b v="0"/>
    <s v="Ingreep wordt niet opgevolgd in BOD"/>
    <s v="&lt;null&gt;"/>
    <s v="&lt;null&gt;"/>
    <s v="&lt;null&gt;"/>
    <s v="&lt;null&gt;"/>
    <s v="&lt;null&gt;"/>
    <x v="0"/>
    <s v="&lt;null&gt;"/>
    <s v="&lt;null&gt;"/>
    <s v="&lt;null&gt;"/>
    <s v="&lt;null&gt;"/>
    <n v="100"/>
    <s v="&lt;null&gt;"/>
    <s v="&lt;null&gt;"/>
    <s v="&lt;null&gt;"/>
    <s v="&lt;null&gt;"/>
    <m/>
    <m/>
    <m/>
    <m/>
  </r>
  <r>
    <x v="1517"/>
    <x v="1517"/>
    <s v="Fiets"/>
    <x v="0"/>
    <n v="2909"/>
    <s v="IN/002187"/>
    <s v="Structureel onderhoud fiets - Erpe-Mere kmpt. 3.50-4.80 Volledige heropbouw"/>
    <s v="&lt;null&gt;"/>
    <s v="Kleine Ingreep"/>
    <s v="WOV/INV/N46/15"/>
    <b v="0"/>
    <s v="Ingreep wordt niet opgevolgd in BOD"/>
    <s v="&lt;null&gt;"/>
    <s v="&lt;null&gt;"/>
    <s v="&lt;null&gt;"/>
    <s v="&lt;null&gt;"/>
    <s v="&lt;null&gt;"/>
    <x v="0"/>
    <s v="&lt;null&gt;"/>
    <s v="&lt;null&gt;"/>
    <s v="&lt;null&gt;"/>
    <s v="&lt;null&gt;"/>
    <n v="100"/>
    <s v="&lt;null&gt;"/>
    <s v="&lt;null&gt;"/>
    <s v="&lt;null&gt;"/>
    <s v="&lt;null&gt;"/>
    <m/>
    <m/>
    <m/>
    <m/>
  </r>
  <r>
    <x v="1518"/>
    <x v="1518"/>
    <s v="Fiets"/>
    <x v="0"/>
    <n v="2910"/>
    <s v="IN/002188"/>
    <s v="Structureel onderhoud fiets - Ninove kmpt. 10.00-11.40 Volledige heropbouw"/>
    <s v="&lt;null&gt;"/>
    <s v="Kleine Ingreep"/>
    <s v="WOV/INV/N255/4"/>
    <b v="0"/>
    <s v="Ingreep wordt niet opgevolgd in BOD"/>
    <s v="&lt;null&gt;"/>
    <s v="&lt;null&gt;"/>
    <s v="&lt;null&gt;"/>
    <s v="&lt;null&gt;"/>
    <s v="&lt;null&gt;"/>
    <x v="0"/>
    <s v="&lt;null&gt;"/>
    <s v="&lt;null&gt;"/>
    <s v="&lt;null&gt;"/>
    <s v="&lt;null&gt;"/>
    <n v="100"/>
    <s v="&lt;null&gt;"/>
    <s v="&lt;null&gt;"/>
    <s v="&lt;null&gt;"/>
    <s v="&lt;null&gt;"/>
    <m/>
    <m/>
    <m/>
    <m/>
  </r>
  <r>
    <x v="1519"/>
    <x v="1519"/>
    <s v="Fiets"/>
    <x v="0"/>
    <n v="2911"/>
    <s v="IN/002189"/>
    <s v="Structureel onderhoud fiets - Ninove kmpt. 14.70-15.20 Volledige heropbouw"/>
    <s v="&lt;null&gt;"/>
    <s v="Kleine Ingreep"/>
    <s v="WOV/INV/N255/5"/>
    <b v="0"/>
    <s v="Ingreep wordt niet opgevolgd in BOD"/>
    <s v="&lt;null&gt;"/>
    <s v="&lt;null&gt;"/>
    <s v="&lt;null&gt;"/>
    <s v="&lt;null&gt;"/>
    <s v="&lt;null&gt;"/>
    <x v="0"/>
    <s v="&lt;null&gt;"/>
    <s v="&lt;null&gt;"/>
    <s v="&lt;null&gt;"/>
    <s v="&lt;null&gt;"/>
    <n v="100"/>
    <s v="&lt;null&gt;"/>
    <s v="&lt;null&gt;"/>
    <s v="&lt;null&gt;"/>
    <s v="&lt;null&gt;"/>
    <m/>
    <m/>
    <m/>
    <m/>
  </r>
  <r>
    <x v="1520"/>
    <x v="1520"/>
    <s v="Fiets"/>
    <x v="0"/>
    <n v="2912"/>
    <s v="IN/002190"/>
    <s v="Structureel onderhoud fiets - Dendermonde kmpt. 4.40-4.90 Volledige heropbouw"/>
    <s v="&lt;null&gt;"/>
    <s v="Kleine Ingreep"/>
    <s v="WOV/INV/N406/6"/>
    <b v="0"/>
    <s v="Ingreep wordt niet opgevolgd in BOD"/>
    <s v="&lt;null&gt;"/>
    <s v="&lt;null&gt;"/>
    <s v="&lt;null&gt;"/>
    <s v="&lt;null&gt;"/>
    <s v="&lt;null&gt;"/>
    <x v="0"/>
    <s v="&lt;null&gt;"/>
    <s v="&lt;null&gt;"/>
    <s v="&lt;null&gt;"/>
    <s v="&lt;null&gt;"/>
    <n v="100"/>
    <s v="&lt;null&gt;"/>
    <s v="&lt;null&gt;"/>
    <s v="&lt;null&gt;"/>
    <s v="&lt;null&gt;"/>
    <m/>
    <m/>
    <m/>
    <m/>
  </r>
  <r>
    <x v="1521"/>
    <x v="1521"/>
    <s v="Fiets"/>
    <x v="0"/>
    <n v="2913"/>
    <s v="IN/002191"/>
    <s v="Structureel onderhoud fiets - Dendermonde kmpt. 5.20-5.60 Volledige heropbouw"/>
    <s v="&lt;null&gt;"/>
    <s v="Kleine Ingreep"/>
    <s v="WOV/INV/N406/7"/>
    <b v="0"/>
    <s v="Ingreep wordt niet opgevolgd in BOD"/>
    <s v="&lt;null&gt;"/>
    <s v="&lt;null&gt;"/>
    <s v="&lt;null&gt;"/>
    <s v="&lt;null&gt;"/>
    <s v="&lt;null&gt;"/>
    <x v="0"/>
    <s v="&lt;null&gt;"/>
    <s v="&lt;null&gt;"/>
    <s v="&lt;null&gt;"/>
    <s v="&lt;null&gt;"/>
    <n v="100"/>
    <s v="&lt;null&gt;"/>
    <s v="&lt;null&gt;"/>
    <s v="&lt;null&gt;"/>
    <s v="&lt;null&gt;"/>
    <m/>
    <m/>
    <m/>
    <m/>
  </r>
  <r>
    <x v="1522"/>
    <x v="1522"/>
    <s v="Fiets"/>
    <x v="0"/>
    <n v="2914"/>
    <s v="IN/002192"/>
    <s v="Structureel onderhoud fiets - Geraardsbergen kmpt. 17.3-19.80 Herstel/optimalisatie toplaag"/>
    <s v="&lt;null&gt;"/>
    <s v="Kleine Ingreep"/>
    <s v="WOV/INV/N460/12"/>
    <b v="0"/>
    <s v="Ingreep wordt niet opgevolgd in BOD"/>
    <s v="&lt;null&gt;"/>
    <s v="&lt;null&gt;"/>
    <s v="&lt;null&gt;"/>
    <s v="&lt;null&gt;"/>
    <s v="&lt;null&gt;"/>
    <x v="0"/>
    <s v="&lt;null&gt;"/>
    <s v="&lt;null&gt;"/>
    <s v="&lt;null&gt;"/>
    <s v="&lt;null&gt;"/>
    <n v="100"/>
    <s v="&lt;null&gt;"/>
    <s v="&lt;null&gt;"/>
    <s v="&lt;null&gt;"/>
    <s v="&lt;null&gt;"/>
    <m/>
    <m/>
    <m/>
    <m/>
  </r>
  <r>
    <x v="1523"/>
    <x v="1523"/>
    <s v="Fiets"/>
    <x v="0"/>
    <n v="2915"/>
    <s v="IN/002193"/>
    <s v="Structureel onderhoud fiets - Dendermonde/Wichelen kmpt. 6.00-6.70 Volledige heropbouw"/>
    <s v="&lt;null&gt;"/>
    <s v="Kleine Ingreep"/>
    <s v="WOV/INV/N416/8"/>
    <b v="0"/>
    <s v="Ingreep wordt niet opgevolgd in BOD"/>
    <s v="&lt;null&gt;"/>
    <s v="&lt;null&gt;"/>
    <s v="&lt;null&gt;"/>
    <s v="&lt;null&gt;"/>
    <s v="&lt;null&gt;"/>
    <x v="0"/>
    <s v="&lt;null&gt;"/>
    <s v="&lt;null&gt;"/>
    <s v="&lt;null&gt;"/>
    <s v="&lt;null&gt;"/>
    <n v="100"/>
    <s v="&lt;null&gt;"/>
    <s v="&lt;null&gt;"/>
    <s v="&lt;null&gt;"/>
    <s v="&lt;null&gt;"/>
    <m/>
    <m/>
    <m/>
    <m/>
  </r>
  <r>
    <x v="1524"/>
    <x v="1524"/>
    <s v="Fiets"/>
    <x v="0"/>
    <n v="2916"/>
    <s v="IN/002194"/>
    <s v="Structureel onderhoud fiets - Aalst kmpt. 5.60-7.50 Herstel asfalt"/>
    <s v="&lt;null&gt;"/>
    <s v="Kleine Ingreep"/>
    <s v="WOV/INV/N406/8"/>
    <b v="0"/>
    <s v="Ingreep wordt niet opgevolgd in BOD"/>
    <s v="&lt;null&gt;"/>
    <s v="&lt;null&gt;"/>
    <s v="&lt;null&gt;"/>
    <s v="&lt;null&gt;"/>
    <s v="&lt;null&gt;"/>
    <x v="0"/>
    <s v="&lt;null&gt;"/>
    <s v="&lt;null&gt;"/>
    <s v="&lt;null&gt;"/>
    <s v="&lt;null&gt;"/>
    <n v="100"/>
    <s v="&lt;null&gt;"/>
    <s v="&lt;null&gt;"/>
    <s v="&lt;null&gt;"/>
    <s v="&lt;null&gt;"/>
    <m/>
    <m/>
    <m/>
    <m/>
  </r>
  <r>
    <x v="1525"/>
    <x v="1525"/>
    <s v="Fiets"/>
    <x v="0"/>
    <n v="2917"/>
    <s v="IN/002195"/>
    <s v="Structureel onderhoud fiets - Wortegem-Petegem kmpt. 4.15-5.00 : heraanleg betonnen fietspad in asfalt kmpt. 4.50-5.00 : verhoogd aanliggend maken"/>
    <s v="&lt;null&gt;"/>
    <s v="Kleine Ingreep"/>
    <s v="WOV/INV/N459/4"/>
    <b v="0"/>
    <s v="Ingreep wordt niet opgevolgd in BOD"/>
    <s v="&lt;null&gt;"/>
    <s v="&lt;null&gt;"/>
    <s v="&lt;null&gt;"/>
    <s v="&lt;null&gt;"/>
    <s v="&lt;null&gt;"/>
    <x v="0"/>
    <s v="&lt;null&gt;"/>
    <s v="&lt;null&gt;"/>
    <s v="&lt;null&gt;"/>
    <s v="&lt;null&gt;"/>
    <n v="100"/>
    <s v="&lt;null&gt;"/>
    <s v="&lt;null&gt;"/>
    <s v="&lt;null&gt;"/>
    <s v="&lt;null&gt;"/>
    <m/>
    <m/>
    <m/>
    <m/>
  </r>
  <r>
    <x v="1526"/>
    <x v="1526"/>
    <s v="Fiets"/>
    <x v="0"/>
    <n v="2918"/>
    <s v="IN/002196"/>
    <s v="Structureel onderhoud fiets - Oudenaarde kmpt. 26.55-27.25 Volledige heropbouw"/>
    <s v="&lt;null&gt;"/>
    <s v="Kleine Ingreep"/>
    <s v="WOV/INV/N46/16"/>
    <b v="0"/>
    <s v="Ingreep wordt niet opgevolgd in BOD"/>
    <s v="&lt;null&gt;"/>
    <s v="&lt;null&gt;"/>
    <s v="&lt;null&gt;"/>
    <s v="&lt;null&gt;"/>
    <s v="&lt;null&gt;"/>
    <x v="0"/>
    <s v="&lt;null&gt;"/>
    <s v="&lt;null&gt;"/>
    <s v="&lt;null&gt;"/>
    <s v="&lt;null&gt;"/>
    <n v="100"/>
    <s v="&lt;null&gt;"/>
    <s v="&lt;null&gt;"/>
    <s v="&lt;null&gt;"/>
    <s v="&lt;null&gt;"/>
    <m/>
    <m/>
    <m/>
    <m/>
  </r>
  <r>
    <x v="1527"/>
    <x v="1527"/>
    <s v="Fiets"/>
    <x v="0"/>
    <n v="2919"/>
    <s v="IN/002197"/>
    <s v="Structureel onderhoud fiets - Zottegem-Zwalm kmpt 17.18-20.30 Herstel/optimalisatie toplaag"/>
    <s v="&lt;null&gt;"/>
    <s v="Kleine Ingreep"/>
    <s v="WOV/INV/N46/17"/>
    <b v="0"/>
    <s v="Ingreep wordt niet opgevolgd in BOD"/>
    <s v="&lt;null&gt;"/>
    <s v="&lt;null&gt;"/>
    <s v="&lt;null&gt;"/>
    <s v="&lt;null&gt;"/>
    <s v="&lt;null&gt;"/>
    <x v="0"/>
    <s v="&lt;null&gt;"/>
    <s v="&lt;null&gt;"/>
    <s v="&lt;null&gt;"/>
    <s v="&lt;null&gt;"/>
    <n v="100"/>
    <s v="&lt;null&gt;"/>
    <s v="&lt;null&gt;"/>
    <s v="&lt;null&gt;"/>
    <s v="&lt;null&gt;"/>
    <m/>
    <m/>
    <m/>
    <m/>
  </r>
  <r>
    <x v="1528"/>
    <x v="1528"/>
    <s v="Fiets"/>
    <x v="0"/>
    <n v="2920"/>
    <s v="IN/002198"/>
    <s v="Structureel onderhoud fiets - Herzele kmpt. 18.54-19.65 Volledige heropbouw"/>
    <s v="&lt;null&gt;"/>
    <s v="Kleine Ingreep"/>
    <s v="WOV/INV/N42/9"/>
    <b v="0"/>
    <s v="Ingreep wordt niet opgevolgd in BOD"/>
    <s v="&lt;null&gt;"/>
    <s v="&lt;null&gt;"/>
    <s v="&lt;null&gt;"/>
    <s v="&lt;null&gt;"/>
    <s v="&lt;null&gt;"/>
    <x v="0"/>
    <s v="&lt;null&gt;"/>
    <s v="&lt;null&gt;"/>
    <s v="&lt;null&gt;"/>
    <s v="&lt;null&gt;"/>
    <n v="100"/>
    <s v="&lt;null&gt;"/>
    <s v="&lt;null&gt;"/>
    <s v="&lt;null&gt;"/>
    <s v="&lt;null&gt;"/>
    <m/>
    <m/>
    <m/>
    <m/>
  </r>
  <r>
    <x v="1529"/>
    <x v="1529"/>
    <s v="Fiets"/>
    <x v="0"/>
    <n v="2921"/>
    <s v="IN/002199"/>
    <s v="Structureel onderhoud fiets - Brakel kmpt. 8.32-8.75 Volledige heropbouw"/>
    <s v="&lt;null&gt;"/>
    <s v="Kleine Ingreep"/>
    <s v="WOV/INV/N493/6"/>
    <b v="0"/>
    <s v="Ingreep wordt niet opgevolgd in BOD"/>
    <s v="&lt;null&gt;"/>
    <s v="&lt;null&gt;"/>
    <s v="&lt;null&gt;"/>
    <s v="&lt;null&gt;"/>
    <s v="&lt;null&gt;"/>
    <x v="0"/>
    <s v="&lt;null&gt;"/>
    <s v="&lt;null&gt;"/>
    <s v="&lt;null&gt;"/>
    <s v="&lt;null&gt;"/>
    <n v="100"/>
    <s v="&lt;null&gt;"/>
    <s v="&lt;null&gt;"/>
    <s v="&lt;null&gt;"/>
    <s v="&lt;null&gt;"/>
    <m/>
    <m/>
    <m/>
    <m/>
  </r>
  <r>
    <x v="1530"/>
    <x v="1530"/>
    <s v="Fiets"/>
    <x v="0"/>
    <n v="2922"/>
    <s v="IN/002200"/>
    <s v="Structureel onderhoud fiets - Ronse kmpt. 15.30-16.70 Herstel/optimalisatie toplaag"/>
    <s v="&lt;null&gt;"/>
    <s v="Kleine Ingreep"/>
    <s v="WOV/INV/N48/4"/>
    <b v="0"/>
    <s v="Ingreep wordt niet opgevolgd in BOD"/>
    <s v="&lt;null&gt;"/>
    <s v="&lt;null&gt;"/>
    <s v="&lt;null&gt;"/>
    <s v="&lt;null&gt;"/>
    <s v="&lt;null&gt;"/>
    <x v="0"/>
    <s v="&lt;null&gt;"/>
    <s v="&lt;null&gt;"/>
    <s v="&lt;null&gt;"/>
    <s v="&lt;null&gt;"/>
    <n v="100"/>
    <s v="&lt;null&gt;"/>
    <s v="&lt;null&gt;"/>
    <s v="&lt;null&gt;"/>
    <s v="&lt;null&gt;"/>
    <m/>
    <m/>
    <m/>
    <m/>
  </r>
  <r>
    <x v="1531"/>
    <x v="1531"/>
    <s v="Fiets"/>
    <x v="0"/>
    <n v="2923"/>
    <s v="IN/002201"/>
    <s v="Structureel onderhoud fiets - Zottegem kmpt. 17.30-19.20 Volledige heropbouw"/>
    <s v="&lt;null&gt;"/>
    <s v="Kleine Ingreep"/>
    <s v="WOV/INV/N462/8"/>
    <b v="0"/>
    <s v="Ingreep wordt niet opgevolgd in BOD"/>
    <s v="&lt;null&gt;"/>
    <s v="&lt;null&gt;"/>
    <s v="&lt;null&gt;"/>
    <s v="&lt;null&gt;"/>
    <s v="&lt;null&gt;"/>
    <x v="0"/>
    <s v="&lt;null&gt;"/>
    <s v="&lt;null&gt;"/>
    <s v="&lt;null&gt;"/>
    <s v="&lt;null&gt;"/>
    <n v="100"/>
    <s v="&lt;null&gt;"/>
    <s v="&lt;null&gt;"/>
    <s v="&lt;null&gt;"/>
    <s v="&lt;null&gt;"/>
    <m/>
    <m/>
    <m/>
    <m/>
  </r>
  <r>
    <x v="1532"/>
    <x v="1532"/>
    <s v="Fiets"/>
    <x v="0"/>
    <n v="2924"/>
    <s v="IN/002202"/>
    <s v="Structureel onderhoud fiets - Temse kmp. 0.60-0.80 Volledige heropbouw"/>
    <s v="&lt;null&gt;"/>
    <s v="Kleine Ingreep"/>
    <s v="WOV/INV/N419/13"/>
    <b v="0"/>
    <s v="Ingreep wordt niet opgevolgd in BOD"/>
    <s v="&lt;null&gt;"/>
    <s v="&lt;null&gt;"/>
    <s v="&lt;null&gt;"/>
    <s v="&lt;null&gt;"/>
    <s v="&lt;null&gt;"/>
    <x v="0"/>
    <s v="&lt;null&gt;"/>
    <s v="&lt;null&gt;"/>
    <s v="&lt;null&gt;"/>
    <s v="&lt;null&gt;"/>
    <n v="100"/>
    <s v="&lt;null&gt;"/>
    <s v="&lt;null&gt;"/>
    <s v="&lt;null&gt;"/>
    <s v="&lt;null&gt;"/>
    <m/>
    <m/>
    <m/>
    <m/>
  </r>
  <r>
    <x v="1533"/>
    <x v="1533"/>
    <s v="Fiets"/>
    <x v="0"/>
    <n v="2925"/>
    <s v="IN/002203"/>
    <s v="Structureel onderhoud fiets - Temse kmpt. 0.95-1.16 Volledige heropbouw"/>
    <s v="&lt;null&gt;"/>
    <s v="Kleine Ingreep"/>
    <s v="WOV/INV/N419/14"/>
    <b v="0"/>
    <s v="Ingreep wordt niet opgevolgd in BOD"/>
    <s v="&lt;null&gt;"/>
    <s v="&lt;null&gt;"/>
    <s v="&lt;null&gt;"/>
    <s v="&lt;null&gt;"/>
    <s v="&lt;null&gt;"/>
    <x v="0"/>
    <s v="&lt;null&gt;"/>
    <s v="&lt;null&gt;"/>
    <s v="&lt;null&gt;"/>
    <s v="&lt;null&gt;"/>
    <n v="100"/>
    <s v="&lt;null&gt;"/>
    <s v="&lt;null&gt;"/>
    <s v="&lt;null&gt;"/>
    <s v="&lt;null&gt;"/>
    <m/>
    <m/>
    <m/>
    <m/>
  </r>
  <r>
    <x v="1534"/>
    <x v="1534"/>
    <s v="Fiets"/>
    <x v="0"/>
    <n v="2926"/>
    <s v="IN/002204"/>
    <s v="Structureel onderhoud fiets - Sint-Niklaas kmpt. 34.4-36.1 Verhoogd aanliggend maken"/>
    <s v="&lt;null&gt;"/>
    <s v="Kleine Ingreep"/>
    <s v="WOV/INV/N70/12"/>
    <b v="0"/>
    <s v="Ingreep wordt niet opgevolgd in BOD"/>
    <s v="&lt;null&gt;"/>
    <s v="&lt;null&gt;"/>
    <s v="&lt;null&gt;"/>
    <s v="&lt;null&gt;"/>
    <s v="&lt;null&gt;"/>
    <x v="0"/>
    <s v="&lt;null&gt;"/>
    <s v="&lt;null&gt;"/>
    <s v="&lt;null&gt;"/>
    <s v="&lt;null&gt;"/>
    <n v="100"/>
    <s v="&lt;null&gt;"/>
    <s v="&lt;null&gt;"/>
    <s v="&lt;null&gt;"/>
    <s v="&lt;null&gt;"/>
    <m/>
    <m/>
    <m/>
    <m/>
  </r>
  <r>
    <x v="1535"/>
    <x v="1535"/>
    <s v="Fiets"/>
    <x v="0"/>
    <n v="2927"/>
    <s v="IN/002205"/>
    <s v="Structureel onderhoud fiets - Sint-Niklaas kmpt. 27.30-30.00 Verhoogd aanliggend maken"/>
    <s v="&lt;null&gt;"/>
    <s v="Kleine Ingreep"/>
    <s v="WOV/INV/N70/13"/>
    <b v="0"/>
    <s v="Ingreep wordt niet opgevolgd in BOD"/>
    <s v="&lt;null&gt;"/>
    <s v="&lt;null&gt;"/>
    <s v="&lt;null&gt;"/>
    <s v="&lt;null&gt;"/>
    <s v="&lt;null&gt;"/>
    <x v="0"/>
    <s v="&lt;null&gt;"/>
    <s v="&lt;null&gt;"/>
    <s v="&lt;null&gt;"/>
    <s v="&lt;null&gt;"/>
    <n v="100"/>
    <s v="&lt;null&gt;"/>
    <s v="&lt;null&gt;"/>
    <s v="&lt;null&gt;"/>
    <s v="&lt;null&gt;"/>
    <m/>
    <m/>
    <m/>
    <m/>
  </r>
  <r>
    <x v="1536"/>
    <x v="1536"/>
    <s v="Fiets"/>
    <x v="0"/>
    <n v="2928"/>
    <s v="IN/002206"/>
    <s v="Structureel onderhoud fiets - Sint-Niklaas kmpt. 26.30-27.30 Volledige heropbouw"/>
    <s v="&lt;null&gt;"/>
    <s v="Kleine Ingreep"/>
    <s v="WOV/INV/N70/14"/>
    <b v="0"/>
    <s v="Ingreep wordt niet opgevolgd in BOD"/>
    <s v="&lt;null&gt;"/>
    <s v="&lt;null&gt;"/>
    <s v="&lt;null&gt;"/>
    <s v="&lt;null&gt;"/>
    <s v="&lt;null&gt;"/>
    <x v="0"/>
    <s v="&lt;null&gt;"/>
    <s v="&lt;null&gt;"/>
    <s v="&lt;null&gt;"/>
    <s v="&lt;null&gt;"/>
    <n v="100"/>
    <s v="&lt;null&gt;"/>
    <s v="&lt;null&gt;"/>
    <s v="&lt;null&gt;"/>
    <s v="&lt;null&gt;"/>
    <m/>
    <m/>
    <m/>
    <m/>
  </r>
  <r>
    <x v="1537"/>
    <x v="1537"/>
    <s v="Fiets"/>
    <x v="0"/>
    <n v="2929"/>
    <s v="IN/002207"/>
    <s v="Structureel onderhoud fiets - Waasmunster kmpt. 21.60-26.10 Volledige heropbouw"/>
    <s v="&lt;null&gt;"/>
    <s v="Kleine Ingreep"/>
    <s v="WOV/INV/N70/15"/>
    <b v="0"/>
    <s v="Ingreep wordt niet opgevolgd in BOD"/>
    <s v="&lt;null&gt;"/>
    <s v="&lt;null&gt;"/>
    <s v="&lt;null&gt;"/>
    <s v="&lt;null&gt;"/>
    <s v="&lt;null&gt;"/>
    <x v="0"/>
    <s v="&lt;null&gt;"/>
    <s v="&lt;null&gt;"/>
    <s v="&lt;null&gt;"/>
    <s v="&lt;null&gt;"/>
    <n v="100"/>
    <s v="&lt;null&gt;"/>
    <s v="&lt;null&gt;"/>
    <s v="&lt;null&gt;"/>
    <s v="&lt;null&gt;"/>
    <m/>
    <m/>
    <m/>
    <m/>
  </r>
  <r>
    <x v="1538"/>
    <x v="1538"/>
    <s v="Fiets"/>
    <x v="0"/>
    <n v="2930"/>
    <s v="IN/002208"/>
    <s v="Structureel onderhoud fiets - Sint-Niklaas kmpt. 1.35-2.05 Volledige heropbouw"/>
    <s v="&lt;null&gt;"/>
    <s v="Kleine Ingreep"/>
    <s v="WOV/INV/R42/5"/>
    <b v="0"/>
    <s v="Ingreep wordt niet opgevolgd in BOD"/>
    <s v="&lt;null&gt;"/>
    <s v="&lt;null&gt;"/>
    <s v="&lt;null&gt;"/>
    <s v="&lt;null&gt;"/>
    <s v="&lt;null&gt;"/>
    <x v="0"/>
    <s v="&lt;null&gt;"/>
    <s v="&lt;null&gt;"/>
    <s v="&lt;null&gt;"/>
    <s v="&lt;null&gt;"/>
    <n v="100"/>
    <s v="&lt;null&gt;"/>
    <s v="&lt;null&gt;"/>
    <s v="&lt;null&gt;"/>
    <s v="&lt;null&gt;"/>
    <m/>
    <m/>
    <m/>
    <m/>
  </r>
  <r>
    <x v="1539"/>
    <x v="1539"/>
    <s v="Fiets"/>
    <x v="0"/>
    <n v="2931"/>
    <s v="IN/002209"/>
    <s v="Structureel onderhoud fiets - Sint-Niklaas kmpt. 0.60-1.35 Volledige heropbouw"/>
    <s v="&lt;null&gt;"/>
    <s v="Kleine Ingreep"/>
    <s v="WOV/INV/R42/6"/>
    <b v="0"/>
    <s v="Ingreep wordt niet opgevolgd in BOD"/>
    <s v="&lt;null&gt;"/>
    <s v="&lt;null&gt;"/>
    <s v="&lt;null&gt;"/>
    <s v="&lt;null&gt;"/>
    <s v="&lt;null&gt;"/>
    <x v="0"/>
    <s v="&lt;null&gt;"/>
    <s v="&lt;null&gt;"/>
    <s v="&lt;null&gt;"/>
    <s v="&lt;null&gt;"/>
    <n v="100"/>
    <s v="&lt;null&gt;"/>
    <s v="&lt;null&gt;"/>
    <s v="&lt;null&gt;"/>
    <s v="&lt;null&gt;"/>
    <m/>
    <m/>
    <m/>
    <m/>
  </r>
  <r>
    <x v="1540"/>
    <x v="1540"/>
    <s v="Fiets"/>
    <x v="0"/>
    <n v="2932"/>
    <s v="IN/002210"/>
    <s v="Structureel onderhoud fiets - Sint-Niklaas kmpt. 3.60-4.90 Volledige heropbouw"/>
    <s v="&lt;null&gt;"/>
    <s v="Kleine Ingreep"/>
    <s v="WOV/INV/R42/7"/>
    <b v="0"/>
    <s v="Ingreep wordt niet opgevolgd in BOD"/>
    <s v="&lt;null&gt;"/>
    <s v="&lt;null&gt;"/>
    <s v="&lt;null&gt;"/>
    <s v="&lt;null&gt;"/>
    <s v="&lt;null&gt;"/>
    <x v="0"/>
    <s v="&lt;null&gt;"/>
    <s v="&lt;null&gt;"/>
    <s v="&lt;null&gt;"/>
    <s v="&lt;null&gt;"/>
    <n v="100"/>
    <s v="&lt;null&gt;"/>
    <s v="&lt;null&gt;"/>
    <s v="&lt;null&gt;"/>
    <s v="&lt;null&gt;"/>
    <m/>
    <m/>
    <m/>
    <m/>
  </r>
  <r>
    <x v="1541"/>
    <x v="1541"/>
    <s v="Fiets"/>
    <x v="0"/>
    <n v="2933"/>
    <s v="IN/002211"/>
    <s v="Structureel onderhoud fiets - Kruibeke kmpt. 8.50-8.90 Volledige heropbouw"/>
    <s v="&lt;null&gt;"/>
    <s v="Kleine Ingreep"/>
    <s v="WOV/INV/N419/15"/>
    <b v="0"/>
    <s v="Ingreep wordt niet opgevolgd in BOD"/>
    <s v="&lt;null&gt;"/>
    <s v="&lt;null&gt;"/>
    <s v="&lt;null&gt;"/>
    <s v="&lt;null&gt;"/>
    <s v="&lt;null&gt;"/>
    <x v="0"/>
    <s v="&lt;null&gt;"/>
    <s v="&lt;null&gt;"/>
    <s v="&lt;null&gt;"/>
    <s v="&lt;null&gt;"/>
    <n v="100"/>
    <s v="&lt;null&gt;"/>
    <s v="&lt;null&gt;"/>
    <s v="&lt;null&gt;"/>
    <s v="&lt;null&gt;"/>
    <m/>
    <m/>
    <m/>
    <m/>
  </r>
  <r>
    <x v="1542"/>
    <x v="1542"/>
    <s v="Fiets"/>
    <x v="0"/>
    <n v="2934"/>
    <s v="IN/002212"/>
    <s v="Structureel onderhoud fiets - Maldegem kmpt. 14.10-14.50 Volledige heropbouw. Ingreep ifv veiligheid fietsers"/>
    <s v="&lt;null&gt;"/>
    <s v="Kleine Ingreep"/>
    <s v="WOV/INV/N44/7"/>
    <b v="0"/>
    <s v="Ingreep wordt niet opgevolgd in BOD"/>
    <s v="&lt;null&gt;"/>
    <s v="&lt;null&gt;"/>
    <s v="&lt;null&gt;"/>
    <s v="&lt;null&gt;"/>
    <s v="&lt;null&gt;"/>
    <x v="0"/>
    <s v="&lt;null&gt;"/>
    <s v="&lt;null&gt;"/>
    <s v="&lt;null&gt;"/>
    <s v="&lt;null&gt;"/>
    <n v="100"/>
    <s v="&lt;null&gt;"/>
    <s v="&lt;null&gt;"/>
    <s v="&lt;null&gt;"/>
    <s v="&lt;null&gt;"/>
    <m/>
    <m/>
    <m/>
    <m/>
  </r>
  <r>
    <x v="1543"/>
    <x v="1543"/>
    <s v="Fiets"/>
    <x v="0"/>
    <n v="2935"/>
    <s v="IN/002213"/>
    <s v="Structureel onderhoud fiets - Evergem kmpt. 9.10-10.10 Volledige heropbouw. Affrezen betonnen FP en aanbrengen toplaag in asfalt"/>
    <s v="&lt;null&gt;"/>
    <s v="Kleine Ingreep"/>
    <s v="WOV/INV/N456/17"/>
    <b v="0"/>
    <s v="Ingreep wordt niet opgevolgd in BOD"/>
    <s v="&lt;null&gt;"/>
    <s v="&lt;null&gt;"/>
    <s v="&lt;null&gt;"/>
    <s v="&lt;null&gt;"/>
    <s v="&lt;null&gt;"/>
    <x v="0"/>
    <s v="&lt;null&gt;"/>
    <s v="&lt;null&gt;"/>
    <s v="&lt;null&gt;"/>
    <s v="&lt;null&gt;"/>
    <n v="100"/>
    <s v="&lt;null&gt;"/>
    <s v="&lt;null&gt;"/>
    <s v="&lt;null&gt;"/>
    <s v="&lt;null&gt;"/>
    <m/>
    <m/>
    <m/>
    <m/>
  </r>
  <r>
    <x v="1544"/>
    <x v="1544"/>
    <s v="Fiets"/>
    <x v="0"/>
    <n v="2936"/>
    <s v="IN/002214"/>
    <s v="Structureel onderhoud fiets - Merelbeke kmpt. 4.50-5.35 Volledige heropbouw. Uitbraak BSS en vervangen door asfalt"/>
    <s v="&lt;null&gt;"/>
    <s v="Kleine Ingreep"/>
    <s v="WOV/INV/N444/7"/>
    <b v="0"/>
    <s v="Ingreep wordt niet opgevolgd in BOD"/>
    <s v="&lt;null&gt;"/>
    <s v="&lt;null&gt;"/>
    <s v="&lt;null&gt;"/>
    <s v="&lt;null&gt;"/>
    <s v="&lt;null&gt;"/>
    <x v="0"/>
    <s v="&lt;null&gt;"/>
    <s v="&lt;null&gt;"/>
    <s v="&lt;null&gt;"/>
    <s v="&lt;null&gt;"/>
    <n v="100"/>
    <s v="&lt;null&gt;"/>
    <s v="&lt;null&gt;"/>
    <s v="&lt;null&gt;"/>
    <s v="&lt;null&gt;"/>
    <m/>
    <m/>
    <m/>
    <m/>
  </r>
  <r>
    <x v="1545"/>
    <x v="1545"/>
    <s v="Fiets"/>
    <x v="0"/>
    <n v="2937"/>
    <s v="IN/002215"/>
    <s v="Structureel onderhoud fiets - Evergem kmpt. 5.25-7.15 Volledige heropbouw. Plaatselijk herstel verzakkingen"/>
    <s v="&lt;null&gt;"/>
    <s v="Kleine Ingreep"/>
    <s v="WOV/INV/N456/18"/>
    <b v="0"/>
    <s v="Ingreep wordt niet opgevolgd in BOD"/>
    <s v="&lt;null&gt;"/>
    <s v="&lt;null&gt;"/>
    <s v="&lt;null&gt;"/>
    <s v="&lt;null&gt;"/>
    <s v="&lt;null&gt;"/>
    <x v="0"/>
    <s v="&lt;null&gt;"/>
    <s v="&lt;null&gt;"/>
    <s v="&lt;null&gt;"/>
    <s v="&lt;null&gt;"/>
    <n v="100"/>
    <s v="&lt;null&gt;"/>
    <s v="&lt;null&gt;"/>
    <s v="&lt;null&gt;"/>
    <s v="&lt;null&gt;"/>
    <m/>
    <m/>
    <m/>
    <m/>
  </r>
  <r>
    <x v="1546"/>
    <x v="1546"/>
    <s v="Fiets"/>
    <x v="0"/>
    <n v="2938"/>
    <s v="IN/002216"/>
    <s v="Structureel onderhoud fiets - Assenede kmpt. 3.68-6.80 Herstel/optimalisatie toplaag"/>
    <s v="&lt;null&gt;"/>
    <s v="Kleine Ingreep"/>
    <s v="WOV/INV/N448/6"/>
    <b v="0"/>
    <s v="Ingreep wordt niet opgevolgd in BOD"/>
    <s v="&lt;null&gt;"/>
    <s v="&lt;null&gt;"/>
    <s v="&lt;null&gt;"/>
    <s v="&lt;null&gt;"/>
    <s v="&lt;null&gt;"/>
    <x v="0"/>
    <s v="&lt;null&gt;"/>
    <s v="&lt;null&gt;"/>
    <s v="&lt;null&gt;"/>
    <s v="&lt;null&gt;"/>
    <n v="100"/>
    <s v="&lt;null&gt;"/>
    <s v="&lt;null&gt;"/>
    <s v="&lt;null&gt;"/>
    <s v="&lt;null&gt;"/>
    <m/>
    <m/>
    <m/>
    <m/>
  </r>
  <r>
    <x v="1547"/>
    <x v="1547"/>
    <s v="Fiets"/>
    <x v="0"/>
    <n v="2939"/>
    <s v="IN/002217"/>
    <s v="Structureel onderhoud fiets - Aalter kmpt. 5.60-9.40 Herstel/optimalisatie toplaag"/>
    <s v="&lt;null&gt;"/>
    <s v="Kleine Ingreep"/>
    <s v="WOV/INV/N44/8"/>
    <b v="0"/>
    <s v="Ingreep wordt niet opgevolgd in BOD"/>
    <s v="&lt;null&gt;"/>
    <s v="&lt;null&gt;"/>
    <s v="&lt;null&gt;"/>
    <s v="&lt;null&gt;"/>
    <s v="&lt;null&gt;"/>
    <x v="0"/>
    <s v="&lt;null&gt;"/>
    <s v="&lt;null&gt;"/>
    <s v="&lt;null&gt;"/>
    <s v="&lt;null&gt;"/>
    <n v="100"/>
    <s v="&lt;null&gt;"/>
    <s v="&lt;null&gt;"/>
    <s v="&lt;null&gt;"/>
    <s v="&lt;null&gt;"/>
    <m/>
    <m/>
    <m/>
    <m/>
  </r>
  <r>
    <x v="1548"/>
    <x v="1548"/>
    <s v="Fiets"/>
    <x v="0"/>
    <n v="2940"/>
    <s v="IN/002218"/>
    <s v="Structureel onderhoud fiets - Merelbeke/Gavere kmpt. 11.00-15.00 Herstel/optimalisatie toplaag"/>
    <s v="&lt;null&gt;"/>
    <s v="Kleine Ingreep"/>
    <s v="WOV/INV/N444/8"/>
    <b v="0"/>
    <s v="Ingreep wordt niet opgevolgd in BOD"/>
    <s v="&lt;null&gt;"/>
    <s v="&lt;null&gt;"/>
    <s v="&lt;null&gt;"/>
    <s v="&lt;null&gt;"/>
    <s v="&lt;null&gt;"/>
    <x v="0"/>
    <s v="&lt;null&gt;"/>
    <s v="&lt;null&gt;"/>
    <s v="&lt;null&gt;"/>
    <s v="&lt;null&gt;"/>
    <n v="100"/>
    <s v="&lt;null&gt;"/>
    <s v="&lt;null&gt;"/>
    <s v="&lt;null&gt;"/>
    <s v="&lt;null&gt;"/>
    <m/>
    <m/>
    <m/>
    <m/>
  </r>
  <r>
    <x v="1549"/>
    <x v="1549"/>
    <s v="Fiets"/>
    <x v="0"/>
    <n v="2941"/>
    <s v="IN/002219"/>
    <s v="Structureel onderhoud fiets - Gent kmpt. 3.50-5.40 Herstel/optimalisatie. Nieuwe toplaag"/>
    <s v="&lt;null&gt;"/>
    <s v="Kleine Ingreep"/>
    <s v="WOV/INV/N466/8"/>
    <b v="0"/>
    <s v="Ingreep wordt niet opgevolgd in BOD"/>
    <s v="&lt;null&gt;"/>
    <s v="&lt;null&gt;"/>
    <s v="&lt;null&gt;"/>
    <s v="&lt;null&gt;"/>
    <s v="&lt;null&gt;"/>
    <x v="0"/>
    <s v="&lt;null&gt;"/>
    <s v="&lt;null&gt;"/>
    <s v="&lt;null&gt;"/>
    <s v="&lt;null&gt;"/>
    <n v="100"/>
    <s v="&lt;null&gt;"/>
    <s v="&lt;null&gt;"/>
    <s v="&lt;null&gt;"/>
    <s v="&lt;null&gt;"/>
    <m/>
    <m/>
    <m/>
    <m/>
  </r>
  <r>
    <x v="1550"/>
    <x v="1550"/>
    <s v="Fiets"/>
    <x v="0"/>
    <n v="2942"/>
    <s v="IN/002220"/>
    <s v="Structureel onderhoud fiets - Aalter kmpt. 19.80-23.60 Herstel/optimalisatie toplaag"/>
    <s v="&lt;null&gt;"/>
    <s v="Kleine Ingreep"/>
    <s v="WOV/INV/N461/4"/>
    <b v="0"/>
    <s v="Ingreep wordt niet opgevolgd in BOD"/>
    <s v="&lt;null&gt;"/>
    <s v="&lt;null&gt;"/>
    <s v="&lt;null&gt;"/>
    <s v="&lt;null&gt;"/>
    <s v="&lt;null&gt;"/>
    <x v="0"/>
    <s v="&lt;null&gt;"/>
    <s v="&lt;null&gt;"/>
    <s v="&lt;null&gt;"/>
    <s v="&lt;null&gt;"/>
    <n v="100"/>
    <s v="&lt;null&gt;"/>
    <s v="&lt;null&gt;"/>
    <s v="&lt;null&gt;"/>
    <s v="&lt;null&gt;"/>
    <m/>
    <m/>
    <m/>
    <m/>
  </r>
  <r>
    <x v="18"/>
    <x v="18"/>
    <s v="&lt;null&gt;"/>
    <x v="3"/>
    <n v="2952"/>
    <s v="IN/002221"/>
    <s v="E19 SO LOENHOUT = MEER A0010001"/>
    <s v="&lt;null&gt;"/>
    <s v="Structurele Ingreep"/>
    <s v="WA/INV/A1/5"/>
    <b v="0"/>
    <s v="Ingreep wordt niet opgevolgd in BOD"/>
    <s v="&lt;null&gt;"/>
    <s v="&lt;null&gt;"/>
    <s v="&lt;null&gt;"/>
    <s v="&lt;null&gt;"/>
    <s v="&lt;null&gt;"/>
    <x v="0"/>
    <s v="&lt;null&gt;"/>
    <s v="&lt;null&gt;"/>
    <s v="&lt;null&gt;"/>
    <s v="&lt;null&gt;"/>
    <s v="&lt;null&gt;"/>
    <s v="&lt;null&gt;"/>
    <s v="&lt;null&gt;"/>
    <s v="&lt;null&gt;"/>
    <s v="&lt;null&gt;"/>
    <m/>
    <m/>
    <m/>
    <m/>
  </r>
  <r>
    <x v="18"/>
    <x v="18"/>
    <s v="&lt;null&gt;"/>
    <x v="3"/>
    <n v="2953"/>
    <s v="IN/002222"/>
    <s v="E19 SO BRECHT = STJOB A0010002"/>
    <s v="&lt;null&gt;"/>
    <s v="Structurele Ingreep"/>
    <s v="WA/INV/A1/6"/>
    <b v="0"/>
    <s v="Ingreep wordt niet opgevolgd in BOD"/>
    <s v="&lt;null&gt;"/>
    <s v="&lt;null&gt;"/>
    <s v="&lt;null&gt;"/>
    <s v="&lt;null&gt;"/>
    <s v="&lt;null&gt;"/>
    <x v="0"/>
    <s v="&lt;null&gt;"/>
    <s v="&lt;null&gt;"/>
    <s v="&lt;null&gt;"/>
    <s v="&lt;null&gt;"/>
    <s v="&lt;null&gt;"/>
    <s v="&lt;null&gt;"/>
    <s v="&lt;null&gt;"/>
    <s v="&lt;null&gt;"/>
    <s v="&lt;null&gt;"/>
    <m/>
    <m/>
    <m/>
    <m/>
  </r>
  <r>
    <x v="1551"/>
    <x v="1551"/>
    <s v="Verkeersveiligheid"/>
    <x v="4"/>
    <n v="2954"/>
    <s v="IN/002223"/>
    <s v="Aanpassing lichtenregeling conform actieplan"/>
    <s v="Ombouw afgestemd op herinrichting Sabbestraat door de stad."/>
    <s v="Kleine Ingreep"/>
    <s v="&lt;null&gt;"/>
    <b v="0"/>
    <s v="Ingreep wordt niet opgevolgd in BOD"/>
    <s v="&lt;null&gt;"/>
    <s v="&lt;null&gt;"/>
    <s v="&lt;null&gt;"/>
    <s v="&lt;null&gt;"/>
    <s v="&lt;null&gt;"/>
    <x v="0"/>
    <s v="&lt;null&gt;"/>
    <s v="&lt;null&gt;"/>
    <s v="&lt;null&gt;"/>
    <s v="&lt;null&gt;"/>
    <n v="100"/>
    <s v="&lt;null&gt;"/>
    <s v="&lt;null&gt;"/>
    <s v="&lt;null&gt;"/>
    <s v="&lt;null&gt;"/>
    <m/>
    <m/>
    <m/>
    <m/>
  </r>
  <r>
    <x v="546"/>
    <x v="546"/>
    <s v="Verkeersveiligheid"/>
    <x v="1"/>
    <n v="2955"/>
    <s v="IN/002224"/>
    <s v="Streefbeeldstudie N50 Oostkamp"/>
    <s v="&lt;null&gt;"/>
    <s v="Kleine Ingreep"/>
    <s v="&lt;null&gt;"/>
    <b v="0"/>
    <s v="Ingreep wordt niet opgevolgd in BOD"/>
    <s v="&lt;null&gt;"/>
    <s v="&lt;null&gt;"/>
    <s v="&lt;null&gt;"/>
    <s v="&lt;null&gt;"/>
    <s v="&lt;null&gt;"/>
    <x v="0"/>
    <s v="&lt;null&gt;"/>
    <s v="&lt;null&gt;"/>
    <s v="&lt;null&gt;"/>
    <s v="&lt;null&gt;"/>
    <n v="40"/>
    <s v="&lt;null&gt;"/>
    <s v="&lt;null&gt;"/>
    <s v="&lt;null&gt;"/>
    <s v="&lt;null&gt;"/>
    <m/>
    <m/>
    <m/>
    <m/>
  </r>
  <r>
    <x v="1552"/>
    <x v="1552"/>
    <s v="Verkeersveiligheid"/>
    <x v="4"/>
    <n v="2955"/>
    <s v="IN/002224"/>
    <s v="Streefbeeldstudie N50 Oostkamp"/>
    <s v="&lt;null&gt;"/>
    <s v="Kleine Ingreep"/>
    <s v="&lt;null&gt;"/>
    <b v="0"/>
    <s v="Ingreep wordt niet opgevolgd in BOD"/>
    <s v="&lt;null&gt;"/>
    <s v="&lt;null&gt;"/>
    <s v="&lt;null&gt;"/>
    <s v="&lt;null&gt;"/>
    <s v="&lt;null&gt;"/>
    <x v="0"/>
    <s v="&lt;null&gt;"/>
    <s v="&lt;null&gt;"/>
    <s v="&lt;null&gt;"/>
    <s v="&lt;null&gt;"/>
    <n v="10"/>
    <s v="&lt;null&gt;"/>
    <s v="&lt;null&gt;"/>
    <s v="&lt;null&gt;"/>
    <s v="&lt;null&gt;"/>
    <m/>
    <m/>
    <m/>
    <m/>
  </r>
  <r>
    <x v="707"/>
    <x v="707"/>
    <s v="Verkeersveiligheid"/>
    <x v="4"/>
    <n v="2955"/>
    <s v="IN/002224"/>
    <s v="Streefbeeldstudie N50 Oostkamp"/>
    <s v="&lt;null&gt;"/>
    <s v="Kleine Ingreep"/>
    <s v="&lt;null&gt;"/>
    <b v="0"/>
    <s v="Ingreep wordt niet opgevolgd in BOD"/>
    <s v="&lt;null&gt;"/>
    <s v="&lt;null&gt;"/>
    <s v="&lt;null&gt;"/>
    <s v="&lt;null&gt;"/>
    <s v="&lt;null&gt;"/>
    <x v="0"/>
    <s v="&lt;null&gt;"/>
    <s v="&lt;null&gt;"/>
    <s v="&lt;null&gt;"/>
    <s v="&lt;null&gt;"/>
    <n v="10"/>
    <s v="&lt;null&gt;"/>
    <s v="&lt;null&gt;"/>
    <s v="&lt;null&gt;"/>
    <s v="&lt;null&gt;"/>
    <m/>
    <m/>
    <m/>
    <m/>
  </r>
  <r>
    <x v="1553"/>
    <x v="1553"/>
    <s v="Verkeersveiligheid"/>
    <x v="1"/>
    <n v="2955"/>
    <s v="IN/002224"/>
    <s v="Streefbeeldstudie N50 Oostkamp"/>
    <s v="&lt;null&gt;"/>
    <s v="Kleine Ingreep"/>
    <s v="&lt;null&gt;"/>
    <b v="0"/>
    <s v="Ingreep wordt niet opgevolgd in BOD"/>
    <s v="&lt;null&gt;"/>
    <s v="&lt;null&gt;"/>
    <s v="&lt;null&gt;"/>
    <s v="&lt;null&gt;"/>
    <s v="&lt;null&gt;"/>
    <x v="0"/>
    <s v="&lt;null&gt;"/>
    <s v="&lt;null&gt;"/>
    <s v="&lt;null&gt;"/>
    <s v="&lt;null&gt;"/>
    <n v="40"/>
    <s v="&lt;null&gt;"/>
    <s v="&lt;null&gt;"/>
    <s v="&lt;null&gt;"/>
    <s v="&lt;null&gt;"/>
    <m/>
    <m/>
    <m/>
    <m/>
  </r>
  <r>
    <x v="1127"/>
    <x v="1127"/>
    <s v="Verkeersveiligheid"/>
    <x v="4"/>
    <n v="3002"/>
    <s v="IN/002225"/>
    <s v="SRK: N415 x N444 Gavere: tweede rij paaltjes plaatsen"/>
    <s v="Tweede rij paaltjes wordt aangebracht dichter bij de N415 om het afsnijden van de bocht komende van de N444 zuidzijde te vermijden"/>
    <s v="Kleine Ingreep"/>
    <s v="WOV/INV/N415/8"/>
    <b v="0"/>
    <s v="Ingreep wordt niet opgevolgd in BOD"/>
    <s v="&lt;null&gt;"/>
    <s v="&lt;null&gt;"/>
    <s v="&lt;null&gt;"/>
    <s v="&lt;null&gt;"/>
    <s v="&lt;null&gt;"/>
    <x v="0"/>
    <s v="&lt;null&gt;"/>
    <s v="&lt;null&gt;"/>
    <s v="&lt;null&gt;"/>
    <s v="&lt;null&gt;"/>
    <n v="100"/>
    <s v="&lt;null&gt;"/>
    <s v="&lt;null&gt;"/>
    <s v="&lt;null&gt;"/>
    <s v="&lt;null&gt;"/>
    <m/>
    <m/>
    <m/>
    <m/>
  </r>
  <r>
    <x v="1051"/>
    <x v="1051"/>
    <s v="Verkeersveiligheid"/>
    <x v="4"/>
    <n v="3003"/>
    <s v="IN/002226"/>
    <s v="SRK: N46 Herzele: fietssuggestiestroken en opschriften thv schoolomgeving"/>
    <s v="- Het AWV verwijdert de asmarkering, daar waar er geen fietspaden aanwezig zijn.\n- Het AWV brengt fietssuggestiestroken aan met een breedte van 1,75 m, daar waar er geen fietspaden aanwezig zijn.\n- Het AWV brengt het opschrift SCHOOL aan op de rijweg te"/>
    <s v="Kleine Ingreep"/>
    <s v="WOV/INV/N46/18"/>
    <b v="1"/>
    <s v="Ingreep wordt opgevolgd in BOD"/>
    <n v="11864"/>
    <s v="AWV/INV/2021/3_P4"/>
    <n v="110851"/>
    <n v="21065760"/>
    <s v="&lt;p&gt;Schoolrouteknelpunten (2021 (op 230))&lt;/p&gt;"/>
    <x v="23"/>
    <n v="10659"/>
    <s v="N46 - kmp 8.166 tot 8.371 - links en rechts - Herzele - Provincieweg - Vernieuwen fietssuggestiestrook (SRK)"/>
    <s v="&lt;p&gt;N46 - kmp 8.166 tot 8.371 - links en rechts - Herzele - Provincieweg - Vernieuwen fietssuggestiestrook&lt;/p&gt;"/>
    <s v="WOV/INV/N46/18"/>
    <n v="100"/>
    <n v="23600"/>
    <n v="0"/>
    <n v="0"/>
    <n v="23600"/>
    <n v="23600"/>
    <n v="0"/>
    <n v="0"/>
    <n v="23600"/>
  </r>
  <r>
    <x v="1100"/>
    <x v="1100"/>
    <s v="Verkeersveiligheid"/>
    <x v="4"/>
    <n v="3004"/>
    <s v="IN/002227"/>
    <s v="SRK: N9 Wetteren: Kwatrecht-station : bijkomende verticale signalisatie en vernieuwen rode slemlagen"/>
    <s v="- Het aanbrengen van bijkomende signalisatie in de vorm van aanwijzingsborden zodat de te volgen fietsroute duidelijker wordt.\n- Vernieuwen van de rode slemlagen op het kruispunt."/>
    <s v="Kleine Ingreep"/>
    <s v="WOV/INV/N9/33"/>
    <b v="1"/>
    <s v="Ingreep wordt opgevolgd in BOD"/>
    <n v="11864"/>
    <s v="AWV/INV/2021/3_P4"/>
    <n v="110851"/>
    <n v="21065760"/>
    <s v="&lt;p&gt;Schoolrouteknelpunten (2021 (op 230))&lt;/p&gt;"/>
    <x v="23"/>
    <n v="10669"/>
    <s v="Wetteren kruispunt N9 met N400; Thermoplastische markeringen vernieuwen (SRK)"/>
    <s v="&lt;p&gt;Wetteren kruispunt N9 met N400; Thermoplastische markeringen vernieuwen&lt;/p&gt;"/>
    <s v="WOV/INV/N9/33"/>
    <n v="100"/>
    <n v="2200"/>
    <n v="0"/>
    <n v="0"/>
    <n v="18.84"/>
    <n v="2200"/>
    <n v="0"/>
    <n v="0"/>
    <n v="18.84"/>
  </r>
  <r>
    <x v="18"/>
    <x v="18"/>
    <s v="&lt;null&gt;"/>
    <x v="3"/>
    <n v="3005"/>
    <s v="IN/002228"/>
    <s v="N9 - Herinrichting tussen Vaal"/>
    <s v="&lt;null&gt;"/>
    <s v="Structurele Ingreep"/>
    <s v="WVB/INV/N9/1"/>
    <b v="0"/>
    <s v="Ingreep wordt niet opgevolgd in BOD"/>
    <s v="&lt;null&gt;"/>
    <s v="&lt;null&gt;"/>
    <s v="&lt;null&gt;"/>
    <s v="&lt;null&gt;"/>
    <s v="&lt;null&gt;"/>
    <x v="0"/>
    <s v="&lt;null&gt;"/>
    <s v="&lt;null&gt;"/>
    <s v="&lt;null&gt;"/>
    <s v="&lt;null&gt;"/>
    <s v="&lt;null&gt;"/>
    <s v="&lt;null&gt;"/>
    <s v="&lt;null&gt;"/>
    <s v="&lt;null&gt;"/>
    <s v="&lt;null&gt;"/>
    <m/>
    <m/>
    <m/>
    <m/>
  </r>
  <r>
    <x v="1554"/>
    <x v="1554"/>
    <s v="Verkeersveiligheid"/>
    <x v="5"/>
    <n v="3006"/>
    <s v="IN/002229"/>
    <s v="Genk: N702 vernieuwen rotonde + inspectieputten"/>
    <s v="&lt;null&gt;"/>
    <s v="Kleine Ingreep"/>
    <s v="WL/INV/N702/6"/>
    <b v="1"/>
    <s v="Ingreep wordt opgevolgd in BOD"/>
    <n v="11585"/>
    <s v="WL/INV/2021/10_P1"/>
    <n v="131801"/>
    <n v="21066883"/>
    <s v="&lt;p&gt;werken van Gemoco in district Centraal&lt;/p&gt;"/>
    <x v="10"/>
    <n v="9018"/>
    <s v="Genk: N702 vernieuwen rotonde + inspectieputten"/>
    <s v="&lt;null&gt;"/>
    <s v="WL/INV/N702/6"/>
    <n v="100"/>
    <n v="100000"/>
    <n v="0"/>
    <n v="0"/>
    <n v="0"/>
    <n v="100000"/>
    <n v="0"/>
    <n v="0"/>
    <n v="0"/>
  </r>
  <r>
    <x v="1555"/>
    <x v="1555"/>
    <s v="Verkeersveiligheid"/>
    <x v="5"/>
    <n v="3007"/>
    <s v="IN/002230"/>
    <s v="Hasselt: N2 fietsoversteken"/>
    <s v="&lt;null&gt;"/>
    <s v="Kleine Ingreep"/>
    <s v="WL/INV/N2/17"/>
    <b v="1"/>
    <s v="Ingreep wordt opgevolgd in BOD"/>
    <n v="11588"/>
    <s v="WL/INV/2021/10_P4"/>
    <n v="131951"/>
    <n v="21066866"/>
    <s v="&lt;p&gt;werken van Martens in district Centraal&lt;/p&gt;"/>
    <x v="10"/>
    <n v="10212"/>
    <s v="Hasselt: N2 fietsoversteken"/>
    <s v="&lt;null&gt;"/>
    <s v="WL/INV/N2/17"/>
    <n v="50"/>
    <n v="99173.55"/>
    <n v="0"/>
    <n v="0"/>
    <n v="96361.53"/>
    <n v="49586.775000000001"/>
    <n v="0"/>
    <n v="0"/>
    <n v="48180.764999999999"/>
  </r>
  <r>
    <x v="1556"/>
    <x v="1556"/>
    <s v="Verkeersveiligheid"/>
    <x v="5"/>
    <n v="3007"/>
    <s v="IN/002230"/>
    <s v="Hasselt: N2 fietsoversteken"/>
    <s v="&lt;null&gt;"/>
    <s v="Kleine Ingreep"/>
    <s v="WL/INV/N2/17"/>
    <b v="1"/>
    <s v="Ingreep wordt opgevolgd in BOD"/>
    <n v="11588"/>
    <s v="WL/INV/2021/10_P4"/>
    <n v="131951"/>
    <n v="21066866"/>
    <s v="&lt;p&gt;werken van Martens in district Centraal&lt;/p&gt;"/>
    <x v="10"/>
    <n v="10212"/>
    <s v="Hasselt: N2 fietsoversteken"/>
    <s v="&lt;null&gt;"/>
    <s v="WL/INV/N2/17"/>
    <n v="50"/>
    <n v="99173.55"/>
    <n v="0"/>
    <n v="0"/>
    <n v="96361.53"/>
    <n v="49586.775000000001"/>
    <n v="0"/>
    <n v="0"/>
    <n v="48180.764999999999"/>
  </r>
  <r>
    <x v="1557"/>
    <x v="1557"/>
    <s v="Verkeersveiligheid"/>
    <x v="5"/>
    <n v="3008"/>
    <s v="IN/002231"/>
    <s v="Hoeselt: N730 verbeteren oversteekbaarheid"/>
    <s v="&lt;null&gt;"/>
    <s v="Kleine Ingreep"/>
    <s v="WL/INV/N730/26"/>
    <b v="1"/>
    <s v="Ingreep wordt opgevolgd in BOD"/>
    <n v="11569"/>
    <s v="WL/INV/2021/7_P1"/>
    <n v="131851"/>
    <n v="21067116"/>
    <s v="&lt;p&gt;werken van Gemoco in district Zuid&lt;/p&gt;"/>
    <x v="2"/>
    <n v="10215"/>
    <s v="Hoeselt: N730 oversteekbaarheid"/>
    <s v="&lt;null&gt;"/>
    <s v="WL/INV/N730/26"/>
    <n v="100"/>
    <n v="50000"/>
    <n v="0"/>
    <n v="0"/>
    <n v="47687"/>
    <n v="50000"/>
    <n v="0"/>
    <n v="0"/>
    <n v="47687"/>
  </r>
  <r>
    <x v="1558"/>
    <x v="1558"/>
    <s v="Verkeersveiligheid"/>
    <x v="5"/>
    <n v="3009"/>
    <s v="IN/002232"/>
    <s v="Heers: N743 fietsbruggen"/>
    <s v="&lt;null&gt;"/>
    <s v="Kleine Ingreep"/>
    <s v="WL/INV/N743/2"/>
    <b v="1"/>
    <s v="Ingreep wordt opgevolgd in BOD"/>
    <n v="11572"/>
    <s v="WL/INV/2021/7_P4"/>
    <n v="131751"/>
    <n v="21067929"/>
    <s v="&lt;p&gt;werken van van de Kreeke in district Zuid&lt;/p&gt;"/>
    <x v="2"/>
    <n v="10216"/>
    <s v="Heers: N743 fietsbruggen"/>
    <s v="&lt;null&gt;"/>
    <s v="WL/INV/N743/2"/>
    <n v="100"/>
    <n v="72000"/>
    <n v="0"/>
    <n v="0"/>
    <n v="71533.66"/>
    <n v="72000"/>
    <n v="0"/>
    <n v="0"/>
    <n v="71533.66"/>
  </r>
  <r>
    <x v="1559"/>
    <x v="1559"/>
    <s v="Verkeersveiligheid"/>
    <x v="5"/>
    <n v="3010"/>
    <s v="IN/002233"/>
    <s v="Peer: N73 verzakking overgang asfalt-beton"/>
    <s v="&lt;null&gt;"/>
    <s v="Kleine Ingreep"/>
    <s v="WL/INV/N73/27"/>
    <b v="1"/>
    <s v="Ingreep wordt opgevolgd in BOD"/>
    <n v="11584"/>
    <s v="WL/INV/2021/9_P5"/>
    <n v="110751"/>
    <n v="21066905"/>
    <s v="&lt;p&gt;werken van Van de Kreeke in district Oost&lt;/p&gt;"/>
    <x v="10"/>
    <n v="7527"/>
    <s v="Peer: N73 verzakking overgang asfalt-beton"/>
    <s v="&lt;null&gt;"/>
    <s v="WL/INV/N73/27"/>
    <n v="100"/>
    <n v="66404.95"/>
    <n v="0"/>
    <n v="0"/>
    <n v="38701.769999999997"/>
    <n v="66404.95"/>
    <n v="0"/>
    <n v="0"/>
    <n v="38701.769999999997"/>
  </r>
  <r>
    <x v="1560"/>
    <x v="1560"/>
    <s v="Verkeersveiligheid"/>
    <x v="5"/>
    <n v="3011"/>
    <s v="IN/002234"/>
    <s v="Heusden-Zolder: E314 x Weyerman voetpaden brug"/>
    <s v="&lt;null&gt;"/>
    <s v="Kleine Ingreep"/>
    <s v="&lt;null&gt;"/>
    <b v="0"/>
    <s v="Ingreep wordt niet opgevolgd in BOD"/>
    <s v="&lt;null&gt;"/>
    <s v="&lt;null&gt;"/>
    <s v="&lt;null&gt;"/>
    <s v="&lt;null&gt;"/>
    <s v="&lt;null&gt;"/>
    <x v="0"/>
    <s v="&lt;null&gt;"/>
    <s v="&lt;null&gt;"/>
    <s v="&lt;null&gt;"/>
    <s v="&lt;null&gt;"/>
    <n v="100"/>
    <s v="&lt;null&gt;"/>
    <s v="&lt;null&gt;"/>
    <s v="&lt;null&gt;"/>
    <s v="&lt;null&gt;"/>
    <m/>
    <m/>
    <m/>
    <m/>
  </r>
  <r>
    <x v="1561"/>
    <x v="1561"/>
    <s v="Verkeersveiligheid"/>
    <x v="5"/>
    <n v="3012"/>
    <s v="IN/002235"/>
    <s v="Borgloon: N79 verzakking Rijkel"/>
    <s v="&lt;null&gt;"/>
    <s v="Kleine Ingreep"/>
    <s v="WL/INV/N79/10"/>
    <b v="1"/>
    <s v="Ingreep wordt opgevolgd in BOD"/>
    <n v="11570"/>
    <s v="WL/INV/2021/7_P2"/>
    <n v="125401"/>
    <n v="21067119"/>
    <s v="&lt;p&gt;werken van Grizaco in district Zuid&lt;/p&gt;"/>
    <x v="2"/>
    <n v="10217"/>
    <s v="Borgloon: N79 verzakking Rijkel"/>
    <s v="&lt;null&gt;"/>
    <s v="WL/INV/N79/10"/>
    <n v="100"/>
    <n v="100000"/>
    <n v="0"/>
    <n v="0"/>
    <n v="99250"/>
    <n v="100000"/>
    <n v="0"/>
    <n v="0"/>
    <n v="99250"/>
  </r>
  <r>
    <x v="1562"/>
    <x v="1562"/>
    <s v="Verkeersveiligheid"/>
    <x v="5"/>
    <n v="3013"/>
    <s v="IN/002236"/>
    <s v="Borgloon: N79 verzakking Gotem"/>
    <s v="&lt;null&gt;"/>
    <s v="Kleine Ingreep"/>
    <s v="WL/INV/N79/11"/>
    <b v="1"/>
    <s v="Ingreep wordt opgevolgd in BOD"/>
    <n v="11570"/>
    <s v="WL/INV/2021/7_P2"/>
    <n v="125401"/>
    <n v="21067119"/>
    <s v="&lt;p&gt;werken van Grizaco in district Zuid&lt;/p&gt;"/>
    <x v="2"/>
    <n v="8579"/>
    <s v="Borgloon: N79 verzakking Gotem"/>
    <s v="&lt;null&gt;"/>
    <s v="WL/INV/N79/11"/>
    <n v="100"/>
    <n v="74341.600000000006"/>
    <n v="0"/>
    <n v="0"/>
    <n v="73591.600000000006"/>
    <n v="74341.600000000006"/>
    <n v="0"/>
    <n v="0"/>
    <n v="73591.600000000006"/>
  </r>
  <r>
    <x v="1563"/>
    <x v="1563"/>
    <s v="Verkeersveiligheid"/>
    <x v="5"/>
    <n v="3014"/>
    <s v="IN/002237"/>
    <s v="Borgloon: N79 doorstromingsknelpunt"/>
    <s v="&lt;null&gt;"/>
    <s v="Kleine Ingreep"/>
    <s v="WL/INV/N79/12"/>
    <b v="1"/>
    <s v="Ingreep wordt opgevolgd in BOD"/>
    <n v="11573"/>
    <s v="WL/INV/2021/7_P5"/>
    <n v="131401"/>
    <n v="21068770"/>
    <s v="&lt;p&gt;werken van Martens in district Zuid&lt;/p&gt;"/>
    <x v="2"/>
    <n v="9003"/>
    <s v="Borgloon: N79 doorstromingsknelpunt"/>
    <s v="&lt;null&gt;"/>
    <s v="WL/INV/N79/12"/>
    <n v="100"/>
    <n v="0"/>
    <n v="0"/>
    <n v="0"/>
    <n v="0"/>
    <n v="0"/>
    <n v="0"/>
    <n v="0"/>
    <n v="0"/>
  </r>
  <r>
    <x v="1564"/>
    <x v="1564"/>
    <s v="Verkeersveiligheid"/>
    <x v="5"/>
    <n v="3015"/>
    <s v="IN/002238"/>
    <s v="Bilzen: N745 verzakking thv nutsdoorsteek"/>
    <s v="&lt;null&gt;"/>
    <s v="Kleine Ingreep"/>
    <s v="WL/INV/N745/3"/>
    <b v="1"/>
    <s v="Ingreep wordt opgevolgd in BOD"/>
    <n v="11572"/>
    <s v="WL/INV/2021/7_P4"/>
    <n v="131751"/>
    <n v="21067929"/>
    <s v="&lt;p&gt;werken van van de Kreeke in district Zuid&lt;/p&gt;"/>
    <x v="2"/>
    <n v="9015"/>
    <s v="Bilzen: N745 verzakking thv nutsdoorsteek"/>
    <s v="&lt;null&gt;"/>
    <s v="WL/INV/N745/3"/>
    <n v="100"/>
    <n v="116.18"/>
    <n v="0"/>
    <n v="0"/>
    <n v="0"/>
    <n v="116.18"/>
    <n v="0"/>
    <n v="0"/>
    <n v="0"/>
  </r>
  <r>
    <x v="1565"/>
    <x v="1565"/>
    <s v="Stimuleren Combimobiliteit"/>
    <x v="7"/>
    <n v="3016"/>
    <s v="IN/002239"/>
    <s v="combimobiliteit Craenenplein"/>
    <s v="aanleg uitstulpende halte + inrichting hoppinpunt"/>
    <s v="Kleine Ingreep"/>
    <s v="WVB/INV/N2/24"/>
    <b v="0"/>
    <s v="Ingreep wordt niet opgevolgd in BOD"/>
    <s v="&lt;null&gt;"/>
    <s v="&lt;null&gt;"/>
    <s v="&lt;null&gt;"/>
    <s v="&lt;null&gt;"/>
    <s v="&lt;null&gt;"/>
    <x v="0"/>
    <s v="&lt;null&gt;"/>
    <s v="&lt;null&gt;"/>
    <s v="&lt;null&gt;"/>
    <s v="&lt;null&gt;"/>
    <n v="80"/>
    <s v="&lt;null&gt;"/>
    <s v="&lt;null&gt;"/>
    <s v="&lt;null&gt;"/>
    <s v="&lt;null&gt;"/>
    <m/>
    <m/>
    <m/>
    <m/>
  </r>
  <r>
    <x v="1566"/>
    <x v="1566"/>
    <s v="Stimuleren Combimobiliteit"/>
    <x v="2"/>
    <n v="3016"/>
    <s v="IN/002239"/>
    <s v="combimobiliteit Craenenplein"/>
    <s v="aanleg uitstulpende halte + inrichting hoppinpunt"/>
    <s v="Kleine Ingreep"/>
    <s v="WVB/INV/N2/24"/>
    <b v="0"/>
    <s v="Ingreep wordt niet opgevolgd in BOD"/>
    <s v="&lt;null&gt;"/>
    <s v="&lt;null&gt;"/>
    <s v="&lt;null&gt;"/>
    <s v="&lt;null&gt;"/>
    <s v="&lt;null&gt;"/>
    <x v="0"/>
    <s v="&lt;null&gt;"/>
    <s v="&lt;null&gt;"/>
    <s v="&lt;null&gt;"/>
    <s v="&lt;null&gt;"/>
    <n v="20"/>
    <s v="&lt;null&gt;"/>
    <s v="&lt;null&gt;"/>
    <s v="&lt;null&gt;"/>
    <s v="&lt;null&gt;"/>
    <m/>
    <m/>
    <m/>
    <m/>
  </r>
  <r>
    <x v="1567"/>
    <x v="1567"/>
    <s v="Verkeersveiligheid"/>
    <x v="4"/>
    <n v="3017"/>
    <s v="IN/002240"/>
    <s v="N493  aanleggen fiets en voetpaden"/>
    <s v="Vernieuwen en verbreden van de fietspaden, aanleg van voetpaden in functie van de zwakke weggebruiker"/>
    <s v="Kleine Ingreep"/>
    <s v="&lt;null&gt;"/>
    <b v="0"/>
    <s v="Ingreep wordt niet opgevolgd in BOD"/>
    <s v="&lt;null&gt;"/>
    <s v="&lt;null&gt;"/>
    <s v="&lt;null&gt;"/>
    <s v="&lt;null&gt;"/>
    <s v="&lt;null&gt;"/>
    <x v="0"/>
    <s v="&lt;null&gt;"/>
    <s v="&lt;null&gt;"/>
    <s v="&lt;null&gt;"/>
    <s v="&lt;null&gt;"/>
    <n v="100"/>
    <s v="&lt;null&gt;"/>
    <s v="&lt;null&gt;"/>
    <s v="&lt;null&gt;"/>
    <s v="&lt;null&gt;"/>
    <m/>
    <m/>
    <m/>
    <m/>
  </r>
  <r>
    <x v="1359"/>
    <x v="1359"/>
    <s v="Verkeersveiligheid"/>
    <x v="4"/>
    <n v="3018"/>
    <s v="IN/002241"/>
    <s v="SRK: N445 Laarne: VVOP"/>
    <s v="&lt;null&gt;"/>
    <s v="Kleine Ingreep"/>
    <s v="WOV/INV/N445/8"/>
    <b v="0"/>
    <s v="Ingreep wordt niet opgevolgd in BOD"/>
    <s v="&lt;null&gt;"/>
    <s v="&lt;null&gt;"/>
    <s v="&lt;null&gt;"/>
    <s v="&lt;null&gt;"/>
    <s v="&lt;null&gt;"/>
    <x v="0"/>
    <s v="&lt;null&gt;"/>
    <s v="&lt;null&gt;"/>
    <s v="&lt;null&gt;"/>
    <s v="&lt;null&gt;"/>
    <n v="100"/>
    <s v="&lt;null&gt;"/>
    <s v="&lt;null&gt;"/>
    <s v="&lt;null&gt;"/>
    <s v="&lt;null&gt;"/>
    <m/>
    <m/>
    <m/>
    <m/>
  </r>
  <r>
    <x v="18"/>
    <x v="18"/>
    <s v="&lt;null&gt;"/>
    <x v="3"/>
    <n v="3019"/>
    <s v="IN/002242"/>
    <s v="N285 Ternat hoppinpunt en doorstroming"/>
    <s v="&lt;null&gt;"/>
    <s v="Structurele Ingreep"/>
    <s v="WVB/INV/N285/11"/>
    <b v="0"/>
    <s v="Ingreep wordt niet opgevolgd in BOD"/>
    <s v="&lt;null&gt;"/>
    <s v="&lt;null&gt;"/>
    <s v="&lt;null&gt;"/>
    <s v="&lt;null&gt;"/>
    <s v="&lt;null&gt;"/>
    <x v="0"/>
    <s v="&lt;null&gt;"/>
    <s v="&lt;null&gt;"/>
    <s v="&lt;null&gt;"/>
    <s v="&lt;null&gt;"/>
    <s v="&lt;null&gt;"/>
    <s v="&lt;null&gt;"/>
    <s v="&lt;null&gt;"/>
    <s v="&lt;null&gt;"/>
    <s v="&lt;null&gt;"/>
    <m/>
    <m/>
    <m/>
    <m/>
  </r>
  <r>
    <x v="1121"/>
    <x v="1121"/>
    <s v="Verkeersveiligheid"/>
    <x v="4"/>
    <n v="3020"/>
    <s v="IN/002243"/>
    <s v="N460 -  schoolroute - VVOP"/>
    <s v="Plaatsen van punctuele verlichting"/>
    <s v="Kleine Ingreep"/>
    <s v="WOV/INV/N460/13"/>
    <b v="0"/>
    <s v="Ingreep wordt niet opgevolgd in BOD"/>
    <s v="&lt;null&gt;"/>
    <s v="&lt;null&gt;"/>
    <s v="&lt;null&gt;"/>
    <s v="&lt;null&gt;"/>
    <s v="&lt;null&gt;"/>
    <x v="0"/>
    <s v="&lt;null&gt;"/>
    <s v="&lt;null&gt;"/>
    <s v="&lt;null&gt;"/>
    <s v="&lt;null&gt;"/>
    <n v="100"/>
    <s v="&lt;null&gt;"/>
    <s v="&lt;null&gt;"/>
    <s v="&lt;null&gt;"/>
    <s v="&lt;null&gt;"/>
    <m/>
    <m/>
    <m/>
    <m/>
  </r>
  <r>
    <x v="1103"/>
    <x v="1103"/>
    <s v="Verkeersveiligheid"/>
    <x v="4"/>
    <n v="3021"/>
    <s v="IN/002244"/>
    <s v="N491 - Kruibeke -schoolroute - VVOP"/>
    <s v="Plaatsen van punctuele verlichting en kleine aanpassing aan de oversteek volgens rapport."/>
    <s v="Kleine Ingreep"/>
    <s v="&lt;null&gt;"/>
    <b v="0"/>
    <s v="Ingreep wordt niet opgevolgd in BOD"/>
    <s v="&lt;null&gt;"/>
    <s v="&lt;null&gt;"/>
    <s v="&lt;null&gt;"/>
    <s v="&lt;null&gt;"/>
    <s v="&lt;null&gt;"/>
    <x v="0"/>
    <s v="&lt;null&gt;"/>
    <s v="&lt;null&gt;"/>
    <s v="&lt;null&gt;"/>
    <s v="&lt;null&gt;"/>
    <n v="100"/>
    <s v="&lt;null&gt;"/>
    <s v="&lt;null&gt;"/>
    <s v="&lt;null&gt;"/>
    <s v="&lt;null&gt;"/>
    <m/>
    <m/>
    <m/>
    <m/>
  </r>
  <r>
    <x v="1143"/>
    <x v="1143"/>
    <s v="Verkeersveiligheid"/>
    <x v="4"/>
    <n v="3022"/>
    <s v="IN/002245"/>
    <s v="N406 - Gijzegem - uitvoeren V-plan"/>
    <s v="&lt;null&gt;"/>
    <s v="Kleine Ingreep"/>
    <s v="&lt;null&gt;"/>
    <b v="0"/>
    <s v="Ingreep wordt niet opgevolgd in BOD"/>
    <s v="&lt;null&gt;"/>
    <s v="&lt;null&gt;"/>
    <s v="&lt;null&gt;"/>
    <s v="&lt;null&gt;"/>
    <s v="&lt;null&gt;"/>
    <x v="0"/>
    <s v="&lt;null&gt;"/>
    <s v="&lt;null&gt;"/>
    <s v="&lt;null&gt;"/>
    <s v="&lt;null&gt;"/>
    <n v="100"/>
    <s v="&lt;null&gt;"/>
    <s v="&lt;null&gt;"/>
    <s v="&lt;null&gt;"/>
    <s v="&lt;null&gt;"/>
    <m/>
    <m/>
    <m/>
    <m/>
  </r>
  <r>
    <x v="1568"/>
    <x v="1568"/>
    <s v="Stimuleren Combimobiliteit"/>
    <x v="7"/>
    <n v="3023"/>
    <s v="IN/002246"/>
    <s v="Aanpassen bushalte N70 thv kp 3.7 - 3.6"/>
    <s v="Op aanvraag van De Lijn wordt de bushalte 1 lange haltehaven ipv 2 haltehavens"/>
    <s v="Kleine Ingreep"/>
    <s v="WOV/INV/N70/16"/>
    <b v="1"/>
    <s v="Ingreep wordt opgevolgd in BOD"/>
    <n v="11864"/>
    <s v="AWV/INV/2021/3_P4"/>
    <n v="110951"/>
    <n v="21069485"/>
    <s v="&lt;p&gt;Combimobiliteitsfonds (2021 en 2022 (op 032))&lt;/p&gt;"/>
    <x v="25"/>
    <n v="10231"/>
    <s v="N70 aanpassen haltehaven van 2 haltes naar 1 halte"/>
    <s v="&lt;p&gt;Op aanvraag van De Lijn wordt de bushalte 1 lange haltehaven ipv 2 haltehavens&lt;/p&gt;"/>
    <s v="WOV/INV/N70/16"/>
    <n v="100"/>
    <n v="9600"/>
    <n v="0"/>
    <n v="0"/>
    <n v="82.59"/>
    <n v="9600"/>
    <n v="0"/>
    <n v="0"/>
    <n v="82.59"/>
  </r>
  <r>
    <x v="1147"/>
    <x v="1147"/>
    <s v="Verkeersveiligheid"/>
    <x v="4"/>
    <n v="3024"/>
    <s v="IN/002247"/>
    <s v="SRK: N495 Geraardsbergen: aanpassen markeringen Zonnebloemlaan"/>
    <s v="aanpassen markeringen ter hoogte van Zonnebloemlaan en Gentweg"/>
    <s v="Kleine Ingreep"/>
    <s v="WOV/INV/N495/9"/>
    <b v="1"/>
    <s v="Ingreep wordt opgevolgd in BOD"/>
    <n v="11864"/>
    <s v="AWV/INV/2021/3_P4"/>
    <n v="110851"/>
    <n v="21065760"/>
    <s v="&lt;p&gt;Schoolrouteknelpunten (2021 (op 230))&lt;/p&gt;"/>
    <x v="23"/>
    <n v="10655"/>
    <s v="Aanpassen markering thv N495 Zonnebloemlaan / G ... tsestraat   kmpt 0,208  Links en Rechts KP 1642"/>
    <s v="&lt;p&gt;Aanpassen markering thv N495 Zonnebloemlaan / G ... tsestraat kmpt 0,208 Links en Rechts KP 1642&lt;/p&gt;"/>
    <s v="WOV/INV/N495/9"/>
    <n v="100"/>
    <n v="9000"/>
    <n v="0"/>
    <n v="0"/>
    <n v="124.05"/>
    <n v="9000"/>
    <n v="0"/>
    <n v="0"/>
    <n v="124.05"/>
  </r>
  <r>
    <x v="1146"/>
    <x v="1146"/>
    <s v="Verkeersveiligheid"/>
    <x v="4"/>
    <n v="3025"/>
    <s v="IN/002248"/>
    <s v="SRK: N495 Geraardsbergen: aanpassen markeringen"/>
    <s v="aanbrengen fietspadmarkering en verwijderen afslagstrook"/>
    <s v="Kleine Ingreep"/>
    <s v="WOV/INV/N495/8"/>
    <b v="1"/>
    <s v="Ingreep wordt opgevolgd in BOD"/>
    <n v="11864"/>
    <s v="AWV/INV/2021/3_P4"/>
    <n v="110851"/>
    <n v="21065760"/>
    <s v="&lt;p&gt;Schoolrouteknelpunten (2021 (op 230))&lt;/p&gt;"/>
    <x v="23"/>
    <n v="10654"/>
    <s v="Aanpassen markering thv N495 Edingseweg  / Onkerzelestraat  kmpt 1,668 Links"/>
    <s v="&lt;p&gt;Aanpassen markering thv N495 Edingseweg / Onkerzelestraat kmpt 1,668 Links&lt;/p&gt;"/>
    <s v="WOV/INV/N495/8"/>
    <n v="100"/>
    <n v="3000"/>
    <n v="0"/>
    <n v="0"/>
    <n v="194.82"/>
    <n v="3000"/>
    <n v="0"/>
    <n v="0"/>
    <n v="194.82"/>
  </r>
  <r>
    <x v="1569"/>
    <x v="1569"/>
    <s v="Verkeersveiligheid"/>
    <x v="1"/>
    <n v="3026"/>
    <s v="IN/002249"/>
    <s v="N71 Lommel Overkapping Singel thv Stationstraat"/>
    <s v="&lt;null&gt;"/>
    <s v="Structurele Ingreep"/>
    <s v="WL/INV/N71/2"/>
    <b v="0"/>
    <s v="Ingreep wordt niet opgevolgd in BOD"/>
    <s v="&lt;null&gt;"/>
    <s v="&lt;null&gt;"/>
    <s v="&lt;null&gt;"/>
    <s v="&lt;null&gt;"/>
    <s v="&lt;null&gt;"/>
    <x v="0"/>
    <s v="&lt;null&gt;"/>
    <s v="&lt;null&gt;"/>
    <s v="&lt;null&gt;"/>
    <s v="&lt;null&gt;"/>
    <n v="100"/>
    <s v="&lt;null&gt;"/>
    <s v="&lt;null&gt;"/>
    <s v="&lt;null&gt;"/>
    <s v="&lt;null&gt;"/>
    <m/>
    <m/>
    <m/>
    <m/>
  </r>
  <r>
    <x v="1570"/>
    <x v="1570"/>
    <s v="Verkeersveiligheid"/>
    <x v="4"/>
    <n v="3027"/>
    <s v="IN/002250"/>
    <s v="Studie op te starten (verwacht 2022)"/>
    <s v="&lt;null&gt;"/>
    <s v="Kleine Ingreep"/>
    <s v="&lt;null&gt;"/>
    <b v="0"/>
    <s v="Ingreep wordt niet opgevolgd in BOD"/>
    <s v="&lt;null&gt;"/>
    <s v="&lt;null&gt;"/>
    <s v="&lt;null&gt;"/>
    <s v="&lt;null&gt;"/>
    <s v="&lt;null&gt;"/>
    <x v="0"/>
    <s v="&lt;null&gt;"/>
    <s v="&lt;null&gt;"/>
    <s v="&lt;null&gt;"/>
    <s v="&lt;null&gt;"/>
    <n v="100"/>
    <s v="&lt;null&gt;"/>
    <s v="&lt;null&gt;"/>
    <s v="&lt;null&gt;"/>
    <s v="&lt;null&gt;"/>
    <m/>
    <m/>
    <m/>
    <m/>
  </r>
  <r>
    <x v="1571"/>
    <x v="1571"/>
    <s v="Verkeersveiligheid"/>
    <x v="4"/>
    <n v="3028"/>
    <s v="IN/002251"/>
    <s v="Studietraject op te starten (verwacht 2022)"/>
    <s v="&lt;null&gt;"/>
    <s v="Kleine Ingreep"/>
    <s v="&lt;null&gt;"/>
    <b v="0"/>
    <s v="Ingreep wordt niet opgevolgd in BOD"/>
    <s v="&lt;null&gt;"/>
    <s v="&lt;null&gt;"/>
    <s v="&lt;null&gt;"/>
    <s v="&lt;null&gt;"/>
    <s v="&lt;null&gt;"/>
    <x v="0"/>
    <s v="&lt;null&gt;"/>
    <s v="&lt;null&gt;"/>
    <s v="&lt;null&gt;"/>
    <s v="&lt;null&gt;"/>
    <n v="100"/>
    <s v="&lt;null&gt;"/>
    <s v="&lt;null&gt;"/>
    <s v="&lt;null&gt;"/>
    <s v="&lt;null&gt;"/>
    <m/>
    <m/>
    <m/>
    <m/>
  </r>
  <r>
    <x v="1572"/>
    <x v="1572"/>
    <s v="Verkeersveiligheid"/>
    <x v="4"/>
    <n v="3029"/>
    <s v="IN/002252"/>
    <s v="Studietraject op te starten (verwacht 2022)"/>
    <s v="&lt;null&gt;"/>
    <s v="Kleine Ingreep"/>
    <s v="&lt;null&gt;"/>
    <b v="0"/>
    <s v="Ingreep wordt niet opgevolgd in BOD"/>
    <s v="&lt;null&gt;"/>
    <s v="&lt;null&gt;"/>
    <s v="&lt;null&gt;"/>
    <s v="&lt;null&gt;"/>
    <s v="&lt;null&gt;"/>
    <x v="0"/>
    <s v="&lt;null&gt;"/>
    <s v="&lt;null&gt;"/>
    <s v="&lt;null&gt;"/>
    <s v="&lt;null&gt;"/>
    <n v="100"/>
    <s v="&lt;null&gt;"/>
    <s v="&lt;null&gt;"/>
    <s v="&lt;null&gt;"/>
    <s v="&lt;null&gt;"/>
    <m/>
    <m/>
    <m/>
    <m/>
  </r>
  <r>
    <x v="1573"/>
    <x v="1573"/>
    <s v="Verkeersveiligheid"/>
    <x v="4"/>
    <n v="3030"/>
    <s v="IN/002253"/>
    <s v="Klinkers vervangen door asfalt"/>
    <s v="&lt;null&gt;"/>
    <s v="Kleine Ingreep"/>
    <s v="WL/INV/N757/2"/>
    <b v="0"/>
    <s v="Ingreep wordt niet opgevolgd in BOD"/>
    <s v="&lt;null&gt;"/>
    <s v="&lt;null&gt;"/>
    <s v="&lt;null&gt;"/>
    <s v="&lt;null&gt;"/>
    <s v="&lt;null&gt;"/>
    <x v="0"/>
    <s v="&lt;null&gt;"/>
    <s v="&lt;null&gt;"/>
    <s v="&lt;null&gt;"/>
    <s v="&lt;null&gt;"/>
    <n v="100"/>
    <s v="&lt;null&gt;"/>
    <s v="&lt;null&gt;"/>
    <s v="&lt;null&gt;"/>
    <s v="&lt;null&gt;"/>
    <m/>
    <m/>
    <m/>
    <m/>
  </r>
  <r>
    <x v="18"/>
    <x v="18"/>
    <s v="&lt;null&gt;"/>
    <x v="3"/>
    <n v="3031"/>
    <s v="IN/002254"/>
    <s v="N012 - MALLE - RING Fase 2 en 3 X10_N12_66"/>
    <s v="&lt;null&gt;"/>
    <s v="Structurele Ingreep"/>
    <s v="WA/INV/N12/2"/>
    <b v="0"/>
    <s v="Ingreep wordt niet opgevolgd in BOD"/>
    <s v="&lt;null&gt;"/>
    <s v="&lt;null&gt;"/>
    <s v="&lt;null&gt;"/>
    <s v="&lt;null&gt;"/>
    <s v="&lt;null&gt;"/>
    <x v="0"/>
    <s v="&lt;null&gt;"/>
    <s v="&lt;null&gt;"/>
    <s v="&lt;null&gt;"/>
    <s v="&lt;null&gt;"/>
    <s v="&lt;null&gt;"/>
    <s v="&lt;null&gt;"/>
    <s v="&lt;null&gt;"/>
    <s v="&lt;null&gt;"/>
    <s v="&lt;null&gt;"/>
    <m/>
    <m/>
    <m/>
    <m/>
  </r>
  <r>
    <x v="18"/>
    <x v="18"/>
    <s v="&lt;null&gt;"/>
    <x v="3"/>
    <n v="3032"/>
    <s v="IN/002255"/>
    <s v="N437 St-Martens-Latem heraanleg Pontstraat"/>
    <s v="&lt;null&gt;"/>
    <s v="Structurele Ingreep"/>
    <s v="WOV/INV/N437/1"/>
    <b v="0"/>
    <s v="Ingreep wordt niet opgevolgd in BOD"/>
    <s v="&lt;null&gt;"/>
    <s v="&lt;null&gt;"/>
    <s v="&lt;null&gt;"/>
    <s v="&lt;null&gt;"/>
    <s v="&lt;null&gt;"/>
    <x v="0"/>
    <s v="&lt;null&gt;"/>
    <s v="&lt;null&gt;"/>
    <s v="&lt;null&gt;"/>
    <s v="&lt;null&gt;"/>
    <s v="&lt;null&gt;"/>
    <s v="&lt;null&gt;"/>
    <s v="&lt;null&gt;"/>
    <s v="&lt;null&gt;"/>
    <s v="&lt;null&gt;"/>
    <m/>
    <m/>
    <m/>
    <m/>
  </r>
  <r>
    <x v="1574"/>
    <x v="1574"/>
    <s v="Verkeersveiligheid"/>
    <x v="1"/>
    <n v="3033"/>
    <s v="IN/002256"/>
    <s v="Herinrichting en gewijzigd V-plan"/>
    <s v="&lt;null&g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3034"/>
    <s v="IN/002257"/>
    <s v="Ombouw volgens actieplan slimme verkeerslichten"/>
    <s v="&lt;null&gt;"/>
    <s v="Kleine Ingreep"/>
    <s v="&lt;null&gt;"/>
    <b v="0"/>
    <s v="Ingreep wordt niet opgevolgd in BOD"/>
    <s v="&lt;null&gt;"/>
    <s v="&lt;null&gt;"/>
    <s v="&lt;null&gt;"/>
    <s v="&lt;null&gt;"/>
    <s v="&lt;null&gt;"/>
    <x v="0"/>
    <s v="&lt;null&gt;"/>
    <s v="&lt;null&gt;"/>
    <s v="&lt;null&gt;"/>
    <s v="&lt;null&gt;"/>
    <s v="&lt;null&gt;"/>
    <s v="&lt;null&gt;"/>
    <s v="&lt;null&gt;"/>
    <s v="&lt;null&gt;"/>
    <s v="&lt;null&gt;"/>
    <m/>
    <m/>
    <m/>
    <m/>
  </r>
  <r>
    <x v="1575"/>
    <x v="1575"/>
    <s v="Verkeersveiligheid"/>
    <x v="1"/>
    <n v="3035"/>
    <s v="IN/002258"/>
    <s v="Aanpak kruispunt + Wegdek"/>
    <s v="&lt;null&gt;"/>
    <s v="Kleine Ingreep"/>
    <s v="WA/INV/N1/26"/>
    <b v="0"/>
    <s v="Ingreep wordt niet opgevolgd in BOD"/>
    <s v="&lt;null&gt;"/>
    <s v="&lt;null&gt;"/>
    <s v="&lt;null&gt;"/>
    <s v="&lt;null&gt;"/>
    <s v="&lt;null&gt;"/>
    <x v="0"/>
    <s v="&lt;null&gt;"/>
    <s v="&lt;null&gt;"/>
    <s v="&lt;null&gt;"/>
    <s v="&lt;null&gt;"/>
    <n v="100"/>
    <s v="&lt;null&gt;"/>
    <s v="&lt;null&gt;"/>
    <s v="&lt;null&gt;"/>
    <s v="&lt;null&gt;"/>
    <m/>
    <m/>
    <m/>
    <m/>
  </r>
  <r>
    <x v="1576"/>
    <x v="1576"/>
    <s v="Verkeersveiligheid"/>
    <x v="1"/>
    <n v="3036"/>
    <s v="IN/002259"/>
    <s v="Quick wins"/>
    <s v="- snelheidsverlaging naar 70 (uitgevoerd januari 2021)\n- aanpassing markeringen (uitgevoerd 2020)\n- verbreden FOP's (uitgevoerd september 2021)"/>
    <s v="Kleine Ingreep"/>
    <s v="WL/INV/N76/30"/>
    <b v="0"/>
    <s v="Ingreep wordt niet opgevolgd in BOD"/>
    <s v="&lt;null&gt;"/>
    <s v="&lt;null&gt;"/>
    <s v="&lt;null&gt;"/>
    <s v="&lt;null&gt;"/>
    <s v="&lt;null&gt;"/>
    <x v="0"/>
    <s v="&lt;null&gt;"/>
    <s v="&lt;null&gt;"/>
    <s v="&lt;null&gt;"/>
    <s v="&lt;null&gt;"/>
    <n v="100"/>
    <s v="&lt;null&gt;"/>
    <s v="&lt;null&gt;"/>
    <s v="&lt;null&gt;"/>
    <s v="&lt;null&gt;"/>
    <m/>
    <m/>
    <m/>
    <m/>
  </r>
  <r>
    <x v="1576"/>
    <x v="1576"/>
    <s v="Verkeersveiligheid"/>
    <x v="1"/>
    <n v="3037"/>
    <s v="IN/002260"/>
    <s v="Trajectcontrole N76"/>
    <s v="&lt;null&g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3038"/>
    <s v="IN/002261"/>
    <s v="A1 MEER Aanleg fietspad douanecomplex"/>
    <s v="&lt;null&gt;"/>
    <s v="Structurele Ingreep"/>
    <s v="WA/INV/A1/7"/>
    <b v="0"/>
    <s v="Ingreep wordt niet opgevolgd in BOD"/>
    <s v="&lt;null&gt;"/>
    <s v="&lt;null&gt;"/>
    <s v="&lt;null&gt;"/>
    <s v="&lt;null&gt;"/>
    <s v="&lt;null&gt;"/>
    <x v="0"/>
    <s v="&lt;null&gt;"/>
    <s v="&lt;null&gt;"/>
    <s v="&lt;null&gt;"/>
    <s v="&lt;null&gt;"/>
    <s v="&lt;null&gt;"/>
    <s v="&lt;null&gt;"/>
    <s v="&lt;null&gt;"/>
    <s v="&lt;null&gt;"/>
    <s v="&lt;null&gt;"/>
    <m/>
    <m/>
    <m/>
    <m/>
  </r>
  <r>
    <x v="18"/>
    <x v="18"/>
    <s v="&lt;null&gt;"/>
    <x v="3"/>
    <n v="3039"/>
    <s v="IN/002262"/>
    <s v="N117 ESSEN MOD13 Fietspad van tussen N122 en N133"/>
    <s v="&lt;null&gt;"/>
    <s v="Structurele Ingreep"/>
    <s v="WA/INV/N122/4"/>
    <b v="0"/>
    <s v="Ingreep wordt niet opgevolgd in BOD"/>
    <s v="&lt;null&gt;"/>
    <s v="&lt;null&gt;"/>
    <s v="&lt;null&gt;"/>
    <s v="&lt;null&gt;"/>
    <s v="&lt;null&gt;"/>
    <x v="0"/>
    <s v="&lt;null&gt;"/>
    <s v="&lt;null&gt;"/>
    <s v="&lt;null&gt;"/>
    <s v="&lt;null&gt;"/>
    <s v="&lt;null&gt;"/>
    <s v="&lt;null&gt;"/>
    <s v="&lt;null&gt;"/>
    <s v="&lt;null&gt;"/>
    <s v="&lt;null&gt;"/>
    <m/>
    <m/>
    <m/>
    <m/>
  </r>
  <r>
    <x v="1577"/>
    <x v="1577"/>
    <s v="Stimuleren Combimobiliteit"/>
    <x v="2"/>
    <n v="3040"/>
    <s v="IN/002263"/>
    <s v="N133 - WUUSTWEZEL - SO Fietspad/parking N111"/>
    <s v="&lt;null&gt;"/>
    <s v="Structurele Ingreep"/>
    <s v="WA/INV/N133/4"/>
    <b v="0"/>
    <s v="Ingreep wordt niet opgevolgd in BOD"/>
    <s v="&lt;null&gt;"/>
    <s v="&lt;null&gt;"/>
    <s v="&lt;null&gt;"/>
    <s v="&lt;null&gt;"/>
    <s v="&lt;null&gt;"/>
    <x v="0"/>
    <s v="&lt;null&gt;"/>
    <s v="&lt;null&gt;"/>
    <s v="&lt;null&gt;"/>
    <s v="&lt;null&gt;"/>
    <n v="0"/>
    <s v="&lt;null&gt;"/>
    <s v="&lt;null&gt;"/>
    <s v="&lt;null&gt;"/>
    <s v="&lt;null&gt;"/>
    <m/>
    <m/>
    <m/>
    <m/>
  </r>
  <r>
    <x v="1578"/>
    <x v="1578"/>
    <s v="Stimuleren Combimobiliteit"/>
    <x v="2"/>
    <n v="3040"/>
    <s v="IN/002263"/>
    <s v="N133 - WUUSTWEZEL - SO Fietspad/parking N111"/>
    <s v="&lt;null&gt;"/>
    <s v="Structurele Ingreep"/>
    <s v="WA/INV/N133/4"/>
    <b v="0"/>
    <s v="Ingreep wordt niet opgevolgd in BOD"/>
    <s v="&lt;null&gt;"/>
    <s v="&lt;null&gt;"/>
    <s v="&lt;null&gt;"/>
    <s v="&lt;null&gt;"/>
    <s v="&lt;null&gt;"/>
    <x v="0"/>
    <s v="&lt;null&gt;"/>
    <s v="&lt;null&gt;"/>
    <s v="&lt;null&gt;"/>
    <s v="&lt;null&gt;"/>
    <n v="0"/>
    <s v="&lt;null&gt;"/>
    <s v="&lt;null&gt;"/>
    <s v="&lt;null&gt;"/>
    <s v="&lt;null&gt;"/>
    <m/>
    <m/>
    <m/>
    <m/>
  </r>
  <r>
    <x v="18"/>
    <x v="18"/>
    <s v="&lt;null&gt;"/>
    <x v="3"/>
    <n v="3041"/>
    <s v="IN/002264"/>
    <s v="N010 LIER PCV Keerlussen en toegankelijke haltes"/>
    <s v="&lt;null&gt;"/>
    <s v="Structurele Ingreep"/>
    <s v="WA/INV/N10/18"/>
    <b v="0"/>
    <s v="Ingreep wordt niet opgevolgd in BOD"/>
    <s v="&lt;null&gt;"/>
    <s v="&lt;null&gt;"/>
    <s v="&lt;null&gt;"/>
    <s v="&lt;null&gt;"/>
    <s v="&lt;null&gt;"/>
    <x v="0"/>
    <s v="&lt;null&gt;"/>
    <s v="&lt;null&gt;"/>
    <s v="&lt;null&gt;"/>
    <s v="&lt;null&gt;"/>
    <s v="&lt;null&gt;"/>
    <s v="&lt;null&gt;"/>
    <s v="&lt;null&gt;"/>
    <s v="&lt;null&gt;"/>
    <s v="&lt;null&gt;"/>
    <m/>
    <m/>
    <m/>
    <m/>
  </r>
  <r>
    <x v="18"/>
    <x v="18"/>
    <s v="&lt;null&gt;"/>
    <x v="3"/>
    <n v="3042"/>
    <s v="IN/002265"/>
    <s v="Renovatie Vierarmentunnel Fase 2"/>
    <s v="&lt;null&gt;"/>
    <s v="Structurele Ingreep"/>
    <s v="WA/INV/VIE/4"/>
    <b v="0"/>
    <s v="Ingreep wordt niet opgevolgd in BOD"/>
    <s v="&lt;null&gt;"/>
    <s v="&lt;null&gt;"/>
    <s v="&lt;null&gt;"/>
    <s v="&lt;null&gt;"/>
    <s v="&lt;null&gt;"/>
    <x v="0"/>
    <s v="&lt;null&gt;"/>
    <s v="&lt;null&gt;"/>
    <s v="&lt;null&gt;"/>
    <s v="&lt;null&gt;"/>
    <s v="&lt;null&gt;"/>
    <s v="&lt;null&gt;"/>
    <s v="&lt;null&gt;"/>
    <s v="&lt;null&gt;"/>
    <s v="&lt;null&gt;"/>
    <m/>
    <m/>
    <m/>
    <m/>
  </r>
  <r>
    <x v="18"/>
    <x v="18"/>
    <s v="&lt;null&gt;"/>
    <x v="3"/>
    <n v="3043"/>
    <s v="IN/002266"/>
    <s v="N407 en N407a Laarne Heraanleg"/>
    <s v="&lt;null&gt;"/>
    <s v="Structurele Ingreep"/>
    <s v="WOV/INV/N407/2"/>
    <b v="0"/>
    <s v="Ingreep wordt niet opgevolgd in BOD"/>
    <s v="&lt;null&gt;"/>
    <s v="&lt;null&gt;"/>
    <s v="&lt;null&gt;"/>
    <s v="&lt;null&gt;"/>
    <s v="&lt;null&gt;"/>
    <x v="0"/>
    <s v="&lt;null&gt;"/>
    <s v="&lt;null&gt;"/>
    <s v="&lt;null&gt;"/>
    <s v="&lt;null&gt;"/>
    <s v="&lt;null&gt;"/>
    <s v="&lt;null&gt;"/>
    <s v="&lt;null&gt;"/>
    <s v="&lt;null&gt;"/>
    <s v="&lt;null&gt;"/>
    <m/>
    <m/>
    <m/>
    <m/>
  </r>
  <r>
    <x v="18"/>
    <x v="18"/>
    <s v="&lt;null&gt;"/>
    <x v="3"/>
    <n v="3044"/>
    <s v="IN/002267"/>
    <s v="B401 Afbraak en de gevolgen ervan in Gent"/>
    <s v="&lt;null&gt;"/>
    <s v="Structurele Ingreep"/>
    <s v="WOV/INV/B401/1"/>
    <b v="0"/>
    <s v="Ingreep wordt niet opgevolgd in BOD"/>
    <s v="&lt;null&gt;"/>
    <s v="&lt;null&gt;"/>
    <s v="&lt;null&gt;"/>
    <s v="&lt;null&gt;"/>
    <s v="&lt;null&gt;"/>
    <x v="0"/>
    <s v="&lt;null&gt;"/>
    <s v="&lt;null&gt;"/>
    <s v="&lt;null&gt;"/>
    <s v="&lt;null&gt;"/>
    <s v="&lt;null&gt;"/>
    <s v="&lt;null&gt;"/>
    <s v="&lt;null&gt;"/>
    <s v="&lt;null&gt;"/>
    <s v="&lt;null&gt;"/>
    <m/>
    <m/>
    <m/>
    <m/>
  </r>
  <r>
    <x v="18"/>
    <x v="18"/>
    <s v="&lt;null&gt;"/>
    <x v="3"/>
    <n v="3045"/>
    <s v="IN/002268"/>
    <s v="N70  Heraanleg wegvak te Waasmunster"/>
    <s v="&lt;null&gt;"/>
    <s v="Structurel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3046"/>
    <s v="IN/002269"/>
    <s v="N79 Tongeren - omleiding Overhaem"/>
    <s v="&lt;null&gt;"/>
    <s v="Structurele Ingreep"/>
    <s v="WL/INV/N79/5"/>
    <b v="0"/>
    <s v="Ingreep wordt niet opgevolgd in BOD"/>
    <s v="&lt;null&gt;"/>
    <s v="&lt;null&gt;"/>
    <s v="&lt;null&gt;"/>
    <s v="&lt;null&gt;"/>
    <s v="&lt;null&gt;"/>
    <x v="0"/>
    <s v="&lt;null&gt;"/>
    <s v="&lt;null&gt;"/>
    <s v="&lt;null&gt;"/>
    <s v="&lt;null&gt;"/>
    <s v="&lt;null&gt;"/>
    <s v="&lt;null&gt;"/>
    <s v="&lt;null&gt;"/>
    <s v="&lt;null&gt;"/>
    <s v="&lt;null&gt;"/>
    <m/>
    <m/>
    <m/>
    <m/>
  </r>
  <r>
    <x v="18"/>
    <x v="18"/>
    <s v="&lt;null&gt;"/>
    <x v="3"/>
    <n v="3047"/>
    <s v="IN/002270"/>
    <s v="N41 Aalst-Dendermonde missing link"/>
    <s v="&lt;null&gt;"/>
    <s v="Structurele Ingreep"/>
    <s v="WOV/INV/N41/2"/>
    <b v="0"/>
    <s v="Ingreep wordt niet opgevolgd in BOD"/>
    <s v="&lt;null&gt;"/>
    <s v="&lt;null&gt;"/>
    <s v="&lt;null&gt;"/>
    <s v="&lt;null&gt;"/>
    <s v="&lt;null&gt;"/>
    <x v="0"/>
    <s v="&lt;null&gt;"/>
    <s v="&lt;null&gt;"/>
    <s v="&lt;null&gt;"/>
    <s v="&lt;null&gt;"/>
    <s v="&lt;null&gt;"/>
    <s v="&lt;null&gt;"/>
    <s v="&lt;null&gt;"/>
    <s v="&lt;null&gt;"/>
    <s v="&lt;null&gt;"/>
    <m/>
    <m/>
    <m/>
    <m/>
  </r>
  <r>
    <x v="18"/>
    <x v="18"/>
    <s v="&lt;null&gt;"/>
    <x v="3"/>
    <n v="3048"/>
    <s v="IN/002271"/>
    <s v="N465a Oosterzele fietspaden Geraardbergsesteenweg"/>
    <s v="&lt;null&gt;"/>
    <s v="Structurele Ingreep"/>
    <s v="WOV/INV/N465A/1"/>
    <b v="0"/>
    <s v="Ingreep wordt niet opgevolgd in BOD"/>
    <s v="&lt;null&gt;"/>
    <s v="&lt;null&gt;"/>
    <s v="&lt;null&gt;"/>
    <s v="&lt;null&gt;"/>
    <s v="&lt;null&gt;"/>
    <x v="0"/>
    <s v="&lt;null&gt;"/>
    <s v="&lt;null&gt;"/>
    <s v="&lt;null&gt;"/>
    <s v="&lt;null&gt;"/>
    <s v="&lt;null&gt;"/>
    <s v="&lt;null&gt;"/>
    <s v="&lt;null&gt;"/>
    <s v="&lt;null&gt;"/>
    <s v="&lt;null&gt;"/>
    <m/>
    <m/>
    <m/>
    <m/>
  </r>
  <r>
    <x v="18"/>
    <x v="18"/>
    <s v="&lt;null&gt;"/>
    <x v="3"/>
    <n v="3049"/>
    <s v="IN/002272"/>
    <s v="N454 Zottegem Langestraat - Tweekerkenstraat"/>
    <s v="&lt;null&gt;"/>
    <s v="Structurele Ingreep"/>
    <s v="WOV/INV/N454/1"/>
    <b v="0"/>
    <s v="Ingreep wordt niet opgevolgd in BOD"/>
    <s v="&lt;null&gt;"/>
    <s v="&lt;null&gt;"/>
    <s v="&lt;null&gt;"/>
    <s v="&lt;null&gt;"/>
    <s v="&lt;null&gt;"/>
    <x v="0"/>
    <s v="&lt;null&gt;"/>
    <s v="&lt;null&gt;"/>
    <s v="&lt;null&gt;"/>
    <s v="&lt;null&gt;"/>
    <s v="&lt;null&gt;"/>
    <s v="&lt;null&gt;"/>
    <s v="&lt;null&gt;"/>
    <s v="&lt;null&gt;"/>
    <s v="&lt;null&gt;"/>
    <m/>
    <m/>
    <m/>
    <m/>
  </r>
  <r>
    <x v="18"/>
    <x v="18"/>
    <s v="&lt;null&gt;"/>
    <x v="3"/>
    <n v="3050"/>
    <s v="IN/002273"/>
    <s v="N405 Aalst Denderleeuw SO VII  Wildebeek - Dekaply"/>
    <s v="&lt;null&gt;"/>
    <s v="Structurele Ingreep"/>
    <s v="WOV/INV/N405/4"/>
    <b v="0"/>
    <s v="Ingreep wordt niet opgevolgd in BOD"/>
    <s v="&lt;null&gt;"/>
    <s v="&lt;null&gt;"/>
    <s v="&lt;null&gt;"/>
    <s v="&lt;null&gt;"/>
    <s v="&lt;null&gt;"/>
    <x v="0"/>
    <s v="&lt;null&gt;"/>
    <s v="&lt;null&gt;"/>
    <s v="&lt;null&gt;"/>
    <s v="&lt;null&gt;"/>
    <s v="&lt;null&gt;"/>
    <s v="&lt;null&gt;"/>
    <s v="&lt;null&gt;"/>
    <s v="&lt;null&gt;"/>
    <s v="&lt;null&gt;"/>
    <m/>
    <m/>
    <m/>
    <m/>
  </r>
  <r>
    <x v="18"/>
    <x v="18"/>
    <s v="&lt;null&gt;"/>
    <x v="3"/>
    <n v="3051"/>
    <s v="IN/002274"/>
    <s v="E314 - Vernieuwen toplaag tussen E40 en Viaduct"/>
    <s v="&lt;null&gt;"/>
    <s v="Structurele Ingreep"/>
    <s v="WVB/INV/A2/5"/>
    <b v="0"/>
    <s v="Ingreep wordt niet opgevolgd in BOD"/>
    <s v="&lt;null&gt;"/>
    <s v="&lt;null&gt;"/>
    <s v="&lt;null&gt;"/>
    <s v="&lt;null&gt;"/>
    <s v="&lt;null&gt;"/>
    <x v="0"/>
    <s v="&lt;null&gt;"/>
    <s v="&lt;null&gt;"/>
    <s v="&lt;null&gt;"/>
    <s v="&lt;null&gt;"/>
    <s v="&lt;null&gt;"/>
    <s v="&lt;null&gt;"/>
    <s v="&lt;null&gt;"/>
    <s v="&lt;null&gt;"/>
    <s v="&lt;null&gt;"/>
    <m/>
    <m/>
    <m/>
    <m/>
  </r>
  <r>
    <x v="18"/>
    <x v="18"/>
    <s v="&lt;null&gt;"/>
    <x v="3"/>
    <n v="3052"/>
    <s v="IN/002275"/>
    <s v="N462 Sint-Lievens-Houtem doortocht"/>
    <s v="&lt;null&gt;"/>
    <s v="Structurele Ingreep"/>
    <s v="WOV/INV/N462/4"/>
    <b v="0"/>
    <s v="Ingreep wordt niet opgevolgd in BOD"/>
    <s v="&lt;null&gt;"/>
    <s v="&lt;null&gt;"/>
    <s v="&lt;null&gt;"/>
    <s v="&lt;null&gt;"/>
    <s v="&lt;null&gt;"/>
    <x v="0"/>
    <s v="&lt;null&gt;"/>
    <s v="&lt;null&gt;"/>
    <s v="&lt;null&gt;"/>
    <s v="&lt;null&gt;"/>
    <s v="&lt;null&gt;"/>
    <s v="&lt;null&gt;"/>
    <s v="&lt;null&gt;"/>
    <s v="&lt;null&gt;"/>
    <s v="&lt;null&gt;"/>
    <m/>
    <m/>
    <m/>
    <m/>
  </r>
  <r>
    <x v="18"/>
    <x v="18"/>
    <s v="&lt;null&gt;"/>
    <x v="3"/>
    <n v="3053"/>
    <s v="IN/002276"/>
    <s v="N14 Malle tangent fase 1"/>
    <s v="&lt;null&gt;"/>
    <s v="Structurele Ingreep"/>
    <s v="WA/INV/N12/1"/>
    <b v="0"/>
    <s v="Ingreep wordt niet opgevolgd in BOD"/>
    <s v="&lt;null&gt;"/>
    <s v="&lt;null&gt;"/>
    <s v="&lt;null&gt;"/>
    <s v="&lt;null&gt;"/>
    <s v="&lt;null&gt;"/>
    <x v="0"/>
    <s v="&lt;null&gt;"/>
    <s v="&lt;null&gt;"/>
    <s v="&lt;null&gt;"/>
    <s v="&lt;null&gt;"/>
    <s v="&lt;null&gt;"/>
    <s v="&lt;null&gt;"/>
    <s v="&lt;null&gt;"/>
    <s v="&lt;null&gt;"/>
    <s v="&lt;null&gt;"/>
    <m/>
    <m/>
    <m/>
    <m/>
  </r>
  <r>
    <x v="18"/>
    <x v="18"/>
    <s v="&lt;null&gt;"/>
    <x v="3"/>
    <n v="3054"/>
    <s v="IN/002277"/>
    <s v="N111 SO Achterbroeksteenweg samen met mod13"/>
    <s v="&lt;null&gt;"/>
    <s v="Structurele Ingreep"/>
    <s v="WA/INV/N111/4"/>
    <b v="0"/>
    <s v="Ingreep wordt niet opgevolgd in BOD"/>
    <s v="&lt;null&gt;"/>
    <s v="&lt;null&gt;"/>
    <s v="&lt;null&gt;"/>
    <s v="&lt;null&gt;"/>
    <s v="&lt;null&gt;"/>
    <x v="0"/>
    <s v="&lt;null&gt;"/>
    <s v="&lt;null&gt;"/>
    <s v="&lt;null&gt;"/>
    <s v="&lt;null&gt;"/>
    <s v="&lt;null&gt;"/>
    <s v="&lt;null&gt;"/>
    <s v="&lt;null&gt;"/>
    <s v="&lt;null&gt;"/>
    <s v="&lt;null&gt;"/>
    <m/>
    <m/>
    <m/>
    <m/>
  </r>
  <r>
    <x v="18"/>
    <x v="18"/>
    <s v="&lt;null&gt;"/>
    <x v="3"/>
    <n v="3055"/>
    <s v="IN/002278"/>
    <s v="A001 Schoten Bermbrug VAPEO"/>
    <s v="&lt;null&gt;"/>
    <s v="Structurele Ingreep"/>
    <s v="WA/INV/A001/3"/>
    <b v="0"/>
    <s v="Ingreep wordt niet opgevolgd in BOD"/>
    <s v="&lt;null&gt;"/>
    <s v="&lt;null&gt;"/>
    <s v="&lt;null&gt;"/>
    <s v="&lt;null&gt;"/>
    <s v="&lt;null&gt;"/>
    <x v="0"/>
    <s v="&lt;null&gt;"/>
    <s v="&lt;null&gt;"/>
    <s v="&lt;null&gt;"/>
    <s v="&lt;null&gt;"/>
    <s v="&lt;null&gt;"/>
    <s v="&lt;null&gt;"/>
    <s v="&lt;null&gt;"/>
    <s v="&lt;null&gt;"/>
    <s v="&lt;null&gt;"/>
    <m/>
    <m/>
    <m/>
    <m/>
  </r>
  <r>
    <x v="18"/>
    <x v="18"/>
    <s v="&lt;null&gt;"/>
    <x v="3"/>
    <n v="3056"/>
    <s v="IN/002279"/>
    <s v="Bouwen van een tijdelijke dam in de Damse Vaart"/>
    <s v="&lt;null&gt;"/>
    <s v="Structurele Ingreep"/>
    <s v="WWV/INV/N49/2"/>
    <b v="0"/>
    <s v="Ingreep wordt niet opgevolgd in BOD"/>
    <s v="&lt;null&gt;"/>
    <s v="&lt;null&gt;"/>
    <s v="&lt;null&gt;"/>
    <s v="&lt;null&gt;"/>
    <s v="&lt;null&gt;"/>
    <x v="0"/>
    <s v="&lt;null&gt;"/>
    <s v="&lt;null&gt;"/>
    <s v="&lt;null&gt;"/>
    <s v="&lt;null&gt;"/>
    <s v="&lt;null&gt;"/>
    <s v="&lt;null&gt;"/>
    <s v="&lt;null&gt;"/>
    <s v="&lt;null&gt;"/>
    <s v="&lt;null&gt;"/>
    <m/>
    <m/>
    <m/>
    <m/>
  </r>
  <r>
    <x v="18"/>
    <x v="18"/>
    <s v="&lt;null&gt;"/>
    <x v="3"/>
    <n v="3057"/>
    <s v="IN/002280"/>
    <s v="N49 Damme - Ventweg Hoeke"/>
    <s v="&lt;null&gt;"/>
    <s v="Structurele Ingreep"/>
    <s v="WWV/INV/N49/3"/>
    <b v="0"/>
    <s v="Ingreep wordt niet opgevolgd in BOD"/>
    <s v="&lt;null&gt;"/>
    <s v="&lt;null&gt;"/>
    <s v="&lt;null&gt;"/>
    <s v="&lt;null&gt;"/>
    <s v="&lt;null&gt;"/>
    <x v="0"/>
    <s v="&lt;null&gt;"/>
    <s v="&lt;null&gt;"/>
    <s v="&lt;null&gt;"/>
    <s v="&lt;null&gt;"/>
    <s v="&lt;null&gt;"/>
    <s v="&lt;null&gt;"/>
    <s v="&lt;null&gt;"/>
    <s v="&lt;null&gt;"/>
    <s v="&lt;null&gt;"/>
    <m/>
    <m/>
    <m/>
    <m/>
  </r>
  <r>
    <x v="18"/>
    <x v="18"/>
    <s v="&lt;null&gt;"/>
    <x v="3"/>
    <n v="3058"/>
    <s v="IN/002281"/>
    <s v="A11 Brugge Veldgebied Cathemgoed landinrichting"/>
    <s v="&lt;null&gt;"/>
    <s v="Structurele Ingreep"/>
    <s v="WWV/INV/A11/1"/>
    <b v="0"/>
    <s v="Ingreep wordt niet opgevolgd in BOD"/>
    <s v="&lt;null&gt;"/>
    <s v="&lt;null&gt;"/>
    <s v="&lt;null&gt;"/>
    <s v="&lt;null&gt;"/>
    <s v="&lt;null&gt;"/>
    <x v="0"/>
    <s v="&lt;null&gt;"/>
    <s v="&lt;null&gt;"/>
    <s v="&lt;null&gt;"/>
    <s v="&lt;null&gt;"/>
    <s v="&lt;null&gt;"/>
    <s v="&lt;null&gt;"/>
    <s v="&lt;null&gt;"/>
    <s v="&lt;null&gt;"/>
    <s v="&lt;null&gt;"/>
    <m/>
    <m/>
    <m/>
    <m/>
  </r>
  <r>
    <x v="18"/>
    <x v="18"/>
    <s v="&lt;null&gt;"/>
    <x v="3"/>
    <n v="3059"/>
    <s v="IN/002282"/>
    <s v="N49 Maldegem-Damme studie"/>
    <s v="&lt;null&gt;"/>
    <s v="Structurele Ingreep"/>
    <s v="WWV/INV/N49/5"/>
    <b v="0"/>
    <s v="Ingreep wordt niet opgevolgd in BOD"/>
    <s v="&lt;null&gt;"/>
    <s v="&lt;null&gt;"/>
    <s v="&lt;null&gt;"/>
    <s v="&lt;null&gt;"/>
    <s v="&lt;null&gt;"/>
    <x v="0"/>
    <s v="&lt;null&gt;"/>
    <s v="&lt;null&gt;"/>
    <s v="&lt;null&gt;"/>
    <s v="&lt;null&gt;"/>
    <s v="&lt;null&gt;"/>
    <s v="&lt;null&gt;"/>
    <s v="&lt;null&gt;"/>
    <s v="&lt;null&gt;"/>
    <s v="&lt;null&gt;"/>
    <m/>
    <m/>
    <m/>
    <m/>
  </r>
  <r>
    <x v="18"/>
    <x v="18"/>
    <s v="&lt;null&gt;"/>
    <x v="3"/>
    <n v="3060"/>
    <s v="IN/002283"/>
    <s v="N49 Tunnels Lapscheurestraat en Nonnendijk en heri"/>
    <s v="&lt;null&gt;"/>
    <s v="Structurele Ingreep"/>
    <s v="WWV/INV/N49/7"/>
    <b v="0"/>
    <s v="Ingreep wordt niet opgevolgd in BOD"/>
    <s v="&lt;null&gt;"/>
    <s v="&lt;null&gt;"/>
    <s v="&lt;null&gt;"/>
    <s v="&lt;null&gt;"/>
    <s v="&lt;null&gt;"/>
    <x v="0"/>
    <s v="&lt;null&gt;"/>
    <s v="&lt;null&gt;"/>
    <s v="&lt;null&gt;"/>
    <s v="&lt;null&gt;"/>
    <s v="&lt;null&gt;"/>
    <s v="&lt;null&gt;"/>
    <s v="&lt;null&gt;"/>
    <s v="&lt;null&gt;"/>
    <s v="&lt;null&gt;"/>
    <m/>
    <m/>
    <m/>
    <m/>
  </r>
  <r>
    <x v="18"/>
    <x v="18"/>
    <s v="&lt;null&gt;"/>
    <x v="3"/>
    <n v="3061"/>
    <s v="IN/002284"/>
    <s v="N49 sloopbestek 2 2020"/>
    <s v="&lt;null&gt;"/>
    <s v="Structurele Ingreep"/>
    <s v="WWV/INV/N49/8"/>
    <b v="0"/>
    <s v="Ingreep wordt niet opgevolgd in BOD"/>
    <s v="&lt;null&gt;"/>
    <s v="&lt;null&gt;"/>
    <s v="&lt;null&gt;"/>
    <s v="&lt;null&gt;"/>
    <s v="&lt;null&gt;"/>
    <x v="0"/>
    <s v="&lt;null&gt;"/>
    <s v="&lt;null&gt;"/>
    <s v="&lt;null&gt;"/>
    <s v="&lt;null&gt;"/>
    <s v="&lt;null&gt;"/>
    <s v="&lt;null&gt;"/>
    <s v="&lt;null&gt;"/>
    <s v="&lt;null&gt;"/>
    <s v="&lt;null&gt;"/>
    <m/>
    <m/>
    <m/>
    <m/>
  </r>
  <r>
    <x v="18"/>
    <x v="18"/>
    <s v="&lt;null&gt;"/>
    <x v="3"/>
    <n v="3062"/>
    <s v="IN/002285"/>
    <s v="N49 Sloopbestek 3 2021"/>
    <s v="&lt;null&gt;"/>
    <s v="Structurele Ingreep"/>
    <s v="WWV/INV/N49/9"/>
    <b v="0"/>
    <s v="Ingreep wordt niet opgevolgd in BOD"/>
    <s v="&lt;null&gt;"/>
    <s v="&lt;null&gt;"/>
    <s v="&lt;null&gt;"/>
    <s v="&lt;null&gt;"/>
    <s v="&lt;null&gt;"/>
    <x v="0"/>
    <s v="&lt;null&gt;"/>
    <s v="&lt;null&gt;"/>
    <s v="&lt;null&gt;"/>
    <s v="&lt;null&gt;"/>
    <s v="&lt;null&gt;"/>
    <s v="&lt;null&gt;"/>
    <s v="&lt;null&gt;"/>
    <s v="&lt;null&gt;"/>
    <s v="&lt;null&gt;"/>
    <m/>
    <m/>
    <m/>
    <m/>
  </r>
  <r>
    <x v="1491"/>
    <x v="1491"/>
    <s v="Verkeersveiligheid"/>
    <x v="1"/>
    <n v="3063"/>
    <s v="IN/002286"/>
    <s v="Ombouw van de N49 - onteigeningen"/>
    <s v="&lt;null&gt;"/>
    <s v="Structurele Ingreep"/>
    <s v="&lt;null&gt;"/>
    <b v="0"/>
    <s v="Ingreep wordt niet opgevolgd in BOD"/>
    <s v="&lt;null&gt;"/>
    <s v="&lt;null&gt;"/>
    <s v="&lt;null&gt;"/>
    <s v="&lt;null&gt;"/>
    <s v="&lt;null&gt;"/>
    <x v="0"/>
    <s v="&lt;null&gt;"/>
    <s v="&lt;null&gt;"/>
    <s v="&lt;null&gt;"/>
    <s v="&lt;null&gt;"/>
    <n v="10"/>
    <s v="&lt;null&gt;"/>
    <s v="&lt;null&gt;"/>
    <s v="&lt;null&gt;"/>
    <s v="&lt;null&gt;"/>
    <m/>
    <m/>
    <m/>
    <m/>
  </r>
  <r>
    <x v="18"/>
    <x v="18"/>
    <s v="&lt;null&gt;"/>
    <x v="3"/>
    <n v="3064"/>
    <s v="IN/002287"/>
    <s v="N49 Bruggen Oosthoek en Nieuwburgstraat"/>
    <s v="&lt;null&gt;"/>
    <s v="Structurele Ingreep"/>
    <s v="WOV/INV/N49/2"/>
    <b v="0"/>
    <s v="Ingreep wordt niet opgevolgd in BOD"/>
    <s v="&lt;null&gt;"/>
    <s v="&lt;null&gt;"/>
    <s v="&lt;null&gt;"/>
    <s v="&lt;null&gt;"/>
    <s v="&lt;null&gt;"/>
    <x v="0"/>
    <s v="&lt;null&gt;"/>
    <s v="&lt;null&gt;"/>
    <s v="&lt;null&gt;"/>
    <s v="&lt;null&gt;"/>
    <s v="&lt;null&gt;"/>
    <s v="&lt;null&gt;"/>
    <s v="&lt;null&gt;"/>
    <s v="&lt;null&gt;"/>
    <s v="&lt;null&gt;"/>
    <m/>
    <m/>
    <m/>
    <m/>
  </r>
  <r>
    <x v="18"/>
    <x v="18"/>
    <s v="&lt;null&gt;"/>
    <x v="3"/>
    <n v="3065"/>
    <s v="IN/002288"/>
    <s v="Ombouw van de N49 tot autosnelweg, deelproject Dam"/>
    <s v="&lt;null&gt;"/>
    <s v="Structurele Ingreep"/>
    <s v="WOV/INV/N49/3"/>
    <b v="0"/>
    <s v="Ingreep wordt niet opgevolgd in BOD"/>
    <s v="&lt;null&gt;"/>
    <s v="&lt;null&gt;"/>
    <s v="&lt;null&gt;"/>
    <s v="&lt;null&gt;"/>
    <s v="&lt;null&gt;"/>
    <x v="0"/>
    <s v="&lt;null&gt;"/>
    <s v="&lt;null&gt;"/>
    <s v="&lt;null&gt;"/>
    <s v="&lt;null&gt;"/>
    <s v="&lt;null&gt;"/>
    <s v="&lt;null&gt;"/>
    <s v="&lt;null&gt;"/>
    <s v="&lt;null&gt;"/>
    <s v="&lt;null&gt;"/>
    <m/>
    <m/>
    <m/>
    <m/>
  </r>
  <r>
    <x v="18"/>
    <x v="18"/>
    <s v="&lt;null&gt;"/>
    <x v="3"/>
    <n v="3066"/>
    <s v="IN/002289"/>
    <s v="Ombouw van de N49 tot autosnelweg, deelproject Dam"/>
    <s v="&lt;null&gt;"/>
    <s v="Structurele Ingreep"/>
    <s v="WOV/INV/N49/4"/>
    <b v="0"/>
    <s v="Ingreep wordt niet opgevolgd in BOD"/>
    <s v="&lt;null&gt;"/>
    <s v="&lt;null&gt;"/>
    <s v="&lt;null&gt;"/>
    <s v="&lt;null&gt;"/>
    <s v="&lt;null&gt;"/>
    <x v="0"/>
    <s v="&lt;null&gt;"/>
    <s v="&lt;null&gt;"/>
    <s v="&lt;null&gt;"/>
    <s v="&lt;null&gt;"/>
    <s v="&lt;null&gt;"/>
    <s v="&lt;null&gt;"/>
    <s v="&lt;null&gt;"/>
    <s v="&lt;null&gt;"/>
    <s v="&lt;null&gt;"/>
    <m/>
    <m/>
    <m/>
    <m/>
  </r>
  <r>
    <x v="18"/>
    <x v="18"/>
    <s v="&lt;null&gt;"/>
    <x v="3"/>
    <n v="3067"/>
    <s v="IN/002290"/>
    <s v="N49 Complex Kaprijke"/>
    <s v="&lt;null&gt;"/>
    <s v="Structurele Ingreep"/>
    <s v="WOV/INV/N49/6"/>
    <b v="0"/>
    <s v="Ingreep wordt niet opgevolgd in BOD"/>
    <s v="&lt;null&gt;"/>
    <s v="&lt;null&gt;"/>
    <s v="&lt;null&gt;"/>
    <s v="&lt;null&gt;"/>
    <s v="&lt;null&gt;"/>
    <x v="0"/>
    <s v="&lt;null&gt;"/>
    <s v="&lt;null&gt;"/>
    <s v="&lt;null&gt;"/>
    <s v="&lt;null&gt;"/>
    <s v="&lt;null&gt;"/>
    <s v="&lt;null&gt;"/>
    <s v="&lt;null&gt;"/>
    <s v="&lt;null&gt;"/>
    <s v="&lt;null&gt;"/>
    <m/>
    <m/>
    <m/>
    <m/>
  </r>
  <r>
    <x v="18"/>
    <x v="18"/>
    <s v="&lt;null&gt;"/>
    <x v="3"/>
    <n v="3068"/>
    <s v="IN/002291"/>
    <s v="N49 Complex N49-N44"/>
    <s v="&lt;null&gt;"/>
    <s v="Structurele Ingreep"/>
    <s v="WOV/INV/N49/7"/>
    <b v="0"/>
    <s v="Ingreep wordt niet opgevolgd in BOD"/>
    <s v="&lt;null&gt;"/>
    <s v="&lt;null&gt;"/>
    <s v="&lt;null&gt;"/>
    <s v="&lt;null&gt;"/>
    <s v="&lt;null&gt;"/>
    <x v="0"/>
    <s v="&lt;null&gt;"/>
    <s v="&lt;null&gt;"/>
    <s v="&lt;null&gt;"/>
    <s v="&lt;null&gt;"/>
    <s v="&lt;null&gt;"/>
    <s v="&lt;null&gt;"/>
    <s v="&lt;null&gt;"/>
    <s v="&lt;null&gt;"/>
    <s v="&lt;null&gt;"/>
    <m/>
    <m/>
    <m/>
    <m/>
  </r>
  <r>
    <x v="18"/>
    <x v="18"/>
    <s v="&lt;null&gt;"/>
    <x v="3"/>
    <n v="3069"/>
    <s v="IN/002292"/>
    <s v="N49 kruispunt N49-Noordstraat N410"/>
    <s v="&lt;null&gt;"/>
    <s v="Structurele Ingreep"/>
    <s v="WOV/INV/N49/8"/>
    <b v="0"/>
    <s v="Ingreep wordt niet opgevolgd in BOD"/>
    <s v="&lt;null&gt;"/>
    <s v="&lt;null&gt;"/>
    <s v="&lt;null&gt;"/>
    <s v="&lt;null&gt;"/>
    <s v="&lt;null&gt;"/>
    <x v="0"/>
    <s v="&lt;null&gt;"/>
    <s v="&lt;null&gt;"/>
    <s v="&lt;null&gt;"/>
    <s v="&lt;null&gt;"/>
    <s v="&lt;null&gt;"/>
    <s v="&lt;null&gt;"/>
    <s v="&lt;null&gt;"/>
    <s v="&lt;null&gt;"/>
    <s v="&lt;null&gt;"/>
    <m/>
    <m/>
    <m/>
    <m/>
  </r>
  <r>
    <x v="18"/>
    <x v="18"/>
    <s v="&lt;null&gt;"/>
    <x v="3"/>
    <n v="3070"/>
    <s v="IN/002293"/>
    <s v="N49 brug Stoepestraat"/>
    <s v="&lt;null&gt;"/>
    <s v="Structurele Ingreep"/>
    <s v="WOV/INV/N49/9"/>
    <b v="0"/>
    <s v="Ingreep wordt niet opgevolgd in BOD"/>
    <s v="&lt;null&gt;"/>
    <s v="&lt;null&gt;"/>
    <s v="&lt;null&gt;"/>
    <s v="&lt;null&gt;"/>
    <s v="&lt;null&gt;"/>
    <x v="0"/>
    <s v="&lt;null&gt;"/>
    <s v="&lt;null&gt;"/>
    <s v="&lt;null&gt;"/>
    <s v="&lt;null&gt;"/>
    <s v="&lt;null&gt;"/>
    <s v="&lt;null&gt;"/>
    <s v="&lt;null&gt;"/>
    <s v="&lt;null&gt;"/>
    <s v="&lt;null&gt;"/>
    <m/>
    <m/>
    <m/>
    <m/>
  </r>
  <r>
    <x v="18"/>
    <x v="18"/>
    <s v="&lt;null&gt;"/>
    <x v="3"/>
    <n v="3071"/>
    <s v="IN/002294"/>
    <s v="E19 SO GRENS = MEER A0010002"/>
    <s v="&lt;null&gt;"/>
    <s v="Structurele Ingreep"/>
    <s v="WA/INV/A001/7"/>
    <b v="0"/>
    <s v="Ingreep wordt niet opgevolgd in BOD"/>
    <s v="&lt;null&gt;"/>
    <s v="&lt;null&gt;"/>
    <s v="&lt;null&gt;"/>
    <s v="&lt;null&gt;"/>
    <s v="&lt;null&gt;"/>
    <x v="0"/>
    <s v="&lt;null&gt;"/>
    <s v="&lt;null&gt;"/>
    <s v="&lt;null&gt;"/>
    <s v="&lt;null&gt;"/>
    <s v="&lt;null&gt;"/>
    <s v="&lt;null&gt;"/>
    <s v="&lt;null&gt;"/>
    <s v="&lt;null&gt;"/>
    <s v="&lt;null&gt;"/>
    <m/>
    <m/>
    <m/>
    <m/>
  </r>
  <r>
    <x v="18"/>
    <x v="18"/>
    <s v="&lt;null&gt;"/>
    <x v="3"/>
    <n v="3072"/>
    <s v="IN/002295"/>
    <s v="N117 Brasschaat, Kapellen, Kalmthout - SO"/>
    <s v="&lt;null&gt;"/>
    <s v="Structurele Ingreep"/>
    <s v="WA/INV/N117/2"/>
    <b v="0"/>
    <s v="Ingreep wordt niet opgevolgd in BOD"/>
    <s v="&lt;null&gt;"/>
    <s v="&lt;null&gt;"/>
    <s v="&lt;null&gt;"/>
    <s v="&lt;null&gt;"/>
    <s v="&lt;null&gt;"/>
    <x v="0"/>
    <s v="&lt;null&gt;"/>
    <s v="&lt;null&gt;"/>
    <s v="&lt;null&gt;"/>
    <s v="&lt;null&gt;"/>
    <s v="&lt;null&gt;"/>
    <s v="&lt;null&gt;"/>
    <s v="&lt;null&gt;"/>
    <s v="&lt;null&gt;"/>
    <s v="&lt;null&gt;"/>
    <m/>
    <m/>
    <m/>
    <m/>
  </r>
  <r>
    <x v="18"/>
    <x v="18"/>
    <s v="&lt;null&gt;"/>
    <x v="3"/>
    <n v="3073"/>
    <s v="IN/002296"/>
    <s v="N121 Schilde, Schoten, Brasschaat - Nieuwe toplaag"/>
    <s v="&lt;null&gt;"/>
    <s v="Structurele Ingreep"/>
    <s v="WA/INV/N121/4"/>
    <b v="0"/>
    <s v="Ingreep wordt niet opgevolgd in BOD"/>
    <s v="&lt;null&gt;"/>
    <s v="&lt;null&gt;"/>
    <s v="&lt;null&gt;"/>
    <s v="&lt;null&gt;"/>
    <s v="&lt;null&gt;"/>
    <x v="0"/>
    <s v="&lt;null&gt;"/>
    <s v="&lt;null&gt;"/>
    <s v="&lt;null&gt;"/>
    <s v="&lt;null&gt;"/>
    <s v="&lt;null&gt;"/>
    <s v="&lt;null&gt;"/>
    <s v="&lt;null&gt;"/>
    <s v="&lt;null&gt;"/>
    <s v="&lt;null&gt;"/>
    <m/>
    <m/>
    <m/>
    <m/>
  </r>
  <r>
    <x v="18"/>
    <x v="18"/>
    <s v="&lt;null&gt;"/>
    <x v="3"/>
    <n v="3074"/>
    <s v="IN/002297"/>
    <s v="N153 Malle Brecht - SO rijbaan en fietspaden"/>
    <s v="&lt;null&gt;"/>
    <s v="Structurele Ingreep"/>
    <s v="WA/INV/N153/5"/>
    <b v="0"/>
    <s v="Ingreep wordt niet opgevolgd in BOD"/>
    <s v="&lt;null&gt;"/>
    <s v="&lt;null&gt;"/>
    <s v="&lt;null&gt;"/>
    <s v="&lt;null&gt;"/>
    <s v="&lt;null&gt;"/>
    <x v="0"/>
    <s v="&lt;null&gt;"/>
    <s v="&lt;null&gt;"/>
    <s v="&lt;null&gt;"/>
    <s v="&lt;null&gt;"/>
    <s v="&lt;null&gt;"/>
    <s v="&lt;null&gt;"/>
    <s v="&lt;null&gt;"/>
    <s v="&lt;null&gt;"/>
    <s v="&lt;null&gt;"/>
    <m/>
    <m/>
    <m/>
    <m/>
  </r>
  <r>
    <x v="18"/>
    <x v="18"/>
    <s v="&lt;null&gt;"/>
    <x v="3"/>
    <n v="3075"/>
    <s v="IN/002298"/>
    <s v="E19 SO STJOB = OUDE BAREEL A0010002"/>
    <s v="&lt;null&gt;"/>
    <s v="Structurele Ingreep"/>
    <s v="WA/INV/A1/8"/>
    <b v="0"/>
    <s v="Ingreep wordt niet opgevolgd in BOD"/>
    <s v="&lt;null&gt;"/>
    <s v="&lt;null&gt;"/>
    <s v="&lt;null&gt;"/>
    <s v="&lt;null&gt;"/>
    <s v="&lt;null&gt;"/>
    <x v="0"/>
    <s v="&lt;null&gt;"/>
    <s v="&lt;null&gt;"/>
    <s v="&lt;null&gt;"/>
    <s v="&lt;null&gt;"/>
    <s v="&lt;null&gt;"/>
    <s v="&lt;null&gt;"/>
    <s v="&lt;null&gt;"/>
    <s v="&lt;null&gt;"/>
    <s v="&lt;null&gt;"/>
    <m/>
    <m/>
    <m/>
    <m/>
  </r>
  <r>
    <x v="18"/>
    <x v="18"/>
    <s v="&lt;null&gt;"/>
    <x v="3"/>
    <n v="3076"/>
    <s v="IN/002299"/>
    <s v="E19 SO OUDE BAREEL = STJOB A0010001"/>
    <s v="&lt;null&gt;"/>
    <s v="Structurele Ingreep"/>
    <s v="WA/INV/A1/9"/>
    <b v="0"/>
    <s v="Ingreep wordt niet opgevolgd in BOD"/>
    <s v="&lt;null&gt;"/>
    <s v="&lt;null&gt;"/>
    <s v="&lt;null&gt;"/>
    <s v="&lt;null&gt;"/>
    <s v="&lt;null&gt;"/>
    <x v="0"/>
    <s v="&lt;null&gt;"/>
    <s v="&lt;null&gt;"/>
    <s v="&lt;null&gt;"/>
    <s v="&lt;null&gt;"/>
    <s v="&lt;null&gt;"/>
    <s v="&lt;null&gt;"/>
    <s v="&lt;null&gt;"/>
    <s v="&lt;null&gt;"/>
    <s v="&lt;null&gt;"/>
    <m/>
    <m/>
    <m/>
    <m/>
  </r>
  <r>
    <x v="18"/>
    <x v="18"/>
    <s v="&lt;null&gt;"/>
    <x v="3"/>
    <n v="3077"/>
    <s v="IN/002300"/>
    <s v="E19 SO STJOB = BRECHT A0010001"/>
    <s v="&lt;null&gt;"/>
    <s v="Structurele Ingreep"/>
    <s v="WA/INV/A1/10"/>
    <b v="0"/>
    <s v="Ingreep wordt niet opgevolgd in BOD"/>
    <s v="&lt;null&gt;"/>
    <s v="&lt;null&gt;"/>
    <s v="&lt;null&gt;"/>
    <s v="&lt;null&gt;"/>
    <s v="&lt;null&gt;"/>
    <x v="0"/>
    <s v="&lt;null&gt;"/>
    <s v="&lt;null&gt;"/>
    <s v="&lt;null&gt;"/>
    <s v="&lt;null&gt;"/>
    <s v="&lt;null&gt;"/>
    <s v="&lt;null&gt;"/>
    <s v="&lt;null&gt;"/>
    <s v="&lt;null&gt;"/>
    <s v="&lt;null&gt;"/>
    <m/>
    <m/>
    <m/>
    <m/>
  </r>
  <r>
    <x v="18"/>
    <x v="18"/>
    <s v="&lt;null&gt;"/>
    <x v="3"/>
    <n v="3078"/>
    <s v="IN/002301"/>
    <s v="E19 SO BRECHT = LOENHOUT A0010001"/>
    <s v="&lt;null&gt;"/>
    <s v="Structurele Ingreep"/>
    <s v="WA/INV/A1/11"/>
    <b v="0"/>
    <s v="Ingreep wordt niet opgevolgd in BOD"/>
    <s v="&lt;null&gt;"/>
    <s v="&lt;null&gt;"/>
    <s v="&lt;null&gt;"/>
    <s v="&lt;null&gt;"/>
    <s v="&lt;null&gt;"/>
    <x v="0"/>
    <s v="&lt;null&gt;"/>
    <s v="&lt;null&gt;"/>
    <s v="&lt;null&gt;"/>
    <s v="&lt;null&gt;"/>
    <s v="&lt;null&gt;"/>
    <s v="&lt;null&gt;"/>
    <s v="&lt;null&gt;"/>
    <s v="&lt;null&gt;"/>
    <s v="&lt;null&gt;"/>
    <m/>
    <m/>
    <m/>
    <m/>
  </r>
  <r>
    <x v="18"/>
    <x v="18"/>
    <s v="&lt;null&gt;"/>
    <x v="3"/>
    <n v="3079"/>
    <s v="IN/002302"/>
    <s v="N127/1 bochtverbetering   fp Langenberg Diest"/>
    <s v="&lt;null&gt;"/>
    <s v="Structurele Ingreep"/>
    <s v="&lt;null&gt;"/>
    <b v="0"/>
    <s v="Ingreep wordt niet opgevolgd in BOD"/>
    <s v="&lt;null&gt;"/>
    <s v="&lt;null&gt;"/>
    <s v="&lt;null&gt;"/>
    <s v="&lt;null&gt;"/>
    <s v="&lt;null&gt;"/>
    <x v="0"/>
    <s v="&lt;null&gt;"/>
    <s v="&lt;null&gt;"/>
    <s v="&lt;null&gt;"/>
    <s v="&lt;null&gt;"/>
    <s v="&lt;null&gt;"/>
    <s v="&lt;null&gt;"/>
    <s v="&lt;null&gt;"/>
    <s v="&lt;null&gt;"/>
    <s v="&lt;null&gt;"/>
    <m/>
    <m/>
    <m/>
    <m/>
  </r>
  <r>
    <x v="1579"/>
    <x v="1579"/>
    <s v="Verkeersveiligheid"/>
    <x v="1"/>
    <n v="3080"/>
    <s v="IN/002303"/>
    <s v="Verduidelijken situatie"/>
    <s v="Markeringswerken"/>
    <s v="Kleine Ingreep"/>
    <s v="WA/INV/N15/9"/>
    <b v="0"/>
    <s v="Ingreep wordt niet opgevolgd in BOD"/>
    <s v="&lt;null&gt;"/>
    <s v="&lt;null&gt;"/>
    <s v="&lt;null&gt;"/>
    <s v="&lt;null&gt;"/>
    <s v="&lt;null&gt;"/>
    <x v="0"/>
    <s v="&lt;null&gt;"/>
    <s v="&lt;null&gt;"/>
    <s v="&lt;null&gt;"/>
    <s v="&lt;null&gt;"/>
    <n v="100"/>
    <s v="&lt;null&gt;"/>
    <s v="&lt;null&gt;"/>
    <s v="&lt;null&gt;"/>
    <s v="&lt;null&gt;"/>
    <m/>
    <m/>
    <m/>
    <m/>
  </r>
  <r>
    <x v="1580"/>
    <x v="1580"/>
    <s v="Verkeersveiligheid"/>
    <x v="4"/>
    <n v="3081"/>
    <s v="IN/002304"/>
    <s v="Fietspadmarkeringen"/>
    <s v="Aanvullen ontbrekende markeringen"/>
    <s v="Kleine Ingreep"/>
    <s v="WL/INV/N717/9"/>
    <b v="0"/>
    <s v="Ingreep wordt niet opgevolgd in BOD"/>
    <s v="&lt;null&gt;"/>
    <s v="&lt;null&gt;"/>
    <s v="&lt;null&gt;"/>
    <s v="&lt;null&gt;"/>
    <s v="&lt;null&gt;"/>
    <x v="0"/>
    <s v="&lt;null&gt;"/>
    <s v="&lt;null&gt;"/>
    <s v="&lt;null&gt;"/>
    <s v="&lt;null&gt;"/>
    <n v="100"/>
    <s v="&lt;null&gt;"/>
    <s v="&lt;null&gt;"/>
    <s v="&lt;null&gt;"/>
    <s v="&lt;null&gt;"/>
    <m/>
    <m/>
    <m/>
    <m/>
  </r>
  <r>
    <x v="1581"/>
    <x v="1581"/>
    <s v="Verkeersveiligheid"/>
    <x v="4"/>
    <n v="3082"/>
    <s v="IN/002305"/>
    <s v="Snelheidsbeperking 50km/u"/>
    <s v="&lt;null&gt;"/>
    <s v="Kleine Ingreep"/>
    <s v="WVB/INV/N267/6"/>
    <b v="0"/>
    <s v="Ingreep wordt niet opgevolgd in BOD"/>
    <s v="&lt;null&gt;"/>
    <s v="&lt;null&gt;"/>
    <s v="&lt;null&gt;"/>
    <s v="&lt;null&gt;"/>
    <s v="&lt;null&gt;"/>
    <x v="0"/>
    <s v="&lt;null&gt;"/>
    <s v="&lt;null&gt;"/>
    <s v="&lt;null&gt;"/>
    <s v="&lt;null&gt;"/>
    <n v="100"/>
    <s v="&lt;null&gt;"/>
    <s v="&lt;null&gt;"/>
    <s v="&lt;null&gt;"/>
    <s v="&lt;null&gt;"/>
    <m/>
    <m/>
    <m/>
    <m/>
  </r>
  <r>
    <x v="18"/>
    <x v="18"/>
    <s v="&lt;null&gt;"/>
    <x v="3"/>
    <n v="3083"/>
    <s v="IN/002306"/>
    <s v="N141/N126 - Laakdal - Doortocht Vorst-Meerlaar"/>
    <s v="&lt;null&gt;"/>
    <s v="Structurele Ingreep"/>
    <s v="WA/INV/N141/1"/>
    <b v="0"/>
    <s v="Ingreep wordt niet opgevolgd in BOD"/>
    <s v="&lt;null&gt;"/>
    <s v="&lt;null&gt;"/>
    <s v="&lt;null&gt;"/>
    <s v="&lt;null&gt;"/>
    <s v="&lt;null&gt;"/>
    <x v="0"/>
    <s v="&lt;null&gt;"/>
    <s v="&lt;null&gt;"/>
    <s v="&lt;null&gt;"/>
    <s v="&lt;null&gt;"/>
    <s v="&lt;null&gt;"/>
    <s v="&lt;null&gt;"/>
    <s v="&lt;null&gt;"/>
    <s v="&lt;null&gt;"/>
    <s v="&lt;null&gt;"/>
    <m/>
    <m/>
    <m/>
    <m/>
  </r>
  <r>
    <x v="18"/>
    <x v="18"/>
    <s v="&lt;null&gt;"/>
    <x v="3"/>
    <n v="3084"/>
    <s v="IN/002307"/>
    <s v="Kruispunt N6 x Wittouckstraat SPL"/>
    <s v="&lt;null&gt;"/>
    <s v="Structurele Ingreep"/>
    <s v="WVB/INV/N6/2"/>
    <b v="0"/>
    <s v="Ingreep wordt niet opgevolgd in BOD"/>
    <s v="&lt;null&gt;"/>
    <s v="&lt;null&gt;"/>
    <s v="&lt;null&gt;"/>
    <s v="&lt;null&gt;"/>
    <s v="&lt;null&gt;"/>
    <x v="0"/>
    <s v="&lt;null&gt;"/>
    <s v="&lt;null&gt;"/>
    <s v="&lt;null&gt;"/>
    <s v="&lt;null&gt;"/>
    <s v="&lt;null&gt;"/>
    <s v="&lt;null&gt;"/>
    <s v="&lt;null&gt;"/>
    <s v="&lt;null&gt;"/>
    <s v="&lt;null&gt;"/>
    <m/>
    <m/>
    <m/>
    <m/>
  </r>
  <r>
    <x v="18"/>
    <x v="18"/>
    <s v="&lt;null&gt;"/>
    <x v="3"/>
    <n v="3102"/>
    <s v="IN/002308"/>
    <s v="E19 MEER = LOENHOUT"/>
    <s v="&lt;null&gt;"/>
    <s v="Structurele Ingreep"/>
    <s v="WA/INV/A1/12"/>
    <b v="0"/>
    <s v="Ingreep wordt niet opgevolgd in BOD"/>
    <s v="&lt;null&gt;"/>
    <s v="&lt;null&gt;"/>
    <s v="&lt;null&gt;"/>
    <s v="&lt;null&gt;"/>
    <s v="&lt;null&gt;"/>
    <x v="0"/>
    <s v="&lt;null&gt;"/>
    <s v="&lt;null&gt;"/>
    <s v="&lt;null&gt;"/>
    <s v="&lt;null&gt;"/>
    <s v="&lt;null&gt;"/>
    <s v="&lt;null&gt;"/>
    <s v="&lt;null&gt;"/>
    <s v="&lt;null&gt;"/>
    <s v="&lt;null&gt;"/>
    <m/>
    <m/>
    <m/>
    <m/>
  </r>
  <r>
    <x v="18"/>
    <x v="18"/>
    <s v="&lt;null&gt;"/>
    <x v="3"/>
    <n v="3103"/>
    <s v="IN/002309"/>
    <s v="E19 SO MEER = GRENS"/>
    <s v="&lt;null&gt;"/>
    <s v="Structurele Ingreep"/>
    <s v="WA/INV/A1/13"/>
    <b v="0"/>
    <s v="Ingreep wordt niet opgevolgd in BOD"/>
    <s v="&lt;null&gt;"/>
    <s v="&lt;null&gt;"/>
    <s v="&lt;null&gt;"/>
    <s v="&lt;null&gt;"/>
    <s v="&lt;null&gt;"/>
    <x v="0"/>
    <s v="&lt;null&gt;"/>
    <s v="&lt;null&gt;"/>
    <s v="&lt;null&gt;"/>
    <s v="&lt;null&gt;"/>
    <s v="&lt;null&gt;"/>
    <s v="&lt;null&gt;"/>
    <s v="&lt;null&gt;"/>
    <s v="&lt;null&gt;"/>
    <s v="&lt;null&gt;"/>
    <m/>
    <m/>
    <m/>
    <m/>
  </r>
  <r>
    <x v="18"/>
    <x v="18"/>
    <s v="&lt;null&gt;"/>
    <x v="3"/>
    <n v="3104"/>
    <s v="IN/002310"/>
    <s v="X21/N21/32 Haacht Station Flyover"/>
    <s v="&lt;null&gt;"/>
    <s v="Structurele Ingreep"/>
    <s v="WVB/INV/N21/6"/>
    <b v="0"/>
    <s v="Ingreep wordt niet opgevolgd in BOD"/>
    <s v="&lt;null&gt;"/>
    <s v="&lt;null&gt;"/>
    <s v="&lt;null&gt;"/>
    <s v="&lt;null&gt;"/>
    <s v="&lt;null&gt;"/>
    <x v="0"/>
    <s v="&lt;null&gt;"/>
    <s v="&lt;null&gt;"/>
    <s v="&lt;null&gt;"/>
    <s v="&lt;null&gt;"/>
    <s v="&lt;null&gt;"/>
    <s v="&lt;null&gt;"/>
    <s v="&lt;null&gt;"/>
    <s v="&lt;null&gt;"/>
    <s v="&lt;null&gt;"/>
    <m/>
    <m/>
    <m/>
    <m/>
  </r>
  <r>
    <x v="18"/>
    <x v="18"/>
    <s v="&lt;null&gt;"/>
    <x v="3"/>
    <n v="3105"/>
    <s v="IN/002311"/>
    <s v="N730 : Bilzen : aanleg fietspaden"/>
    <s v="&lt;null&gt;"/>
    <s v="Structurele Ingreep"/>
    <s v="WL/INV/N730/1"/>
    <b v="0"/>
    <s v="Ingreep wordt niet opgevolgd in BOD"/>
    <s v="&lt;null&gt;"/>
    <s v="&lt;null&gt;"/>
    <s v="&lt;null&gt;"/>
    <s v="&lt;null&gt;"/>
    <s v="&lt;null&gt;"/>
    <x v="0"/>
    <s v="&lt;null&gt;"/>
    <s v="&lt;null&gt;"/>
    <s v="&lt;null&gt;"/>
    <s v="&lt;null&gt;"/>
    <s v="&lt;null&gt;"/>
    <s v="&lt;null&gt;"/>
    <s v="&lt;null&gt;"/>
    <s v="&lt;null&gt;"/>
    <s v="&lt;null&gt;"/>
    <m/>
    <m/>
    <m/>
    <m/>
  </r>
  <r>
    <x v="93"/>
    <x v="93"/>
    <s v="Fiets"/>
    <x v="0"/>
    <n v="3106"/>
    <s v="IN/002312"/>
    <s v="N648 : Voeren : fietspaden"/>
    <s v="&lt;null&gt;"/>
    <s v="Structurele Ingreep"/>
    <s v="WL/INV/N648/1"/>
    <b v="0"/>
    <s v="Ingreep wordt niet opgevolgd in BOD"/>
    <s v="&lt;null&gt;"/>
    <s v="&lt;null&gt;"/>
    <s v="&lt;null&gt;"/>
    <s v="&lt;null&gt;"/>
    <s v="&lt;null&gt;"/>
    <x v="0"/>
    <s v="&lt;null&gt;"/>
    <s v="&lt;null&gt;"/>
    <s v="&lt;null&gt;"/>
    <s v="&lt;null&gt;"/>
    <n v="50"/>
    <s v="&lt;null&gt;"/>
    <s v="&lt;null&gt;"/>
    <s v="&lt;null&gt;"/>
    <s v="&lt;null&gt;"/>
    <m/>
    <m/>
    <m/>
    <m/>
  </r>
  <r>
    <x v="739"/>
    <x v="739"/>
    <s v="Verkeersveiligheid"/>
    <x v="4"/>
    <n v="3106"/>
    <s v="IN/002312"/>
    <s v="N648 : Voeren : fietspaden"/>
    <s v="&lt;null&gt;"/>
    <s v="Structurele Ingreep"/>
    <s v="WL/INV/N648/1"/>
    <b v="0"/>
    <s v="Ingreep wordt niet opgevolgd in BOD"/>
    <s v="&lt;null&gt;"/>
    <s v="&lt;null&gt;"/>
    <s v="&lt;null&gt;"/>
    <s v="&lt;null&gt;"/>
    <s v="&lt;null&gt;"/>
    <x v="0"/>
    <s v="&lt;null&gt;"/>
    <s v="&lt;null&gt;"/>
    <s v="&lt;null&gt;"/>
    <s v="&lt;null&gt;"/>
    <n v="25"/>
    <s v="&lt;null&gt;"/>
    <s v="&lt;null&gt;"/>
    <s v="&lt;null&gt;"/>
    <s v="&lt;null&gt;"/>
    <m/>
    <m/>
    <m/>
    <m/>
  </r>
  <r>
    <x v="18"/>
    <x v="18"/>
    <s v="&lt;null&gt;"/>
    <x v="3"/>
    <n v="3107"/>
    <s v="IN/002313"/>
    <s v="N2/75 St.Bernard - doorstr BOB/uitst. haltes"/>
    <s v="&lt;null&gt;"/>
    <s v="Structurele Ingreep"/>
    <s v="WVB/INV/N2/2"/>
    <b v="0"/>
    <s v="Ingreep wordt niet opgevolgd in BOD"/>
    <s v="&lt;null&gt;"/>
    <s v="&lt;null&gt;"/>
    <s v="&lt;null&gt;"/>
    <s v="&lt;null&gt;"/>
    <s v="&lt;null&gt;"/>
    <x v="0"/>
    <s v="&lt;null&gt;"/>
    <s v="&lt;null&gt;"/>
    <s v="&lt;null&gt;"/>
    <s v="&lt;null&gt;"/>
    <s v="&lt;null&gt;"/>
    <s v="&lt;null&gt;"/>
    <s v="&lt;null&gt;"/>
    <s v="&lt;null&gt;"/>
    <s v="&lt;null&gt;"/>
    <m/>
    <m/>
    <m/>
    <m/>
  </r>
  <r>
    <x v="18"/>
    <x v="18"/>
    <s v="&lt;null&gt;"/>
    <x v="3"/>
    <n v="3108"/>
    <s v="IN/002314"/>
    <s v="N79 Borgloon - Sint-Truiden : aanleg fietspaden"/>
    <s v="&lt;null&gt;"/>
    <s v="Structurele Ingreep"/>
    <s v="WL/INV/N79/6"/>
    <b v="0"/>
    <s v="Ingreep wordt niet opgevolgd in BOD"/>
    <s v="&lt;null&gt;"/>
    <s v="&lt;null&gt;"/>
    <s v="&lt;null&gt;"/>
    <s v="&lt;null&gt;"/>
    <s v="&lt;null&gt;"/>
    <x v="0"/>
    <s v="&lt;null&gt;"/>
    <s v="&lt;null&gt;"/>
    <s v="&lt;null&gt;"/>
    <s v="&lt;null&gt;"/>
    <s v="&lt;null&gt;"/>
    <s v="&lt;null&gt;"/>
    <s v="&lt;null&gt;"/>
    <s v="&lt;null&gt;"/>
    <s v="&lt;null&gt;"/>
    <m/>
    <m/>
    <m/>
    <m/>
  </r>
  <r>
    <x v="129"/>
    <x v="129"/>
    <s v="Fiets"/>
    <x v="0"/>
    <n v="3109"/>
    <s v="IN/002315"/>
    <s v="Fase 2 vernieuwen fietspaden N290 Wemmel"/>
    <s v="N290 kmpt 5.0 - 6.8. Vervangen volledige bestaande opbouw fietspad en aanhorigheden (fase 2) alsook vernieuwing toplaag rijbaan."/>
    <s v="Kleine Ingreep"/>
    <s v="&lt;null&gt;"/>
    <b v="0"/>
    <s v="Ingreep wordt niet opgevolgd in BOD"/>
    <s v="&lt;null&gt;"/>
    <s v="&lt;null&gt;"/>
    <s v="&lt;null&gt;"/>
    <s v="&lt;null&gt;"/>
    <s v="&lt;null&gt;"/>
    <x v="0"/>
    <s v="&lt;null&gt;"/>
    <s v="&lt;null&gt;"/>
    <s v="&lt;null&gt;"/>
    <s v="&lt;null&gt;"/>
    <n v="100"/>
    <s v="&lt;null&gt;"/>
    <s v="&lt;null&gt;"/>
    <s v="&lt;null&gt;"/>
    <s v="&lt;null&gt;"/>
    <m/>
    <m/>
    <m/>
    <m/>
  </r>
  <r>
    <x v="1582"/>
    <x v="1582"/>
    <s v="Verkeersveiligheid"/>
    <x v="4"/>
    <n v="3110"/>
    <s v="IN/002316"/>
    <s v="Leuven Vernieuwen fietssuggestiestrook + instellen zone 30 op N251 Naamsesteenweg"/>
    <s v="Instellen zone 30, aanbrengen fietslogo's, verwijderen asmarkering"/>
    <s v="Kleine Ingreep"/>
    <s v="WVB/INV/N251/6"/>
    <b v="0"/>
    <s v="Ingreep wordt niet opgevolgd in BOD"/>
    <s v="&lt;null&gt;"/>
    <s v="&lt;null&gt;"/>
    <s v="&lt;null&gt;"/>
    <s v="&lt;null&gt;"/>
    <s v="&lt;null&gt;"/>
    <x v="0"/>
    <s v="&lt;null&gt;"/>
    <s v="&lt;null&gt;"/>
    <s v="&lt;null&gt;"/>
    <s v="&lt;null&gt;"/>
    <n v="100"/>
    <s v="&lt;null&gt;"/>
    <s v="&lt;null&gt;"/>
    <s v="&lt;null&gt;"/>
    <s v="&lt;null&gt;"/>
    <m/>
    <m/>
    <m/>
    <m/>
  </r>
  <r>
    <x v="790"/>
    <x v="790"/>
    <s v="Verkeersveiligheid"/>
    <x v="4"/>
    <n v="3111"/>
    <s v="IN/002317"/>
    <s v="ZEM Beekstraat VVOP / VRI"/>
    <s v="Gemeente vraagt of dit kruispunt zal worden uitgerust met verkeerslichten, mits  flankerende maatregelen zoals door AWV reeds werd toegelicht \nen besproken op 9 november ll. Tijdens dit overleg werd \nduidelijk dat een globalere aanpak van de zuidelijk d"/>
    <s v="Kleine Ingreep"/>
    <s v="&lt;null&gt;"/>
    <b v="0"/>
    <s v="Ingreep wordt niet opgevolgd in BOD"/>
    <s v="&lt;null&gt;"/>
    <s v="&lt;null&gt;"/>
    <s v="&lt;null&gt;"/>
    <s v="&lt;null&gt;"/>
    <s v="&lt;null&gt;"/>
    <x v="0"/>
    <s v="&lt;null&gt;"/>
    <s v="&lt;null&gt;"/>
    <s v="&lt;null&gt;"/>
    <s v="&lt;null&gt;"/>
    <n v="100"/>
    <s v="&lt;null&gt;"/>
    <s v="&lt;null&gt;"/>
    <s v="&lt;null&gt;"/>
    <s v="&lt;null&gt;"/>
    <m/>
    <m/>
    <m/>
    <m/>
  </r>
  <r>
    <x v="582"/>
    <x v="582"/>
    <s v="Verkeersveiligheid"/>
    <x v="1"/>
    <n v="3112"/>
    <s v="IN/002318"/>
    <s v="VRI aanpassen kruispunt N227 x N21"/>
    <s v="Maximaal conflictvrije regeling volgens actieplan"/>
    <s v="Kleine Ingreep"/>
    <s v="WVB/INV/N227/9"/>
    <b v="1"/>
    <s v="Ingreep wordt opgevolgd in BOD"/>
    <n v="9663"/>
    <s v="MDN/1504"/>
    <n v="111451"/>
    <n v="21070755"/>
    <s v="&lt;p&gt;Relance VRI - aanpak van gevaarlijke punten in de provincie Vlaams-Brabant 2022-2023.&lt;br&gt;&lt;br&gt;Budget voor aanpassingen aan de buiteninstallatie verkeerslichten op verkeerslichtengeregelde kruispunten die opgenomen zijn in de dynamische lijst gevaarlijke"/>
    <x v="8"/>
    <n v="9367"/>
    <s v="Installatie 021C8 - N21 VOP thv Gemeentehuis x Orchideeënlaan - STEENOKKERZEEL"/>
    <s v="&lt;p&gt;Nieuwe SX regelaar bij ombouw volgens actieplan ikv relance VRI.&lt;/p&gt;"/>
    <s v="WVB/INV/N227/9"/>
    <n v="100"/>
    <n v="15000"/>
    <n v="0"/>
    <n v="0"/>
    <n v="4208.59"/>
    <n v="15000"/>
    <n v="0"/>
    <n v="0"/>
    <n v="4208.59"/>
  </r>
  <r>
    <x v="582"/>
    <x v="582"/>
    <s v="Verkeersveiligheid"/>
    <x v="1"/>
    <n v="3112"/>
    <s v="IN/002318"/>
    <s v="VRI aanpassen kruispunt N227 x N21"/>
    <s v="Maximaal conflictvrije regeling volgens actieplan"/>
    <s v="Kleine Ingreep"/>
    <s v="WVB/INV/N227/9"/>
    <b v="1"/>
    <s v="Ingreep wordt opgevolgd in BOD"/>
    <n v="9663"/>
    <s v="MDN/1504"/>
    <n v="111451"/>
    <n v="21070755"/>
    <s v="&lt;p&gt;Relance VRI - aanpak van gevaarlijke punten in de provincie Vlaams-Brabant 2022-2023.&lt;br&gt;&lt;br&gt;Budget voor aanpassingen aan de buiteninstallatie verkeerslichten op verkeerslichtengeregelde kruispunten die opgenomen zijn in de dynamische lijst gevaarlijke"/>
    <x v="8"/>
    <n v="9368"/>
    <s v="Installatie 117C2 - N21 Haachtsesteenweg x N227 Tervuursesteenweg - STEENOKKERZEEL"/>
    <s v="&lt;p&gt;Nieuwe SX regelaar bij ombouw volgens actieplan ikv relance VRI.&lt;/p&gt;"/>
    <s v="WVB/INV/N227/9"/>
    <n v="100"/>
    <n v="25000"/>
    <n v="0"/>
    <n v="0"/>
    <n v="3662.92"/>
    <n v="25000"/>
    <n v="0"/>
    <n v="0"/>
    <n v="3662.92"/>
  </r>
  <r>
    <x v="582"/>
    <x v="582"/>
    <s v="Verkeersveiligheid"/>
    <x v="1"/>
    <n v="3112"/>
    <s v="IN/002318"/>
    <s v="VRI aanpassen kruispunt N227 x N21"/>
    <s v="Maximaal conflictvrije regeling volgens actieplan"/>
    <s v="Kleine Ingreep"/>
    <s v="WVB/INV/N227/9"/>
    <b v="1"/>
    <s v="Ingreep wordt opgevolgd in BOD"/>
    <n v="10166"/>
    <s v="MDN/59-4"/>
    <n v="104951"/>
    <n v="21064254"/>
    <s v="&lt;p&gt;Relance VRI - aanpak van gevaarlijke punten in de provincie Vlaams-Brabant 2022-2023.&lt;br&gt;&lt;br&gt;Budget voor aanpassingen aan de buiteninstallatie verkeerslichten op verkeerslichtengeregelde kruispunten die opgenomen zijn in de dynamische lijst gevaarlijke"/>
    <x v="4"/>
    <n v="9413"/>
    <s v="Installatie 021C8 en 117C2 - N21 Haachtsesteenweg - STEENOKKERZEEL"/>
    <s v="&lt;p&gt;Aanpak van gevaarlijk punt op dynamische lijst ikv relance VRI&lt;/p&gt;"/>
    <s v="WVB/INV/N227/9"/>
    <n v="100"/>
    <n v="150000"/>
    <n v="0"/>
    <n v="0"/>
    <n v="10012.41"/>
    <n v="150000"/>
    <n v="0"/>
    <n v="0"/>
    <n v="10012.41"/>
  </r>
  <r>
    <x v="18"/>
    <x v="18"/>
    <s v="&lt;null&gt;"/>
    <x v="3"/>
    <n v="3122"/>
    <s v="IN/002328"/>
    <s v="E313: Renovatie Hasselt-Oost Diepenbeek"/>
    <s v="&lt;null&gt;"/>
    <s v="Structurele Ingreep"/>
    <s v="WL/INV/E313/4"/>
    <b v="0"/>
    <s v="Ingreep wordt niet opgevolgd in BOD"/>
    <s v="&lt;null&gt;"/>
    <s v="&lt;null&gt;"/>
    <s v="&lt;null&gt;"/>
    <s v="&lt;null&gt;"/>
    <s v="&lt;null&gt;"/>
    <x v="0"/>
    <s v="&lt;null&gt;"/>
    <s v="&lt;null&gt;"/>
    <s v="&lt;null&gt;"/>
    <s v="&lt;null&gt;"/>
    <s v="&lt;null&gt;"/>
    <s v="&lt;null&gt;"/>
    <s v="&lt;null&gt;"/>
    <s v="&lt;null&gt;"/>
    <s v="&lt;null&gt;"/>
    <m/>
    <m/>
    <m/>
    <m/>
  </r>
  <r>
    <x v="18"/>
    <x v="18"/>
    <s v="&lt;null&gt;"/>
    <x v="3"/>
    <n v="3123"/>
    <s v="IN/002329"/>
    <s v="N702 x Kiezelstraat, Hasselt"/>
    <s v="&lt;null&gt;"/>
    <s v="Structurele Ingreep"/>
    <s v="WL/INV/N702/1"/>
    <b v="0"/>
    <s v="Ingreep wordt niet opgevolgd in BOD"/>
    <s v="&lt;null&gt;"/>
    <s v="&lt;null&gt;"/>
    <s v="&lt;null&gt;"/>
    <s v="&lt;null&gt;"/>
    <s v="&lt;null&gt;"/>
    <x v="0"/>
    <s v="&lt;null&gt;"/>
    <s v="&lt;null&gt;"/>
    <s v="&lt;null&gt;"/>
    <s v="&lt;null&gt;"/>
    <s v="&lt;null&gt;"/>
    <s v="&lt;null&gt;"/>
    <s v="&lt;null&gt;"/>
    <s v="&lt;null&gt;"/>
    <s v="&lt;null&gt;"/>
    <m/>
    <m/>
    <m/>
    <m/>
  </r>
  <r>
    <x v="18"/>
    <x v="18"/>
    <s v="&lt;null&gt;"/>
    <x v="3"/>
    <n v="3124"/>
    <s v="IN/002330"/>
    <s v="N712 Pelt, Renovatie Ringlaan"/>
    <s v="&lt;null&gt;"/>
    <s v="Structurele Ingreep"/>
    <s v="WL/INV/N712/2"/>
    <b v="0"/>
    <s v="Ingreep wordt niet opgevolgd in BOD"/>
    <s v="&lt;null&gt;"/>
    <s v="&lt;null&gt;"/>
    <s v="&lt;null&gt;"/>
    <s v="&lt;null&gt;"/>
    <s v="&lt;null&gt;"/>
    <x v="0"/>
    <s v="&lt;null&gt;"/>
    <s v="&lt;null&gt;"/>
    <s v="&lt;null&gt;"/>
    <s v="&lt;null&gt;"/>
    <s v="&lt;null&gt;"/>
    <s v="&lt;null&gt;"/>
    <s v="&lt;null&gt;"/>
    <s v="&lt;null&gt;"/>
    <s v="&lt;null&gt;"/>
    <m/>
    <m/>
    <m/>
    <m/>
  </r>
  <r>
    <x v="18"/>
    <x v="18"/>
    <s v="&lt;null&gt;"/>
    <x v="3"/>
    <n v="3125"/>
    <s v="IN/002331"/>
    <s v="N26 Herent keerpunt Zuid"/>
    <s v="&lt;null&gt;"/>
    <s v="Structurele Ingreep"/>
    <s v="WVB/INV/N26/5"/>
    <b v="0"/>
    <s v="Ingreep wordt niet opgevolgd in BOD"/>
    <s v="&lt;null&gt;"/>
    <s v="&lt;null&gt;"/>
    <s v="&lt;null&gt;"/>
    <s v="&lt;null&gt;"/>
    <s v="&lt;null&gt;"/>
    <x v="0"/>
    <s v="&lt;null&gt;"/>
    <s v="&lt;null&gt;"/>
    <s v="&lt;null&gt;"/>
    <s v="&lt;null&gt;"/>
    <s v="&lt;null&gt;"/>
    <s v="&lt;null&gt;"/>
    <s v="&lt;null&gt;"/>
    <s v="&lt;null&gt;"/>
    <s v="&lt;null&gt;"/>
    <m/>
    <m/>
    <m/>
    <m/>
  </r>
  <r>
    <x v="18"/>
    <x v="18"/>
    <s v="&lt;null&gt;"/>
    <x v="3"/>
    <n v="3126"/>
    <s v="IN/002332"/>
    <s v="N26 Leuven Herinrichting thv complex E314/18"/>
    <s v="&lt;null&gt;"/>
    <s v="Structurele Ingreep"/>
    <s v="WVB/INV/N26/4"/>
    <b v="0"/>
    <s v="Ingreep wordt niet opgevolgd in BOD"/>
    <s v="&lt;null&gt;"/>
    <s v="&lt;null&gt;"/>
    <s v="&lt;null&gt;"/>
    <s v="&lt;null&gt;"/>
    <s v="&lt;null&gt;"/>
    <x v="0"/>
    <s v="&lt;null&gt;"/>
    <s v="&lt;null&gt;"/>
    <s v="&lt;null&gt;"/>
    <s v="&lt;null&gt;"/>
    <s v="&lt;null&gt;"/>
    <s v="&lt;null&gt;"/>
    <s v="&lt;null&gt;"/>
    <s v="&lt;null&gt;"/>
    <s v="&lt;null&gt;"/>
    <m/>
    <m/>
    <m/>
    <m/>
  </r>
  <r>
    <x v="18"/>
    <x v="18"/>
    <s v="&lt;null&gt;"/>
    <x v="3"/>
    <n v="3127"/>
    <s v="IN/002333"/>
    <s v="R43 Eeklo fase 4 Tieltsesteenweg-Gentsesteenweg"/>
    <s v="&lt;null&gt;"/>
    <s v="Structurele Ingreep"/>
    <s v="WOV/INV/R43/4"/>
    <b v="0"/>
    <s v="Ingreep wordt niet opgevolgd in BOD"/>
    <s v="&lt;null&gt;"/>
    <s v="&lt;null&gt;"/>
    <s v="&lt;null&gt;"/>
    <s v="&lt;null&gt;"/>
    <s v="&lt;null&gt;"/>
    <x v="0"/>
    <s v="&lt;null&gt;"/>
    <s v="&lt;null&gt;"/>
    <s v="&lt;null&gt;"/>
    <s v="&lt;null&gt;"/>
    <s v="&lt;null&gt;"/>
    <s v="&lt;null&gt;"/>
    <s v="&lt;null&gt;"/>
    <s v="&lt;null&gt;"/>
    <s v="&lt;null&gt;"/>
    <m/>
    <m/>
    <m/>
    <m/>
  </r>
  <r>
    <x v="18"/>
    <x v="18"/>
    <s v="&lt;null&gt;"/>
    <x v="3"/>
    <n v="3128"/>
    <s v="IN/002334"/>
    <s v="N466a Deinze SO i.c.m. fietspaden en schoolomgevin"/>
    <s v="&lt;null&gt;"/>
    <s v="Structurele Ingreep"/>
    <s v="WOV/INV/N466A/1"/>
    <b v="0"/>
    <s v="Ingreep wordt niet opgevolgd in BOD"/>
    <s v="&lt;null&gt;"/>
    <s v="&lt;null&gt;"/>
    <s v="&lt;null&gt;"/>
    <s v="&lt;null&gt;"/>
    <s v="&lt;null&gt;"/>
    <x v="0"/>
    <s v="&lt;null&gt;"/>
    <s v="&lt;null&gt;"/>
    <s v="&lt;null&gt;"/>
    <s v="&lt;null&gt;"/>
    <s v="&lt;null&gt;"/>
    <s v="&lt;null&gt;"/>
    <s v="&lt;null&gt;"/>
    <s v="&lt;null&gt;"/>
    <s v="&lt;null&gt;"/>
    <m/>
    <m/>
    <m/>
    <m/>
  </r>
  <r>
    <x v="1235"/>
    <x v="1235"/>
    <s v="Verkeersveiligheid"/>
    <x v="1"/>
    <n v="3129"/>
    <s v="IN/002335"/>
    <s v="N9 Melle heraanleg wegvak nabij R4 - doorstroming"/>
    <s v="&lt;null&gt;"/>
    <s v="Structurele Ingreep"/>
    <s v="WOV/INV/N9/12"/>
    <b v="0"/>
    <s v="Ingreep wordt niet opgevolgd in BOD"/>
    <s v="&lt;null&gt;"/>
    <s v="&lt;null&gt;"/>
    <s v="&lt;null&gt;"/>
    <s v="&lt;null&gt;"/>
    <s v="&lt;null&gt;"/>
    <x v="0"/>
    <s v="&lt;null&gt;"/>
    <s v="&lt;null&gt;"/>
    <s v="&lt;null&gt;"/>
    <s v="&lt;null&gt;"/>
    <n v="50"/>
    <s v="&lt;null&gt;"/>
    <s v="&lt;null&gt;"/>
    <s v="&lt;null&gt;"/>
    <s v="&lt;null&gt;"/>
    <m/>
    <m/>
    <m/>
    <m/>
  </r>
  <r>
    <x v="1583"/>
    <x v="1583"/>
    <s v="Verkeersveiligheid"/>
    <x v="4"/>
    <n v="3129"/>
    <s v="IN/002335"/>
    <s v="N9 Melle heraanleg wegvak nabij R4 - doorstroming"/>
    <s v="&lt;null&gt;"/>
    <s v="Structurele Ingreep"/>
    <s v="WOV/INV/N9/12"/>
    <b v="0"/>
    <s v="Ingreep wordt niet opgevolgd in BOD"/>
    <s v="&lt;null&gt;"/>
    <s v="&lt;null&gt;"/>
    <s v="&lt;null&gt;"/>
    <s v="&lt;null&gt;"/>
    <s v="&lt;null&gt;"/>
    <x v="0"/>
    <s v="&lt;null&gt;"/>
    <s v="&lt;null&gt;"/>
    <s v="&lt;null&gt;"/>
    <s v="&lt;null&gt;"/>
    <n v="5"/>
    <s v="&lt;null&gt;"/>
    <s v="&lt;null&gt;"/>
    <s v="&lt;null&gt;"/>
    <s v="&lt;null&gt;"/>
    <m/>
    <m/>
    <m/>
    <m/>
  </r>
  <r>
    <x v="1584"/>
    <x v="1584"/>
    <s v="Stimuleren Combimobiliteit"/>
    <x v="7"/>
    <n v="3130"/>
    <s v="IN/002336"/>
    <s v="bushalte Kaudenaardestraat aanpassen"/>
    <s v="bushalte Kaudenaardestraat uitstulpend verhoogd maken"/>
    <s v="Kleine Ingreep"/>
    <s v="WVB/INV/N8/4"/>
    <b v="0"/>
    <s v="Ingreep wordt niet opgevolgd in BOD"/>
    <s v="&lt;null&gt;"/>
    <s v="&lt;null&gt;"/>
    <s v="&lt;null&gt;"/>
    <s v="&lt;null&gt;"/>
    <s v="&lt;null&gt;"/>
    <x v="0"/>
    <s v="&lt;null&gt;"/>
    <s v="&lt;null&gt;"/>
    <s v="&lt;null&gt;"/>
    <s v="&lt;null&gt;"/>
    <n v="100"/>
    <s v="&lt;null&gt;"/>
    <s v="&lt;null&gt;"/>
    <s v="&lt;null&gt;"/>
    <s v="&lt;null&gt;"/>
    <m/>
    <m/>
    <m/>
    <m/>
  </r>
  <r>
    <x v="1585"/>
    <x v="1585"/>
    <s v="Stimuleren Combimobiliteit"/>
    <x v="2"/>
    <n v="3131"/>
    <s v="IN/002337"/>
    <s v="Dilbeek N8 aanpassen bushalte Stelplaats"/>
    <s v="haltehaven verhoogd maken met achterliggend fietspad"/>
    <s v="Kleine Ingreep"/>
    <s v="WVB/INV/N8/5"/>
    <b v="0"/>
    <s v="Ingreep wordt niet opgevolgd in BOD"/>
    <s v="&lt;null&gt;"/>
    <s v="&lt;null&gt;"/>
    <s v="&lt;null&gt;"/>
    <s v="&lt;null&gt;"/>
    <s v="&lt;null&gt;"/>
    <x v="0"/>
    <s v="&lt;null&gt;"/>
    <s v="&lt;null&gt;"/>
    <s v="&lt;null&gt;"/>
    <s v="&lt;null&gt;"/>
    <n v="0"/>
    <s v="&lt;null&gt;"/>
    <s v="&lt;null&gt;"/>
    <s v="&lt;null&gt;"/>
    <s v="&lt;null&gt;"/>
    <m/>
    <m/>
    <m/>
    <m/>
  </r>
  <r>
    <x v="1586"/>
    <x v="1586"/>
    <s v="Stimuleren Combimobiliteit"/>
    <x v="7"/>
    <n v="3131"/>
    <s v="IN/002337"/>
    <s v="Dilbeek N8 aanpassen bushalte Stelplaats"/>
    <s v="haltehaven verhoogd maken met achterliggend fietspad"/>
    <s v="Kleine Ingreep"/>
    <s v="WVB/INV/N8/5"/>
    <b v="0"/>
    <s v="Ingreep wordt niet opgevolgd in BOD"/>
    <s v="&lt;null&gt;"/>
    <s v="&lt;null&gt;"/>
    <s v="&lt;null&gt;"/>
    <s v="&lt;null&gt;"/>
    <s v="&lt;null&gt;"/>
    <x v="0"/>
    <s v="&lt;null&gt;"/>
    <s v="&lt;null&gt;"/>
    <s v="&lt;null&gt;"/>
    <s v="&lt;null&gt;"/>
    <n v="100"/>
    <s v="&lt;null&gt;"/>
    <s v="&lt;null&gt;"/>
    <s v="&lt;null&gt;"/>
    <s v="&lt;null&gt;"/>
    <m/>
    <m/>
    <m/>
    <m/>
  </r>
  <r>
    <x v="1338"/>
    <x v="1338"/>
    <s v="Stimuleren Combimobiliteit"/>
    <x v="7"/>
    <n v="3132"/>
    <s v="IN/002338"/>
    <s v="aanleg bushaltes  N207 Liedekerke Warandestraat"/>
    <s v="aanleg van 2 uitstulpend verhoogde bushaltes"/>
    <s v="Kleine Ingreep"/>
    <s v="WVB/INV/N207/7"/>
    <b v="0"/>
    <s v="Ingreep wordt niet opgevolgd in BOD"/>
    <s v="&lt;null&gt;"/>
    <s v="&lt;null&gt;"/>
    <s v="&lt;null&gt;"/>
    <s v="&lt;null&gt;"/>
    <s v="&lt;null&gt;"/>
    <x v="0"/>
    <s v="&lt;null&gt;"/>
    <s v="&lt;null&gt;"/>
    <s v="&lt;null&gt;"/>
    <s v="&lt;null&gt;"/>
    <n v="100"/>
    <s v="&lt;null&gt;"/>
    <s v="&lt;null&gt;"/>
    <s v="&lt;null&gt;"/>
    <s v="&lt;null&gt;"/>
    <m/>
    <m/>
    <m/>
    <m/>
  </r>
  <r>
    <x v="1587"/>
    <x v="1587"/>
    <s v="Verkeersveiligheid"/>
    <x v="4"/>
    <n v="3133"/>
    <s v="IN/002339"/>
    <s v="Scherpenheuvel-Zichem Aanbrengen fietssuggestiestrook Molenstraat"/>
    <s v="Aanbrengen fietssuggestiestrook"/>
    <s v="Kleine Ingreep"/>
    <s v="WVB/INV/N212/3"/>
    <b v="0"/>
    <s v="Ingreep wordt niet opgevolgd in BOD"/>
    <s v="&lt;null&gt;"/>
    <s v="&lt;null&gt;"/>
    <s v="&lt;null&gt;"/>
    <s v="&lt;null&gt;"/>
    <s v="&lt;null&gt;"/>
    <x v="0"/>
    <s v="&lt;null&gt;"/>
    <s v="&lt;null&gt;"/>
    <s v="&lt;null&gt;"/>
    <s v="&lt;null&gt;"/>
    <n v="100"/>
    <s v="&lt;null&gt;"/>
    <s v="&lt;null&gt;"/>
    <s v="&lt;null&gt;"/>
    <s v="&lt;null&gt;"/>
    <m/>
    <m/>
    <m/>
    <m/>
  </r>
  <r>
    <x v="1588"/>
    <x v="1588"/>
    <s v="Verkeersveiligheid"/>
    <x v="4"/>
    <n v="3134"/>
    <s v="IN/002340"/>
    <s v="Leuven Zone 30 maken op de N3"/>
    <s v="Aanpassen naar zone 30."/>
    <s v="Kleine Ingreep"/>
    <s v="WVB/INV/N3/16"/>
    <b v="0"/>
    <s v="Ingreep wordt niet opgevolgd in BOD"/>
    <s v="&lt;null&gt;"/>
    <s v="&lt;null&gt;"/>
    <s v="&lt;null&gt;"/>
    <s v="&lt;null&gt;"/>
    <s v="&lt;null&gt;"/>
    <x v="0"/>
    <s v="&lt;null&gt;"/>
    <s v="&lt;null&gt;"/>
    <s v="&lt;null&gt;"/>
    <s v="&lt;null&gt;"/>
    <n v="100"/>
    <s v="&lt;null&gt;"/>
    <s v="&lt;null&gt;"/>
    <s v="&lt;null&gt;"/>
    <s v="&lt;null&gt;"/>
    <m/>
    <m/>
    <m/>
    <m/>
  </r>
  <r>
    <x v="1361"/>
    <x v="1361"/>
    <s v="Verkeersveiligheid"/>
    <x v="4"/>
    <n v="3135"/>
    <s v="IN/002341"/>
    <s v="punctuele contrastverlichting voor 2 nieuwe VOP's"/>
    <s v="&lt;null&gt;"/>
    <s v="Kleine Ingreep"/>
    <s v="WL/INV/N746/12"/>
    <b v="0"/>
    <s v="Ingreep wordt niet opgevolgd in BOD"/>
    <s v="&lt;null&gt;"/>
    <s v="&lt;null&gt;"/>
    <s v="&lt;null&gt;"/>
    <s v="&lt;null&gt;"/>
    <s v="&lt;null&gt;"/>
    <x v="0"/>
    <s v="&lt;null&gt;"/>
    <s v="&lt;null&gt;"/>
    <s v="&lt;null&gt;"/>
    <s v="&lt;null&gt;"/>
    <n v="100"/>
    <s v="&lt;null&gt;"/>
    <s v="&lt;null&gt;"/>
    <s v="&lt;null&gt;"/>
    <s v="&lt;null&gt;"/>
    <m/>
    <m/>
    <m/>
    <m/>
  </r>
  <r>
    <x v="1589"/>
    <x v="1589"/>
    <s v="Verkeersveiligheid"/>
    <x v="4"/>
    <n v="3136"/>
    <s v="IN/002342"/>
    <s v="Lubbeek Verplaatsing zebrapad N2 x Rozenweg"/>
    <s v="Lubbeek wenst een oversteek ter hoogte van Rozenstraat. In onmiddelijke nabeijheid liggen 2 andere oversteken. \nBesproken op PCV van december 2021. \n\nVolgende acties: gemeente maakt AR op voor uitbreiding snelheidsregime 50km/u en voor schrappen zebrap"/>
    <s v="Kleine Ingreep"/>
    <s v="&lt;null&gt;"/>
    <b v="0"/>
    <s v="Ingreep wordt niet opgevolgd in BOD"/>
    <s v="&lt;null&gt;"/>
    <s v="&lt;null&gt;"/>
    <s v="&lt;null&gt;"/>
    <s v="&lt;null&gt;"/>
    <s v="&lt;null&gt;"/>
    <x v="0"/>
    <s v="&lt;null&gt;"/>
    <s v="&lt;null&gt;"/>
    <s v="&lt;null&gt;"/>
    <s v="&lt;null&gt;"/>
    <n v="100"/>
    <s v="&lt;null&gt;"/>
    <s v="&lt;null&gt;"/>
    <s v="&lt;null&gt;"/>
    <s v="&lt;null&gt;"/>
    <m/>
    <m/>
    <m/>
    <m/>
  </r>
  <r>
    <x v="717"/>
    <x v="717"/>
    <s v="Verkeersveiligheid"/>
    <x v="4"/>
    <n v="3137"/>
    <s v="IN/002343"/>
    <s v="Onderzoek schoolroute"/>
    <s v="Onderzoek schoolroute\nBijkomende maatregelen gevraagd door de gemeente"/>
    <s v="Kleine Ingreep"/>
    <s v="&lt;null&gt;"/>
    <b v="0"/>
    <s v="Ingreep wordt niet opgevolgd in BOD"/>
    <s v="&lt;null&gt;"/>
    <s v="&lt;null&gt;"/>
    <s v="&lt;null&gt;"/>
    <s v="&lt;null&gt;"/>
    <s v="&lt;null&gt;"/>
    <x v="0"/>
    <s v="&lt;null&gt;"/>
    <s v="&lt;null&gt;"/>
    <s v="&lt;null&gt;"/>
    <s v="&lt;null&gt;"/>
    <n v="100"/>
    <s v="&lt;null&gt;"/>
    <s v="&lt;null&gt;"/>
    <s v="&lt;null&gt;"/>
    <s v="&lt;null&gt;"/>
    <m/>
    <m/>
    <m/>
    <m/>
  </r>
  <r>
    <x v="476"/>
    <x v="476"/>
    <s v="Verkeersveiligheid"/>
    <x v="1"/>
    <n v="3138"/>
    <s v="IN/002344"/>
    <s v="Aanpassen markeringen op de brug"/>
    <s v="- op de brug over A10: inhaalstroken verwijderen\n- op krpt: van 2 naar 1 opstelstrook"/>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3139"/>
    <s v="IN/002345"/>
    <s v="N758 Levensduur verlengend onderhoud"/>
    <s v="&lt;null&gt;"/>
    <s v="Structurele Ingreep"/>
    <s v="WL/INV/N758/4"/>
    <b v="0"/>
    <s v="Ingreep wordt niet opgevolgd in BOD"/>
    <s v="&lt;null&gt;"/>
    <s v="&lt;null&gt;"/>
    <s v="&lt;null&gt;"/>
    <s v="&lt;null&gt;"/>
    <s v="&lt;null&gt;"/>
    <x v="0"/>
    <s v="&lt;null&gt;"/>
    <s v="&lt;null&gt;"/>
    <s v="&lt;null&gt;"/>
    <s v="&lt;null&gt;"/>
    <s v="&lt;null&gt;"/>
    <s v="&lt;null&gt;"/>
    <s v="&lt;null&gt;"/>
    <s v="&lt;null&gt;"/>
    <s v="&lt;null&gt;"/>
    <m/>
    <m/>
    <m/>
    <m/>
  </r>
  <r>
    <x v="1590"/>
    <x v="1590"/>
    <s v="Verkeersveiligheid"/>
    <x v="4"/>
    <n v="3140"/>
    <s v="IN/002346"/>
    <s v="Scherpenheuvel-Zichem Aanbrengen van fietssuggestiestroken"/>
    <s v="Vernieuwen van bestaande fietssuggestiestroken en doortrekken van de fietssuggestiestroken tot waar fietspad start."/>
    <s v="Kleine Ingreep"/>
    <s v="WVB/INV/N10/6"/>
    <b v="0"/>
    <s v="Ingreep wordt niet opgevolgd in BOD"/>
    <s v="&lt;null&gt;"/>
    <s v="&lt;null&gt;"/>
    <s v="&lt;null&gt;"/>
    <s v="&lt;null&gt;"/>
    <s v="&lt;null&gt;"/>
    <x v="0"/>
    <s v="&lt;null&gt;"/>
    <s v="&lt;null&gt;"/>
    <s v="&lt;null&gt;"/>
    <s v="&lt;null&gt;"/>
    <n v="100"/>
    <s v="&lt;null&gt;"/>
    <s v="&lt;null&gt;"/>
    <s v="&lt;null&gt;"/>
    <s v="&lt;null&gt;"/>
    <m/>
    <m/>
    <m/>
    <m/>
  </r>
  <r>
    <x v="1591"/>
    <x v="1591"/>
    <s v="Verkeersveiligheid"/>
    <x v="4"/>
    <n v="3141"/>
    <s v="IN/002347"/>
    <s v="Haacht Aanleg van volwaardig fietspad i.p.v. moordstrookjes op N21 tss spoorweg en Wespelaarsebaan"/>
    <s v="Smalle aanliggende fietspaden ombouwen tot verhoogde (indien mogelijk bredere) fietspaden, aansluitend op deze aan het kruispunt van de Grote Baan."/>
    <s v="Kleine Ingreep"/>
    <s v="&lt;null&gt;"/>
    <b v="0"/>
    <s v="Ingreep wordt niet opgevolgd in BOD"/>
    <s v="&lt;null&gt;"/>
    <s v="&lt;null&gt;"/>
    <s v="&lt;null&gt;"/>
    <s v="&lt;null&gt;"/>
    <s v="&lt;null&gt;"/>
    <x v="0"/>
    <s v="&lt;null&gt;"/>
    <s v="&lt;null&gt;"/>
    <s v="&lt;null&gt;"/>
    <s v="&lt;null&gt;"/>
    <n v="100"/>
    <s v="&lt;null&gt;"/>
    <s v="&lt;null&gt;"/>
    <s v="&lt;null&gt;"/>
    <s v="&lt;null&gt;"/>
    <m/>
    <m/>
    <m/>
    <m/>
  </r>
  <r>
    <x v="1592"/>
    <x v="1592"/>
    <s v="Verkeersveiligheid"/>
    <x v="4"/>
    <n v="3142"/>
    <s v="IN/002348"/>
    <s v="Tervuren Aanpassing VRI kruispunt N3 en Oppemstraat"/>
    <s v="Lange oversteektijd voor voetgangers en fietsers. Voetgangers kunnen vaak niet in één beweging de Tervurenlaan kruisen en hebben daarvoor vaak twee groenfasen nodig"/>
    <s v="Kleine Ingreep"/>
    <s v="&lt;null&gt;"/>
    <b v="0"/>
    <s v="Ingreep wordt niet opgevolgd in BOD"/>
    <s v="&lt;null&gt;"/>
    <s v="&lt;null&gt;"/>
    <s v="&lt;null&gt;"/>
    <s v="&lt;null&gt;"/>
    <s v="&lt;null&gt;"/>
    <x v="0"/>
    <s v="&lt;null&gt;"/>
    <s v="&lt;null&gt;"/>
    <s v="&lt;null&gt;"/>
    <s v="&lt;null&gt;"/>
    <n v="100"/>
    <s v="&lt;null&gt;"/>
    <s v="&lt;null&gt;"/>
    <s v="&lt;null&gt;"/>
    <s v="&lt;null&gt;"/>
    <m/>
    <m/>
    <m/>
    <m/>
  </r>
  <r>
    <x v="1593"/>
    <x v="1593"/>
    <s v="Verkeersveiligheid"/>
    <x v="4"/>
    <n v="3143"/>
    <s v="IN/002349"/>
    <s v="GAL Tollembeek Zone 30"/>
    <s v="Zone 30 in dorpskern."/>
    <s v="Kleine Ingreep"/>
    <s v="&lt;null&gt;"/>
    <b v="0"/>
    <s v="Ingreep wordt niet opgevolgd in BOD"/>
    <s v="&lt;null&gt;"/>
    <s v="&lt;null&gt;"/>
    <s v="&lt;null&gt;"/>
    <s v="&lt;null&gt;"/>
    <s v="&lt;null&gt;"/>
    <x v="0"/>
    <s v="&lt;null&gt;"/>
    <s v="&lt;null&gt;"/>
    <s v="&lt;null&gt;"/>
    <s v="&lt;null&gt;"/>
    <n v="100"/>
    <s v="&lt;null&gt;"/>
    <s v="&lt;null&gt;"/>
    <s v="&lt;null&gt;"/>
    <s v="&lt;null&gt;"/>
    <m/>
    <m/>
    <m/>
    <m/>
  </r>
  <r>
    <x v="1594"/>
    <x v="1594"/>
    <s v="Verkeersveiligheid"/>
    <x v="4"/>
    <n v="3144"/>
    <s v="IN/002350"/>
    <s v="Roosdaal Vernieuwen kruispunt N8 x Ramerstraat"/>
    <s v="Aanpassen kruispunt N8 met Ramerstraat / Daalbeekstraat.\nVia SWO met Roosdaal (grotere werken in Ramerstraat incl. rioleringen)\nPCV VB-220"/>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3145"/>
    <s v="IN/002351"/>
    <s v="Noorderlaan Texaco afgerond"/>
    <s v="&lt;null&gt;"/>
    <s v="Structurele Ingreep"/>
    <s v="WA/INV/N180/1"/>
    <b v="0"/>
    <s v="Ingreep wordt niet opgevolgd in BOD"/>
    <s v="&lt;null&gt;"/>
    <s v="&lt;null&gt;"/>
    <s v="&lt;null&gt;"/>
    <s v="&lt;null&gt;"/>
    <s v="&lt;null&gt;"/>
    <x v="0"/>
    <s v="&lt;null&gt;"/>
    <s v="&lt;null&gt;"/>
    <s v="&lt;null&gt;"/>
    <s v="&lt;null&gt;"/>
    <s v="&lt;null&gt;"/>
    <s v="&lt;null&gt;"/>
    <s v="&lt;null&gt;"/>
    <s v="&lt;null&gt;"/>
    <s v="&lt;null&gt;"/>
    <m/>
    <m/>
    <m/>
    <m/>
  </r>
  <r>
    <x v="18"/>
    <x v="18"/>
    <s v="&lt;null&gt;"/>
    <x v="3"/>
    <n v="3146"/>
    <s v="IN/002352"/>
    <s v="E313 Antwerp: Vervang brug Sterckshoflei Cornelis"/>
    <s v="&lt;null&gt;"/>
    <s v="Structurele Ingreep"/>
    <s v="WA/INV/E313/1"/>
    <b v="0"/>
    <s v="Ingreep wordt niet opgevolgd in BOD"/>
    <s v="&lt;null&gt;"/>
    <s v="&lt;null&gt;"/>
    <s v="&lt;null&gt;"/>
    <s v="&lt;null&gt;"/>
    <s v="&lt;null&gt;"/>
    <x v="0"/>
    <s v="&lt;null&gt;"/>
    <s v="&lt;null&gt;"/>
    <s v="&lt;null&gt;"/>
    <s v="&lt;null&gt;"/>
    <s v="&lt;null&gt;"/>
    <s v="&lt;null&gt;"/>
    <s v="&lt;null&gt;"/>
    <s v="&lt;null&gt;"/>
    <s v="&lt;null&gt;"/>
    <m/>
    <m/>
    <m/>
    <m/>
  </r>
  <r>
    <x v="18"/>
    <x v="18"/>
    <s v="&lt;null&gt;"/>
    <x v="3"/>
    <n v="3147"/>
    <s v="IN/002353"/>
    <s v="A013 - ZANDHOVEN brug O15 te Massenhoven Viersel"/>
    <s v="&lt;null&gt;"/>
    <s v="Structurele Ingreep"/>
    <s v="WA/INV/A013/1"/>
    <b v="0"/>
    <s v="Ingreep wordt niet opgevolgd in BOD"/>
    <s v="&lt;null&gt;"/>
    <s v="&lt;null&gt;"/>
    <s v="&lt;null&gt;"/>
    <s v="&lt;null&gt;"/>
    <s v="&lt;null&gt;"/>
    <x v="0"/>
    <s v="&lt;null&gt;"/>
    <s v="&lt;null&gt;"/>
    <s v="&lt;null&gt;"/>
    <s v="&lt;null&gt;"/>
    <s v="&lt;null&gt;"/>
    <s v="&lt;null&gt;"/>
    <s v="&lt;null&gt;"/>
    <s v="&lt;null&gt;"/>
    <s v="&lt;null&gt;"/>
    <m/>
    <m/>
    <m/>
    <m/>
  </r>
  <r>
    <x v="18"/>
    <x v="18"/>
    <s v="&lt;null&gt;"/>
    <x v="3"/>
    <n v="3148"/>
    <s v="IN/002354"/>
    <s v="N180 Antwerpen Noorderlaan 2020"/>
    <s v="&lt;null&gt;"/>
    <s v="Structurele Ingreep"/>
    <s v="WA/INV/N180/2"/>
    <b v="0"/>
    <s v="Ingreep wordt niet opgevolgd in BOD"/>
    <s v="&lt;null&gt;"/>
    <s v="&lt;null&gt;"/>
    <s v="&lt;null&gt;"/>
    <s v="&lt;null&gt;"/>
    <s v="&lt;null&gt;"/>
    <x v="0"/>
    <s v="&lt;null&gt;"/>
    <s v="&lt;null&gt;"/>
    <s v="&lt;null&gt;"/>
    <s v="&lt;null&gt;"/>
    <s v="&lt;null&gt;"/>
    <s v="&lt;null&gt;"/>
    <s v="&lt;null&gt;"/>
    <s v="&lt;null&gt;"/>
    <s v="&lt;null&gt;"/>
    <m/>
    <m/>
    <m/>
    <m/>
  </r>
  <r>
    <x v="18"/>
    <x v="18"/>
    <s v="&lt;null&gt;"/>
    <x v="3"/>
    <n v="3149"/>
    <s v="IN/002355"/>
    <s v="renovatie brug bussestraat"/>
    <s v="&lt;null&gt;"/>
    <s v="Structurele Ingreep"/>
    <s v="WA/INV/A1/14"/>
    <b v="0"/>
    <s v="Ingreep wordt niet opgevolgd in BOD"/>
    <s v="&lt;null&gt;"/>
    <s v="&lt;null&gt;"/>
    <s v="&lt;null&gt;"/>
    <s v="&lt;null&gt;"/>
    <s v="&lt;null&gt;"/>
    <x v="0"/>
    <s v="&lt;null&gt;"/>
    <s v="&lt;null&gt;"/>
    <s v="&lt;null&gt;"/>
    <s v="&lt;null&gt;"/>
    <s v="&lt;null&gt;"/>
    <s v="&lt;null&gt;"/>
    <s v="&lt;null&gt;"/>
    <s v="&lt;null&gt;"/>
    <s v="&lt;null&gt;"/>
    <m/>
    <m/>
    <m/>
    <m/>
  </r>
  <r>
    <x v="18"/>
    <x v="18"/>
    <s v="&lt;null&gt;"/>
    <x v="3"/>
    <n v="3150"/>
    <s v="IN/002356"/>
    <s v="Markeringen R1 afgerond"/>
    <s v="&lt;null&gt;"/>
    <s v="Structurele Ingreep"/>
    <s v="WA/INV/R1/8"/>
    <b v="0"/>
    <s v="Ingreep wordt niet opgevolgd in BOD"/>
    <s v="&lt;null&gt;"/>
    <s v="&lt;null&gt;"/>
    <s v="&lt;null&gt;"/>
    <s v="&lt;null&gt;"/>
    <s v="&lt;null&gt;"/>
    <x v="0"/>
    <s v="&lt;null&gt;"/>
    <s v="&lt;null&gt;"/>
    <s v="&lt;null&gt;"/>
    <s v="&lt;null&gt;"/>
    <s v="&lt;null&gt;"/>
    <s v="&lt;null&gt;"/>
    <s v="&lt;null&gt;"/>
    <s v="&lt;null&gt;"/>
    <s v="&lt;null&gt;"/>
    <m/>
    <m/>
    <m/>
    <m/>
  </r>
  <r>
    <x v="18"/>
    <x v="18"/>
    <s v="&lt;null&gt;"/>
    <x v="3"/>
    <n v="3151"/>
    <s v="IN/002357"/>
    <s v="Geluidsstudie Wilrijk Viaduct en omgeving"/>
    <s v="&lt;null&gt;"/>
    <s v="Structurele Ingreep"/>
    <s v="WA/INV/A12/4"/>
    <b v="0"/>
    <s v="Ingreep wordt niet opgevolgd in BOD"/>
    <s v="&lt;null&gt;"/>
    <s v="&lt;null&gt;"/>
    <s v="&lt;null&gt;"/>
    <s v="&lt;null&gt;"/>
    <s v="&lt;null&gt;"/>
    <x v="0"/>
    <s v="&lt;null&gt;"/>
    <s v="&lt;null&gt;"/>
    <s v="&lt;null&gt;"/>
    <s v="&lt;null&gt;"/>
    <s v="&lt;null&gt;"/>
    <s v="&lt;null&gt;"/>
    <s v="&lt;null&gt;"/>
    <s v="&lt;null&gt;"/>
    <s v="&lt;null&gt;"/>
    <m/>
    <m/>
    <m/>
    <m/>
  </r>
  <r>
    <x v="18"/>
    <x v="18"/>
    <s v="&lt;null&gt;"/>
    <x v="3"/>
    <n v="3152"/>
    <s v="IN/002358"/>
    <s v="A12 Antwerpen Muisbroekpasserelle afgerond"/>
    <s v="&lt;null&gt;"/>
    <s v="Structurele Ingreep"/>
    <s v="WA/INV/A12/14"/>
    <b v="0"/>
    <s v="Ingreep wordt niet opgevolgd in BOD"/>
    <s v="&lt;null&gt;"/>
    <s v="&lt;null&gt;"/>
    <s v="&lt;null&gt;"/>
    <s v="&lt;null&gt;"/>
    <s v="&lt;null&gt;"/>
    <x v="0"/>
    <s v="&lt;null&gt;"/>
    <s v="&lt;null&gt;"/>
    <s v="&lt;null&gt;"/>
    <s v="&lt;null&gt;"/>
    <s v="&lt;null&gt;"/>
    <s v="&lt;null&gt;"/>
    <s v="&lt;null&gt;"/>
    <s v="&lt;null&gt;"/>
    <s v="&lt;null&gt;"/>
    <m/>
    <m/>
    <m/>
    <m/>
  </r>
  <r>
    <x v="18"/>
    <x v="18"/>
    <s v="&lt;null&gt;"/>
    <x v="3"/>
    <n v="3153"/>
    <s v="IN/002359"/>
    <s v="N101 Antwerpen Noordlandbrug afgerond"/>
    <s v="&lt;null&gt;"/>
    <s v="Structurele Ingreep"/>
    <s v="WA/INV/N101/1"/>
    <b v="0"/>
    <s v="Ingreep wordt niet opgevolgd in BOD"/>
    <s v="&lt;null&gt;"/>
    <s v="&lt;null&gt;"/>
    <s v="&lt;null&gt;"/>
    <s v="&lt;null&gt;"/>
    <s v="&lt;null&gt;"/>
    <x v="0"/>
    <s v="&lt;null&gt;"/>
    <s v="&lt;null&gt;"/>
    <s v="&lt;null&gt;"/>
    <s v="&lt;null&gt;"/>
    <s v="&lt;null&gt;"/>
    <s v="&lt;null&gt;"/>
    <s v="&lt;null&gt;"/>
    <s v="&lt;null&gt;"/>
    <s v="&lt;null&gt;"/>
    <m/>
    <m/>
    <m/>
    <m/>
  </r>
  <r>
    <x v="18"/>
    <x v="18"/>
    <s v="&lt;null&gt;"/>
    <x v="3"/>
    <n v="3154"/>
    <s v="IN/002360"/>
    <s v="Boudewijnbrug"/>
    <s v="&lt;null&gt;"/>
    <s v="Structurele Ingreep"/>
    <s v="WA/INV/N101/6"/>
    <b v="0"/>
    <s v="Ingreep wordt niet opgevolgd in BOD"/>
    <s v="&lt;null&gt;"/>
    <s v="&lt;null&gt;"/>
    <s v="&lt;null&gt;"/>
    <s v="&lt;null&gt;"/>
    <s v="&lt;null&gt;"/>
    <x v="0"/>
    <s v="&lt;null&gt;"/>
    <s v="&lt;null&gt;"/>
    <s v="&lt;null&gt;"/>
    <s v="&lt;null&gt;"/>
    <s v="&lt;null&gt;"/>
    <s v="&lt;null&gt;"/>
    <s v="&lt;null&gt;"/>
    <s v="&lt;null&gt;"/>
    <s v="&lt;null&gt;"/>
    <m/>
    <m/>
    <m/>
    <m/>
  </r>
  <r>
    <x v="18"/>
    <x v="18"/>
    <s v="&lt;null&gt;"/>
    <x v="3"/>
    <n v="3155"/>
    <s v="IN/002361"/>
    <s v="Rioolbeheer R1 22"/>
    <s v="&lt;null&gt;"/>
    <s v="Structurele Ingreep"/>
    <s v="WA/INV/R1/2"/>
    <b v="0"/>
    <s v="Ingreep wordt niet opgevolgd in BOD"/>
    <s v="&lt;null&gt;"/>
    <s v="&lt;null&gt;"/>
    <s v="&lt;null&gt;"/>
    <s v="&lt;null&gt;"/>
    <s v="&lt;null&gt;"/>
    <x v="0"/>
    <s v="&lt;null&gt;"/>
    <s v="&lt;null&gt;"/>
    <s v="&lt;null&gt;"/>
    <s v="&lt;null&gt;"/>
    <s v="&lt;null&gt;"/>
    <s v="&lt;null&gt;"/>
    <s v="&lt;null&gt;"/>
    <s v="&lt;null&gt;"/>
    <s v="&lt;null&gt;"/>
    <m/>
    <m/>
    <m/>
    <m/>
  </r>
  <r>
    <x v="18"/>
    <x v="18"/>
    <s v="&lt;null&gt;"/>
    <x v="3"/>
    <n v="3156"/>
    <s v="IN/002362"/>
    <s v="N101 Antwerpen scheldelaan 2020"/>
    <s v="&lt;null&gt;"/>
    <s v="Structurele Ingreep"/>
    <s v="WA/INV/N101/2"/>
    <b v="0"/>
    <s v="Ingreep wordt niet opgevolgd in BOD"/>
    <s v="&lt;null&gt;"/>
    <s v="&lt;null&gt;"/>
    <s v="&lt;null&gt;"/>
    <s v="&lt;null&gt;"/>
    <s v="&lt;null&gt;"/>
    <x v="0"/>
    <s v="&lt;null&gt;"/>
    <s v="&lt;null&gt;"/>
    <s v="&lt;null&gt;"/>
    <s v="&lt;null&gt;"/>
    <s v="&lt;null&gt;"/>
    <s v="&lt;null&gt;"/>
    <s v="&lt;null&gt;"/>
    <s v="&lt;null&gt;"/>
    <s v="&lt;null&gt;"/>
    <m/>
    <m/>
    <m/>
    <m/>
  </r>
  <r>
    <x v="18"/>
    <x v="18"/>
    <s v="&lt;null&gt;"/>
    <x v="3"/>
    <n v="3157"/>
    <s v="IN/002363"/>
    <s v="renovatie Netebruggen: Fase 1"/>
    <s v="&lt;null&gt;"/>
    <s v="Structurele Ingreep"/>
    <s v="WA/INV/A001/2"/>
    <b v="0"/>
    <s v="Ingreep wordt niet opgevolgd in BOD"/>
    <s v="&lt;null&gt;"/>
    <s v="&lt;null&gt;"/>
    <s v="&lt;null&gt;"/>
    <s v="&lt;null&gt;"/>
    <s v="&lt;null&gt;"/>
    <x v="0"/>
    <s v="&lt;null&gt;"/>
    <s v="&lt;null&gt;"/>
    <s v="&lt;null&gt;"/>
    <s v="&lt;null&gt;"/>
    <s v="&lt;null&gt;"/>
    <s v="&lt;null&gt;"/>
    <s v="&lt;null&gt;"/>
    <s v="&lt;null&gt;"/>
    <s v="&lt;null&gt;"/>
    <m/>
    <m/>
    <m/>
    <m/>
  </r>
  <r>
    <x v="18"/>
    <x v="18"/>
    <s v="&lt;null&gt;"/>
    <x v="3"/>
    <n v="3158"/>
    <s v="IN/002364"/>
    <s v="B5313 vervangen leuningen geen budget op GIP"/>
    <s v="&lt;null&gt;"/>
    <s v="Structurele Ingreep"/>
    <s v="WA/INV/A012/3"/>
    <b v="0"/>
    <s v="Ingreep wordt niet opgevolgd in BOD"/>
    <s v="&lt;null&gt;"/>
    <s v="&lt;null&gt;"/>
    <s v="&lt;null&gt;"/>
    <s v="&lt;null&gt;"/>
    <s v="&lt;null&gt;"/>
    <x v="0"/>
    <s v="&lt;null&gt;"/>
    <s v="&lt;null&gt;"/>
    <s v="&lt;null&gt;"/>
    <s v="&lt;null&gt;"/>
    <s v="&lt;null&gt;"/>
    <s v="&lt;null&gt;"/>
    <s v="&lt;null&gt;"/>
    <s v="&lt;null&gt;"/>
    <s v="&lt;null&gt;"/>
    <m/>
    <m/>
    <m/>
    <m/>
  </r>
  <r>
    <x v="18"/>
    <x v="18"/>
    <s v="&lt;null&gt;"/>
    <x v="3"/>
    <n v="3159"/>
    <s v="IN/002365"/>
    <s v="A13 Antwerpen 3 Bruggen thv Rondpunt Wommelgem"/>
    <s v="&lt;null&gt;"/>
    <s v="Structurele Ingreep"/>
    <s v="WA/INV/A13/4"/>
    <b v="0"/>
    <s v="Ingreep wordt niet opgevolgd in BOD"/>
    <s v="&lt;null&gt;"/>
    <s v="&lt;null&gt;"/>
    <s v="&lt;null&gt;"/>
    <s v="&lt;null&gt;"/>
    <s v="&lt;null&gt;"/>
    <x v="0"/>
    <s v="&lt;null&gt;"/>
    <s v="&lt;null&gt;"/>
    <s v="&lt;null&gt;"/>
    <s v="&lt;null&gt;"/>
    <s v="&lt;null&gt;"/>
    <s v="&lt;null&gt;"/>
    <s v="&lt;null&gt;"/>
    <s v="&lt;null&gt;"/>
    <s v="&lt;null&gt;"/>
    <m/>
    <m/>
    <m/>
    <m/>
  </r>
  <r>
    <x v="18"/>
    <x v="18"/>
    <s v="&lt;null&gt;"/>
    <x v="3"/>
    <n v="3160"/>
    <s v="IN/002366"/>
    <s v="N129 Antwerpen theunisbrug: missing link  VRI"/>
    <s v="&lt;null&gt;"/>
    <s v="Structurele Ingreep"/>
    <s v="WA/INV/N129/3"/>
    <b v="0"/>
    <s v="Ingreep wordt niet opgevolgd in BOD"/>
    <s v="&lt;null&gt;"/>
    <s v="&lt;null&gt;"/>
    <s v="&lt;null&gt;"/>
    <s v="&lt;null&gt;"/>
    <s v="&lt;null&gt;"/>
    <x v="0"/>
    <s v="&lt;null&gt;"/>
    <s v="&lt;null&gt;"/>
    <s v="&lt;null&gt;"/>
    <s v="&lt;null&gt;"/>
    <s v="&lt;null&gt;"/>
    <s v="&lt;null&gt;"/>
    <s v="&lt;null&gt;"/>
    <s v="&lt;null&gt;"/>
    <s v="&lt;null&gt;"/>
    <m/>
    <m/>
    <m/>
    <m/>
  </r>
  <r>
    <x v="18"/>
    <x v="18"/>
    <s v="&lt;null&gt;"/>
    <x v="3"/>
    <n v="3161"/>
    <s v="IN/002367"/>
    <s v="Herstelling voeg Blancefloerlaan"/>
    <s v="&lt;null&gt;"/>
    <s v="Structurele Ingreep"/>
    <s v="WA/INV/N70/3"/>
    <b v="0"/>
    <s v="Ingreep wordt niet opgevolgd in BOD"/>
    <s v="&lt;null&gt;"/>
    <s v="&lt;null&gt;"/>
    <s v="&lt;null&gt;"/>
    <s v="&lt;null&gt;"/>
    <s v="&lt;null&gt;"/>
    <x v="0"/>
    <s v="&lt;null&gt;"/>
    <s v="&lt;null&gt;"/>
    <s v="&lt;null&gt;"/>
    <s v="&lt;null&gt;"/>
    <s v="&lt;null&gt;"/>
    <s v="&lt;null&gt;"/>
    <s v="&lt;null&gt;"/>
    <s v="&lt;null&gt;"/>
    <s v="&lt;null&gt;"/>
    <m/>
    <m/>
    <m/>
    <m/>
  </r>
  <r>
    <x v="18"/>
    <x v="18"/>
    <s v="&lt;null&gt;"/>
    <x v="3"/>
    <n v="3162"/>
    <s v="IN/002368"/>
    <s v="Renovatie B101"/>
    <s v="&lt;null&gt;"/>
    <s v="Structurele Ingreep"/>
    <s v="WA/INV/B101/1"/>
    <b v="0"/>
    <s v="Ingreep wordt niet opgevolgd in BOD"/>
    <s v="&lt;null&gt;"/>
    <s v="&lt;null&gt;"/>
    <s v="&lt;null&gt;"/>
    <s v="&lt;null&gt;"/>
    <s v="&lt;null&gt;"/>
    <x v="0"/>
    <s v="&lt;null&gt;"/>
    <s v="&lt;null&gt;"/>
    <s v="&lt;null&gt;"/>
    <s v="&lt;null&gt;"/>
    <s v="&lt;null&gt;"/>
    <s v="&lt;null&gt;"/>
    <s v="&lt;null&gt;"/>
    <s v="&lt;null&gt;"/>
    <s v="&lt;null&gt;"/>
    <m/>
    <m/>
    <m/>
    <m/>
  </r>
  <r>
    <x v="18"/>
    <x v="18"/>
    <s v="&lt;null&gt;"/>
    <x v="3"/>
    <n v="3163"/>
    <s v="IN/002369"/>
    <s v="renovatie Netebruggen: Fase 2"/>
    <s v="&lt;null&gt;"/>
    <s v="Structurele Ingreep"/>
    <s v="WA/INV/A001/9"/>
    <b v="0"/>
    <s v="Ingreep wordt niet opgevolgd in BOD"/>
    <s v="&lt;null&gt;"/>
    <s v="&lt;null&gt;"/>
    <s v="&lt;null&gt;"/>
    <s v="&lt;null&gt;"/>
    <s v="&lt;null&gt;"/>
    <x v="0"/>
    <s v="&lt;null&gt;"/>
    <s v="&lt;null&gt;"/>
    <s v="&lt;null&gt;"/>
    <s v="&lt;null&gt;"/>
    <s v="&lt;null&gt;"/>
    <s v="&lt;null&gt;"/>
    <s v="&lt;null&gt;"/>
    <s v="&lt;null&gt;"/>
    <s v="&lt;null&gt;"/>
    <m/>
    <m/>
    <m/>
    <m/>
  </r>
  <r>
    <x v="18"/>
    <x v="18"/>
    <s v="&lt;null&gt;"/>
    <x v="3"/>
    <n v="3164"/>
    <s v="IN/002370"/>
    <s v="Kath bescherming geen budget op GIP"/>
    <s v="&lt;null&gt;"/>
    <s v="Structurele Ingreep"/>
    <s v="WA/INV/A012/7"/>
    <b v="0"/>
    <s v="Ingreep wordt niet opgevolgd in BOD"/>
    <s v="&lt;null&gt;"/>
    <s v="&lt;null&gt;"/>
    <s v="&lt;null&gt;"/>
    <s v="&lt;null&gt;"/>
    <s v="&lt;null&gt;"/>
    <x v="0"/>
    <s v="&lt;null&gt;"/>
    <s v="&lt;null&gt;"/>
    <s v="&lt;null&gt;"/>
    <s v="&lt;null&gt;"/>
    <s v="&lt;null&gt;"/>
    <s v="&lt;null&gt;"/>
    <s v="&lt;null&gt;"/>
    <s v="&lt;null&gt;"/>
    <s v="&lt;null&gt;"/>
    <m/>
    <m/>
    <m/>
    <m/>
  </r>
  <r>
    <x v="18"/>
    <x v="18"/>
    <s v="&lt;null&gt;"/>
    <x v="3"/>
    <n v="3165"/>
    <s v="IN/002371"/>
    <s v="Kunstwerken V21 V22 V23 V24 V25"/>
    <s v="&lt;null&gt;"/>
    <s v="Structurel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3166"/>
    <s v="IN/002372"/>
    <s v="Rioolbeheer R1 GIP   VNN"/>
    <s v="&lt;null&gt;"/>
    <s v="Structurele Ingreep"/>
    <s v="WA/INV/R1/9"/>
    <b v="0"/>
    <s v="Ingreep wordt niet opgevolgd in BOD"/>
    <s v="&lt;null&gt;"/>
    <s v="&lt;null&gt;"/>
    <s v="&lt;null&gt;"/>
    <s v="&lt;null&gt;"/>
    <s v="&lt;null&gt;"/>
    <x v="0"/>
    <s v="&lt;null&gt;"/>
    <s v="&lt;null&gt;"/>
    <s v="&lt;null&gt;"/>
    <s v="&lt;null&gt;"/>
    <s v="&lt;null&gt;"/>
    <s v="&lt;null&gt;"/>
    <s v="&lt;null&gt;"/>
    <s v="&lt;null&gt;"/>
    <s v="&lt;null&gt;"/>
    <m/>
    <m/>
    <m/>
    <m/>
  </r>
  <r>
    <x v="18"/>
    <x v="18"/>
    <s v="&lt;null&gt;"/>
    <x v="3"/>
    <n v="3167"/>
    <s v="IN/002373"/>
    <s v="Rioolbeheer R1 24"/>
    <s v="&lt;null&gt;"/>
    <s v="Structurele Ingreep"/>
    <s v="WA/INV/R1/4"/>
    <b v="0"/>
    <s v="Ingreep wordt niet opgevolgd in BOD"/>
    <s v="&lt;null&gt;"/>
    <s v="&lt;null&gt;"/>
    <s v="&lt;null&gt;"/>
    <s v="&lt;null&gt;"/>
    <s v="&lt;null&gt;"/>
    <x v="0"/>
    <s v="&lt;null&gt;"/>
    <s v="&lt;null&gt;"/>
    <s v="&lt;null&gt;"/>
    <s v="&lt;null&gt;"/>
    <s v="&lt;null&gt;"/>
    <s v="&lt;null&gt;"/>
    <s v="&lt;null&gt;"/>
    <s v="&lt;null&gt;"/>
    <s v="&lt;null&gt;"/>
    <m/>
    <m/>
    <m/>
    <m/>
  </r>
  <r>
    <x v="18"/>
    <x v="18"/>
    <s v="&lt;null&gt;"/>
    <x v="3"/>
    <n v="3168"/>
    <s v="IN/002374"/>
    <s v="N101 Antwerpen Scheldelaan 2025"/>
    <s v="&lt;null&gt;"/>
    <s v="Structurele Ingreep"/>
    <s v="WA/INV/N101/3"/>
    <b v="0"/>
    <s v="Ingreep wordt niet opgevolgd in BOD"/>
    <s v="&lt;null&gt;"/>
    <s v="&lt;null&gt;"/>
    <s v="&lt;null&gt;"/>
    <s v="&lt;null&gt;"/>
    <s v="&lt;null&gt;"/>
    <x v="0"/>
    <s v="&lt;null&gt;"/>
    <s v="&lt;null&gt;"/>
    <s v="&lt;null&gt;"/>
    <s v="&lt;null&gt;"/>
    <s v="&lt;null&gt;"/>
    <s v="&lt;null&gt;"/>
    <s v="&lt;null&gt;"/>
    <s v="&lt;null&gt;"/>
    <s v="&lt;null&gt;"/>
    <m/>
    <m/>
    <m/>
    <m/>
  </r>
  <r>
    <x v="18"/>
    <x v="18"/>
    <s v="&lt;null&gt;"/>
    <x v="3"/>
    <n v="3169"/>
    <s v="IN/002375"/>
    <s v="N180 Antwerpen Noorderlaan 2023"/>
    <s v="&lt;null&gt;"/>
    <s v="Structurele Ingreep"/>
    <s v="WA/INV/N180/6"/>
    <b v="0"/>
    <s v="Ingreep wordt niet opgevolgd in BOD"/>
    <s v="&lt;null&gt;"/>
    <s v="&lt;null&gt;"/>
    <s v="&lt;null&gt;"/>
    <s v="&lt;null&gt;"/>
    <s v="&lt;null&gt;"/>
    <x v="0"/>
    <s v="&lt;null&gt;"/>
    <s v="&lt;null&gt;"/>
    <s v="&lt;null&gt;"/>
    <s v="&lt;null&gt;"/>
    <s v="&lt;null&gt;"/>
    <s v="&lt;null&gt;"/>
    <s v="&lt;null&gt;"/>
    <s v="&lt;null&gt;"/>
    <s v="&lt;null&gt;"/>
    <m/>
    <m/>
    <m/>
    <m/>
  </r>
  <r>
    <x v="18"/>
    <x v="18"/>
    <s v="&lt;null&gt;"/>
    <x v="3"/>
    <n v="3170"/>
    <s v="IN/002376"/>
    <s v="N180 Antwerpen Noorderlaan 2024"/>
    <s v="&lt;null&gt;"/>
    <s v="Structurele Ingreep"/>
    <s v="WA/INV/N180/3"/>
    <b v="0"/>
    <s v="Ingreep wordt niet opgevolgd in BOD"/>
    <s v="&lt;null&gt;"/>
    <s v="&lt;null&gt;"/>
    <s v="&lt;null&gt;"/>
    <s v="&lt;null&gt;"/>
    <s v="&lt;null&gt;"/>
    <x v="0"/>
    <s v="&lt;null&gt;"/>
    <s v="&lt;null&gt;"/>
    <s v="&lt;null&gt;"/>
    <s v="&lt;null&gt;"/>
    <s v="&lt;null&gt;"/>
    <s v="&lt;null&gt;"/>
    <s v="&lt;null&gt;"/>
    <s v="&lt;null&gt;"/>
    <s v="&lt;null&gt;"/>
    <m/>
    <m/>
    <m/>
    <m/>
  </r>
  <r>
    <x v="330"/>
    <x v="330"/>
    <s v="Verkeersveiligheid"/>
    <x v="1"/>
    <n v="3171"/>
    <s v="IN/002377"/>
    <s v="Quick-win : belijning, aanpassing bushalte en plaatsing VVOP"/>
    <s v="Uitvoeren van Quick-win om de veiligheid te verbeteren."/>
    <s v="Kleine Ingreep"/>
    <s v="WL/INV/N72/24"/>
    <b v="1"/>
    <s v="Ingreep wordt opgevolgd in BOD"/>
    <n v="12817"/>
    <s v="AWV/INV/2021/3_P5"/>
    <n v="135951"/>
    <n v="22015560"/>
    <s v="&lt;p&gt;gevaarlijke punten, scholenroutes&lt;/p&gt;"/>
    <x v="14"/>
    <n v="10574"/>
    <s v="Beringen_N72_QW_17.722"/>
    <s v="&lt;null&gt;"/>
    <s v="WL/INV/N72/24"/>
    <n v="100"/>
    <n v="20000"/>
    <n v="0"/>
    <n v="0"/>
    <n v="4339.78"/>
    <n v="20000"/>
    <n v="0"/>
    <n v="0"/>
    <n v="4339.78"/>
  </r>
  <r>
    <x v="18"/>
    <x v="18"/>
    <s v="&lt;null&gt;"/>
    <x v="3"/>
    <n v="3172"/>
    <s v="IN/002378"/>
    <s v="N8 Heestert - Avelgem: herinrichting"/>
    <s v="&lt;null&gt;"/>
    <s v="Structurele Ingreep"/>
    <s v="WWV/INV/N8/6"/>
    <b v="0"/>
    <s v="Ingreep wordt niet opgevolgd in BOD"/>
    <s v="&lt;null&gt;"/>
    <s v="&lt;null&gt;"/>
    <s v="&lt;null&gt;"/>
    <s v="&lt;null&gt;"/>
    <s v="&lt;null&gt;"/>
    <x v="0"/>
    <s v="&lt;null&gt;"/>
    <s v="&lt;null&gt;"/>
    <s v="&lt;null&gt;"/>
    <s v="&lt;null&gt;"/>
    <s v="&lt;null&gt;"/>
    <s v="&lt;null&gt;"/>
    <s v="&lt;null&gt;"/>
    <s v="&lt;null&gt;"/>
    <s v="&lt;null&gt;"/>
    <m/>
    <m/>
    <m/>
    <m/>
  </r>
  <r>
    <x v="18"/>
    <x v="18"/>
    <s v="&lt;null&gt;"/>
    <x v="3"/>
    <n v="3173"/>
    <s v="IN/002379"/>
    <s v="N336 Heuvelland: aanleg fietspad met structureel o"/>
    <s v="&lt;null&gt;"/>
    <s v="Structurele Ingreep"/>
    <s v="WWV/INV/N336/1"/>
    <b v="0"/>
    <s v="Ingreep wordt niet opgevolgd in BOD"/>
    <s v="&lt;null&gt;"/>
    <s v="&lt;null&gt;"/>
    <s v="&lt;null&gt;"/>
    <s v="&lt;null&gt;"/>
    <s v="&lt;null&gt;"/>
    <x v="0"/>
    <s v="&lt;null&gt;"/>
    <s v="&lt;null&gt;"/>
    <s v="&lt;null&gt;"/>
    <s v="&lt;null&gt;"/>
    <s v="&lt;null&gt;"/>
    <s v="&lt;null&gt;"/>
    <s v="&lt;null&gt;"/>
    <s v="&lt;null&gt;"/>
    <s v="&lt;null&gt;"/>
    <m/>
    <m/>
    <m/>
    <m/>
  </r>
  <r>
    <x v="18"/>
    <x v="18"/>
    <s v="&lt;null&gt;"/>
    <x v="3"/>
    <n v="3174"/>
    <s v="IN/002380"/>
    <s v="N391a Balcaenstraat Avelgem, herinrichting"/>
    <s v="&lt;null&gt;"/>
    <s v="Structurele Ingreep"/>
    <s v="WWV/INV/N391A/1"/>
    <b v="0"/>
    <s v="Ingreep wordt niet opgevolgd in BOD"/>
    <s v="&lt;null&gt;"/>
    <s v="&lt;null&gt;"/>
    <s v="&lt;null&gt;"/>
    <s v="&lt;null&gt;"/>
    <s v="&lt;null&gt;"/>
    <x v="0"/>
    <s v="&lt;null&gt;"/>
    <s v="&lt;null&gt;"/>
    <s v="&lt;null&gt;"/>
    <s v="&lt;null&gt;"/>
    <s v="&lt;null&gt;"/>
    <s v="&lt;null&gt;"/>
    <s v="&lt;null&gt;"/>
    <s v="&lt;null&gt;"/>
    <s v="&lt;null&gt;"/>
    <m/>
    <m/>
    <m/>
    <m/>
  </r>
  <r>
    <x v="18"/>
    <x v="18"/>
    <s v="&lt;null&gt;"/>
    <x v="3"/>
    <n v="3175"/>
    <s v="IN/002381"/>
    <s v="N382 verbetering doorstroming Anzegem"/>
    <s v="&lt;null&gt;"/>
    <s v="Structurele Ingreep"/>
    <s v="WWV/INV/N382/4"/>
    <b v="0"/>
    <s v="Ingreep wordt niet opgevolgd in BOD"/>
    <s v="&lt;null&gt;"/>
    <s v="&lt;null&gt;"/>
    <s v="&lt;null&gt;"/>
    <s v="&lt;null&gt;"/>
    <s v="&lt;null&gt;"/>
    <x v="0"/>
    <s v="&lt;null&gt;"/>
    <s v="&lt;null&gt;"/>
    <s v="&lt;null&gt;"/>
    <s v="&lt;null&gt;"/>
    <s v="&lt;null&gt;"/>
    <s v="&lt;null&gt;"/>
    <s v="&lt;null&gt;"/>
    <s v="&lt;null&gt;"/>
    <s v="&lt;null&gt;"/>
    <m/>
    <m/>
    <m/>
    <m/>
  </r>
  <r>
    <x v="1595"/>
    <x v="1595"/>
    <s v="Stimuleren Combimobiliteit"/>
    <x v="2"/>
    <n v="3176"/>
    <s v="IN/002382"/>
    <s v="N8 ontsluiting Evolis"/>
    <s v="&lt;null&gt;"/>
    <s v="Structurele Ingreep"/>
    <s v="WWV/INV/N8/9"/>
    <b v="0"/>
    <s v="Ingreep wordt niet opgevolgd in BOD"/>
    <s v="&lt;null&gt;"/>
    <s v="&lt;null&gt;"/>
    <s v="&lt;null&gt;"/>
    <s v="&lt;null&gt;"/>
    <s v="&lt;null&gt;"/>
    <x v="0"/>
    <s v="&lt;null&gt;"/>
    <s v="&lt;null&gt;"/>
    <s v="&lt;null&gt;"/>
    <s v="&lt;null&gt;"/>
    <n v="10"/>
    <s v="&lt;null&gt;"/>
    <s v="&lt;null&gt;"/>
    <s v="&lt;null&gt;"/>
    <s v="&lt;null&gt;"/>
    <m/>
    <m/>
    <m/>
    <m/>
  </r>
  <r>
    <x v="18"/>
    <x v="18"/>
    <s v="&lt;null&gt;"/>
    <x v="3"/>
    <n v="3177"/>
    <s v="IN/002383"/>
    <s v="N382b Waregem aanleg dubbelrichtingsfietspad."/>
    <s v="&lt;null&gt;"/>
    <s v="Structurele Ingreep"/>
    <s v="WWV/INV/N382B/1"/>
    <b v="0"/>
    <s v="Ingreep wordt niet opgevolgd in BOD"/>
    <s v="&lt;null&gt;"/>
    <s v="&lt;null&gt;"/>
    <s v="&lt;null&gt;"/>
    <s v="&lt;null&gt;"/>
    <s v="&lt;null&gt;"/>
    <x v="0"/>
    <s v="&lt;null&gt;"/>
    <s v="&lt;null&gt;"/>
    <s v="&lt;null&gt;"/>
    <s v="&lt;null&gt;"/>
    <s v="&lt;null&gt;"/>
    <s v="&lt;null&gt;"/>
    <s v="&lt;null&gt;"/>
    <s v="&lt;null&gt;"/>
    <s v="&lt;null&gt;"/>
    <m/>
    <m/>
    <m/>
    <m/>
  </r>
  <r>
    <x v="18"/>
    <x v="18"/>
    <s v="&lt;null&gt;"/>
    <x v="3"/>
    <n v="3178"/>
    <s v="IN/002384"/>
    <s v="N382 Anzegem, ontlasten doortocht."/>
    <s v="&lt;null&gt;"/>
    <s v="Structurele Ingreep"/>
    <s v="WWV/INV/N382/5"/>
    <b v="0"/>
    <s v="Ingreep wordt niet opgevolgd in BOD"/>
    <s v="&lt;null&gt;"/>
    <s v="&lt;null&gt;"/>
    <s v="&lt;null&gt;"/>
    <s v="&lt;null&gt;"/>
    <s v="&lt;null&gt;"/>
    <x v="0"/>
    <s v="&lt;null&gt;"/>
    <s v="&lt;null&gt;"/>
    <s v="&lt;null&gt;"/>
    <s v="&lt;null&gt;"/>
    <s v="&lt;null&gt;"/>
    <s v="&lt;null&gt;"/>
    <s v="&lt;null&gt;"/>
    <s v="&lt;null&gt;"/>
    <s v="&lt;null&gt;"/>
    <m/>
    <m/>
    <m/>
    <m/>
  </r>
  <r>
    <x v="31"/>
    <x v="31"/>
    <s v="Fiets"/>
    <x v="0"/>
    <n v="3179"/>
    <s v="IN/002385"/>
    <s v="N357 Waregem: heraanleg Vijfseweg met fietspaden"/>
    <s v="&lt;null&gt;"/>
    <s v="Structurele Ingreep"/>
    <s v="WWV/INV/N357/10"/>
    <b v="0"/>
    <s v="Ingreep wordt niet opgevolgd in BOD"/>
    <s v="&lt;null&gt;"/>
    <s v="&lt;null&gt;"/>
    <s v="&lt;null&gt;"/>
    <s v="&lt;null&gt;"/>
    <s v="&lt;null&gt;"/>
    <x v="0"/>
    <s v="&lt;null&gt;"/>
    <s v="&lt;null&gt;"/>
    <s v="&lt;null&gt;"/>
    <s v="&lt;null&gt;"/>
    <n v="25"/>
    <s v="&lt;null&gt;"/>
    <s v="&lt;null&gt;"/>
    <s v="&lt;null&gt;"/>
    <s v="&lt;null&gt;"/>
    <m/>
    <m/>
    <m/>
    <m/>
  </r>
  <r>
    <x v="18"/>
    <x v="18"/>
    <s v="&lt;null&gt;"/>
    <x v="3"/>
    <n v="3180"/>
    <s v="IN/002386"/>
    <s v="E403 Wevelgem - herbruik drainagewater"/>
    <s v="&lt;null&gt;"/>
    <s v="Structurele Ingreep"/>
    <s v="WWV/INV/E403/8"/>
    <b v="0"/>
    <s v="Ingreep wordt niet opgevolgd in BOD"/>
    <s v="&lt;null&gt;"/>
    <s v="&lt;null&gt;"/>
    <s v="&lt;null&gt;"/>
    <s v="&lt;null&gt;"/>
    <s v="&lt;null&gt;"/>
    <x v="0"/>
    <s v="&lt;null&gt;"/>
    <s v="&lt;null&gt;"/>
    <s v="&lt;null&gt;"/>
    <s v="&lt;null&gt;"/>
    <s v="&lt;null&gt;"/>
    <s v="&lt;null&gt;"/>
    <s v="&lt;null&gt;"/>
    <s v="&lt;null&gt;"/>
    <s v="&lt;null&gt;"/>
    <m/>
    <m/>
    <m/>
    <m/>
  </r>
  <r>
    <x v="18"/>
    <x v="18"/>
    <s v="&lt;null&gt;"/>
    <x v="3"/>
    <n v="3181"/>
    <s v="IN/002387"/>
    <s v="N357 Waregem - fietspaden en carpoolparking"/>
    <s v="&lt;null&gt;"/>
    <s v="Structurele Ingreep"/>
    <s v="WWV/INV/N357/8"/>
    <b v="0"/>
    <s v="Ingreep wordt niet opgevolgd in BOD"/>
    <s v="&lt;null&gt;"/>
    <s v="&lt;null&gt;"/>
    <s v="&lt;null&gt;"/>
    <s v="&lt;null&gt;"/>
    <s v="&lt;null&gt;"/>
    <x v="0"/>
    <s v="&lt;null&gt;"/>
    <s v="&lt;null&gt;"/>
    <s v="&lt;null&gt;"/>
    <s v="&lt;null&gt;"/>
    <s v="&lt;null&gt;"/>
    <s v="&lt;null&gt;"/>
    <s v="&lt;null&gt;"/>
    <s v="&lt;null&gt;"/>
    <s v="&lt;null&gt;"/>
    <m/>
    <m/>
    <m/>
    <m/>
  </r>
  <r>
    <x v="18"/>
    <x v="18"/>
    <s v="&lt;null&gt;"/>
    <x v="3"/>
    <n v="3182"/>
    <s v="IN/002388"/>
    <s v="E17 Kortrijk - digitale signalisatie"/>
    <s v="&lt;null&gt;"/>
    <s v="Structurele Ingreep"/>
    <s v="WWV/INV/E17/9"/>
    <b v="0"/>
    <s v="Ingreep wordt niet opgevolgd in BOD"/>
    <s v="&lt;null&gt;"/>
    <s v="&lt;null&gt;"/>
    <s v="&lt;null&gt;"/>
    <s v="&lt;null&gt;"/>
    <s v="&lt;null&gt;"/>
    <x v="0"/>
    <s v="&lt;null&gt;"/>
    <s v="&lt;null&gt;"/>
    <s v="&lt;null&gt;"/>
    <s v="&lt;null&gt;"/>
    <s v="&lt;null&gt;"/>
    <s v="&lt;null&gt;"/>
    <s v="&lt;null&gt;"/>
    <s v="&lt;null&gt;"/>
    <s v="&lt;null&gt;"/>
    <m/>
    <m/>
    <m/>
    <m/>
  </r>
  <r>
    <x v="18"/>
    <x v="18"/>
    <s v="&lt;null&gt;"/>
    <x v="3"/>
    <n v="3183"/>
    <s v="IN/002389"/>
    <s v="E403 Kortrijk - ontsnippering Preshoekbos"/>
    <s v="&lt;null&gt;"/>
    <s v="Structurele Ingreep"/>
    <s v="WWV/INV/E403/5"/>
    <b v="0"/>
    <s v="Ingreep wordt niet opgevolgd in BOD"/>
    <s v="&lt;null&gt;"/>
    <s v="&lt;null&gt;"/>
    <s v="&lt;null&gt;"/>
    <s v="&lt;null&gt;"/>
    <s v="&lt;null&gt;"/>
    <x v="0"/>
    <s v="&lt;null&gt;"/>
    <s v="&lt;null&gt;"/>
    <s v="&lt;null&gt;"/>
    <s v="&lt;null&gt;"/>
    <s v="&lt;null&gt;"/>
    <s v="&lt;null&gt;"/>
    <s v="&lt;null&gt;"/>
    <s v="&lt;null&gt;"/>
    <s v="&lt;null&gt;"/>
    <m/>
    <m/>
    <m/>
    <m/>
  </r>
  <r>
    <x v="18"/>
    <x v="18"/>
    <s v="&lt;null&gt;"/>
    <x v="3"/>
    <n v="3184"/>
    <s v="IN/002390"/>
    <s v="E17 Waregem - geluidsberm Galgewegel"/>
    <s v="&lt;null&gt;"/>
    <s v="Structurele Ingreep"/>
    <s v="WWV/INV/E17/5"/>
    <b v="0"/>
    <s v="Ingreep wordt niet opgevolgd in BOD"/>
    <s v="&lt;null&gt;"/>
    <s v="&lt;null&gt;"/>
    <s v="&lt;null&gt;"/>
    <s v="&lt;null&gt;"/>
    <s v="&lt;null&gt;"/>
    <x v="0"/>
    <s v="&lt;null&gt;"/>
    <s v="&lt;null&gt;"/>
    <s v="&lt;null&gt;"/>
    <s v="&lt;null&gt;"/>
    <s v="&lt;null&gt;"/>
    <s v="&lt;null&gt;"/>
    <s v="&lt;null&gt;"/>
    <s v="&lt;null&gt;"/>
    <s v="&lt;null&gt;"/>
    <m/>
    <m/>
    <m/>
    <m/>
  </r>
  <r>
    <x v="18"/>
    <x v="18"/>
    <s v="&lt;null&gt;"/>
    <x v="3"/>
    <n v="3185"/>
    <s v="IN/002391"/>
    <s v="E17 Harelbeke - geluidsberm Keizershoek"/>
    <s v="&lt;null&gt;"/>
    <s v="Structurele Ingreep"/>
    <s v="WWV/INV/E17/4"/>
    <b v="0"/>
    <s v="Ingreep wordt niet opgevolgd in BOD"/>
    <s v="&lt;null&gt;"/>
    <s v="&lt;null&gt;"/>
    <s v="&lt;null&gt;"/>
    <s v="&lt;null&gt;"/>
    <s v="&lt;null&gt;"/>
    <x v="0"/>
    <s v="&lt;null&gt;"/>
    <s v="&lt;null&gt;"/>
    <s v="&lt;null&gt;"/>
    <s v="&lt;null&gt;"/>
    <s v="&lt;null&gt;"/>
    <s v="&lt;null&gt;"/>
    <s v="&lt;null&gt;"/>
    <s v="&lt;null&gt;"/>
    <s v="&lt;null&gt;"/>
    <m/>
    <m/>
    <m/>
    <m/>
  </r>
  <r>
    <x v="18"/>
    <x v="18"/>
    <s v="&lt;null&gt;"/>
    <x v="3"/>
    <n v="3186"/>
    <s v="IN/002392"/>
    <s v="N382 Anzegem Kaster - heraanleg met fietspaden"/>
    <s v="&lt;null&gt;"/>
    <s v="Structurele Ingreep"/>
    <s v="WWV/INV/N382/3"/>
    <b v="0"/>
    <s v="Ingreep wordt niet opgevolgd in BOD"/>
    <s v="&lt;null&gt;"/>
    <s v="&lt;null&gt;"/>
    <s v="&lt;null&gt;"/>
    <s v="&lt;null&gt;"/>
    <s v="&lt;null&gt;"/>
    <x v="0"/>
    <s v="&lt;null&gt;"/>
    <s v="&lt;null&gt;"/>
    <s v="&lt;null&gt;"/>
    <s v="&lt;null&gt;"/>
    <s v="&lt;null&gt;"/>
    <s v="&lt;null&gt;"/>
    <s v="&lt;null&gt;"/>
    <s v="&lt;null&gt;"/>
    <s v="&lt;null&gt;"/>
    <m/>
    <m/>
    <m/>
    <m/>
  </r>
  <r>
    <x v="18"/>
    <x v="18"/>
    <s v="&lt;null&gt;"/>
    <x v="3"/>
    <n v="3187"/>
    <s v="IN/002393"/>
    <s v="E403 vak Ledegem-Roeselare - structureel onderhoud"/>
    <s v="&lt;null&gt;"/>
    <s v="Structurele Ingreep"/>
    <s v="WWV/INV/E403/3"/>
    <b v="0"/>
    <s v="Ingreep wordt niet opgevolgd in BOD"/>
    <s v="&lt;null&gt;"/>
    <s v="&lt;null&gt;"/>
    <s v="&lt;null&gt;"/>
    <s v="&lt;null&gt;"/>
    <s v="&lt;null&gt;"/>
    <x v="0"/>
    <s v="&lt;null&gt;"/>
    <s v="&lt;null&gt;"/>
    <s v="&lt;null&gt;"/>
    <s v="&lt;null&gt;"/>
    <s v="&lt;null&gt;"/>
    <s v="&lt;null&gt;"/>
    <s v="&lt;null&gt;"/>
    <s v="&lt;null&gt;"/>
    <s v="&lt;null&gt;"/>
    <m/>
    <m/>
    <m/>
    <m/>
  </r>
  <r>
    <x v="18"/>
    <x v="18"/>
    <s v="&lt;null&gt;"/>
    <x v="3"/>
    <n v="3188"/>
    <s v="IN/002394"/>
    <s v="N36d Kuurne Harelbeke - heraanleg met fietspaden"/>
    <s v="&lt;null&gt;"/>
    <s v="Structurele Ingreep"/>
    <s v="WWV/INV/N36D/1"/>
    <b v="0"/>
    <s v="Ingreep wordt niet opgevolgd in BOD"/>
    <s v="&lt;null&gt;"/>
    <s v="&lt;null&gt;"/>
    <s v="&lt;null&gt;"/>
    <s v="&lt;null&gt;"/>
    <s v="&lt;null&gt;"/>
    <x v="0"/>
    <s v="&lt;null&gt;"/>
    <s v="&lt;null&gt;"/>
    <s v="&lt;null&gt;"/>
    <s v="&lt;null&gt;"/>
    <s v="&lt;null&gt;"/>
    <s v="&lt;null&gt;"/>
    <s v="&lt;null&gt;"/>
    <s v="&lt;null&gt;"/>
    <s v="&lt;null&gt;"/>
    <m/>
    <m/>
    <m/>
    <m/>
  </r>
  <r>
    <x v="18"/>
    <x v="18"/>
    <s v="&lt;null&gt;"/>
    <x v="3"/>
    <n v="3189"/>
    <s v="IN/002395"/>
    <s v="E17 Aalbeke-Kortrijk Oost - structureel onderhoud"/>
    <s v="&lt;null&gt;"/>
    <s v="Structurele Ingreep"/>
    <s v="WWV/INV/E17/2"/>
    <b v="0"/>
    <s v="Ingreep wordt niet opgevolgd in BOD"/>
    <s v="&lt;null&gt;"/>
    <s v="&lt;null&gt;"/>
    <s v="&lt;null&gt;"/>
    <s v="&lt;null&gt;"/>
    <s v="&lt;null&gt;"/>
    <x v="0"/>
    <s v="&lt;null&gt;"/>
    <s v="&lt;null&gt;"/>
    <s v="&lt;null&gt;"/>
    <s v="&lt;null&gt;"/>
    <s v="&lt;null&gt;"/>
    <s v="&lt;null&gt;"/>
    <s v="&lt;null&gt;"/>
    <s v="&lt;null&gt;"/>
    <s v="&lt;null&gt;"/>
    <m/>
    <m/>
    <m/>
    <m/>
  </r>
  <r>
    <x v="18"/>
    <x v="18"/>
    <s v="&lt;null&gt;"/>
    <x v="3"/>
    <n v="3190"/>
    <s v="IN/002396"/>
    <s v="ontbreken veilige fietspaden"/>
    <s v="Tussen WIngene (Zwevezele) en Lichtervelde liggen momenteel geen veilige fietspaden. Tussen kmpt 17 en 19 liggen geen fietspaden waardoor de fietser op de rijweg moet rijden. Tussen 19 en 21 zijn sommige stukken vrijliggen maar veel stukken zijn aanliggen"/>
    <s v="Klein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3191"/>
    <s v="IN/002397"/>
    <s v="R23 Wijnpers Leuven"/>
    <s v="&lt;null&gt;"/>
    <s v="Structurele Ingreep"/>
    <s v="WVB/INV/R23/2"/>
    <b v="0"/>
    <s v="Ingreep wordt niet opgevolgd in BOD"/>
    <s v="&lt;null&gt;"/>
    <s v="&lt;null&gt;"/>
    <s v="&lt;null&gt;"/>
    <s v="&lt;null&gt;"/>
    <s v="&lt;null&gt;"/>
    <x v="0"/>
    <s v="&lt;null&gt;"/>
    <s v="&lt;null&gt;"/>
    <s v="&lt;null&gt;"/>
    <s v="&lt;null&gt;"/>
    <s v="&lt;null&gt;"/>
    <s v="&lt;null&gt;"/>
    <s v="&lt;null&gt;"/>
    <s v="&lt;null&gt;"/>
    <s v="&lt;null&gt;"/>
    <m/>
    <m/>
    <m/>
    <m/>
  </r>
  <r>
    <x v="94"/>
    <x v="94"/>
    <s v="Fiets"/>
    <x v="0"/>
    <n v="3192"/>
    <s v="IN/002398"/>
    <s v="N235 Sint-Victor Beersel"/>
    <s v="&lt;null&gt;"/>
    <s v="Structurele Ingreep"/>
    <s v="WVB/INV/N235/1"/>
    <b v="0"/>
    <s v="Ingreep wordt niet opgevolgd in BOD"/>
    <s v="&lt;null&gt;"/>
    <s v="&lt;null&gt;"/>
    <s v="&lt;null&gt;"/>
    <s v="&lt;null&gt;"/>
    <s v="&lt;null&gt;"/>
    <x v="0"/>
    <s v="&lt;null&gt;"/>
    <s v="&lt;null&gt;"/>
    <s v="&lt;null&gt;"/>
    <s v="&lt;null&gt;"/>
    <n v="25"/>
    <s v="&lt;null&gt;"/>
    <s v="&lt;null&gt;"/>
    <s v="&lt;null&gt;"/>
    <s v="&lt;null&gt;"/>
    <m/>
    <m/>
    <m/>
    <m/>
  </r>
  <r>
    <x v="18"/>
    <x v="18"/>
    <s v="&lt;null&gt;"/>
    <x v="3"/>
    <n v="3193"/>
    <s v="IN/002399"/>
    <s v="R23 Ludenscheid Leuven"/>
    <s v="&lt;null&gt;"/>
    <s v="Structurele Ingreep"/>
    <s v="WVB/INV/R23/5"/>
    <b v="0"/>
    <s v="Ingreep wordt niet opgevolgd in BOD"/>
    <s v="&lt;null&gt;"/>
    <s v="&lt;null&gt;"/>
    <s v="&lt;null&gt;"/>
    <s v="&lt;null&gt;"/>
    <s v="&lt;null&gt;"/>
    <x v="0"/>
    <s v="&lt;null&gt;"/>
    <s v="&lt;null&gt;"/>
    <s v="&lt;null&gt;"/>
    <s v="&lt;null&gt;"/>
    <s v="&lt;null&gt;"/>
    <s v="&lt;null&gt;"/>
    <s v="&lt;null&gt;"/>
    <s v="&lt;null&gt;"/>
    <s v="&lt;null&gt;"/>
    <m/>
    <m/>
    <m/>
    <m/>
  </r>
  <r>
    <x v="18"/>
    <x v="18"/>
    <s v="&lt;null&gt;"/>
    <x v="3"/>
    <n v="3194"/>
    <s v="IN/002400"/>
    <s v="LEO bewarende maatregelen"/>
    <s v="&lt;null&gt;"/>
    <s v="Structurele Ingreep"/>
    <s v="WA/INV/LEO/1"/>
    <b v="0"/>
    <s v="Ingreep wordt niet opgevolgd in BOD"/>
    <s v="&lt;null&gt;"/>
    <s v="&lt;null&gt;"/>
    <s v="&lt;null&gt;"/>
    <s v="&lt;null&gt;"/>
    <s v="&lt;null&gt;"/>
    <x v="0"/>
    <s v="&lt;null&gt;"/>
    <s v="&lt;null&gt;"/>
    <s v="&lt;null&gt;"/>
    <s v="&lt;null&gt;"/>
    <s v="&lt;null&gt;"/>
    <s v="&lt;null&gt;"/>
    <s v="&lt;null&gt;"/>
    <s v="&lt;null&gt;"/>
    <s v="&lt;null&gt;"/>
    <m/>
    <m/>
    <m/>
    <m/>
  </r>
  <r>
    <x v="18"/>
    <x v="18"/>
    <s v="&lt;null&gt;"/>
    <x v="3"/>
    <n v="3195"/>
    <s v="IN/002401"/>
    <s v="N1 Wuustwezel fietspaden Braken X10-N1-92"/>
    <s v="&lt;null&gt;"/>
    <s v="Structurele Ingreep"/>
    <s v="WA/INV/N1/4"/>
    <b v="0"/>
    <s v="Ingreep wordt niet opgevolgd in BOD"/>
    <s v="&lt;null&gt;"/>
    <s v="&lt;null&gt;"/>
    <s v="&lt;null&gt;"/>
    <s v="&lt;null&gt;"/>
    <s v="&lt;null&gt;"/>
    <x v="0"/>
    <s v="&lt;null&gt;"/>
    <s v="&lt;null&gt;"/>
    <s v="&lt;null&gt;"/>
    <s v="&lt;null&gt;"/>
    <s v="&lt;null&gt;"/>
    <s v="&lt;null&gt;"/>
    <s v="&lt;null&gt;"/>
    <s v="&lt;null&gt;"/>
    <s v="&lt;null&gt;"/>
    <m/>
    <m/>
    <m/>
    <m/>
  </r>
  <r>
    <x v="18"/>
    <x v="18"/>
    <s v="&lt;null&gt;"/>
    <x v="3"/>
    <n v="3196"/>
    <s v="IN/002402"/>
    <s v="N370 Wingene Zwevezele Bruggestraat en fietspad"/>
    <s v="&lt;null&gt;"/>
    <s v="Structurele Ingreep"/>
    <s v="WWV/INV/N370/2"/>
    <b v="0"/>
    <s v="Ingreep wordt niet opgevolgd in BOD"/>
    <s v="&lt;null&gt;"/>
    <s v="&lt;null&gt;"/>
    <s v="&lt;null&gt;"/>
    <s v="&lt;null&gt;"/>
    <s v="&lt;null&gt;"/>
    <x v="0"/>
    <s v="&lt;null&gt;"/>
    <s v="&lt;null&gt;"/>
    <s v="&lt;null&gt;"/>
    <s v="&lt;null&gt;"/>
    <s v="&lt;null&gt;"/>
    <s v="&lt;null&gt;"/>
    <s v="&lt;null&gt;"/>
    <s v="&lt;null&gt;"/>
    <s v="&lt;null&gt;"/>
    <m/>
    <m/>
    <m/>
    <m/>
  </r>
  <r>
    <x v="1067"/>
    <x v="1067"/>
    <s v="Verkeersveiligheid"/>
    <x v="4"/>
    <n v="3197"/>
    <s v="IN/002403"/>
    <s v="Heraanleg kruispunt Markt"/>
    <s v="&lt;null&g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3198"/>
    <s v="IN/002404"/>
    <s v="N127 - Turnhoutsebaan van Kruisstr tot Tessenderlo"/>
    <s v="&lt;null&gt;"/>
    <s v="Structurele Ingreep"/>
    <s v="WVB/INV/N127/3"/>
    <b v="0"/>
    <s v="Ingreep wordt niet opgevolgd in BOD"/>
    <s v="&lt;null&gt;"/>
    <s v="&lt;null&gt;"/>
    <s v="&lt;null&gt;"/>
    <s v="&lt;null&gt;"/>
    <s v="&lt;null&gt;"/>
    <x v="0"/>
    <s v="&lt;null&gt;"/>
    <s v="&lt;null&gt;"/>
    <s v="&lt;null&gt;"/>
    <s v="&lt;null&gt;"/>
    <s v="&lt;null&gt;"/>
    <s v="&lt;null&gt;"/>
    <s v="&lt;null&gt;"/>
    <s v="&lt;null&gt;"/>
    <s v="&lt;null&gt;"/>
    <m/>
    <m/>
    <m/>
    <m/>
  </r>
  <r>
    <x v="18"/>
    <x v="18"/>
    <s v="&lt;null&gt;"/>
    <x v="3"/>
    <n v="3199"/>
    <s v="IN/002405"/>
    <s v="N19/29 Aarschot Herinrich weg"/>
    <s v="&lt;null&gt;"/>
    <s v="Structurele Ingreep"/>
    <s v="WVB/INV/N19/2"/>
    <b v="0"/>
    <s v="Ingreep wordt niet opgevolgd in BOD"/>
    <s v="&lt;null&gt;"/>
    <s v="&lt;null&gt;"/>
    <s v="&lt;null&gt;"/>
    <s v="&lt;null&gt;"/>
    <s v="&lt;null&gt;"/>
    <x v="0"/>
    <s v="&lt;null&gt;"/>
    <s v="&lt;null&gt;"/>
    <s v="&lt;null&gt;"/>
    <s v="&lt;null&gt;"/>
    <s v="&lt;null&gt;"/>
    <s v="&lt;null&gt;"/>
    <s v="&lt;null&gt;"/>
    <s v="&lt;null&gt;"/>
    <s v="&lt;null&gt;"/>
    <m/>
    <m/>
    <m/>
    <m/>
  </r>
  <r>
    <x v="18"/>
    <x v="18"/>
    <s v="&lt;null&gt;"/>
    <x v="3"/>
    <n v="3200"/>
    <s v="IN/002406"/>
    <s v="N29 Lummen Rotonde Grote Baan x Blanklaerstraat"/>
    <s v="&lt;null&gt;"/>
    <s v="Structurele Ingreep"/>
    <s v="WVB/INV/N29/3"/>
    <b v="1"/>
    <s v="Ingreep wordt opgevolgd in BOD"/>
    <n v="10875"/>
    <s v="X70/0/338-p3"/>
    <n v="81501"/>
    <n v="21011288"/>
    <s v="&lt;p&gt;Vastlegging 4de jaar&lt;/p&gt;"/>
    <x v="6"/>
    <n v="5517"/>
    <s v="N29 Lummen"/>
    <s v="&lt;null&gt;"/>
    <s v="WVB/INV/N29/3"/>
    <s v="&lt;null&gt;"/>
    <n v="13456.8"/>
    <n v="12610"/>
    <n v="0"/>
    <n v="846.8"/>
    <m/>
    <m/>
    <m/>
    <m/>
  </r>
  <r>
    <x v="18"/>
    <x v="18"/>
    <s v="&lt;null&gt;"/>
    <x v="3"/>
    <n v="3201"/>
    <s v="IN/002407"/>
    <s v="N29 - Doortocht Schaffen"/>
    <s v="&lt;null&gt;"/>
    <s v="Structurele Ingreep"/>
    <s v="WVB/INV/N29/9"/>
    <b v="0"/>
    <s v="Ingreep wordt niet opgevolgd in BOD"/>
    <s v="&lt;null&gt;"/>
    <s v="&lt;null&gt;"/>
    <s v="&lt;null&gt;"/>
    <s v="&lt;null&gt;"/>
    <s v="&lt;null&gt;"/>
    <x v="0"/>
    <s v="&lt;null&gt;"/>
    <s v="&lt;null&gt;"/>
    <s v="&lt;null&gt;"/>
    <s v="&lt;null&gt;"/>
    <s v="&lt;null&gt;"/>
    <s v="&lt;null&gt;"/>
    <s v="&lt;null&gt;"/>
    <s v="&lt;null&gt;"/>
    <s v="&lt;null&gt;"/>
    <m/>
    <m/>
    <m/>
    <m/>
  </r>
  <r>
    <x v="18"/>
    <x v="18"/>
    <s v="&lt;null&gt;"/>
    <x v="3"/>
    <n v="3202"/>
    <s v="IN/002408"/>
    <s v="N141 Leopoldsburg Asfaltrenovatie"/>
    <s v="&lt;null&gt;"/>
    <s v="Structurele Ingreep"/>
    <s v="WL/INV/N141/3"/>
    <b v="0"/>
    <s v="Ingreep wordt niet opgevolgd in BOD"/>
    <s v="&lt;null&gt;"/>
    <s v="&lt;null&gt;"/>
    <s v="&lt;null&gt;"/>
    <s v="&lt;null&gt;"/>
    <s v="&lt;null&gt;"/>
    <x v="0"/>
    <s v="&lt;null&gt;"/>
    <s v="&lt;null&gt;"/>
    <s v="&lt;null&gt;"/>
    <s v="&lt;null&gt;"/>
    <s v="&lt;null&gt;"/>
    <s v="&lt;null&gt;"/>
    <s v="&lt;null&gt;"/>
    <s v="&lt;null&gt;"/>
    <s v="&lt;null&gt;"/>
    <m/>
    <m/>
    <m/>
    <m/>
  </r>
  <r>
    <x v="18"/>
    <x v="18"/>
    <s v="&lt;null&gt;"/>
    <x v="3"/>
    <n v="3203"/>
    <s v="IN/002409"/>
    <s v="N73 Tessenderlo-Ham-Beringen Doortrekking N73"/>
    <s v="&lt;null&gt;"/>
    <s v="Structurele Ingreep"/>
    <s v="WL/INV/N73/10"/>
    <b v="0"/>
    <s v="Ingreep wordt niet opgevolgd in BOD"/>
    <s v="&lt;null&gt;"/>
    <s v="&lt;null&gt;"/>
    <s v="&lt;null&gt;"/>
    <s v="&lt;null&gt;"/>
    <s v="&lt;null&gt;"/>
    <x v="0"/>
    <s v="&lt;null&gt;"/>
    <s v="&lt;null&gt;"/>
    <s v="&lt;null&gt;"/>
    <s v="&lt;null&gt;"/>
    <s v="&lt;null&gt;"/>
    <s v="&lt;null&gt;"/>
    <s v="&lt;null&gt;"/>
    <s v="&lt;null&gt;"/>
    <s v="&lt;null&gt;"/>
    <m/>
    <m/>
    <m/>
    <m/>
  </r>
  <r>
    <x v="18"/>
    <x v="18"/>
    <s v="&lt;null&gt;"/>
    <x v="3"/>
    <n v="3204"/>
    <s v="IN/002410"/>
    <s v="N10 - LIER - SO Aarschotsesteenweg KP13.4-17.4"/>
    <s v="&lt;null&gt;"/>
    <s v="Structurele Ingreep"/>
    <s v="WA/INV/N10/19"/>
    <b v="0"/>
    <s v="Ingreep wordt niet opgevolgd in BOD"/>
    <s v="&lt;null&gt;"/>
    <s v="&lt;null&gt;"/>
    <s v="&lt;null&gt;"/>
    <s v="&lt;null&gt;"/>
    <s v="&lt;null&gt;"/>
    <x v="0"/>
    <s v="&lt;null&gt;"/>
    <s v="&lt;null&gt;"/>
    <s v="&lt;null&gt;"/>
    <s v="&lt;null&gt;"/>
    <s v="&lt;null&gt;"/>
    <s v="&lt;null&gt;"/>
    <s v="&lt;null&gt;"/>
    <s v="&lt;null&gt;"/>
    <s v="&lt;null&gt;"/>
    <m/>
    <m/>
    <m/>
    <m/>
  </r>
  <r>
    <x v="1596"/>
    <x v="1596"/>
    <s v="Verkeersveiligheid"/>
    <x v="1"/>
    <n v="3205"/>
    <s v="IN/002411"/>
    <s v="Afsluiten kruispunt N36 x Koestraat dmv middenberm"/>
    <s v="Afsluiten van kruispunt N36 x Koestraat dmv plaatsen fysieke middenberm (betonnen constructie) op de N36 tussen Moorseelsesteenweg en Oekensestraat.\nOversteek vanuit Koestraat niet meer mogelijk, voor alle weggebruikers."/>
    <s v="Kleine Ingreep"/>
    <s v="WWV/INV/N36/18"/>
    <b v="0"/>
    <s v="Ingreep wordt niet opgevolgd in BOD"/>
    <s v="&lt;null&gt;"/>
    <s v="&lt;null&gt;"/>
    <s v="&lt;null&gt;"/>
    <s v="&lt;null&gt;"/>
    <s v="&lt;null&gt;"/>
    <x v="0"/>
    <s v="&lt;null&gt;"/>
    <s v="&lt;null&gt;"/>
    <s v="&lt;null&gt;"/>
    <s v="&lt;null&gt;"/>
    <n v="100"/>
    <s v="&lt;null&gt;"/>
    <s v="&lt;null&gt;"/>
    <s v="&lt;null&gt;"/>
    <s v="&lt;null&gt;"/>
    <m/>
    <m/>
    <m/>
    <m/>
  </r>
  <r>
    <x v="1119"/>
    <x v="1119"/>
    <s v="Verkeersveiligheid"/>
    <x v="4"/>
    <n v="3206"/>
    <s v="IN/002412"/>
    <s v="SRK: N405 Ninove: fietsoversteek thv Snoeckgrachtweg"/>
    <s v="SRK: N405 Ninove: fietsoversteek thv Snoeckgrachtweg"/>
    <s v="Kleine Ingreep"/>
    <s v="WOV/INV/N405/8"/>
    <b v="1"/>
    <s v="Ingreep wordt opgevolgd in BOD"/>
    <n v="11864"/>
    <s v="AWV/INV/2021/3_P4"/>
    <n v="110851"/>
    <n v="21065760"/>
    <s v="&lt;p&gt;Schoolrouteknelpunten (2021 (op 230))&lt;/p&gt;"/>
    <x v="23"/>
    <n v="10656"/>
    <s v="Aanpassen fietsoversteek thv N405 Albertlaan / Snoekgrachtweg kmpt 11,750 Links en Rechts KP1588"/>
    <s v="&lt;p&gt;Aanpassen fietsoversteek thv N405 Albertlaan / Snoekgrachtweg kmpt 11,750 Links en Rechts KP1588&lt;/p&gt;"/>
    <s v="WOV/INV/N405/8"/>
    <n v="100"/>
    <n v="11000"/>
    <n v="0"/>
    <n v="0"/>
    <n v="546.59"/>
    <n v="11000"/>
    <n v="0"/>
    <n v="0"/>
    <n v="546.59"/>
  </r>
  <r>
    <x v="1597"/>
    <x v="1597"/>
    <s v="Stimuleren Combimobiliteit"/>
    <x v="7"/>
    <n v="3207"/>
    <s v="IN/002413"/>
    <s v="Bus: N42 Geraardsbergen: aanleg verhoogde bushaltes"/>
    <s v="Bus: N42 Geraardsbergen: aanleg verhoogde bushaltes, halte Burgstraat"/>
    <s v="Kleine Ingreep"/>
    <s v="WOV/INV/N42/10"/>
    <b v="1"/>
    <s v="Ingreep wordt opgevolgd in BOD"/>
    <n v="11864"/>
    <s v="AWV/INV/2021/3_P4"/>
    <n v="123301"/>
    <n v="22017035"/>
    <s v="&lt;p&gt;Bushaltes (2022 (op 214))&lt;/p&gt;"/>
    <x v="26"/>
    <n v="10657"/>
    <s v="Aanleg verhoogde bushalte afm ...  N42 G'bergen kmpt 27,500 Links Grote Weg"/>
    <s v="&lt;p&gt;Aanleg verhoogde bushalte afm ... N42 G'bergen kmpt 27,500 Links Grote Weg&lt;/p&gt;"/>
    <s v="WOV/INV/N42/10"/>
    <n v="100"/>
    <n v="17000"/>
    <n v="0"/>
    <n v="0"/>
    <n v="141.72"/>
    <n v="17000"/>
    <n v="0"/>
    <n v="0"/>
    <n v="141.72"/>
  </r>
  <r>
    <x v="1597"/>
    <x v="1597"/>
    <s v="Stimuleren Combimobiliteit"/>
    <x v="7"/>
    <n v="3207"/>
    <s v="IN/002413"/>
    <s v="Bus: N42 Geraardsbergen: aanleg verhoogde bushaltes"/>
    <s v="Bus: N42 Geraardsbergen: aanleg verhoogde bushaltes, halte Burgstraat"/>
    <s v="Kleine Ingreep"/>
    <s v="WOV/INV/N42/10"/>
    <b v="1"/>
    <s v="Ingreep wordt opgevolgd in BOD"/>
    <n v="11864"/>
    <s v="AWV/INV/2021/3_P4"/>
    <n v="123301"/>
    <n v="22017035"/>
    <s v="&lt;p&gt;Bushaltes (2022 (op 214))&lt;/p&gt;"/>
    <x v="26"/>
    <n v="10658"/>
    <s v="Aanleg verhoogde bushalte afm ...  N42 G'bergen kmpt 27,507 Rechts Grote Weg"/>
    <s v="&lt;p&gt;Aanleg verhoogde bushalte afm ... N42 G'bergen kmpt 27,507 Rechts Grote Weg&lt;/p&gt;"/>
    <s v="WOV/INV/N42/10"/>
    <n v="100"/>
    <n v="18000"/>
    <n v="0"/>
    <n v="0"/>
    <n v="0"/>
    <n v="18000"/>
    <n v="0"/>
    <n v="0"/>
    <n v="0"/>
  </r>
  <r>
    <x v="1598"/>
    <x v="1598"/>
    <s v="Stimuleren Combimobiliteit"/>
    <x v="7"/>
    <n v="3208"/>
    <s v="IN/002414"/>
    <s v="Bus: N42 Geraardsbergen: aanleg verhoogde bushalte (halte parochiaal centrum)"/>
    <s v="Bus: N42 Geraardsbergen: aanleg verhoogde bushalte (halte parochiaal centrum)"/>
    <s v="Kleine Ingreep"/>
    <s v="WOV/INV/N42/11"/>
    <b v="1"/>
    <s v="Ingreep wordt opgevolgd in BOD"/>
    <n v="11864"/>
    <s v="AWV/INV/2021/3_P4"/>
    <n v="123301"/>
    <n v="22017035"/>
    <s v="&lt;p&gt;Bushaltes (2022 (op 214))&lt;/p&gt;"/>
    <x v="26"/>
    <n v="10662"/>
    <s v="Aanleg verhoogde bushalte afm ...  N42 G'bergen kmpt 27,707 Links Grote Weg"/>
    <s v="&lt;p&gt;Aanleg verhoogde bushalte afm ... N42 G'bergen kmpt 27,707 Links Grote Weg&lt;/p&gt;"/>
    <s v="WOV/INV/N42/11"/>
    <n v="100"/>
    <n v="17500"/>
    <n v="0"/>
    <n v="0"/>
    <n v="470.95"/>
    <n v="17500"/>
    <n v="0"/>
    <n v="0"/>
    <n v="470.95"/>
  </r>
  <r>
    <x v="1598"/>
    <x v="1598"/>
    <s v="Stimuleren Combimobiliteit"/>
    <x v="7"/>
    <n v="3208"/>
    <s v="IN/002414"/>
    <s v="Bus: N42 Geraardsbergen: aanleg verhoogde bushalte (halte parochiaal centrum)"/>
    <s v="Bus: N42 Geraardsbergen: aanleg verhoogde bushalte (halte parochiaal centrum)"/>
    <s v="Kleine Ingreep"/>
    <s v="WOV/INV/N42/11"/>
    <b v="1"/>
    <s v="Ingreep wordt opgevolgd in BOD"/>
    <n v="11864"/>
    <s v="AWV/INV/2021/3_P4"/>
    <n v="123301"/>
    <n v="22017035"/>
    <s v="&lt;p&gt;Bushaltes (2022 (op 214))&lt;/p&gt;"/>
    <x v="26"/>
    <n v="10663"/>
    <s v="Aanleg verhoogde bushalte afm ...  N42 G'bergen kmpt 27,710 Rechts Grote Weg"/>
    <s v="&lt;p&gt;Aanleg verhoogde bushalte afm ... N42 G'bergen kmpt 27,710 Rechts Grote Weg&lt;/p&gt;"/>
    <s v="WOV/INV/N42/11"/>
    <n v="100"/>
    <n v="17500"/>
    <n v="0"/>
    <n v="0"/>
    <n v="189.12"/>
    <n v="17500"/>
    <n v="0"/>
    <n v="0"/>
    <n v="189.12"/>
  </r>
  <r>
    <x v="1599"/>
    <x v="1599"/>
    <s v="Stimuleren Combimobiliteit"/>
    <x v="7"/>
    <n v="3209"/>
    <s v="IN/002415"/>
    <s v="Bus: N42 Geraardsbergen: aanleg verhoogde halte (halte Plankweg)"/>
    <s v="Bus: N42 Geraardsbergen: aanleg verhoogde halte (halte Plankweg)"/>
    <s v="Kleine Ingreep"/>
    <s v="WOV/INV/N42/12"/>
    <b v="1"/>
    <s v="Ingreep wordt opgevolgd in BOD"/>
    <n v="11864"/>
    <s v="AWV/INV/2021/3_P4"/>
    <n v="123301"/>
    <n v="22017035"/>
    <s v="&lt;p&gt;Bushaltes (2022 (op 214))&lt;/p&gt;"/>
    <x v="26"/>
    <n v="10665"/>
    <s v="Aanleg verhoogde bushalte afm ...  N42 G'bergen kmpt 28,998 Rechts Grote Weg"/>
    <s v="&lt;p&gt;Aanleg verhoogde bushalte afm ... N42 G'bergen kmpt 28,998 Rechts Grote Weg&lt;/p&gt;"/>
    <s v="WOV/INV/N42/12"/>
    <n v="100"/>
    <n v="12300"/>
    <n v="0"/>
    <n v="0"/>
    <n v="2.95"/>
    <n v="12300"/>
    <n v="0"/>
    <n v="0"/>
    <n v="2.95"/>
  </r>
  <r>
    <x v="1599"/>
    <x v="1599"/>
    <s v="Stimuleren Combimobiliteit"/>
    <x v="7"/>
    <n v="3209"/>
    <s v="IN/002415"/>
    <s v="Bus: N42 Geraardsbergen: aanleg verhoogde halte (halte Plankweg)"/>
    <s v="Bus: N42 Geraardsbergen: aanleg verhoogde halte (halte Plankweg)"/>
    <s v="Kleine Ingreep"/>
    <s v="WOV/INV/N42/12"/>
    <b v="1"/>
    <s v="Ingreep wordt opgevolgd in BOD"/>
    <n v="11864"/>
    <s v="AWV/INV/2021/3_P4"/>
    <n v="123301"/>
    <n v="22017035"/>
    <s v="&lt;p&gt;Bushaltes (2022 (op 214))&lt;/p&gt;"/>
    <x v="26"/>
    <n v="10664"/>
    <s v="Aanleg verhoogde bushalte afm ...  N42 G'bergen kmpt 28,998 Links Grote Weg"/>
    <s v="&lt;p&gt;Aanleg verhoogde bushalte afm ... N42 G'bergen kmpt 28,998 Links Grote Weg&lt;/p&gt;"/>
    <s v="WOV/INV/N42/12"/>
    <n v="100"/>
    <n v="10400"/>
    <n v="0"/>
    <n v="0"/>
    <n v="0"/>
    <n v="10400"/>
    <n v="0"/>
    <n v="0"/>
    <n v="0"/>
  </r>
  <r>
    <x v="1600"/>
    <x v="1600"/>
    <s v="Stimuleren Combimobiliteit"/>
    <x v="7"/>
    <n v="3210"/>
    <s v="IN/002416"/>
    <s v="Bus: N406 Dendermonde: aanleggen toegankelijke halte (halte Donckstraat)"/>
    <s v="Bus: N406 Dendermonde: aanleggen toegankelijke halte (halte Donckstraat)"/>
    <s v="Kleine Ingreep"/>
    <s v="WOV/INV/N406/9"/>
    <b v="1"/>
    <s v="Ingreep wordt opgevolgd in BOD"/>
    <n v="11864"/>
    <s v="AWV/INV/2021/3_P4"/>
    <n v="123301"/>
    <n v="22017035"/>
    <s v="&lt;p&gt;Bushaltes (2022 (op 214))&lt;/p&gt;"/>
    <x v="26"/>
    <n v="10667"/>
    <s v="Aanleg verhoogde bushalte afm ...  N406 kmpt 1.274 Links Noordlaan D'monde"/>
    <s v="&lt;p&gt;Aanleg verhoogde bushalte afm ... N406 kmpt 1.274 Links Noordlaan D'monde&lt;/p&gt;"/>
    <s v="WOV/INV/N406/9"/>
    <n v="100"/>
    <n v="31100"/>
    <n v="0"/>
    <n v="0"/>
    <n v="66.209999999999994"/>
    <n v="31100"/>
    <n v="0"/>
    <n v="0"/>
    <n v="66.209999999999994"/>
  </r>
  <r>
    <x v="1600"/>
    <x v="1600"/>
    <s v="Stimuleren Combimobiliteit"/>
    <x v="7"/>
    <n v="3210"/>
    <s v="IN/002416"/>
    <s v="Bus: N406 Dendermonde: aanleggen toegankelijke halte (halte Donckstraat)"/>
    <s v="Bus: N406 Dendermonde: aanleggen toegankelijke halte (halte Donckstraat)"/>
    <s v="Kleine Ingreep"/>
    <s v="WOV/INV/N406/9"/>
    <b v="1"/>
    <s v="Ingreep wordt opgevolgd in BOD"/>
    <n v="11864"/>
    <s v="AWV/INV/2021/3_P4"/>
    <n v="123301"/>
    <n v="22017035"/>
    <s v="&lt;p&gt;Bushaltes (2022 (op 214))&lt;/p&gt;"/>
    <x v="26"/>
    <n v="10666"/>
    <s v="Aanleg verhoogde bushalte afm ...  N406 kmpt 1.339 Recht Noordlaan D'monde"/>
    <s v="&lt;p&gt;Aanleg verhoogde bushalte afm ... N406 kmpt 1.339 Recht Noordlaan D'monde&lt;/p&gt;"/>
    <s v="WOV/INV/N406/9"/>
    <n v="100"/>
    <n v="26100"/>
    <n v="0"/>
    <n v="0"/>
    <n v="70.430000000000007"/>
    <n v="26100"/>
    <n v="0"/>
    <n v="0"/>
    <n v="70.430000000000007"/>
  </r>
  <r>
    <x v="1601"/>
    <x v="1601"/>
    <s v="Stimuleren Combimobiliteit"/>
    <x v="7"/>
    <n v="3211"/>
    <s v="IN/002417"/>
    <s v="Bus: N460 Haaltert: aanleggen verhoogde bushaltehaven (Leistraat zuid)"/>
    <s v="Bus: N460 Haaltert: aanleggen verhoogde bushaltehaven (Leistraat zuid)"/>
    <s v="Kleine Ingreep"/>
    <s v="WOV/INV/N460/14"/>
    <b v="1"/>
    <s v="Ingreep wordt opgevolgd in BOD"/>
    <n v="11864"/>
    <s v="AWV/INV/2021/3_P4"/>
    <n v="123301"/>
    <n v="22017035"/>
    <s v="&lt;p&gt;Bushaltes (2022 (op 214))&lt;/p&gt;"/>
    <x v="26"/>
    <n v="10668"/>
    <s v="N460 Haaltert: Aanleg verhoogde bushaltehaven Links Terlicht 217 /221 (Leistraat zuid)"/>
    <s v="&lt;p&gt;N460 Haaltert: Aanleg verhoogde bushaltehaven Links Terlicht 217 /221 (Leistraat zuid)&lt;/p&gt;"/>
    <s v="WOV/INV/N460/14"/>
    <n v="100"/>
    <n v="54000"/>
    <n v="0"/>
    <n v="0"/>
    <n v="43.99"/>
    <n v="54000"/>
    <n v="0"/>
    <n v="0"/>
    <n v="43.99"/>
  </r>
  <r>
    <x v="1602"/>
    <x v="1602"/>
    <s v="Verkeersveiligheid"/>
    <x v="1"/>
    <n v="3212"/>
    <s v="IN/002418"/>
    <s v="Aanpassing kruispunt Holdestraat x N399"/>
    <s v="1 opstelrij voor voertuigen, fietspad uit de zijtak aangepast, beter in zicht gebracht"/>
    <s v="Kleine Ingreep"/>
    <s v="WWV/INV/N399/3"/>
    <b v="0"/>
    <s v="Ingreep wordt niet opgevolgd in BOD"/>
    <s v="&lt;null&gt;"/>
    <s v="&lt;null&gt;"/>
    <s v="&lt;null&gt;"/>
    <s v="&lt;null&gt;"/>
    <s v="&lt;null&gt;"/>
    <x v="0"/>
    <s v="&lt;null&gt;"/>
    <s v="&lt;null&gt;"/>
    <s v="&lt;null&gt;"/>
    <s v="&lt;null&gt;"/>
    <n v="100"/>
    <s v="&lt;null&gt;"/>
    <s v="&lt;null&gt;"/>
    <s v="&lt;null&gt;"/>
    <s v="&lt;null&gt;"/>
    <m/>
    <m/>
    <m/>
    <m/>
  </r>
  <r>
    <x v="1603"/>
    <x v="1603"/>
    <s v="Stimuleren Combimobiliteit"/>
    <x v="7"/>
    <n v="3213"/>
    <s v="IN/002419"/>
    <s v="Bus: N462 Zottegem: aanleg verhoogde bushalte (halte Atheneum)"/>
    <s v="Bus: N462 Zottegem: aanleg verhoogde bushalte (halte Atheneum)"/>
    <s v="Kleine Ingreep"/>
    <s v="WOV/INV/N462/9"/>
    <b v="1"/>
    <s v="Ingreep wordt opgevolgd in BOD"/>
    <n v="11864"/>
    <s v="AWV/INV/2021/3_P4"/>
    <n v="123301"/>
    <n v="22017035"/>
    <s v="&lt;p&gt;Bushaltes (2022 (op 214))&lt;/p&gt;"/>
    <x v="26"/>
    <n v="10674"/>
    <s v="Bus: N462 Zottegem: aanleg verhoogde bushalte, Links (halte Atheneum)"/>
    <s v="&lt;p&gt;Bus: N462 Zottegem: aanleg verhoogde bushalte, Links (halte Atheneum)&lt;/p&gt;"/>
    <s v="WOV/INV/N462/9"/>
    <n v="100"/>
    <n v="6400"/>
    <n v="0"/>
    <n v="0"/>
    <n v="94.96"/>
    <n v="6400"/>
    <n v="0"/>
    <n v="0"/>
    <n v="94.96"/>
  </r>
  <r>
    <x v="1603"/>
    <x v="1603"/>
    <s v="Stimuleren Combimobiliteit"/>
    <x v="7"/>
    <n v="3213"/>
    <s v="IN/002419"/>
    <s v="Bus: N462 Zottegem: aanleg verhoogde bushalte (halte Atheneum)"/>
    <s v="Bus: N462 Zottegem: aanleg verhoogde bushalte (halte Atheneum)"/>
    <s v="Kleine Ingreep"/>
    <s v="WOV/INV/N462/9"/>
    <b v="1"/>
    <s v="Ingreep wordt opgevolgd in BOD"/>
    <n v="11864"/>
    <s v="AWV/INV/2021/3_P4"/>
    <n v="123301"/>
    <n v="22017035"/>
    <s v="&lt;p&gt;Bushaltes (2022 (op 214))&lt;/p&gt;"/>
    <x v="26"/>
    <n v="10675"/>
    <s v="Bus: N462 Zottegem: aanleg verhoogde bushalte, Rechts (halte Atheneum)"/>
    <s v="&lt;p&gt;Bus: N462 Zottegem: aanleg verhoogde bushalte, Rechts (halte Atheneum)&lt;/p&gt;"/>
    <s v="WOV/INV/N462/9"/>
    <n v="100"/>
    <n v="19300"/>
    <n v="0"/>
    <n v="0"/>
    <n v="38.89"/>
    <n v="19300"/>
    <n v="0"/>
    <n v="0"/>
    <n v="38.89"/>
  </r>
  <r>
    <x v="1604"/>
    <x v="1604"/>
    <s v="Stimuleren Combimobiliteit"/>
    <x v="7"/>
    <n v="3214"/>
    <s v="IN/002420"/>
    <s v="Bus: N462 Zottegem: aanleg verhoogde bushalte (halte Sint-Maria-Oudenhove Faliestraat)"/>
    <s v="Bus: N462 Zottegem: aanleg verhoogde bushalte (halte Sint-Maria-Oudenhove Faliestraat), thv huisnr.40"/>
    <s v="Kleine Ingreep"/>
    <s v="WOV/INV/N462/10"/>
    <b v="1"/>
    <s v="Ingreep wordt opgevolgd in BOD"/>
    <n v="11864"/>
    <s v="AWV/INV/2021/3_P4"/>
    <n v="123301"/>
    <n v="22017035"/>
    <s v="&lt;p&gt;Bushaltes (2022 (op 214))&lt;/p&gt;"/>
    <x v="26"/>
    <n v="10676"/>
    <s v="Bus: N462 Zottegem: aanleg verhoogde bushalte, Rechts (halte Sint-Maria-Oudenhove Faliestraat)"/>
    <s v="&lt;p&gt;Bus: N462 Zottegem: aanleg verhoogde bushalte (halte Sint-Maria-Oudenhove Faliestraat)&lt;/p&gt;"/>
    <s v="WOV/INV/N462/10"/>
    <n v="100"/>
    <n v="4500"/>
    <n v="0"/>
    <n v="0"/>
    <n v="26.72"/>
    <n v="4500"/>
    <n v="0"/>
    <n v="0"/>
    <n v="26.72"/>
  </r>
  <r>
    <x v="1605"/>
    <x v="1605"/>
    <s v="Stimuleren Combimobiliteit"/>
    <x v="7"/>
    <n v="3215"/>
    <s v="IN/002421"/>
    <s v="Bus: N462 Zottegem: aanleggen verhoogde bushalte (halte Sint-Maria-Oudenhove Dorp)"/>
    <s v="Bus: N462 Zottegem: aanleggen verhoogde bushalte (halte Sint-Maria-Oudenhove Dorp)"/>
    <s v="Kleine Ingreep"/>
    <s v="WOV/INV/N462/11"/>
    <b v="1"/>
    <s v="Ingreep wordt opgevolgd in BOD"/>
    <n v="11864"/>
    <s v="AWV/INV/2021/3_P4"/>
    <n v="123301"/>
    <n v="22017035"/>
    <s v="&lt;p&gt;Bushaltes (2022 (op 214))&lt;/p&gt;"/>
    <x v="26"/>
    <n v="10677"/>
    <s v="Bus: N462 Zottegem: aanleggen verhoogde bushalte, Links (halte Sint-Maria-Oudenhove Dorp)"/>
    <s v="&lt;p&gt;Bus: N462 Zottegem: aanleggen verhoogde bushalte, Links (halte Sint-Maria-Oudenhove Dorp)&lt;/p&gt;"/>
    <s v="WOV/INV/N462/11"/>
    <n v="100"/>
    <n v="7300"/>
    <n v="0"/>
    <n v="0"/>
    <n v="4.87"/>
    <n v="7300"/>
    <n v="0"/>
    <n v="0"/>
    <n v="4.87"/>
  </r>
  <r>
    <x v="1605"/>
    <x v="1605"/>
    <s v="Stimuleren Combimobiliteit"/>
    <x v="7"/>
    <n v="3215"/>
    <s v="IN/002421"/>
    <s v="Bus: N462 Zottegem: aanleggen verhoogde bushalte (halte Sint-Maria-Oudenhove Dorp)"/>
    <s v="Bus: N462 Zottegem: aanleggen verhoogde bushalte (halte Sint-Maria-Oudenhove Dorp)"/>
    <s v="Kleine Ingreep"/>
    <s v="WOV/INV/N462/11"/>
    <b v="1"/>
    <s v="Ingreep wordt opgevolgd in BOD"/>
    <n v="11864"/>
    <s v="AWV/INV/2021/3_P4"/>
    <n v="123301"/>
    <n v="22017035"/>
    <s v="&lt;p&gt;Bushaltes (2022 (op 214))&lt;/p&gt;"/>
    <x v="26"/>
    <n v="10678"/>
    <s v="Bus: N462 Zottegem: aanleggen verhoogde bushalte, Rechts (halte Sint-Maria-Oudenhove Dorp)"/>
    <s v="&lt;p&gt;Bus: N462 Zottegem: aanleggen verhoogde bushalte, Rechts (halte Sint-Maria-Oudenhove Dorp)&lt;/p&gt;"/>
    <s v="WOV/INV/N462/11"/>
    <n v="100"/>
    <n v="23200"/>
    <n v="0"/>
    <n v="0"/>
    <n v="14.61"/>
    <n v="23200"/>
    <n v="0"/>
    <n v="0"/>
    <n v="14.61"/>
  </r>
  <r>
    <x v="1081"/>
    <x v="1081"/>
    <s v="Verkeersveiligheid"/>
    <x v="4"/>
    <n v="3216"/>
    <s v="IN/002422"/>
    <s v="SRK: N436 Assenede: aanleggen fietssuggestiestroken"/>
    <s v="SRK: N436 Assenede: aanleggen fietssuggestiestroken"/>
    <s v="Kleine Ingreep"/>
    <s v="WOV/INV/N436/4"/>
    <b v="1"/>
    <s v="Ingreep wordt opgevolgd in BOD"/>
    <n v="11864"/>
    <s v="AWV/INV/2021/3_P4"/>
    <n v="110851"/>
    <n v="21065760"/>
    <s v="&lt;p&gt;Schoolrouteknelpunten (2021 (op 230))&lt;/p&gt;"/>
    <x v="23"/>
    <n v="10679"/>
    <s v="SRK: N436 Assenede: aanleggen fietssuggestiestroken"/>
    <s v="&lt;p&gt;SRK: N436 Assenede: aanleggen fietssuggestiestroken&lt;/p&gt;"/>
    <s v="WOV/INV/N436/4"/>
    <n v="100"/>
    <n v="19900"/>
    <n v="0"/>
    <n v="0"/>
    <n v="59.51"/>
    <n v="19900"/>
    <n v="0"/>
    <n v="0"/>
    <n v="59.51"/>
  </r>
  <r>
    <x v="1137"/>
    <x v="1137"/>
    <s v="Verkeersveiligheid"/>
    <x v="4"/>
    <n v="3217"/>
    <s v="IN/002423"/>
    <s v="SRK: N458 Assenede: aanbrengen fietslogo-markeringen"/>
    <s v="SRK: N458 Assenede: aanbrengen fietslogo-markeringen"/>
    <s v="Kleine Ingreep"/>
    <s v="WOV/INV/N458/8"/>
    <b v="1"/>
    <s v="Ingreep wordt opgevolgd in BOD"/>
    <n v="11864"/>
    <s v="AWV/INV/2021/3_P4"/>
    <n v="110851"/>
    <n v="21065760"/>
    <s v="&lt;p&gt;Schoolrouteknelpunten (2021 (op 230))&lt;/p&gt;"/>
    <x v="23"/>
    <n v="10680"/>
    <s v="SRK: N458 Assenede: aanbrengen fietslogo-markeringen"/>
    <s v="&lt;p&gt;SRK: N458 Assenede: aanbrengen fietslogo-markeringen&lt;/p&gt;"/>
    <s v="WOV/INV/N458/8"/>
    <n v="100"/>
    <n v="1300"/>
    <n v="0"/>
    <n v="0"/>
    <n v="78.39"/>
    <n v="1300"/>
    <n v="0"/>
    <n v="0"/>
    <n v="78.39"/>
  </r>
  <r>
    <x v="18"/>
    <x v="18"/>
    <s v="&lt;null&gt;"/>
    <x v="3"/>
    <n v="3218"/>
    <s v="IN/002424"/>
    <s v="N437 Deinze Damstraat"/>
    <s v="&lt;null&gt;"/>
    <s v="Structurele Ingreep"/>
    <s v="WOV/INV/N437/7"/>
    <b v="0"/>
    <s v="Ingreep wordt niet opgevolgd in BOD"/>
    <s v="&lt;null&gt;"/>
    <s v="&lt;null&gt;"/>
    <s v="&lt;null&gt;"/>
    <s v="&lt;null&gt;"/>
    <s v="&lt;null&gt;"/>
    <x v="0"/>
    <s v="&lt;null&gt;"/>
    <s v="&lt;null&gt;"/>
    <s v="&lt;null&gt;"/>
    <s v="&lt;null&gt;"/>
    <s v="&lt;null&gt;"/>
    <s v="&lt;null&gt;"/>
    <s v="&lt;null&gt;"/>
    <s v="&lt;null&gt;"/>
    <s v="&lt;null&gt;"/>
    <m/>
    <m/>
    <m/>
    <m/>
  </r>
  <r>
    <x v="18"/>
    <x v="18"/>
    <s v="&lt;null&gt;"/>
    <x v="3"/>
    <n v="3219"/>
    <s v="IN/002425"/>
    <s v="N448 Assenede Struct Onderh bij rioleringsproject"/>
    <s v="&lt;null&gt;"/>
    <s v="Structurele Ingreep"/>
    <s v="WOV/INV/N448/1"/>
    <b v="0"/>
    <s v="Ingreep wordt niet opgevolgd in BOD"/>
    <s v="&lt;null&gt;"/>
    <s v="&lt;null&gt;"/>
    <s v="&lt;null&gt;"/>
    <s v="&lt;null&gt;"/>
    <s v="&lt;null&gt;"/>
    <x v="0"/>
    <s v="&lt;null&gt;"/>
    <s v="&lt;null&gt;"/>
    <s v="&lt;null&gt;"/>
    <s v="&lt;null&gt;"/>
    <s v="&lt;null&gt;"/>
    <s v="&lt;null&gt;"/>
    <s v="&lt;null&gt;"/>
    <s v="&lt;null&gt;"/>
    <s v="&lt;null&gt;"/>
    <m/>
    <m/>
    <m/>
    <m/>
  </r>
  <r>
    <x v="18"/>
    <x v="18"/>
    <s v="&lt;null&gt;"/>
    <x v="3"/>
    <n v="3220"/>
    <s v="IN/002426"/>
    <s v="N448 Evergem-Assenede aanleg fietspaden Stoepestr"/>
    <s v="&lt;null&gt;"/>
    <s v="Structurele Ingreep"/>
    <s v="WOV/INV/N448/2"/>
    <b v="0"/>
    <s v="Ingreep wordt niet opgevolgd in BOD"/>
    <s v="&lt;null&gt;"/>
    <s v="&lt;null&gt;"/>
    <s v="&lt;null&gt;"/>
    <s v="&lt;null&gt;"/>
    <s v="&lt;null&gt;"/>
    <x v="0"/>
    <s v="&lt;null&gt;"/>
    <s v="&lt;null&gt;"/>
    <s v="&lt;null&gt;"/>
    <s v="&lt;null&gt;"/>
    <s v="&lt;null&gt;"/>
    <s v="&lt;null&gt;"/>
    <s v="&lt;null&gt;"/>
    <s v="&lt;null&gt;"/>
    <s v="&lt;null&gt;"/>
    <m/>
    <m/>
    <m/>
    <m/>
  </r>
  <r>
    <x v="18"/>
    <x v="18"/>
    <s v="&lt;null&gt;"/>
    <x v="3"/>
    <n v="3221"/>
    <s v="IN/002427"/>
    <s v="N466 Deinze Leernsesteenweg herinrichting"/>
    <s v="&lt;null&gt;"/>
    <s v="Structurele Ingreep"/>
    <s v="WOV/INV/N466/1"/>
    <b v="0"/>
    <s v="Ingreep wordt niet opgevolgd in BOD"/>
    <s v="&lt;null&gt;"/>
    <s v="&lt;null&gt;"/>
    <s v="&lt;null&gt;"/>
    <s v="&lt;null&gt;"/>
    <s v="&lt;null&gt;"/>
    <x v="0"/>
    <s v="&lt;null&gt;"/>
    <s v="&lt;null&gt;"/>
    <s v="&lt;null&gt;"/>
    <s v="&lt;null&gt;"/>
    <s v="&lt;null&gt;"/>
    <s v="&lt;null&gt;"/>
    <s v="&lt;null&gt;"/>
    <s v="&lt;null&gt;"/>
    <s v="&lt;null&gt;"/>
    <m/>
    <m/>
    <m/>
    <m/>
  </r>
  <r>
    <x v="18"/>
    <x v="18"/>
    <s v="&lt;null&gt;"/>
    <x v="3"/>
    <n v="3222"/>
    <s v="IN/002428"/>
    <s v="N9 Maldegem Sint Barbarastraat aanleg ovonde"/>
    <s v="&lt;null&gt;"/>
    <s v="Structurele Ingreep"/>
    <s v="WOV/INV/N9/6"/>
    <b v="0"/>
    <s v="Ingreep wordt niet opgevolgd in BOD"/>
    <s v="&lt;null&gt;"/>
    <s v="&lt;null&gt;"/>
    <s v="&lt;null&gt;"/>
    <s v="&lt;null&gt;"/>
    <s v="&lt;null&gt;"/>
    <x v="0"/>
    <s v="&lt;null&gt;"/>
    <s v="&lt;null&gt;"/>
    <s v="&lt;null&gt;"/>
    <s v="&lt;null&gt;"/>
    <s v="&lt;null&gt;"/>
    <s v="&lt;null&gt;"/>
    <s v="&lt;null&gt;"/>
    <s v="&lt;null&gt;"/>
    <s v="&lt;null&gt;"/>
    <m/>
    <m/>
    <m/>
    <m/>
  </r>
  <r>
    <x v="18"/>
    <x v="18"/>
    <s v="&lt;null&gt;"/>
    <x v="3"/>
    <n v="3223"/>
    <s v="IN/002429"/>
    <s v="R43 Eeklo fase 3 Nieuwendorpe-Tieltsesteenweg"/>
    <s v="&lt;null&gt;"/>
    <s v="Structurele Ingreep"/>
    <s v="WOV/INV/R43/3"/>
    <b v="0"/>
    <s v="Ingreep wordt niet opgevolgd in BOD"/>
    <s v="&lt;null&gt;"/>
    <s v="&lt;null&gt;"/>
    <s v="&lt;null&gt;"/>
    <s v="&lt;null&gt;"/>
    <s v="&lt;null&gt;"/>
    <x v="0"/>
    <s v="&lt;null&gt;"/>
    <s v="&lt;null&gt;"/>
    <s v="&lt;null&gt;"/>
    <s v="&lt;null&gt;"/>
    <s v="&lt;null&gt;"/>
    <s v="&lt;null&gt;"/>
    <s v="&lt;null&gt;"/>
    <s v="&lt;null&gt;"/>
    <s v="&lt;null&gt;"/>
    <m/>
    <m/>
    <m/>
    <m/>
  </r>
  <r>
    <x v="18"/>
    <x v="18"/>
    <s v="&lt;null&gt;"/>
    <x v="3"/>
    <n v="3224"/>
    <s v="IN/002430"/>
    <s v="N8 Oudenaarde Vervangen duiker Maarkebeek"/>
    <s v="&lt;null&gt;"/>
    <s v="Structurele Ingreep"/>
    <s v="WOV/INV/N8/2"/>
    <b v="0"/>
    <s v="Ingreep wordt niet opgevolgd in BOD"/>
    <s v="&lt;null&gt;"/>
    <s v="&lt;null&gt;"/>
    <s v="&lt;null&gt;"/>
    <s v="&lt;null&gt;"/>
    <s v="&lt;null&gt;"/>
    <x v="0"/>
    <s v="&lt;null&gt;"/>
    <s v="&lt;null&gt;"/>
    <s v="&lt;null&gt;"/>
    <s v="&lt;null&gt;"/>
    <s v="&lt;null&gt;"/>
    <s v="&lt;null&gt;"/>
    <s v="&lt;null&gt;"/>
    <s v="&lt;null&gt;"/>
    <s v="&lt;null&gt;"/>
    <m/>
    <m/>
    <m/>
    <m/>
  </r>
  <r>
    <x v="18"/>
    <x v="18"/>
    <s v="&lt;null&gt;"/>
    <x v="3"/>
    <n v="3225"/>
    <s v="IN/002431"/>
    <s v="A10/E40 Drongen vervanging Goedingebrug over Leie"/>
    <s v="&lt;null&gt;"/>
    <s v="Structurele Ingreep"/>
    <s v="WOV/INV/A10/5"/>
    <b v="0"/>
    <s v="Ingreep wordt niet opgevolgd in BOD"/>
    <s v="&lt;null&gt;"/>
    <s v="&lt;null&gt;"/>
    <s v="&lt;null&gt;"/>
    <s v="&lt;null&gt;"/>
    <s v="&lt;null&gt;"/>
    <x v="0"/>
    <s v="&lt;null&gt;"/>
    <s v="&lt;null&gt;"/>
    <s v="&lt;null&gt;"/>
    <s v="&lt;null&gt;"/>
    <s v="&lt;null&gt;"/>
    <s v="&lt;null&gt;"/>
    <s v="&lt;null&gt;"/>
    <s v="&lt;null&gt;"/>
    <s v="&lt;null&gt;"/>
    <m/>
    <m/>
    <m/>
    <m/>
  </r>
  <r>
    <x v="18"/>
    <x v="18"/>
    <s v="&lt;null&gt;"/>
    <x v="3"/>
    <n v="3226"/>
    <s v="IN/002432"/>
    <s v="A10/E40 Nevele/Gent/Aalst 5 bovenbruggen"/>
    <s v="&lt;null&gt;"/>
    <s v="Structurele Ingreep"/>
    <s v="WOV/INV/A10/7"/>
    <b v="0"/>
    <s v="Ingreep wordt niet opgevolgd in BOD"/>
    <s v="&lt;null&gt;"/>
    <s v="&lt;null&gt;"/>
    <s v="&lt;null&gt;"/>
    <s v="&lt;null&gt;"/>
    <s v="&lt;null&gt;"/>
    <x v="0"/>
    <s v="&lt;null&gt;"/>
    <s v="&lt;null&gt;"/>
    <s v="&lt;null&gt;"/>
    <s v="&lt;null&gt;"/>
    <s v="&lt;null&gt;"/>
    <s v="&lt;null&gt;"/>
    <s v="&lt;null&gt;"/>
    <s v="&lt;null&gt;"/>
    <s v="&lt;null&gt;"/>
    <m/>
    <m/>
    <m/>
    <m/>
  </r>
  <r>
    <x v="18"/>
    <x v="18"/>
    <s v="&lt;null&gt;"/>
    <x v="3"/>
    <n v="3227"/>
    <s v="IN/002433"/>
    <s v="A14/E17 Nazareth, Lochristie, Temse, Melsele"/>
    <s v="&lt;null&gt;"/>
    <s v="Structurele Ingreep"/>
    <s v="WOV/INV/A14/3"/>
    <b v="0"/>
    <s v="Ingreep wordt niet opgevolgd in BOD"/>
    <s v="&lt;null&gt;"/>
    <s v="&lt;null&gt;"/>
    <s v="&lt;null&gt;"/>
    <s v="&lt;null&gt;"/>
    <s v="&lt;null&gt;"/>
    <x v="0"/>
    <s v="&lt;null&gt;"/>
    <s v="&lt;null&gt;"/>
    <s v="&lt;null&gt;"/>
    <s v="&lt;null&gt;"/>
    <s v="&lt;null&gt;"/>
    <s v="&lt;null&gt;"/>
    <s v="&lt;null&gt;"/>
    <s v="&lt;null&gt;"/>
    <s v="&lt;null&gt;"/>
    <m/>
    <m/>
    <m/>
    <m/>
  </r>
  <r>
    <x v="18"/>
    <x v="18"/>
    <s v="&lt;null&gt;"/>
    <x v="3"/>
    <n v="3228"/>
    <s v="IN/002434"/>
    <s v="A10/E40 Nevele vervanging brug Schipdonkkanaal"/>
    <s v="&lt;null&gt;"/>
    <s v="Structurele Ingreep"/>
    <s v="WOV/INV/A10/9"/>
    <b v="0"/>
    <s v="Ingreep wordt niet opgevolgd in BOD"/>
    <s v="&lt;null&gt;"/>
    <s v="&lt;null&gt;"/>
    <s v="&lt;null&gt;"/>
    <s v="&lt;null&gt;"/>
    <s v="&lt;null&gt;"/>
    <x v="0"/>
    <s v="&lt;null&gt;"/>
    <s v="&lt;null&gt;"/>
    <s v="&lt;null&gt;"/>
    <s v="&lt;null&gt;"/>
    <s v="&lt;null&gt;"/>
    <s v="&lt;null&gt;"/>
    <s v="&lt;null&gt;"/>
    <s v="&lt;null&gt;"/>
    <s v="&lt;null&gt;"/>
    <m/>
    <m/>
    <m/>
    <m/>
  </r>
  <r>
    <x v="18"/>
    <x v="18"/>
    <s v="&lt;null&gt;"/>
    <x v="3"/>
    <n v="3229"/>
    <s v="IN/002435"/>
    <s v="E17 Saneren  Moscouviaduct incl. geluidsschermen"/>
    <s v="&lt;null&gt;"/>
    <s v="Structurel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3230"/>
    <s v="IN/002436"/>
    <s v="N496 Geraardsbergen saneren brug Dender"/>
    <s v="&lt;null&gt;"/>
    <s v="Structurele Ingreep"/>
    <s v="WOV/INV/N496/1"/>
    <b v="0"/>
    <s v="Ingreep wordt niet opgevolgd in BOD"/>
    <s v="&lt;null&gt;"/>
    <s v="&lt;null&gt;"/>
    <s v="&lt;null&gt;"/>
    <s v="&lt;null&gt;"/>
    <s v="&lt;null&gt;"/>
    <x v="0"/>
    <s v="&lt;null&gt;"/>
    <s v="&lt;null&gt;"/>
    <s v="&lt;null&gt;"/>
    <s v="&lt;null&gt;"/>
    <s v="&lt;null&gt;"/>
    <s v="&lt;null&gt;"/>
    <s v="&lt;null&gt;"/>
    <s v="&lt;null&gt;"/>
    <s v="&lt;null&gt;"/>
    <m/>
    <m/>
    <m/>
    <m/>
  </r>
  <r>
    <x v="18"/>
    <x v="18"/>
    <s v="&lt;null&gt;"/>
    <x v="3"/>
    <n v="3231"/>
    <s v="IN/002437"/>
    <s v="A10/E40 Drongen renovatie Solvynsdreef"/>
    <s v="&lt;null&gt;"/>
    <s v="Structurele Ingreep"/>
    <s v="WOV/INV/A10/13"/>
    <b v="0"/>
    <s v="Ingreep wordt niet opgevolgd in BOD"/>
    <s v="&lt;null&gt;"/>
    <s v="&lt;null&gt;"/>
    <s v="&lt;null&gt;"/>
    <s v="&lt;null&gt;"/>
    <s v="&lt;null&gt;"/>
    <x v="0"/>
    <s v="&lt;null&gt;"/>
    <s v="&lt;null&gt;"/>
    <s v="&lt;null&gt;"/>
    <s v="&lt;null&gt;"/>
    <s v="&lt;null&gt;"/>
    <s v="&lt;null&gt;"/>
    <s v="&lt;null&gt;"/>
    <s v="&lt;null&gt;"/>
    <s v="&lt;null&gt;"/>
    <m/>
    <m/>
    <m/>
    <m/>
  </r>
  <r>
    <x v="1606"/>
    <x v="1606"/>
    <s v="Stimuleren Combimobiliteit"/>
    <x v="7"/>
    <n v="3232"/>
    <s v="IN/002438"/>
    <s v="Bus: N495 Geraardsbergen: aanleggen verhoogde bushalte (halte Denderland)"/>
    <s v="Bus: N495 Geraardsbergen: aanleggen verhoogde bushalte (halte Denderland)"/>
    <s v="Kleine Ingreep"/>
    <s v="WOV/INV/N495/10"/>
    <b v="1"/>
    <s v="Ingreep wordt opgevolgd in BOD"/>
    <n v="11864"/>
    <s v="AWV/INV/2021/3_P4"/>
    <n v="123301"/>
    <n v="22017035"/>
    <s v="&lt;p&gt;Bushaltes (2022 (op 214))&lt;/p&gt;"/>
    <x v="26"/>
    <n v="10693"/>
    <s v="Bus: N495 Geraardsbergen: aanleggen verhoogde bushalte, Links (halte Denderland)"/>
    <s v="&lt;p&gt;Bus: N495 Geraardsbergen: aanleggen verhoogde bushalte, Links (halte Denderland)&lt;/p&gt;"/>
    <s v="WOV/INV/N495/10"/>
    <n v="100"/>
    <n v="10100"/>
    <n v="0"/>
    <n v="0"/>
    <n v="31.35"/>
    <n v="10100"/>
    <n v="0"/>
    <n v="0"/>
    <n v="31.35"/>
  </r>
  <r>
    <x v="1606"/>
    <x v="1606"/>
    <s v="Stimuleren Combimobiliteit"/>
    <x v="7"/>
    <n v="3232"/>
    <s v="IN/002438"/>
    <s v="Bus: N495 Geraardsbergen: aanleggen verhoogde bushalte (halte Denderland)"/>
    <s v="Bus: N495 Geraardsbergen: aanleggen verhoogde bushalte (halte Denderland)"/>
    <s v="Kleine Ingreep"/>
    <s v="WOV/INV/N495/10"/>
    <b v="1"/>
    <s v="Ingreep wordt opgevolgd in BOD"/>
    <n v="11864"/>
    <s v="AWV/INV/2021/3_P4"/>
    <n v="123301"/>
    <n v="22017035"/>
    <s v="&lt;p&gt;Bushaltes (2022 (op 214))&lt;/p&gt;"/>
    <x v="26"/>
    <n v="10694"/>
    <s v="Bus: N495 Geraardsbergen: aanleggen verhoogde bushalte, Rechts (halte Denderland)"/>
    <s v="&lt;p&gt;Bus: N495 Geraardsbergen: aanleggen verhoogde bushalte, Rechts (halte Denderland)&lt;/p&gt;"/>
    <s v="WOV/INV/N495/10"/>
    <n v="100"/>
    <n v="13500"/>
    <n v="0"/>
    <n v="0"/>
    <n v="76.099999999999994"/>
    <n v="13500"/>
    <n v="0"/>
    <n v="0"/>
    <n v="76.099999999999994"/>
  </r>
  <r>
    <x v="1607"/>
    <x v="1607"/>
    <s v="Stimuleren Combimobiliteit"/>
    <x v="2"/>
    <n v="3233"/>
    <s v="IN/002439"/>
    <s v="Tienen - Parking Kabbeekvest (Oplintersepoort thv. sociaal huis) (ID1694)"/>
    <s v="toekomstige ontwikkeling ziekenhuis op til, eerst daarover duidelijkheid nodig. Dus voor nu gewoon zuil plaatsen"/>
    <s v="Kleine Ingreep"/>
    <s v="&lt;null&gt;"/>
    <b v="0"/>
    <s v="Ingreep wordt niet opgevolgd in BOD"/>
    <s v="&lt;null&gt;"/>
    <s v="&lt;null&gt;"/>
    <s v="&lt;null&gt;"/>
    <s v="&lt;null&gt;"/>
    <s v="&lt;null&gt;"/>
    <x v="0"/>
    <s v="&lt;null&gt;"/>
    <s v="&lt;null&gt;"/>
    <s v="&lt;null&gt;"/>
    <s v="&lt;null&gt;"/>
    <n v="100"/>
    <s v="&lt;null&gt;"/>
    <s v="&lt;null&gt;"/>
    <s v="&lt;null&gt;"/>
    <s v="&lt;null&gt;"/>
    <m/>
    <m/>
    <m/>
    <m/>
  </r>
  <r>
    <x v="1608"/>
    <x v="1608"/>
    <s v="Stimuleren Combimobiliteit"/>
    <x v="7"/>
    <n v="3234"/>
    <s v="IN/002440"/>
    <s v="Bus: N454 Maarkedal: aanleg verhoogde bushalte (halte Leideveld)"/>
    <s v="Bus: N454 Maarkedal: aanleg verhoogde bushalte (halte Leideveld)"/>
    <s v="Kleine Ingreep"/>
    <s v="WOV/INV/N454/11"/>
    <b v="1"/>
    <s v="Ingreep wordt opgevolgd in BOD"/>
    <n v="11864"/>
    <s v="AWV/INV/2021/3_P4"/>
    <n v="123301"/>
    <n v="22017035"/>
    <s v="&lt;p&gt;Bushaltes (2022 (op 214))&lt;/p&gt;"/>
    <x v="26"/>
    <n v="10707"/>
    <s v="Bus: N454 Maarkedal: aanleg verhoogde bushalte, Links (halte Leideveld)"/>
    <s v="&lt;p&gt;Bus: N454 Maarkedal: aanleg verhoogde bushalte, Links (halte Leideveld)&lt;/p&gt;"/>
    <s v="WOV/INV/N454/11"/>
    <n v="100"/>
    <n v="6300"/>
    <n v="0"/>
    <n v="0"/>
    <n v="0"/>
    <n v="6300"/>
    <n v="0"/>
    <n v="0"/>
    <n v="0"/>
  </r>
  <r>
    <x v="1608"/>
    <x v="1608"/>
    <s v="Stimuleren Combimobiliteit"/>
    <x v="7"/>
    <n v="3234"/>
    <s v="IN/002440"/>
    <s v="Bus: N454 Maarkedal: aanleg verhoogde bushalte (halte Leideveld)"/>
    <s v="Bus: N454 Maarkedal: aanleg verhoogde bushalte (halte Leideveld)"/>
    <s v="Kleine Ingreep"/>
    <s v="WOV/INV/N454/11"/>
    <b v="1"/>
    <s v="Ingreep wordt opgevolgd in BOD"/>
    <n v="11864"/>
    <s v="AWV/INV/2021/3_P4"/>
    <n v="123301"/>
    <n v="22017035"/>
    <s v="&lt;p&gt;Bushaltes (2022 (op 214))&lt;/p&gt;"/>
    <x v="26"/>
    <n v="10706"/>
    <s v="Bus: N454 Maarkedal: aanleg verhoogde bushalte, Rechts (halte Leideveld)"/>
    <s v="&lt;p&gt;Bus: N454 Maarkedal: aanleg verhoogde bushalte, Rechts (halte Leideveld)&lt;/p&gt;"/>
    <s v="WOV/INV/N454/11"/>
    <n v="100"/>
    <n v="17000"/>
    <n v="0"/>
    <n v="0"/>
    <n v="52.69"/>
    <n v="17000"/>
    <n v="0"/>
    <n v="0"/>
    <n v="52.69"/>
  </r>
  <r>
    <x v="18"/>
    <x v="18"/>
    <s v="&lt;null&gt;"/>
    <x v="3"/>
    <n v="3252"/>
    <s v="IN/002441"/>
    <s v="N390 heraanleg weg en rotonde met N8g"/>
    <s v="&lt;null&gt;"/>
    <s v="Structurele Ingreep"/>
    <s v="WWV/INV/N390/1"/>
    <b v="0"/>
    <s v="Ingreep wordt niet opgevolgd in BOD"/>
    <s v="&lt;null&gt;"/>
    <s v="&lt;null&gt;"/>
    <s v="&lt;null&gt;"/>
    <s v="&lt;null&gt;"/>
    <s v="&lt;null&gt;"/>
    <x v="0"/>
    <s v="&lt;null&gt;"/>
    <s v="&lt;null&gt;"/>
    <s v="&lt;null&gt;"/>
    <s v="&lt;null&gt;"/>
    <s v="&lt;null&gt;"/>
    <s v="&lt;null&gt;"/>
    <s v="&lt;null&gt;"/>
    <s v="&lt;null&gt;"/>
    <s v="&lt;null&gt;"/>
    <m/>
    <m/>
    <m/>
    <m/>
  </r>
  <r>
    <x v="84"/>
    <x v="84"/>
    <s v="Fiets"/>
    <x v="0"/>
    <n v="3253"/>
    <s v="IN/002442"/>
    <s v="N72 Beringen Fietspaden Beringen-Mijn"/>
    <s v="&lt;null&gt;"/>
    <s v="Structurele Ingreep"/>
    <s v="WL/INV/N72/5"/>
    <b v="0"/>
    <s v="Ingreep wordt niet opgevolgd in BOD"/>
    <s v="&lt;null&gt;"/>
    <s v="&lt;null&gt;"/>
    <s v="&lt;null&gt;"/>
    <s v="&lt;null&gt;"/>
    <s v="&lt;null&gt;"/>
    <x v="0"/>
    <s v="&lt;null&gt;"/>
    <s v="&lt;null&gt;"/>
    <s v="&lt;null&gt;"/>
    <s v="&lt;null&gt;"/>
    <n v="20"/>
    <s v="&lt;null&gt;"/>
    <s v="&lt;null&gt;"/>
    <s v="&lt;null&gt;"/>
    <s v="&lt;null&gt;"/>
    <m/>
    <m/>
    <m/>
    <m/>
  </r>
  <r>
    <x v="798"/>
    <x v="798"/>
    <s v="Verkeersveiligheid"/>
    <x v="4"/>
    <n v="3253"/>
    <s v="IN/002442"/>
    <s v="N72 Beringen Fietspaden Beringen-Mijn"/>
    <s v="&lt;null&gt;"/>
    <s v="Structurele Ingreep"/>
    <s v="WL/INV/N72/5"/>
    <b v="0"/>
    <s v="Ingreep wordt niet opgevolgd in BOD"/>
    <s v="&lt;null&gt;"/>
    <s v="&lt;null&gt;"/>
    <s v="&lt;null&gt;"/>
    <s v="&lt;null&gt;"/>
    <s v="&lt;null&gt;"/>
    <x v="0"/>
    <s v="&lt;null&gt;"/>
    <s v="&lt;null&gt;"/>
    <s v="&lt;null&gt;"/>
    <s v="&lt;null&gt;"/>
    <n v="20"/>
    <s v="&lt;null&gt;"/>
    <s v="&lt;null&gt;"/>
    <s v="&lt;null&gt;"/>
    <s v="&lt;null&gt;"/>
    <m/>
    <m/>
    <m/>
    <m/>
  </r>
  <r>
    <x v="18"/>
    <x v="18"/>
    <s v="&lt;null&gt;"/>
    <x v="3"/>
    <n v="3254"/>
    <s v="IN/002443"/>
    <s v="N156 Ham Ongelijkgrondse kruising fietssnelweg"/>
    <s v="&lt;null&gt;"/>
    <s v="Structurele Ingreep"/>
    <s v="WL/INV/N156/1"/>
    <b v="0"/>
    <s v="Ingreep wordt niet opgevolgd in BOD"/>
    <s v="&lt;null&gt;"/>
    <s v="&lt;null&gt;"/>
    <s v="&lt;null&gt;"/>
    <s v="&lt;null&gt;"/>
    <s v="&lt;null&gt;"/>
    <x v="0"/>
    <s v="&lt;null&gt;"/>
    <s v="&lt;null&gt;"/>
    <s v="&lt;null&gt;"/>
    <s v="&lt;null&gt;"/>
    <s v="&lt;null&gt;"/>
    <s v="&lt;null&gt;"/>
    <s v="&lt;null&gt;"/>
    <s v="&lt;null&gt;"/>
    <s v="&lt;null&gt;"/>
    <m/>
    <m/>
    <m/>
    <m/>
  </r>
  <r>
    <x v="18"/>
    <x v="18"/>
    <s v="&lt;null&gt;"/>
    <x v="3"/>
    <n v="3255"/>
    <s v="IN/002444"/>
    <s v="Ontsluiting Kanaal-Zuid, tussenkomst ikv mod 14 ge"/>
    <s v="&lt;null&gt;"/>
    <s v="Structurele Ingreep"/>
    <s v="WL/INV/N73/28"/>
    <b v="0"/>
    <s v="Ingreep wordt niet opgevolgd in BOD"/>
    <s v="&lt;null&gt;"/>
    <s v="&lt;null&gt;"/>
    <s v="&lt;null&gt;"/>
    <s v="&lt;null&gt;"/>
    <s v="&lt;null&gt;"/>
    <x v="0"/>
    <s v="&lt;null&gt;"/>
    <s v="&lt;null&gt;"/>
    <s v="&lt;null&gt;"/>
    <s v="&lt;null&gt;"/>
    <s v="&lt;null&gt;"/>
    <s v="&lt;null&gt;"/>
    <s v="&lt;null&gt;"/>
    <s v="&lt;null&gt;"/>
    <s v="&lt;null&gt;"/>
    <m/>
    <m/>
    <m/>
    <m/>
  </r>
  <r>
    <x v="18"/>
    <x v="18"/>
    <s v="&lt;null&gt;"/>
    <x v="3"/>
    <n v="3256"/>
    <s v="IN/002445"/>
    <s v="N717 Lummen ingrepen verkeersveiligheid"/>
    <s v="&lt;null&gt;"/>
    <s v="Structurele Ingreep"/>
    <s v="WL/INV/N717/3"/>
    <b v="0"/>
    <s v="Ingreep wordt niet opgevolgd in BOD"/>
    <s v="&lt;null&gt;"/>
    <s v="&lt;null&gt;"/>
    <s v="&lt;null&gt;"/>
    <s v="&lt;null&gt;"/>
    <s v="&lt;null&gt;"/>
    <x v="0"/>
    <s v="&lt;null&gt;"/>
    <s v="&lt;null&gt;"/>
    <s v="&lt;null&gt;"/>
    <s v="&lt;null&gt;"/>
    <s v="&lt;null&gt;"/>
    <s v="&lt;null&gt;"/>
    <s v="&lt;null&gt;"/>
    <s v="&lt;null&gt;"/>
    <s v="&lt;null&gt;"/>
    <m/>
    <m/>
    <m/>
    <m/>
  </r>
  <r>
    <x v="1287"/>
    <x v="1287"/>
    <s v="Verkeersveiligheid"/>
    <x v="1"/>
    <n v="3257"/>
    <s v="IN/002446"/>
    <s v="N712 Pelt doortocht   riolering"/>
    <s v="&lt;null&gt;"/>
    <s v="Structurele Ingreep"/>
    <s v="WL/INV/N712/3"/>
    <b v="0"/>
    <s v="Ingreep wordt niet opgevolgd in BOD"/>
    <s v="&lt;null&gt;"/>
    <s v="&lt;null&gt;"/>
    <s v="&lt;null&gt;"/>
    <s v="&lt;null&gt;"/>
    <s v="&lt;null&gt;"/>
    <x v="0"/>
    <s v="&lt;null&gt;"/>
    <s v="&lt;null&gt;"/>
    <s v="&lt;null&gt;"/>
    <s v="&lt;null&gt;"/>
    <n v="10"/>
    <s v="&lt;null&gt;"/>
    <s v="&lt;null&gt;"/>
    <s v="&lt;null&gt;"/>
    <s v="&lt;null&gt;"/>
    <m/>
    <m/>
    <m/>
    <m/>
  </r>
  <r>
    <x v="1288"/>
    <x v="1288"/>
    <s v="Verkeersveiligheid"/>
    <x v="4"/>
    <n v="3257"/>
    <s v="IN/002446"/>
    <s v="N712 Pelt doortocht   riolering"/>
    <s v="&lt;null&gt;"/>
    <s v="Structurele Ingreep"/>
    <s v="WL/INV/N712/3"/>
    <b v="0"/>
    <s v="Ingreep wordt niet opgevolgd in BOD"/>
    <s v="&lt;null&gt;"/>
    <s v="&lt;null&gt;"/>
    <s v="&lt;null&gt;"/>
    <s v="&lt;null&gt;"/>
    <s v="&lt;null&gt;"/>
    <x v="0"/>
    <s v="&lt;null&gt;"/>
    <s v="&lt;null&gt;"/>
    <s v="&lt;null&gt;"/>
    <s v="&lt;null&gt;"/>
    <n v="5"/>
    <s v="&lt;null&gt;"/>
    <s v="&lt;null&gt;"/>
    <s v="&lt;null&gt;"/>
    <s v="&lt;null&gt;"/>
    <m/>
    <m/>
    <m/>
    <m/>
  </r>
  <r>
    <x v="1268"/>
    <x v="1268"/>
    <s v="Verkeersveiligheid"/>
    <x v="5"/>
    <n v="3257"/>
    <s v="IN/002446"/>
    <s v="N712 Pelt doortocht   riolering"/>
    <s v="&lt;null&gt;"/>
    <s v="Structurele Ingreep"/>
    <s v="WL/INV/N712/3"/>
    <b v="0"/>
    <s v="Ingreep wordt niet opgevolgd in BOD"/>
    <s v="&lt;null&gt;"/>
    <s v="&lt;null&gt;"/>
    <s v="&lt;null&gt;"/>
    <s v="&lt;null&gt;"/>
    <s v="&lt;null&gt;"/>
    <x v="0"/>
    <s v="&lt;null&gt;"/>
    <s v="&lt;null&gt;"/>
    <s v="&lt;null&gt;"/>
    <s v="&lt;null&gt;"/>
    <n v="5"/>
    <s v="&lt;null&gt;"/>
    <s v="&lt;null&gt;"/>
    <s v="&lt;null&gt;"/>
    <s v="&lt;null&gt;"/>
    <m/>
    <m/>
    <m/>
    <m/>
  </r>
  <r>
    <x v="1253"/>
    <x v="1253"/>
    <s v="Verkeersveiligheid"/>
    <x v="5"/>
    <n v="3258"/>
    <s v="IN/002447"/>
    <s v="N74 structureel onderhoud Pelt/Lommel"/>
    <s v="&lt;null&gt;"/>
    <s v="Structurele Ingreep"/>
    <s v="WL/INV/N74/12"/>
    <b v="0"/>
    <s v="Ingreep wordt niet opgevolgd in BOD"/>
    <s v="&lt;null&gt;"/>
    <s v="&lt;null&gt;"/>
    <s v="&lt;null&gt;"/>
    <s v="&lt;null&gt;"/>
    <s v="&lt;null&gt;"/>
    <x v="0"/>
    <s v="&lt;null&gt;"/>
    <s v="&lt;null&gt;"/>
    <s v="&lt;null&gt;"/>
    <s v="&lt;null&gt;"/>
    <n v="1"/>
    <s v="&lt;null&gt;"/>
    <s v="&lt;null&gt;"/>
    <s v="&lt;null&gt;"/>
    <s v="&lt;null&gt;"/>
    <m/>
    <m/>
    <m/>
    <m/>
  </r>
  <r>
    <x v="1278"/>
    <x v="1278"/>
    <s v="Stimuleren Combimobiliteit"/>
    <x v="2"/>
    <n v="3258"/>
    <s v="IN/002447"/>
    <s v="N74 structureel onderhoud Pelt/Lommel"/>
    <s v="&lt;null&gt;"/>
    <s v="Structurele Ingreep"/>
    <s v="WL/INV/N74/12"/>
    <b v="0"/>
    <s v="Ingreep wordt niet opgevolgd in BOD"/>
    <s v="&lt;null&gt;"/>
    <s v="&lt;null&gt;"/>
    <s v="&lt;null&gt;"/>
    <s v="&lt;null&gt;"/>
    <s v="&lt;null&gt;"/>
    <x v="0"/>
    <s v="&lt;null&gt;"/>
    <s v="&lt;null&gt;"/>
    <s v="&lt;null&gt;"/>
    <s v="&lt;null&gt;"/>
    <n v="15"/>
    <s v="&lt;null&gt;"/>
    <s v="&lt;null&gt;"/>
    <s v="&lt;null&gt;"/>
    <s v="&lt;null&gt;"/>
    <m/>
    <m/>
    <m/>
    <m/>
  </r>
  <r>
    <x v="1609"/>
    <x v="1609"/>
    <s v="Verkeersveiligheid"/>
    <x v="6"/>
    <n v="3258"/>
    <s v="IN/002447"/>
    <s v="N74 structureel onderhoud Pelt/Lommel"/>
    <s v="&lt;null&gt;"/>
    <s v="Structurele Ingreep"/>
    <s v="WL/INV/N74/12"/>
    <b v="0"/>
    <s v="Ingreep wordt niet opgevolgd in BOD"/>
    <s v="&lt;null&gt;"/>
    <s v="&lt;null&gt;"/>
    <s v="&lt;null&gt;"/>
    <s v="&lt;null&gt;"/>
    <s v="&lt;null&gt;"/>
    <x v="0"/>
    <s v="&lt;null&gt;"/>
    <s v="&lt;null&gt;"/>
    <s v="&lt;null&gt;"/>
    <s v="&lt;null&gt;"/>
    <n v="5"/>
    <s v="&lt;null&gt;"/>
    <s v="&lt;null&gt;"/>
    <s v="&lt;null&gt;"/>
    <s v="&lt;null&gt;"/>
    <m/>
    <m/>
    <m/>
    <m/>
  </r>
  <r>
    <x v="18"/>
    <x v="18"/>
    <s v="&lt;null&gt;"/>
    <x v="3"/>
    <n v="3260"/>
    <s v="IN/002449"/>
    <s v="Aanleg fietspad op N757 tussen Kinrooi en Maaseik"/>
    <s v="&lt;null&gt;"/>
    <s v="Structurele Ingreep"/>
    <s v="WL/INV/N757/3"/>
    <b v="0"/>
    <s v="Ingreep wordt niet opgevolgd in BOD"/>
    <s v="&lt;null&gt;"/>
    <s v="&lt;null&gt;"/>
    <s v="&lt;null&gt;"/>
    <s v="&lt;null&gt;"/>
    <s v="&lt;null&gt;"/>
    <x v="0"/>
    <s v="&lt;null&gt;"/>
    <s v="&lt;null&gt;"/>
    <s v="&lt;null&gt;"/>
    <s v="&lt;null&gt;"/>
    <s v="&lt;null&gt;"/>
    <s v="&lt;null&gt;"/>
    <s v="&lt;null&gt;"/>
    <s v="&lt;null&gt;"/>
    <s v="&lt;null&gt;"/>
    <m/>
    <m/>
    <m/>
    <m/>
  </r>
  <r>
    <x v="1610"/>
    <x v="1610"/>
    <s v="Verkeersveiligheid"/>
    <x v="1"/>
    <n v="3302"/>
    <s v="IN/002450"/>
    <s v="PCV-dossier kruispunt met Rodenbachstraat"/>
    <s v="&lt;null&gt;"/>
    <s v="Kleine Ingreep"/>
    <s v="&lt;null&gt;"/>
    <b v="0"/>
    <s v="Ingreep wordt niet opgevolgd in BOD"/>
    <s v="&lt;null&gt;"/>
    <s v="&lt;null&gt;"/>
    <s v="&lt;null&gt;"/>
    <s v="&lt;null&gt;"/>
    <s v="&lt;null&gt;"/>
    <x v="0"/>
    <s v="&lt;null&gt;"/>
    <s v="&lt;null&gt;"/>
    <s v="&lt;null&gt;"/>
    <s v="&lt;null&gt;"/>
    <n v="100"/>
    <s v="&lt;null&gt;"/>
    <s v="&lt;null&gt;"/>
    <s v="&lt;null&gt;"/>
    <s v="&lt;null&gt;"/>
    <m/>
    <m/>
    <m/>
    <m/>
  </r>
  <r>
    <x v="1611"/>
    <x v="1611"/>
    <s v="Verkeersveiligheid"/>
    <x v="1"/>
    <n v="3303"/>
    <s v="IN/002451"/>
    <s v="aanleg terugkeerrotonde op N208"/>
    <s v="aanleg terugkeerrotonde op N208"/>
    <s v="Kleine Ingreep"/>
    <s v="&lt;null&gt;"/>
    <b v="0"/>
    <s v="Ingreep wordt niet opgevolgd in BOD"/>
    <s v="&lt;null&gt;"/>
    <s v="&lt;null&gt;"/>
    <s v="&lt;null&gt;"/>
    <s v="&lt;null&gt;"/>
    <s v="&lt;null&gt;"/>
    <x v="0"/>
    <s v="&lt;null&gt;"/>
    <s v="&lt;null&gt;"/>
    <s v="&lt;null&gt;"/>
    <s v="&lt;null&gt;"/>
    <n v="100"/>
    <s v="&lt;null&gt;"/>
    <s v="&lt;null&gt;"/>
    <s v="&lt;null&gt;"/>
    <s v="&lt;null&gt;"/>
    <m/>
    <m/>
    <m/>
    <m/>
  </r>
  <r>
    <x v="1612"/>
    <x v="1612"/>
    <s v="Fiets"/>
    <x v="0"/>
    <n v="3304"/>
    <s v="IN/002452"/>
    <s v="Lokaal structureel onderhoud fietspad op de N 36 te Ronse"/>
    <s v="&lt;null&gt;"/>
    <s v="Kleine Ingreep"/>
    <s v="WOV/INV/N36/3"/>
    <b v="1"/>
    <s v="Ingreep wordt opgevolgd in BOD"/>
    <s v="&lt;null&gt;"/>
    <s v="&lt;null&gt;"/>
    <n v="87651"/>
    <n v="21022940"/>
    <s v="&lt;p&gt;structureel onderhoud fietspaden ihkv relancemaatregelen&lt;/p&gt;"/>
    <x v="2"/>
    <n v="11017"/>
    <s v="N36 te Ronse kmpt 47 tem 51"/>
    <s v="&lt;null&gt;"/>
    <s v="WOV/INV/N36/3"/>
    <n v="100"/>
    <n v="80000"/>
    <n v="0"/>
    <n v="0"/>
    <n v="80000"/>
    <n v="80000"/>
    <n v="0"/>
    <n v="0"/>
    <n v="80000"/>
  </r>
  <r>
    <x v="18"/>
    <x v="18"/>
    <s v="&lt;null&gt;"/>
    <x v="3"/>
    <n v="3305"/>
    <s v="IN/002453"/>
    <s v="N10 - aanleg middenberm voor ontdubbelen N10"/>
    <s v="&lt;null&gt;"/>
    <s v="Structurele Ingreep"/>
    <s v="WA/INV/N10/14"/>
    <b v="0"/>
    <s v="Ingreep wordt niet opgevolgd in BOD"/>
    <s v="&lt;null&gt;"/>
    <s v="&lt;null&gt;"/>
    <s v="&lt;null&gt;"/>
    <s v="&lt;null&gt;"/>
    <s v="&lt;null&gt;"/>
    <x v="0"/>
    <s v="&lt;null&gt;"/>
    <s v="&lt;null&gt;"/>
    <s v="&lt;null&gt;"/>
    <s v="&lt;null&gt;"/>
    <s v="&lt;null&gt;"/>
    <s v="&lt;null&gt;"/>
    <s v="&lt;null&gt;"/>
    <s v="&lt;null&gt;"/>
    <s v="&lt;null&gt;"/>
    <m/>
    <m/>
    <m/>
    <m/>
  </r>
  <r>
    <x v="861"/>
    <x v="861"/>
    <s v="Verkeersveiligheid"/>
    <x v="4"/>
    <n v="3306"/>
    <s v="IN/002454"/>
    <s v="verplaatsen fietsenrekken"/>
    <s v="&lt;null&gt;"/>
    <s v="Kleine Ingreep"/>
    <s v="&lt;null&gt;"/>
    <b v="0"/>
    <s v="Ingreep wordt niet opgevolgd in BOD"/>
    <s v="&lt;null&gt;"/>
    <s v="&lt;null&gt;"/>
    <s v="&lt;null&gt;"/>
    <s v="&lt;null&gt;"/>
    <s v="&lt;null&gt;"/>
    <x v="0"/>
    <s v="&lt;null&gt;"/>
    <s v="&lt;null&gt;"/>
    <s v="&lt;null&gt;"/>
    <s v="&lt;null&gt;"/>
    <n v="100"/>
    <s v="&lt;null&gt;"/>
    <s v="&lt;null&gt;"/>
    <s v="&lt;null&gt;"/>
    <s v="&lt;null&gt;"/>
    <m/>
    <m/>
    <m/>
    <m/>
  </r>
  <r>
    <x v="1613"/>
    <x v="1613"/>
    <s v="Stimuleren Combimobiliteit"/>
    <x v="2"/>
    <n v="3307"/>
    <s v="IN/002455"/>
    <s v="Hoppinpunt Kwaadmechelen Kerk"/>
    <s v="Aanleg van een Hoppinpunt"/>
    <s v="Kleine Ingreep"/>
    <s v="&lt;null&gt;"/>
    <b v="0"/>
    <s v="Ingreep wordt niet opgevolgd in BOD"/>
    <s v="&lt;null&gt;"/>
    <s v="&lt;null&gt;"/>
    <s v="&lt;null&gt;"/>
    <s v="&lt;null&gt;"/>
    <s v="&lt;null&gt;"/>
    <x v="0"/>
    <s v="&lt;null&gt;"/>
    <s v="&lt;null&gt;"/>
    <s v="&lt;null&gt;"/>
    <s v="&lt;null&gt;"/>
    <n v="100"/>
    <s v="&lt;null&gt;"/>
    <s v="&lt;null&gt;"/>
    <s v="&lt;null&gt;"/>
    <s v="&lt;null&gt;"/>
    <m/>
    <m/>
    <m/>
    <m/>
  </r>
  <r>
    <x v="1614"/>
    <x v="1614"/>
    <s v="Stimuleren Combimobiliteit"/>
    <x v="2"/>
    <n v="3308"/>
    <s v="IN/002456"/>
    <s v="Oostham Warande"/>
    <s v="Aanleg van een Hoppinpunt"/>
    <s v="Kleine Ingreep"/>
    <s v="&lt;null&gt;"/>
    <b v="0"/>
    <s v="Ingreep wordt niet opgevolgd in BOD"/>
    <s v="&lt;null&gt;"/>
    <s v="&lt;null&gt;"/>
    <s v="&lt;null&gt;"/>
    <s v="&lt;null&gt;"/>
    <s v="&lt;null&gt;"/>
    <x v="0"/>
    <s v="&lt;null&gt;"/>
    <s v="&lt;null&gt;"/>
    <s v="&lt;null&gt;"/>
    <s v="&lt;null&gt;"/>
    <n v="100"/>
    <s v="&lt;null&gt;"/>
    <s v="&lt;null&gt;"/>
    <s v="&lt;null&gt;"/>
    <s v="&lt;null&gt;"/>
    <m/>
    <m/>
    <m/>
    <m/>
  </r>
  <r>
    <x v="1615"/>
    <x v="1615"/>
    <s v="Stimuleren Combimobiliteit"/>
    <x v="2"/>
    <n v="3309"/>
    <s v="IN/002457"/>
    <s v="Koersel Beringen Mijnen"/>
    <s v="Aanleg van een Hoppinpunt"/>
    <s v="Kleine Ingreep"/>
    <s v="&lt;null&gt;"/>
    <b v="0"/>
    <s v="Ingreep wordt niet opgevolgd in BOD"/>
    <s v="&lt;null&gt;"/>
    <s v="&lt;null&gt;"/>
    <s v="&lt;null&gt;"/>
    <s v="&lt;null&gt;"/>
    <s v="&lt;null&gt;"/>
    <x v="0"/>
    <s v="&lt;null&gt;"/>
    <s v="&lt;null&gt;"/>
    <s v="&lt;null&gt;"/>
    <s v="&lt;null&gt;"/>
    <n v="100"/>
    <s v="&lt;null&gt;"/>
    <s v="&lt;null&gt;"/>
    <s v="&lt;null&gt;"/>
    <s v="&lt;null&gt;"/>
    <m/>
    <m/>
    <m/>
    <m/>
  </r>
  <r>
    <x v="1616"/>
    <x v="1616"/>
    <s v="Stimuleren Combimobiliteit"/>
    <x v="2"/>
    <n v="3310"/>
    <s v="IN/002458"/>
    <s v="Bree Kanaal Noord"/>
    <s v="Aanleg van een Hoppinpunt"/>
    <s v="Kleine Ingreep"/>
    <s v="&lt;null&gt;"/>
    <b v="0"/>
    <s v="Ingreep wordt niet opgevolgd in BOD"/>
    <s v="&lt;null&gt;"/>
    <s v="&lt;null&gt;"/>
    <s v="&lt;null&gt;"/>
    <s v="&lt;null&gt;"/>
    <s v="&lt;null&gt;"/>
    <x v="0"/>
    <s v="&lt;null&gt;"/>
    <s v="&lt;null&gt;"/>
    <s v="&lt;null&gt;"/>
    <s v="&lt;null&gt;"/>
    <n v="100"/>
    <s v="&lt;null&gt;"/>
    <s v="&lt;null&gt;"/>
    <s v="&lt;null&gt;"/>
    <s v="&lt;null&gt;"/>
    <m/>
    <m/>
    <m/>
    <m/>
  </r>
  <r>
    <x v="1617"/>
    <x v="1617"/>
    <s v="Stimuleren Combimobiliteit"/>
    <x v="2"/>
    <n v="3311"/>
    <s v="IN/002459"/>
    <s v="Achel Kerk"/>
    <s v="Aanleg van een Hoppinpunt"/>
    <s v="Kleine Ingreep"/>
    <s v="&lt;null&gt;"/>
    <b v="0"/>
    <s v="Ingreep wordt niet opgevolgd in BOD"/>
    <s v="&lt;null&gt;"/>
    <s v="&lt;null&gt;"/>
    <s v="&lt;null&gt;"/>
    <s v="&lt;null&gt;"/>
    <s v="&lt;null&gt;"/>
    <x v="0"/>
    <s v="&lt;null&gt;"/>
    <s v="&lt;null&gt;"/>
    <s v="&lt;null&gt;"/>
    <s v="&lt;null&gt;"/>
    <n v="100"/>
    <s v="&lt;null&gt;"/>
    <s v="&lt;null&gt;"/>
    <s v="&lt;null&gt;"/>
    <s v="&lt;null&gt;"/>
    <m/>
    <m/>
    <m/>
    <m/>
  </r>
  <r>
    <x v="1618"/>
    <x v="1618"/>
    <s v="Stimuleren Combimobiliteit"/>
    <x v="2"/>
    <n v="3312"/>
    <s v="IN/002460"/>
    <s v="Eksel Kerkstraat"/>
    <s v="Aanleg van een Hoppinpunt"/>
    <s v="Kleine Ingreep"/>
    <s v="&lt;null&gt;"/>
    <b v="0"/>
    <s v="Ingreep wordt niet opgevolgd in BOD"/>
    <s v="&lt;null&gt;"/>
    <s v="&lt;null&gt;"/>
    <s v="&lt;null&gt;"/>
    <s v="&lt;null&gt;"/>
    <s v="&lt;null&gt;"/>
    <x v="0"/>
    <s v="&lt;null&gt;"/>
    <s v="&lt;null&gt;"/>
    <s v="&lt;null&gt;"/>
    <s v="&lt;null&gt;"/>
    <n v="100"/>
    <s v="&lt;null&gt;"/>
    <s v="&lt;null&gt;"/>
    <s v="&lt;null&gt;"/>
    <s v="&lt;null&gt;"/>
    <m/>
    <m/>
    <m/>
    <m/>
  </r>
  <r>
    <x v="1619"/>
    <x v="1619"/>
    <s v="Stimuleren Combimobiliteit"/>
    <x v="2"/>
    <n v="3313"/>
    <s v="IN/002461"/>
    <s v="Verveteren bereikbaarheid P+R"/>
    <s v="&lt;null&gt;"/>
    <s v="Kleine Ingreep"/>
    <s v="WA/INV/R11/8"/>
    <b v="0"/>
    <s v="Ingreep wordt niet opgevolgd in BOD"/>
    <s v="&lt;null&gt;"/>
    <s v="&lt;null&gt;"/>
    <s v="&lt;null&gt;"/>
    <s v="&lt;null&gt;"/>
    <s v="&lt;null&gt;"/>
    <x v="0"/>
    <s v="&lt;null&gt;"/>
    <s v="&lt;null&gt;"/>
    <s v="&lt;null&gt;"/>
    <s v="&lt;null&gt;"/>
    <n v="100"/>
    <s v="&lt;null&gt;"/>
    <s v="&lt;null&gt;"/>
    <s v="&lt;null&gt;"/>
    <s v="&lt;null&gt;"/>
    <m/>
    <m/>
    <m/>
    <m/>
  </r>
  <r>
    <x v="18"/>
    <x v="18"/>
    <s v="&lt;null&gt;"/>
    <x v="3"/>
    <n v="3352"/>
    <s v="IN/002462"/>
    <s v="N76 Ophaalsluis Lozen"/>
    <s v="&lt;null&gt;"/>
    <s v="Structurele Ingreep"/>
    <s v="WL/INV/N76/8"/>
    <b v="0"/>
    <s v="Ingreep wordt niet opgevolgd in BOD"/>
    <s v="&lt;null&gt;"/>
    <s v="&lt;null&gt;"/>
    <s v="&lt;null&gt;"/>
    <s v="&lt;null&gt;"/>
    <s v="&lt;null&gt;"/>
    <x v="0"/>
    <s v="&lt;null&gt;"/>
    <s v="&lt;null&gt;"/>
    <s v="&lt;null&gt;"/>
    <s v="&lt;null&gt;"/>
    <s v="&lt;null&gt;"/>
    <s v="&lt;null&gt;"/>
    <s v="&lt;null&gt;"/>
    <s v="&lt;null&gt;"/>
    <s v="&lt;null&gt;"/>
    <m/>
    <m/>
    <m/>
    <m/>
  </r>
  <r>
    <x v="18"/>
    <x v="18"/>
    <s v="&lt;null&gt;"/>
    <x v="3"/>
    <n v="3353"/>
    <s v="IN/002463"/>
    <s v="E313 Beringen Ham aanleg van spitsstroken"/>
    <s v="&lt;null&gt;"/>
    <s v="Structurele Ingreep"/>
    <s v="WL/INV/E313/3"/>
    <b v="1"/>
    <s v="Ingreep wordt opgevolgd in BOD"/>
    <s v="&lt;null&gt;"/>
    <s v="&lt;null&gt;"/>
    <n v="133451"/>
    <n v="22027485"/>
    <s v="&lt;p&gt;Plaatsing van 21 PTZ-camera's t.b.v. het schouwen van spitsstrook Beringen-Ham - B-nummer WL/INV/E313/3/B002&lt;/p&gt;"/>
    <x v="3"/>
    <n v="9104"/>
    <s v="&lt;null&gt;"/>
    <s v="&lt;p&gt;Plaatsing van 21 PTZ-camera's t.b.v. het schouwen van spitsstrook Beringen-Ham - B-nummer WL/INV/E313/3/B002&lt;/p&gt;"/>
    <s v="WL/INV/E313/3"/>
    <s v="&lt;null&gt;"/>
    <n v="108831.35"/>
    <n v="0"/>
    <n v="0"/>
    <n v="108831.35"/>
    <m/>
    <m/>
    <m/>
    <m/>
  </r>
  <r>
    <x v="18"/>
    <x v="18"/>
    <s v="&lt;null&gt;"/>
    <x v="3"/>
    <n v="3354"/>
    <s v="IN/002464"/>
    <s v="N715 Zonhoven - herinrichting"/>
    <s v="&lt;null&gt;"/>
    <s v="Structurele Ingreep"/>
    <s v="WL/INV/N715/10"/>
    <b v="0"/>
    <s v="Ingreep wordt niet opgevolgd in BOD"/>
    <s v="&lt;null&gt;"/>
    <s v="&lt;null&gt;"/>
    <s v="&lt;null&gt;"/>
    <s v="&lt;null&gt;"/>
    <s v="&lt;null&gt;"/>
    <x v="0"/>
    <s v="&lt;null&gt;"/>
    <s v="&lt;null&gt;"/>
    <s v="&lt;null&gt;"/>
    <s v="&lt;null&gt;"/>
    <s v="&lt;null&gt;"/>
    <s v="&lt;null&gt;"/>
    <s v="&lt;null&gt;"/>
    <s v="&lt;null&gt;"/>
    <s v="&lt;null&gt;"/>
    <m/>
    <m/>
    <m/>
    <m/>
  </r>
  <r>
    <x v="231"/>
    <x v="231"/>
    <s v="Verkeersveiligheid"/>
    <x v="1"/>
    <n v="3402"/>
    <s v="IN/002465"/>
    <s v="Trajectcontrole N258 Aarschot - Scherpenheuvel - Tielt-Winge"/>
    <s v="&lt;null&gt;"/>
    <s v="Kleine Ingreep"/>
    <s v="&lt;null&gt;"/>
    <b v="0"/>
    <s v="Ingreep wordt niet opgevolgd in BOD"/>
    <s v="&lt;null&gt;"/>
    <s v="&lt;null&gt;"/>
    <s v="&lt;null&gt;"/>
    <s v="&lt;null&gt;"/>
    <s v="&lt;null&gt;"/>
    <x v="0"/>
    <s v="&lt;null&gt;"/>
    <s v="&lt;null&gt;"/>
    <s v="&lt;null&gt;"/>
    <s v="&lt;null&gt;"/>
    <n v="100"/>
    <s v="&lt;null&gt;"/>
    <s v="&lt;null&gt;"/>
    <s v="&lt;null&gt;"/>
    <s v="&lt;null&gt;"/>
    <m/>
    <m/>
    <m/>
    <m/>
  </r>
  <r>
    <x v="1620"/>
    <x v="1620"/>
    <s v="Verkeersveiligheid"/>
    <x v="6"/>
    <n v="3403"/>
    <s v="IN/002466"/>
    <s v="Veilige rolstoeloversteekplaats N726 (Wagemanskeel x Boekrakelaan)"/>
    <s v="De stad Genk is vragende partij  voor een veilige oversteekplaats voor rolstoelgebruikers ter hoogte van het kruispunt  van de N726 met de Boekrakelaan."/>
    <s v="Kleine Ingreep"/>
    <s v="WL/INV/N726/3"/>
    <b v="0"/>
    <s v="Ingreep wordt niet opgevolgd in BOD"/>
    <s v="&lt;null&gt;"/>
    <s v="&lt;null&gt;"/>
    <s v="&lt;null&gt;"/>
    <s v="&lt;null&gt;"/>
    <s v="&lt;null&gt;"/>
    <x v="0"/>
    <s v="&lt;null&gt;"/>
    <s v="&lt;null&gt;"/>
    <s v="&lt;null&gt;"/>
    <s v="&lt;null&gt;"/>
    <n v="100"/>
    <s v="&lt;null&gt;"/>
    <s v="&lt;null&gt;"/>
    <s v="&lt;null&gt;"/>
    <s v="&lt;null&gt;"/>
    <m/>
    <m/>
    <m/>
    <m/>
  </r>
  <r>
    <x v="18"/>
    <x v="18"/>
    <s v="&lt;null&gt;"/>
    <x v="3"/>
    <n v="3404"/>
    <s v="IN/002467"/>
    <s v="E17 heraanleg zone 1 St-Niklaas - Kruibeke"/>
    <s v="&lt;null&gt;"/>
    <s v="Structurele Ingreep"/>
    <s v="WOV/INV/E17/4"/>
    <b v="0"/>
    <s v="Ingreep wordt niet opgevolgd in BOD"/>
    <s v="&lt;null&gt;"/>
    <s v="&lt;null&gt;"/>
    <s v="&lt;null&gt;"/>
    <s v="&lt;null&gt;"/>
    <s v="&lt;null&gt;"/>
    <x v="0"/>
    <s v="&lt;null&gt;"/>
    <s v="&lt;null&gt;"/>
    <s v="&lt;null&gt;"/>
    <s v="&lt;null&gt;"/>
    <s v="&lt;null&gt;"/>
    <s v="&lt;null&gt;"/>
    <s v="&lt;null&gt;"/>
    <s v="&lt;null&gt;"/>
    <s v="&lt;null&gt;"/>
    <m/>
    <m/>
    <m/>
    <m/>
  </r>
  <r>
    <x v="18"/>
    <x v="18"/>
    <s v="&lt;null&gt;"/>
    <x v="3"/>
    <n v="3405"/>
    <s v="IN/002468"/>
    <s v="E17 heraanleg zone 2 Sint-Niklaas - Lokeren"/>
    <s v="&lt;null&gt;"/>
    <s v="Structurele Ingreep"/>
    <s v="WOV/INV/E17/5"/>
    <b v="0"/>
    <s v="Ingreep wordt niet opgevolgd in BOD"/>
    <s v="&lt;null&gt;"/>
    <s v="&lt;null&gt;"/>
    <s v="&lt;null&gt;"/>
    <s v="&lt;null&gt;"/>
    <s v="&lt;null&gt;"/>
    <x v="0"/>
    <s v="&lt;null&gt;"/>
    <s v="&lt;null&gt;"/>
    <s v="&lt;null&gt;"/>
    <s v="&lt;null&gt;"/>
    <s v="&lt;null&gt;"/>
    <s v="&lt;null&gt;"/>
    <s v="&lt;null&gt;"/>
    <s v="&lt;null&gt;"/>
    <s v="&lt;null&gt;"/>
    <m/>
    <m/>
    <m/>
    <m/>
  </r>
  <r>
    <x v="18"/>
    <x v="18"/>
    <s v="&lt;null&gt;"/>
    <x v="3"/>
    <n v="3406"/>
    <s v="IN/002469"/>
    <s v="E34 heraanleg zone 1 Kemzeke - Moerbeke"/>
    <s v="&lt;null&gt;"/>
    <s v="Structurele Ingreep"/>
    <s v="WOV/INV/E34/3"/>
    <b v="0"/>
    <s v="Ingreep wordt niet opgevolgd in BOD"/>
    <s v="&lt;null&gt;"/>
    <s v="&lt;null&gt;"/>
    <s v="&lt;null&gt;"/>
    <s v="&lt;null&gt;"/>
    <s v="&lt;null&gt;"/>
    <x v="0"/>
    <s v="&lt;null&gt;"/>
    <s v="&lt;null&gt;"/>
    <s v="&lt;null&gt;"/>
    <s v="&lt;null&gt;"/>
    <s v="&lt;null&gt;"/>
    <s v="&lt;null&gt;"/>
    <s v="&lt;null&gt;"/>
    <s v="&lt;null&gt;"/>
    <s v="&lt;null&gt;"/>
    <m/>
    <m/>
    <m/>
    <m/>
  </r>
  <r>
    <x v="18"/>
    <x v="18"/>
    <s v="&lt;null&gt;"/>
    <x v="3"/>
    <n v="3407"/>
    <s v="IN/002470"/>
    <s v="E34 heraanleg zone 2 Moerbeke - Kemzeke"/>
    <s v="&lt;null&gt;"/>
    <s v="Structurele Ingreep"/>
    <s v="WOV/INV/E34/2"/>
    <b v="0"/>
    <s v="Ingreep wordt niet opgevolgd in BOD"/>
    <s v="&lt;null&gt;"/>
    <s v="&lt;null&gt;"/>
    <s v="&lt;null&gt;"/>
    <s v="&lt;null&gt;"/>
    <s v="&lt;null&gt;"/>
    <x v="0"/>
    <s v="&lt;null&gt;"/>
    <s v="&lt;null&gt;"/>
    <s v="&lt;null&gt;"/>
    <s v="&lt;null&gt;"/>
    <s v="&lt;null&gt;"/>
    <s v="&lt;null&gt;"/>
    <s v="&lt;null&gt;"/>
    <s v="&lt;null&gt;"/>
    <s v="&lt;null&gt;"/>
    <m/>
    <m/>
    <m/>
    <m/>
  </r>
  <r>
    <x v="18"/>
    <x v="18"/>
    <s v="&lt;null&gt;"/>
    <x v="3"/>
    <n v="3408"/>
    <s v="IN/002471"/>
    <s v="E40 heraanleg zone 1 VLBR - Vlekkem"/>
    <s v="&lt;null&gt;"/>
    <s v="Structurele Ingreep"/>
    <s v="WOV/INV/E40/4"/>
    <b v="0"/>
    <s v="Ingreep wordt niet opgevolgd in BOD"/>
    <s v="&lt;null&gt;"/>
    <s v="&lt;null&gt;"/>
    <s v="&lt;null&gt;"/>
    <s v="&lt;null&gt;"/>
    <s v="&lt;null&gt;"/>
    <x v="0"/>
    <s v="&lt;null&gt;"/>
    <s v="&lt;null&gt;"/>
    <s v="&lt;null&gt;"/>
    <s v="&lt;null&gt;"/>
    <s v="&lt;null&gt;"/>
    <s v="&lt;null&gt;"/>
    <s v="&lt;null&gt;"/>
    <s v="&lt;null&gt;"/>
    <s v="&lt;null&gt;"/>
    <m/>
    <m/>
    <m/>
    <m/>
  </r>
  <r>
    <x v="18"/>
    <x v="18"/>
    <s v="&lt;null&gt;"/>
    <x v="3"/>
    <n v="3409"/>
    <s v="IN/002472"/>
    <s v="E40 heraanleg zone 2 Vlekkem - VLBR"/>
    <s v="&lt;null&gt;"/>
    <s v="Structurele Ingreep"/>
    <s v="WOV/INV/E40/5"/>
    <b v="0"/>
    <s v="Ingreep wordt niet opgevolgd in BOD"/>
    <s v="&lt;null&gt;"/>
    <s v="&lt;null&gt;"/>
    <s v="&lt;null&gt;"/>
    <s v="&lt;null&gt;"/>
    <s v="&lt;null&gt;"/>
    <x v="0"/>
    <s v="&lt;null&gt;"/>
    <s v="&lt;null&gt;"/>
    <s v="&lt;null&gt;"/>
    <s v="&lt;null&gt;"/>
    <s v="&lt;null&gt;"/>
    <s v="&lt;null&gt;"/>
    <s v="&lt;null&gt;"/>
    <s v="&lt;null&gt;"/>
    <s v="&lt;null&gt;"/>
    <m/>
    <m/>
    <m/>
    <m/>
  </r>
  <r>
    <x v="1621"/>
    <x v="1621"/>
    <s v="Verkeersveiligheid"/>
    <x v="6"/>
    <n v="3410"/>
    <s v="IN/002473"/>
    <s v="Zutendaal - N77 - fietsoversteekplaats Terboekt"/>
    <s v="fietsoversteekplaats via middeneiland (ook voor menners) + VFOP"/>
    <s v="Kleine Ingreep"/>
    <s v="WL/INV/N77/8"/>
    <b v="0"/>
    <s v="Ingreep wordt niet opgevolgd in BOD"/>
    <s v="&lt;null&gt;"/>
    <s v="&lt;null&gt;"/>
    <s v="&lt;null&gt;"/>
    <s v="&lt;null&gt;"/>
    <s v="&lt;null&gt;"/>
    <x v="0"/>
    <s v="&lt;null&gt;"/>
    <s v="&lt;null&gt;"/>
    <s v="&lt;null&gt;"/>
    <s v="&lt;null&gt;"/>
    <n v="100"/>
    <s v="&lt;null&gt;"/>
    <s v="&lt;null&gt;"/>
    <s v="&lt;null&gt;"/>
    <s v="&lt;null&gt;"/>
    <m/>
    <m/>
    <m/>
    <m/>
  </r>
  <r>
    <x v="1622"/>
    <x v="1622"/>
    <s v="Verkeersveiligheid"/>
    <x v="6"/>
    <n v="3411"/>
    <s v="IN/002474"/>
    <s v="Zonhoven – N72 x Purmo x Nachtegalenstraat"/>
    <s v="Opstelruimte creëren voor de fietsoversteekplaats (noord), fietspad naar buiten buigen en ter plaatse verbreden naar de nieuwe normen (2m)"/>
    <s v="Kleine Ingreep"/>
    <s v="WL/INV/N72/25"/>
    <b v="0"/>
    <s v="Ingreep wordt niet opgevolgd in BOD"/>
    <s v="&lt;null&gt;"/>
    <s v="&lt;null&gt;"/>
    <s v="&lt;null&gt;"/>
    <s v="&lt;null&gt;"/>
    <s v="&lt;null&gt;"/>
    <x v="0"/>
    <s v="&lt;null&gt;"/>
    <s v="&lt;null&gt;"/>
    <s v="&lt;null&gt;"/>
    <s v="&lt;null&gt;"/>
    <n v="100"/>
    <s v="&lt;null&gt;"/>
    <s v="&lt;null&gt;"/>
    <s v="&lt;null&gt;"/>
    <s v="&lt;null&gt;"/>
    <m/>
    <m/>
    <m/>
    <m/>
  </r>
  <r>
    <x v="1623"/>
    <x v="1623"/>
    <s v="Fiets"/>
    <x v="0"/>
    <n v="3412"/>
    <s v="IN/002475"/>
    <s v="Alken – N754 x Groenmolenstraat Fietsoversteek - dubbelrichtingsfietspad - FVOP"/>
    <s v="Fietsoversteek - dubbelrichtingsfietspad - FVOP"/>
    <s v="Kleine Ingreep"/>
    <s v="WL/INV/N754/16"/>
    <b v="0"/>
    <s v="Ingreep wordt niet opgevolgd in BOD"/>
    <s v="&lt;null&gt;"/>
    <s v="&lt;null&gt;"/>
    <s v="&lt;null&gt;"/>
    <s v="&lt;null&gt;"/>
    <s v="&lt;null&gt;"/>
    <x v="0"/>
    <s v="&lt;null&gt;"/>
    <s v="&lt;null&gt;"/>
    <s v="&lt;null&gt;"/>
    <s v="&lt;null&gt;"/>
    <n v="100"/>
    <s v="&lt;null&gt;"/>
    <s v="&lt;null&gt;"/>
    <s v="&lt;null&gt;"/>
    <s v="&lt;null&gt;"/>
    <m/>
    <m/>
    <m/>
    <m/>
  </r>
  <r>
    <x v="1624"/>
    <x v="1624"/>
    <s v="Stimuleren Combimobiliteit"/>
    <x v="2"/>
    <n v="3413"/>
    <s v="IN/002476"/>
    <s v="Inrichten Hoppinpunt"/>
    <s v="&lt;null&gt;"/>
    <s v="Kleine Ingreep"/>
    <s v="WL/INV/N754/17"/>
    <b v="0"/>
    <s v="Ingreep wordt niet opgevolgd in BOD"/>
    <s v="&lt;null&gt;"/>
    <s v="&lt;null&gt;"/>
    <s v="&lt;null&gt;"/>
    <s v="&lt;null&gt;"/>
    <s v="&lt;null&gt;"/>
    <x v="0"/>
    <s v="&lt;null&gt;"/>
    <s v="&lt;null&gt;"/>
    <s v="&lt;null&gt;"/>
    <s v="&lt;null&gt;"/>
    <n v="100"/>
    <s v="&lt;null&gt;"/>
    <s v="&lt;null&gt;"/>
    <s v="&lt;null&gt;"/>
    <s v="&lt;null&gt;"/>
    <m/>
    <m/>
    <m/>
    <m/>
  </r>
  <r>
    <x v="18"/>
    <x v="18"/>
    <s v="&lt;null&gt;"/>
    <x v="3"/>
    <n v="3414"/>
    <s v="IN/002477"/>
    <s v="N342 Brugge Herinrichting Stationslaan"/>
    <s v="&lt;null&gt;"/>
    <s v="Structurele Ingreep"/>
    <s v="WWV/INV/N342/2"/>
    <b v="0"/>
    <s v="Ingreep wordt niet opgevolgd in BOD"/>
    <s v="&lt;null&gt;"/>
    <s v="&lt;null&gt;"/>
    <s v="&lt;null&gt;"/>
    <s v="&lt;null&gt;"/>
    <s v="&lt;null&gt;"/>
    <x v="0"/>
    <s v="&lt;null&gt;"/>
    <s v="&lt;null&gt;"/>
    <s v="&lt;null&gt;"/>
    <s v="&lt;null&gt;"/>
    <s v="&lt;null&gt;"/>
    <s v="&lt;null&gt;"/>
    <s v="&lt;null&gt;"/>
    <s v="&lt;null&gt;"/>
    <s v="&lt;null&gt;"/>
    <m/>
    <m/>
    <m/>
    <m/>
  </r>
  <r>
    <x v="1625"/>
    <x v="1625"/>
    <s v="Stimuleren Combimobiliteit"/>
    <x v="2"/>
    <n v="3415"/>
    <s v="IN/002478"/>
    <s v="Hoppinpunt 831"/>
    <s v="Aanleg van een Hoppinpunt"/>
    <s v="Kleine Ingreep"/>
    <s v="WL/INV/N730/27"/>
    <b v="0"/>
    <s v="Ingreep wordt niet opgevolgd in BOD"/>
    <s v="&lt;null&gt;"/>
    <s v="&lt;null&gt;"/>
    <s v="&lt;null&gt;"/>
    <s v="&lt;null&gt;"/>
    <s v="&lt;null&gt;"/>
    <x v="0"/>
    <s v="&lt;null&gt;"/>
    <s v="&lt;null&gt;"/>
    <s v="&lt;null&gt;"/>
    <s v="&lt;null&gt;"/>
    <n v="100"/>
    <s v="&lt;null&gt;"/>
    <s v="&lt;null&gt;"/>
    <s v="&lt;null&gt;"/>
    <s v="&lt;null&gt;"/>
    <m/>
    <m/>
    <m/>
    <m/>
  </r>
  <r>
    <x v="18"/>
    <x v="18"/>
    <s v="&lt;null&gt;"/>
    <x v="3"/>
    <n v="3416"/>
    <s v="IN/002479"/>
    <s v="N35b Lichtervelde: herinrichting Koolskampstraat"/>
    <s v="&lt;null&gt;"/>
    <s v="Structurele Ingreep"/>
    <s v="WWV/INV/N35B/1"/>
    <b v="0"/>
    <s v="Ingreep wordt niet opgevolgd in BOD"/>
    <s v="&lt;null&gt;"/>
    <s v="&lt;null&gt;"/>
    <s v="&lt;null&gt;"/>
    <s v="&lt;null&gt;"/>
    <s v="&lt;null&gt;"/>
    <x v="0"/>
    <s v="&lt;null&gt;"/>
    <s v="&lt;null&gt;"/>
    <s v="&lt;null&gt;"/>
    <s v="&lt;null&gt;"/>
    <s v="&lt;null&gt;"/>
    <s v="&lt;null&gt;"/>
    <s v="&lt;null&gt;"/>
    <s v="&lt;null&gt;"/>
    <s v="&lt;null&gt;"/>
    <m/>
    <m/>
    <m/>
    <m/>
  </r>
  <r>
    <x v="18"/>
    <x v="18"/>
    <s v="&lt;null&gt;"/>
    <x v="3"/>
    <n v="3417"/>
    <s v="IN/002480"/>
    <s v="N9 Brugge Studie herinrichting Maalse Steenweg"/>
    <s v="&lt;null&gt;"/>
    <s v="Structurele Ingreep"/>
    <s v="WWV/INV/N9/2"/>
    <b v="0"/>
    <s v="Ingreep wordt niet opgevolgd in BOD"/>
    <s v="&lt;null&gt;"/>
    <s v="&lt;null&gt;"/>
    <s v="&lt;null&gt;"/>
    <s v="&lt;null&gt;"/>
    <s v="&lt;null&gt;"/>
    <x v="0"/>
    <s v="&lt;null&gt;"/>
    <s v="&lt;null&gt;"/>
    <s v="&lt;null&gt;"/>
    <s v="&lt;null&gt;"/>
    <s v="&lt;null&gt;"/>
    <s v="&lt;null&gt;"/>
    <s v="&lt;null&gt;"/>
    <s v="&lt;null&gt;"/>
    <s v="&lt;null&gt;"/>
    <m/>
    <m/>
    <m/>
    <m/>
  </r>
  <r>
    <x v="237"/>
    <x v="237"/>
    <s v="Verkeersveiligheid"/>
    <x v="1"/>
    <n v="3418"/>
    <s v="IN/002481"/>
    <s v="A12 ongelijkvloerse verbinding zwakke weggebruiker"/>
    <s v="&lt;null&gt;"/>
    <s v="Structurele Ingreep"/>
    <s v="WA/INV/A12/5"/>
    <b v="0"/>
    <s v="Ingreep wordt niet opgevolgd in BOD"/>
    <s v="&lt;null&gt;"/>
    <s v="&lt;null&gt;"/>
    <s v="&lt;null&gt;"/>
    <s v="&lt;null&gt;"/>
    <s v="&lt;null&gt;"/>
    <x v="0"/>
    <s v="&lt;null&gt;"/>
    <s v="&lt;null&gt;"/>
    <s v="&lt;null&gt;"/>
    <s v="&lt;null&gt;"/>
    <n v="100"/>
    <s v="&lt;null&gt;"/>
    <s v="&lt;null&gt;"/>
    <s v="&lt;null&gt;"/>
    <s v="&lt;null&gt;"/>
    <m/>
    <m/>
    <m/>
    <m/>
  </r>
  <r>
    <x v="18"/>
    <x v="18"/>
    <s v="&lt;null&gt;"/>
    <x v="3"/>
    <n v="3419"/>
    <s v="IN/002482"/>
    <s v="R001 Antwerpen Verleggen afwatering R1 Nieuw Zuid"/>
    <s v="&lt;null&gt;"/>
    <s v="Structurele Ingreep"/>
    <s v="WA/INV/R001/1"/>
    <b v="0"/>
    <s v="Ingreep wordt niet opgevolgd in BOD"/>
    <s v="&lt;null&gt;"/>
    <s v="&lt;null&gt;"/>
    <s v="&lt;null&gt;"/>
    <s v="&lt;null&gt;"/>
    <s v="&lt;null&gt;"/>
    <x v="0"/>
    <s v="&lt;null&gt;"/>
    <s v="&lt;null&gt;"/>
    <s v="&lt;null&gt;"/>
    <s v="&lt;null&gt;"/>
    <s v="&lt;null&gt;"/>
    <s v="&lt;null&gt;"/>
    <s v="&lt;null&gt;"/>
    <s v="&lt;null&gt;"/>
    <s v="&lt;null&gt;"/>
    <m/>
    <m/>
    <m/>
    <m/>
  </r>
  <r>
    <x v="861"/>
    <x v="861"/>
    <s v="Verkeersveiligheid"/>
    <x v="4"/>
    <n v="3420"/>
    <s v="IN/002483"/>
    <s v="A13 Hasselt - Ontsluitingsinfra parallel E313"/>
    <s v="&lt;null&gt;"/>
    <s v="Structurele Ingreep"/>
    <s v="WL/INV/E313/2"/>
    <b v="0"/>
    <s v="Ingreep wordt niet opgevolgd in BOD"/>
    <s v="&lt;null&gt;"/>
    <s v="&lt;null&gt;"/>
    <s v="&lt;null&gt;"/>
    <s v="&lt;null&gt;"/>
    <s v="&lt;null&gt;"/>
    <x v="0"/>
    <s v="&lt;null&gt;"/>
    <s v="&lt;null&gt;"/>
    <s v="&lt;null&gt;"/>
    <s v="&lt;null&gt;"/>
    <n v="1"/>
    <s v="&lt;null&gt;"/>
    <s v="&lt;null&gt;"/>
    <s v="&lt;null&gt;"/>
    <s v="&lt;null&gt;"/>
    <m/>
    <m/>
    <m/>
    <m/>
  </r>
  <r>
    <x v="1328"/>
    <x v="1328"/>
    <s v="Verkeersveiligheid"/>
    <x v="4"/>
    <n v="3420"/>
    <s v="IN/002483"/>
    <s v="A13 Hasselt - Ontsluitingsinfra parallel E313"/>
    <s v="&lt;null&gt;"/>
    <s v="Structurele Ingreep"/>
    <s v="WL/INV/E313/2"/>
    <b v="0"/>
    <s v="Ingreep wordt niet opgevolgd in BOD"/>
    <s v="&lt;null&gt;"/>
    <s v="&lt;null&gt;"/>
    <s v="&lt;null&gt;"/>
    <s v="&lt;null&gt;"/>
    <s v="&lt;null&gt;"/>
    <x v="0"/>
    <s v="&lt;null&gt;"/>
    <s v="&lt;null&gt;"/>
    <s v="&lt;null&gt;"/>
    <s v="&lt;null&gt;"/>
    <n v="1"/>
    <s v="&lt;null&gt;"/>
    <s v="&lt;null&gt;"/>
    <s v="&lt;null&gt;"/>
    <s v="&lt;null&gt;"/>
    <m/>
    <m/>
    <m/>
    <m/>
  </r>
  <r>
    <x v="1626"/>
    <x v="1626"/>
    <s v="Verkeersveiligheid"/>
    <x v="1"/>
    <n v="3420"/>
    <s v="IN/002483"/>
    <s v="A13 Hasselt - Ontsluitingsinfra parallel E313"/>
    <s v="&lt;null&gt;"/>
    <s v="Structurele Ingreep"/>
    <s v="WL/INV/E313/2"/>
    <b v="0"/>
    <s v="Ingreep wordt niet opgevolgd in BOD"/>
    <s v="&lt;null&gt;"/>
    <s v="&lt;null&gt;"/>
    <s v="&lt;null&gt;"/>
    <s v="&lt;null&gt;"/>
    <s v="&lt;null&gt;"/>
    <x v="0"/>
    <s v="&lt;null&gt;"/>
    <s v="&lt;null&gt;"/>
    <s v="&lt;null&gt;"/>
    <s v="&lt;null&gt;"/>
    <n v="1"/>
    <s v="&lt;null&gt;"/>
    <s v="&lt;null&gt;"/>
    <s v="&lt;null&gt;"/>
    <s v="&lt;null&gt;"/>
    <m/>
    <m/>
    <m/>
    <m/>
  </r>
  <r>
    <x v="18"/>
    <x v="18"/>
    <s v="&lt;null&gt;"/>
    <x v="3"/>
    <n v="3421"/>
    <s v="IN/002484"/>
    <s v="N730 Hoeselt - aanleg carpool"/>
    <s v="&lt;null&gt;"/>
    <s v="Structurele Ingreep"/>
    <s v="WL/INV/N730/3"/>
    <b v="0"/>
    <s v="Ingreep wordt niet opgevolgd in BOD"/>
    <s v="&lt;null&gt;"/>
    <s v="&lt;null&gt;"/>
    <s v="&lt;null&gt;"/>
    <s v="&lt;null&gt;"/>
    <s v="&lt;null&gt;"/>
    <x v="0"/>
    <s v="&lt;null&gt;"/>
    <s v="&lt;null&gt;"/>
    <s v="&lt;null&gt;"/>
    <s v="&lt;null&gt;"/>
    <s v="&lt;null&gt;"/>
    <s v="&lt;null&gt;"/>
    <s v="&lt;null&gt;"/>
    <s v="&lt;null&gt;"/>
    <s v="&lt;null&gt;"/>
    <m/>
    <m/>
    <m/>
    <m/>
  </r>
  <r>
    <x v="862"/>
    <x v="862"/>
    <s v="Verkeersveiligheid"/>
    <x v="4"/>
    <n v="3422"/>
    <s v="IN/002485"/>
    <s v="Herinrichting ter hoogte van Lutselus Diepenbeek"/>
    <s v="&lt;null&gt;"/>
    <s v="Structurele Ingreep"/>
    <s v="WL/INV/N76/25"/>
    <b v="0"/>
    <s v="Ingreep wordt niet opgevolgd in BOD"/>
    <s v="&lt;null&gt;"/>
    <s v="&lt;null&gt;"/>
    <s v="&lt;null&gt;"/>
    <s v="&lt;null&gt;"/>
    <s v="&lt;null&gt;"/>
    <x v="0"/>
    <s v="&lt;null&gt;"/>
    <s v="&lt;null&gt;"/>
    <s v="&lt;null&gt;"/>
    <s v="&lt;null&gt;"/>
    <n v="1"/>
    <s v="&lt;null&gt;"/>
    <s v="&lt;null&gt;"/>
    <s v="&lt;null&gt;"/>
    <s v="&lt;null&gt;"/>
    <m/>
    <m/>
    <m/>
    <m/>
  </r>
  <r>
    <x v="1627"/>
    <x v="1627"/>
    <s v="Stimuleren Combimobiliteit"/>
    <x v="2"/>
    <n v="3423"/>
    <s v="IN/002486"/>
    <s v="R70 Hasselt - Bampslaan Leopoldplein"/>
    <s v="&lt;null&gt;"/>
    <s v="Structurele Ingreep"/>
    <s v="WL/INV/R70/1"/>
    <b v="0"/>
    <s v="Ingreep wordt niet opgevolgd in BOD"/>
    <s v="&lt;null&gt;"/>
    <s v="&lt;null&gt;"/>
    <s v="&lt;null&gt;"/>
    <s v="&lt;null&gt;"/>
    <s v="&lt;null&gt;"/>
    <x v="0"/>
    <s v="&lt;null&gt;"/>
    <s v="&lt;null&gt;"/>
    <s v="&lt;null&gt;"/>
    <s v="&lt;null&gt;"/>
    <n v="1"/>
    <s v="&lt;null&gt;"/>
    <s v="&lt;null&gt;"/>
    <s v="&lt;null&gt;"/>
    <s v="&lt;null&gt;"/>
    <m/>
    <m/>
    <m/>
    <m/>
  </r>
  <r>
    <x v="18"/>
    <x v="18"/>
    <s v="&lt;null&gt;"/>
    <x v="3"/>
    <n v="3424"/>
    <s v="IN/002487"/>
    <s v="N211 - Heraanleg Merchtemsesteenweg MEI MER"/>
    <s v="&lt;null&gt;"/>
    <s v="Structurele Ingreep"/>
    <s v="WVB/INV/N211/1"/>
    <b v="0"/>
    <s v="Ingreep wordt niet opgevolgd in BOD"/>
    <s v="&lt;null&gt;"/>
    <s v="&lt;null&gt;"/>
    <s v="&lt;null&gt;"/>
    <s v="&lt;null&gt;"/>
    <s v="&lt;null&gt;"/>
    <x v="0"/>
    <s v="&lt;null&gt;"/>
    <s v="&lt;null&gt;"/>
    <s v="&lt;null&gt;"/>
    <s v="&lt;null&gt;"/>
    <s v="&lt;null&gt;"/>
    <s v="&lt;null&gt;"/>
    <s v="&lt;null&gt;"/>
    <s v="&lt;null&gt;"/>
    <s v="&lt;null&gt;"/>
    <m/>
    <m/>
    <m/>
    <m/>
  </r>
  <r>
    <x v="18"/>
    <x v="18"/>
    <s v="&lt;null&gt;"/>
    <x v="3"/>
    <n v="3425"/>
    <s v="IN/002488"/>
    <s v="N235 - Herinrichting kruispunt Brouwerijstraat"/>
    <s v="&lt;null&gt;"/>
    <s v="Structurele Ingreep"/>
    <s v="WVB/INV/N235/3"/>
    <b v="0"/>
    <s v="Ingreep wordt niet opgevolgd in BOD"/>
    <s v="&lt;null&gt;"/>
    <s v="&lt;null&gt;"/>
    <s v="&lt;null&gt;"/>
    <s v="&lt;null&gt;"/>
    <s v="&lt;null&gt;"/>
    <x v="0"/>
    <s v="&lt;null&gt;"/>
    <s v="&lt;null&gt;"/>
    <s v="&lt;null&gt;"/>
    <s v="&lt;null&gt;"/>
    <s v="&lt;null&gt;"/>
    <s v="&lt;null&gt;"/>
    <s v="&lt;null&gt;"/>
    <s v="&lt;null&gt;"/>
    <s v="&lt;null&gt;"/>
    <m/>
    <m/>
    <m/>
    <m/>
  </r>
  <r>
    <x v="189"/>
    <x v="189"/>
    <s v="Fiets"/>
    <x v="0"/>
    <n v="3426"/>
    <s v="IN/002489"/>
    <s v="N5 - Heraanleg Waterlosesteenweg"/>
    <s v="&lt;null&gt;"/>
    <s v="Structurele Ingreep"/>
    <s v="WVB/INV/N5/1"/>
    <b v="0"/>
    <s v="Ingreep wordt niet opgevolgd in BOD"/>
    <s v="&lt;null&gt;"/>
    <s v="&lt;null&gt;"/>
    <s v="&lt;null&gt;"/>
    <s v="&lt;null&gt;"/>
    <s v="&lt;null&gt;"/>
    <x v="0"/>
    <s v="&lt;null&gt;"/>
    <s v="&lt;null&gt;"/>
    <s v="&lt;null&gt;"/>
    <s v="&lt;null&gt;"/>
    <n v="10"/>
    <s v="&lt;null&gt;"/>
    <s v="&lt;null&gt;"/>
    <s v="&lt;null&gt;"/>
    <s v="&lt;null&gt;"/>
    <m/>
    <m/>
    <m/>
    <m/>
  </r>
  <r>
    <x v="1628"/>
    <x v="1628"/>
    <s v="Stimuleren Combimobiliteit"/>
    <x v="2"/>
    <n v="3426"/>
    <s v="IN/002489"/>
    <s v="N5 - Heraanleg Waterlosesteenweg"/>
    <s v="&lt;null&gt;"/>
    <s v="Structurele Ingreep"/>
    <s v="WVB/INV/N5/1"/>
    <b v="0"/>
    <s v="Ingreep wordt niet opgevolgd in BOD"/>
    <s v="&lt;null&gt;"/>
    <s v="&lt;null&gt;"/>
    <s v="&lt;null&gt;"/>
    <s v="&lt;null&gt;"/>
    <s v="&lt;null&gt;"/>
    <x v="0"/>
    <s v="&lt;null&gt;"/>
    <s v="&lt;null&gt;"/>
    <s v="&lt;null&gt;"/>
    <s v="&lt;null&gt;"/>
    <n v="1"/>
    <s v="&lt;null&gt;"/>
    <s v="&lt;null&gt;"/>
    <s v="&lt;null&gt;"/>
    <s v="&lt;null&gt;"/>
    <m/>
    <m/>
    <m/>
    <m/>
  </r>
  <r>
    <x v="1629"/>
    <x v="1629"/>
    <s v="Stimuleren Combimobiliteit"/>
    <x v="7"/>
    <n v="3427"/>
    <s v="IN/002490"/>
    <s v="N411 Aalst Moorselbaan str. onderhoud bij m13"/>
    <s v="&lt;null&gt;"/>
    <s v="Structurele Ingreep"/>
    <s v="WOV/INV/N411/1"/>
    <b v="0"/>
    <s v="Ingreep wordt niet opgevolgd in BOD"/>
    <s v="&lt;null&gt;"/>
    <s v="&lt;null&gt;"/>
    <s v="&lt;null&gt;"/>
    <s v="&lt;null&gt;"/>
    <s v="&lt;null&gt;"/>
    <x v="0"/>
    <s v="&lt;null&gt;"/>
    <s v="&lt;null&gt;"/>
    <s v="&lt;null&gt;"/>
    <s v="&lt;null&gt;"/>
    <n v="2"/>
    <s v="&lt;null&gt;"/>
    <s v="&lt;null&gt;"/>
    <s v="&lt;null&gt;"/>
    <s v="&lt;null&gt;"/>
    <m/>
    <m/>
    <m/>
    <m/>
  </r>
  <r>
    <x v="1630"/>
    <x v="1630"/>
    <s v="Verkeersveiligheid"/>
    <x v="1"/>
    <n v="3427"/>
    <s v="IN/002490"/>
    <s v="N411 Aalst Moorselbaan str. onderhoud bij m13"/>
    <s v="&lt;null&gt;"/>
    <s v="Structurele Ingreep"/>
    <s v="WOV/INV/N411/1"/>
    <b v="0"/>
    <s v="Ingreep wordt niet opgevolgd in BOD"/>
    <s v="&lt;null&gt;"/>
    <s v="&lt;null&gt;"/>
    <s v="&lt;null&gt;"/>
    <s v="&lt;null&gt;"/>
    <s v="&lt;null&gt;"/>
    <x v="0"/>
    <s v="&lt;null&gt;"/>
    <s v="&lt;null&gt;"/>
    <s v="&lt;null&gt;"/>
    <s v="&lt;null&gt;"/>
    <n v="1"/>
    <s v="&lt;null&gt;"/>
    <s v="&lt;null&gt;"/>
    <s v="&lt;null&gt;"/>
    <s v="&lt;null&gt;"/>
    <m/>
    <m/>
    <m/>
    <m/>
  </r>
  <r>
    <x v="96"/>
    <x v="96"/>
    <s v="Fiets"/>
    <x v="0"/>
    <n v="3430"/>
    <s v="IN/002493"/>
    <s v="N8 - Verbinding fietspad Schepdaal"/>
    <s v="&lt;null&gt;"/>
    <s v="Structurele Ingreep"/>
    <s v="WVB/INV/N8/2"/>
    <b v="0"/>
    <s v="Ingreep wordt niet opgevolgd in BOD"/>
    <s v="&lt;null&gt;"/>
    <s v="&lt;null&gt;"/>
    <s v="&lt;null&gt;"/>
    <s v="&lt;null&gt;"/>
    <s v="&lt;null&gt;"/>
    <x v="0"/>
    <s v="&lt;null&gt;"/>
    <s v="&lt;null&gt;"/>
    <s v="&lt;null&gt;"/>
    <s v="&lt;null&gt;"/>
    <n v="100"/>
    <s v="&lt;null&gt;"/>
    <s v="&lt;null&gt;"/>
    <s v="&lt;null&gt;"/>
    <s v="&lt;null&gt;"/>
    <m/>
    <m/>
    <m/>
    <m/>
  </r>
  <r>
    <x v="18"/>
    <x v="18"/>
    <s v="&lt;null&gt;"/>
    <x v="3"/>
    <n v="3431"/>
    <s v="IN/002494"/>
    <s v="N226 - Kraainem - aanleg fietspaden"/>
    <s v="&lt;null&gt;"/>
    <s v="Structurele Ingreep"/>
    <s v="WVB/INV/N226/2"/>
    <b v="0"/>
    <s v="Ingreep wordt niet opgevolgd in BOD"/>
    <s v="&lt;null&gt;"/>
    <s v="&lt;null&gt;"/>
    <s v="&lt;null&gt;"/>
    <s v="&lt;null&gt;"/>
    <s v="&lt;null&gt;"/>
    <x v="0"/>
    <s v="&lt;null&gt;"/>
    <s v="&lt;null&gt;"/>
    <s v="&lt;null&gt;"/>
    <s v="&lt;null&gt;"/>
    <s v="&lt;null&gt;"/>
    <s v="&lt;null&gt;"/>
    <s v="&lt;null&gt;"/>
    <s v="&lt;null&gt;"/>
    <s v="&lt;null&gt;"/>
    <m/>
    <m/>
    <m/>
    <m/>
  </r>
  <r>
    <x v="18"/>
    <x v="18"/>
    <s v="&lt;null&gt;"/>
    <x v="3"/>
    <n v="3432"/>
    <s v="IN/002495"/>
    <s v="N21 - Boortmeerbeek: heraanleg ifv module 10/13"/>
    <s v="&lt;null&gt;"/>
    <s v="Structurele Ingreep"/>
    <s v="WVB/INV/N21/14"/>
    <b v="0"/>
    <s v="Ingreep wordt niet opgevolgd in BOD"/>
    <s v="&lt;null&gt;"/>
    <s v="&lt;null&gt;"/>
    <s v="&lt;null&gt;"/>
    <s v="&lt;null&gt;"/>
    <s v="&lt;null&gt;"/>
    <x v="0"/>
    <s v="&lt;null&gt;"/>
    <s v="&lt;null&gt;"/>
    <s v="&lt;null&gt;"/>
    <s v="&lt;null&gt;"/>
    <s v="&lt;null&gt;"/>
    <s v="&lt;null&gt;"/>
    <s v="&lt;null&gt;"/>
    <s v="&lt;null&gt;"/>
    <s v="&lt;null&gt;"/>
    <m/>
    <m/>
    <m/>
    <m/>
  </r>
  <r>
    <x v="129"/>
    <x v="129"/>
    <s v="Fiets"/>
    <x v="0"/>
    <n v="3433"/>
    <s v="IN/002496"/>
    <s v="N290 - Wemmel: heraanleg fietspaden"/>
    <s v="&lt;null&gt;"/>
    <s v="Structurele Ingreep"/>
    <s v="WVB/INV/N290/3"/>
    <b v="0"/>
    <s v="Ingreep wordt niet opgevolgd in BOD"/>
    <s v="&lt;null&gt;"/>
    <s v="&lt;null&gt;"/>
    <s v="&lt;null&gt;"/>
    <s v="&lt;null&gt;"/>
    <s v="&lt;null&gt;"/>
    <x v="0"/>
    <s v="&lt;null&gt;"/>
    <s v="&lt;null&gt;"/>
    <s v="&lt;null&gt;"/>
    <s v="&lt;null&gt;"/>
    <n v="60"/>
    <s v="&lt;null&gt;"/>
    <s v="&lt;null&gt;"/>
    <s v="&lt;null&gt;"/>
    <s v="&lt;null&gt;"/>
    <m/>
    <m/>
    <m/>
    <m/>
  </r>
  <r>
    <x v="18"/>
    <x v="18"/>
    <s v="&lt;null&gt;"/>
    <x v="3"/>
    <n v="3434"/>
    <s v="IN/002497"/>
    <s v="N26 - Boortmeerbeek - herinrichting"/>
    <s v="&lt;null&gt;"/>
    <s v="Structurele Ingreep"/>
    <s v="WVB/INV/N26/19"/>
    <b v="0"/>
    <s v="Ingreep wordt niet opgevolgd in BOD"/>
    <s v="&lt;null&gt;"/>
    <s v="&lt;null&gt;"/>
    <s v="&lt;null&gt;"/>
    <s v="&lt;null&gt;"/>
    <s v="&lt;null&gt;"/>
    <x v="0"/>
    <s v="&lt;null&gt;"/>
    <s v="&lt;null&gt;"/>
    <s v="&lt;null&gt;"/>
    <s v="&lt;null&gt;"/>
    <s v="&lt;null&gt;"/>
    <s v="&lt;null&gt;"/>
    <s v="&lt;null&gt;"/>
    <s v="&lt;null&gt;"/>
    <s v="&lt;null&gt;"/>
    <m/>
    <m/>
    <m/>
    <m/>
  </r>
  <r>
    <x v="18"/>
    <x v="18"/>
    <s v="&lt;null&gt;"/>
    <x v="3"/>
    <n v="3435"/>
    <s v="IN/002498"/>
    <s v="N26 - Kampenhout: aanleg fietspaden"/>
    <s v="&lt;null&gt;"/>
    <s v="Structurele Ingreep"/>
    <s v="WVB/INV/N26/20"/>
    <b v="0"/>
    <s v="Ingreep wordt niet opgevolgd in BOD"/>
    <s v="&lt;null&gt;"/>
    <s v="&lt;null&gt;"/>
    <s v="&lt;null&gt;"/>
    <s v="&lt;null&gt;"/>
    <s v="&lt;null&gt;"/>
    <x v="0"/>
    <s v="&lt;null&gt;"/>
    <s v="&lt;null&gt;"/>
    <s v="&lt;null&gt;"/>
    <s v="&lt;null&gt;"/>
    <s v="&lt;null&gt;"/>
    <s v="&lt;null&gt;"/>
    <s v="&lt;null&gt;"/>
    <s v="&lt;null&gt;"/>
    <s v="&lt;null&gt;"/>
    <m/>
    <m/>
    <m/>
    <m/>
  </r>
  <r>
    <x v="18"/>
    <x v="18"/>
    <s v="&lt;null&gt;"/>
    <x v="3"/>
    <n v="3436"/>
    <s v="IN/002499"/>
    <s v="N9 Bredene - Kruispunt Blauwe Sluis/Esperantolaan"/>
    <s v="&lt;null&gt;"/>
    <s v="Structurele Ingreep"/>
    <s v="WWV/INV/N9/1"/>
    <b v="0"/>
    <s v="Ingreep wordt niet opgevolgd in BOD"/>
    <s v="&lt;null&gt;"/>
    <s v="&lt;null&gt;"/>
    <s v="&lt;null&gt;"/>
    <s v="&lt;null&gt;"/>
    <s v="&lt;null&gt;"/>
    <x v="0"/>
    <s v="&lt;null&gt;"/>
    <s v="&lt;null&gt;"/>
    <s v="&lt;null&gt;"/>
    <s v="&lt;null&gt;"/>
    <s v="&lt;null&gt;"/>
    <s v="&lt;null&gt;"/>
    <s v="&lt;null&gt;"/>
    <s v="&lt;null&gt;"/>
    <s v="&lt;null&gt;"/>
    <m/>
    <m/>
    <m/>
    <m/>
  </r>
  <r>
    <x v="18"/>
    <x v="18"/>
    <s v="&lt;null&gt;"/>
    <x v="3"/>
    <n v="3437"/>
    <s v="IN/002500"/>
    <s v="N305 Dentergem: aanleg fietspaden"/>
    <s v="&lt;null&gt;"/>
    <s v="Structurele Ingreep"/>
    <s v="WWV/INV/N305/2"/>
    <b v="0"/>
    <s v="Ingreep wordt niet opgevolgd in BOD"/>
    <s v="&lt;null&gt;"/>
    <s v="&lt;null&gt;"/>
    <s v="&lt;null&gt;"/>
    <s v="&lt;null&gt;"/>
    <s v="&lt;null&gt;"/>
    <x v="0"/>
    <s v="&lt;null&gt;"/>
    <s v="&lt;null&gt;"/>
    <s v="&lt;null&gt;"/>
    <s v="&lt;null&gt;"/>
    <s v="&lt;null&gt;"/>
    <s v="&lt;null&gt;"/>
    <s v="&lt;null&gt;"/>
    <s v="&lt;null&gt;"/>
    <s v="&lt;null&gt;"/>
    <m/>
    <m/>
    <m/>
    <m/>
  </r>
  <r>
    <x v="18"/>
    <x v="18"/>
    <s v="&lt;null&gt;"/>
    <x v="3"/>
    <n v="3438"/>
    <s v="IN/002501"/>
    <s v="N357 Oostrozebeke - Ingelmunster: herinrichting"/>
    <s v="&lt;null&gt;"/>
    <s v="Structurele Ingreep"/>
    <s v="WWV/INV/N357/11"/>
    <b v="0"/>
    <s v="Ingreep wordt niet opgevolgd in BOD"/>
    <s v="&lt;null&gt;"/>
    <s v="&lt;null&gt;"/>
    <s v="&lt;null&gt;"/>
    <s v="&lt;null&gt;"/>
    <s v="&lt;null&gt;"/>
    <x v="0"/>
    <s v="&lt;null&gt;"/>
    <s v="&lt;null&gt;"/>
    <s v="&lt;null&gt;"/>
    <s v="&lt;null&gt;"/>
    <s v="&lt;null&gt;"/>
    <s v="&lt;null&gt;"/>
    <s v="&lt;null&gt;"/>
    <s v="&lt;null&gt;"/>
    <s v="&lt;null&gt;"/>
    <m/>
    <m/>
    <m/>
    <m/>
  </r>
  <r>
    <x v="18"/>
    <x v="18"/>
    <s v="&lt;null&gt;"/>
    <x v="3"/>
    <n v="3442"/>
    <s v="IN/002505"/>
    <s v="Debietmeters KEN CRA RUP TYS WAA"/>
    <s v="&lt;null&gt;"/>
    <s v="Structurele Ingreep"/>
    <s v="WA/INV/KEN/7"/>
    <b v="0"/>
    <s v="Ingreep wordt niet opgevolgd in BOD"/>
    <s v="&lt;null&gt;"/>
    <s v="&lt;null&gt;"/>
    <s v="&lt;null&gt;"/>
    <s v="&lt;null&gt;"/>
    <s v="&lt;null&gt;"/>
    <x v="0"/>
    <s v="&lt;null&gt;"/>
    <s v="&lt;null&gt;"/>
    <s v="&lt;null&gt;"/>
    <s v="&lt;null&gt;"/>
    <s v="&lt;null&gt;"/>
    <s v="&lt;null&gt;"/>
    <s v="&lt;null&gt;"/>
    <s v="&lt;null&gt;"/>
    <s v="&lt;null&gt;"/>
    <m/>
    <m/>
    <m/>
    <m/>
  </r>
  <r>
    <x v="18"/>
    <x v="18"/>
    <s v="&lt;null&gt;"/>
    <x v="3"/>
    <n v="3443"/>
    <s v="IN/002506"/>
    <s v="structureel onderhoud E313 van R1 tot Wommelgem"/>
    <s v="&lt;null&gt;"/>
    <s v="Structurele Ingreep"/>
    <s v="WA/INV/A13/7"/>
    <b v="0"/>
    <s v="Ingreep wordt niet opgevolgd in BOD"/>
    <s v="&lt;null&gt;"/>
    <s v="&lt;null&gt;"/>
    <s v="&lt;null&gt;"/>
    <s v="&lt;null&gt;"/>
    <s v="&lt;null&gt;"/>
    <x v="0"/>
    <s v="&lt;null&gt;"/>
    <s v="&lt;null&gt;"/>
    <s v="&lt;null&gt;"/>
    <s v="&lt;null&gt;"/>
    <s v="&lt;null&gt;"/>
    <s v="&lt;null&gt;"/>
    <s v="&lt;null&gt;"/>
    <s v="&lt;null&gt;"/>
    <s v="&lt;null&gt;"/>
    <m/>
    <m/>
    <m/>
    <m/>
  </r>
  <r>
    <x v="18"/>
    <x v="18"/>
    <s v="&lt;null&gt;"/>
    <x v="3"/>
    <n v="3444"/>
    <s v="IN/002507"/>
    <s v="A1 Mechelen Ecotunnels en ecoduikers VAPEO"/>
    <s v="&lt;null&gt;"/>
    <s v="Structurele Ingreep"/>
    <s v="WA/INV/A001/4"/>
    <b v="0"/>
    <s v="Ingreep wordt niet opgevolgd in BOD"/>
    <s v="&lt;null&gt;"/>
    <s v="&lt;null&gt;"/>
    <s v="&lt;null&gt;"/>
    <s v="&lt;null&gt;"/>
    <s v="&lt;null&gt;"/>
    <x v="0"/>
    <s v="&lt;null&gt;"/>
    <s v="&lt;null&gt;"/>
    <s v="&lt;null&gt;"/>
    <s v="&lt;null&gt;"/>
    <s v="&lt;null&gt;"/>
    <s v="&lt;null&gt;"/>
    <s v="&lt;null&gt;"/>
    <s v="&lt;null&gt;"/>
    <s v="&lt;null&gt;"/>
    <m/>
    <m/>
    <m/>
    <m/>
  </r>
  <r>
    <x v="18"/>
    <x v="18"/>
    <s v="&lt;null&gt;"/>
    <x v="3"/>
    <n v="3445"/>
    <s v="IN/002508"/>
    <s v="heraanleg kruispunt N19 x N13 - Punt"/>
    <s v="&lt;null&gt;"/>
    <s v="Structurele Ingreep"/>
    <s v="WA/INV/N019/3"/>
    <b v="0"/>
    <s v="Ingreep wordt niet opgevolgd in BOD"/>
    <s v="&lt;null&gt;"/>
    <s v="&lt;null&gt;"/>
    <s v="&lt;null&gt;"/>
    <s v="&lt;null&gt;"/>
    <s v="&lt;null&gt;"/>
    <x v="0"/>
    <s v="&lt;null&gt;"/>
    <s v="&lt;null&gt;"/>
    <s v="&lt;null&gt;"/>
    <s v="&lt;null&gt;"/>
    <s v="&lt;null&gt;"/>
    <s v="&lt;null&gt;"/>
    <s v="&lt;null&gt;"/>
    <s v="&lt;null&gt;"/>
    <s v="&lt;null&gt;"/>
    <m/>
    <m/>
    <m/>
    <m/>
  </r>
  <r>
    <x v="18"/>
    <x v="18"/>
    <s v="&lt;null&gt;"/>
    <x v="3"/>
    <n v="3446"/>
    <s v="IN/002509"/>
    <s v="N102 - Meerhout - aanleg vrijliggende fietspaden"/>
    <s v="&lt;null&gt;"/>
    <s v="Structurele Ingreep"/>
    <s v="WA/INV/N102/1"/>
    <b v="0"/>
    <s v="Ingreep wordt niet opgevolgd in BOD"/>
    <s v="&lt;null&gt;"/>
    <s v="&lt;null&gt;"/>
    <s v="&lt;null&gt;"/>
    <s v="&lt;null&gt;"/>
    <s v="&lt;null&gt;"/>
    <x v="0"/>
    <s v="&lt;null&gt;"/>
    <s v="&lt;null&gt;"/>
    <s v="&lt;null&gt;"/>
    <s v="&lt;null&gt;"/>
    <s v="&lt;null&gt;"/>
    <s v="&lt;null&gt;"/>
    <s v="&lt;null&gt;"/>
    <s v="&lt;null&gt;"/>
    <s v="&lt;null&gt;"/>
    <m/>
    <m/>
    <m/>
    <m/>
  </r>
  <r>
    <x v="18"/>
    <x v="18"/>
    <s v="&lt;null&gt;"/>
    <x v="3"/>
    <n v="3447"/>
    <s v="IN/002510"/>
    <s v="N118 - Aanleg vrijliggend fietspad en fp op brug"/>
    <s v="&lt;null&gt;"/>
    <s v="Structurele Ingreep"/>
    <s v="WA/INV/N118/5"/>
    <b v="0"/>
    <s v="Ingreep wordt niet opgevolgd in BOD"/>
    <s v="&lt;null&gt;"/>
    <s v="&lt;null&gt;"/>
    <s v="&lt;null&gt;"/>
    <s v="&lt;null&gt;"/>
    <s v="&lt;null&gt;"/>
    <x v="0"/>
    <s v="&lt;null&gt;"/>
    <s v="&lt;null&gt;"/>
    <s v="&lt;null&gt;"/>
    <s v="&lt;null&gt;"/>
    <s v="&lt;null&gt;"/>
    <s v="&lt;null&gt;"/>
    <s v="&lt;null&gt;"/>
    <s v="&lt;null&gt;"/>
    <s v="&lt;null&gt;"/>
    <m/>
    <m/>
    <m/>
    <m/>
  </r>
  <r>
    <x v="18"/>
    <x v="18"/>
    <s v="&lt;null&gt;"/>
    <x v="3"/>
    <n v="3448"/>
    <s v="IN/002511"/>
    <s v="N126 - Laakdal-Meerhout - Structureel Onderhoud"/>
    <s v="&lt;null&gt;"/>
    <s v="Structurele Ingreep"/>
    <s v="WA/INV/N126/1"/>
    <b v="0"/>
    <s v="Ingreep wordt niet opgevolgd in BOD"/>
    <s v="&lt;null&gt;"/>
    <s v="&lt;null&gt;"/>
    <s v="&lt;null&gt;"/>
    <s v="&lt;null&gt;"/>
    <s v="&lt;null&gt;"/>
    <x v="0"/>
    <s v="&lt;null&gt;"/>
    <s v="&lt;null&gt;"/>
    <s v="&lt;null&gt;"/>
    <s v="&lt;null&gt;"/>
    <s v="&lt;null&gt;"/>
    <s v="&lt;null&gt;"/>
    <s v="&lt;null&gt;"/>
    <s v="&lt;null&gt;"/>
    <s v="&lt;null&gt;"/>
    <m/>
    <m/>
    <m/>
    <m/>
  </r>
  <r>
    <x v="18"/>
    <x v="18"/>
    <s v="&lt;null&gt;"/>
    <x v="3"/>
    <n v="3449"/>
    <s v="IN/002512"/>
    <s v="A12 Boom Persleiding Aquafin thv Bosbeek"/>
    <s v="&lt;null&gt;"/>
    <s v="Structurele Ingreep"/>
    <s v="WA/INV/A012/2"/>
    <b v="0"/>
    <s v="Ingreep wordt niet opgevolgd in BOD"/>
    <s v="&lt;null&gt;"/>
    <s v="&lt;null&gt;"/>
    <s v="&lt;null&gt;"/>
    <s v="&lt;null&gt;"/>
    <s v="&lt;null&gt;"/>
    <x v="0"/>
    <s v="&lt;null&gt;"/>
    <s v="&lt;null&gt;"/>
    <s v="&lt;null&gt;"/>
    <s v="&lt;null&gt;"/>
    <s v="&lt;null&gt;"/>
    <s v="&lt;null&gt;"/>
    <s v="&lt;null&gt;"/>
    <s v="&lt;null&gt;"/>
    <s v="&lt;null&gt;"/>
    <m/>
    <m/>
    <m/>
    <m/>
  </r>
  <r>
    <x v="18"/>
    <x v="18"/>
    <s v="&lt;null&gt;"/>
    <x v="3"/>
    <n v="3450"/>
    <s v="IN/002513"/>
    <s v="N136 - Mol - Module 13 Postel"/>
    <s v="&lt;null&gt;"/>
    <s v="Structurele Ingreep"/>
    <s v="WA/INV/N136/1"/>
    <b v="0"/>
    <s v="Ingreep wordt niet opgevolgd in BOD"/>
    <s v="&lt;null&gt;"/>
    <s v="&lt;null&gt;"/>
    <s v="&lt;null&gt;"/>
    <s v="&lt;null&gt;"/>
    <s v="&lt;null&gt;"/>
    <x v="0"/>
    <s v="&lt;null&gt;"/>
    <s v="&lt;null&gt;"/>
    <s v="&lt;null&gt;"/>
    <s v="&lt;null&gt;"/>
    <s v="&lt;null&gt;"/>
    <s v="&lt;null&gt;"/>
    <s v="&lt;null&gt;"/>
    <s v="&lt;null&gt;"/>
    <s v="&lt;null&gt;"/>
    <m/>
    <m/>
    <m/>
    <m/>
  </r>
  <r>
    <x v="155"/>
    <x v="155"/>
    <s v="Fiets"/>
    <x v="0"/>
    <n v="3451"/>
    <s v="IN/002514"/>
    <s v="N142 - Geel - Parkeervakken omvormen tot fietspade"/>
    <s v="&lt;null&gt;"/>
    <s v="Structurele Ingreep"/>
    <s v="WA/INV/N142/2"/>
    <b v="0"/>
    <s v="Ingreep wordt niet opgevolgd in BOD"/>
    <s v="&lt;null&gt;"/>
    <s v="&lt;null&gt;"/>
    <s v="&lt;null&gt;"/>
    <s v="&lt;null&gt;"/>
    <s v="&lt;null&gt;"/>
    <x v="0"/>
    <s v="&lt;null&gt;"/>
    <s v="&lt;null&gt;"/>
    <s v="&lt;null&gt;"/>
    <s v="&lt;null&gt;"/>
    <n v="95"/>
    <s v="&lt;null&gt;"/>
    <s v="&lt;null&gt;"/>
    <s v="&lt;null&gt;"/>
    <s v="&lt;null&gt;"/>
    <m/>
    <m/>
    <m/>
    <m/>
  </r>
  <r>
    <x v="1631"/>
    <x v="1631"/>
    <s v="Stimuleren Combimobiliteit"/>
    <x v="2"/>
    <n v="3451"/>
    <s v="IN/002514"/>
    <s v="N142 - Geel - Parkeervakken omvormen tot fietspade"/>
    <s v="&lt;null&gt;"/>
    <s v="Structurele Ingreep"/>
    <s v="WA/INV/N142/2"/>
    <b v="0"/>
    <s v="Ingreep wordt niet opgevolgd in BOD"/>
    <s v="&lt;null&gt;"/>
    <s v="&lt;null&gt;"/>
    <s v="&lt;null&gt;"/>
    <s v="&lt;null&gt;"/>
    <s v="&lt;null&gt;"/>
    <x v="0"/>
    <s v="&lt;null&gt;"/>
    <s v="&lt;null&gt;"/>
    <s v="&lt;null&gt;"/>
    <s v="&lt;null&gt;"/>
    <n v="5"/>
    <s v="&lt;null&gt;"/>
    <s v="&lt;null&gt;"/>
    <s v="&lt;null&gt;"/>
    <s v="&lt;null&gt;"/>
    <m/>
    <m/>
    <m/>
    <m/>
  </r>
  <r>
    <x v="18"/>
    <x v="18"/>
    <s v="&lt;null&gt;"/>
    <x v="3"/>
    <n v="3452"/>
    <s v="IN/002515"/>
    <s v="N15 HODB Oostelijke rondweg"/>
    <s v="&lt;null&gt;"/>
    <s v="Structurele Ingreep"/>
    <s v="WA/INV/N015/2"/>
    <b v="0"/>
    <s v="Ingreep wordt niet opgevolgd in BOD"/>
    <s v="&lt;null&gt;"/>
    <s v="&lt;null&gt;"/>
    <s v="&lt;null&gt;"/>
    <s v="&lt;null&gt;"/>
    <s v="&lt;null&gt;"/>
    <x v="0"/>
    <s v="&lt;null&gt;"/>
    <s v="&lt;null&gt;"/>
    <s v="&lt;null&gt;"/>
    <s v="&lt;null&gt;"/>
    <s v="&lt;null&gt;"/>
    <s v="&lt;null&gt;"/>
    <s v="&lt;null&gt;"/>
    <s v="&lt;null&gt;"/>
    <s v="&lt;null&gt;"/>
    <m/>
    <m/>
    <m/>
    <m/>
  </r>
  <r>
    <x v="18"/>
    <x v="18"/>
    <s v="&lt;null&gt;"/>
    <x v="3"/>
    <n v="3453"/>
    <s v="IN/002516"/>
    <s v="R12 Mechelen onsluiting keerdok- en eandissite"/>
    <s v="&lt;null&gt;"/>
    <s v="Structurele Ingreep"/>
    <s v="WA/INV/N16/2"/>
    <b v="0"/>
    <s v="Ingreep wordt niet opgevolgd in BOD"/>
    <s v="&lt;null&gt;"/>
    <s v="&lt;null&gt;"/>
    <s v="&lt;null&gt;"/>
    <s v="&lt;null&gt;"/>
    <s v="&lt;null&gt;"/>
    <x v="0"/>
    <s v="&lt;null&gt;"/>
    <s v="&lt;null&gt;"/>
    <s v="&lt;null&gt;"/>
    <s v="&lt;null&gt;"/>
    <s v="&lt;null&gt;"/>
    <s v="&lt;null&gt;"/>
    <s v="&lt;null&gt;"/>
    <s v="&lt;null&gt;"/>
    <s v="&lt;null&gt;"/>
    <m/>
    <m/>
    <m/>
    <m/>
  </r>
  <r>
    <x v="18"/>
    <x v="18"/>
    <s v="&lt;null&gt;"/>
    <x v="3"/>
    <n v="3454"/>
    <s v="IN/002517"/>
    <s v="N10 Berlaar Ontsluiting De Hutten"/>
    <s v="&lt;null&gt;"/>
    <s v="Structurele Ingreep"/>
    <s v="WA/INV/N10/2"/>
    <b v="0"/>
    <s v="Ingreep wordt niet opgevolgd in BOD"/>
    <s v="&lt;null&gt;"/>
    <s v="&lt;null&gt;"/>
    <s v="&lt;null&gt;"/>
    <s v="&lt;null&gt;"/>
    <s v="&lt;null&gt;"/>
    <x v="0"/>
    <s v="&lt;null&gt;"/>
    <s v="&lt;null&gt;"/>
    <s v="&lt;null&gt;"/>
    <s v="&lt;null&gt;"/>
    <s v="&lt;null&gt;"/>
    <s v="&lt;null&gt;"/>
    <s v="&lt;null&gt;"/>
    <s v="&lt;null&gt;"/>
    <s v="&lt;null&gt;"/>
    <m/>
    <m/>
    <m/>
    <m/>
  </r>
  <r>
    <x v="18"/>
    <x v="18"/>
    <s v="&lt;null&gt;"/>
    <x v="3"/>
    <n v="3455"/>
    <s v="IN/002518"/>
    <s v="N15 - Hulshout - Structureel onderhoud"/>
    <s v="&lt;null&gt;"/>
    <s v="Structurele Ingreep"/>
    <s v="WA/INV/N15/4"/>
    <b v="0"/>
    <s v="Ingreep wordt niet opgevolgd in BOD"/>
    <s v="&lt;null&gt;"/>
    <s v="&lt;null&gt;"/>
    <s v="&lt;null&gt;"/>
    <s v="&lt;null&gt;"/>
    <s v="&lt;null&gt;"/>
    <x v="0"/>
    <s v="&lt;null&gt;"/>
    <s v="&lt;null&gt;"/>
    <s v="&lt;null&gt;"/>
    <s v="&lt;null&gt;"/>
    <s v="&lt;null&gt;"/>
    <s v="&lt;null&gt;"/>
    <s v="&lt;null&gt;"/>
    <s v="&lt;null&gt;"/>
    <s v="&lt;null&gt;"/>
    <m/>
    <m/>
    <m/>
    <m/>
  </r>
  <r>
    <x v="18"/>
    <x v="18"/>
    <s v="&lt;null&gt;"/>
    <x v="3"/>
    <n v="3456"/>
    <s v="IN/002519"/>
    <s v="N227 Mechelen Herinrichting Jubellaan miv fietspad"/>
    <s v="&lt;null&gt;"/>
    <s v="Structurele Ingreep"/>
    <s v="WA/INV/N227/1"/>
    <b v="0"/>
    <s v="Ingreep wordt niet opgevolgd in BOD"/>
    <s v="&lt;null&gt;"/>
    <s v="&lt;null&gt;"/>
    <s v="&lt;null&gt;"/>
    <s v="&lt;null&gt;"/>
    <s v="&lt;null&gt;"/>
    <x v="0"/>
    <s v="&lt;null&gt;"/>
    <s v="&lt;null&gt;"/>
    <s v="&lt;null&gt;"/>
    <s v="&lt;null&gt;"/>
    <s v="&lt;null&gt;"/>
    <s v="&lt;null&gt;"/>
    <s v="&lt;null&gt;"/>
    <s v="&lt;null&gt;"/>
    <s v="&lt;null&gt;"/>
    <m/>
    <m/>
    <m/>
    <m/>
  </r>
  <r>
    <x v="70"/>
    <x v="70"/>
    <s v="Fiets"/>
    <x v="0"/>
    <n v="3457"/>
    <s v="IN/002520"/>
    <s v="N171 Kontich Fietstunnel Sint-Rita"/>
    <s v="&lt;null&gt;"/>
    <s v="Structurele Ingreep"/>
    <s v="WA/INV/N171/2"/>
    <b v="0"/>
    <s v="Ingreep wordt niet opgevolgd in BOD"/>
    <s v="&lt;null&gt;"/>
    <s v="&lt;null&gt;"/>
    <s v="&lt;null&gt;"/>
    <s v="&lt;null&gt;"/>
    <s v="&lt;null&gt;"/>
    <x v="0"/>
    <s v="&lt;null&gt;"/>
    <s v="&lt;null&gt;"/>
    <s v="&lt;null&gt;"/>
    <s v="&lt;null&gt;"/>
    <n v="75"/>
    <s v="&lt;null&gt;"/>
    <s v="&lt;null&gt;"/>
    <s v="&lt;null&gt;"/>
    <s v="&lt;null&gt;"/>
    <m/>
    <m/>
    <m/>
    <m/>
  </r>
  <r>
    <x v="484"/>
    <x v="484"/>
    <s v="Verkeersveiligheid"/>
    <x v="1"/>
    <n v="3457"/>
    <s v="IN/002520"/>
    <s v="N171 Kontich Fietstunnel Sint-Rita"/>
    <s v="&lt;null&gt;"/>
    <s v="Structurele Ingreep"/>
    <s v="WA/INV/N171/2"/>
    <b v="0"/>
    <s v="Ingreep wordt niet opgevolgd in BOD"/>
    <s v="&lt;null&gt;"/>
    <s v="&lt;null&gt;"/>
    <s v="&lt;null&gt;"/>
    <s v="&lt;null&gt;"/>
    <s v="&lt;null&gt;"/>
    <x v="0"/>
    <s v="&lt;null&gt;"/>
    <s v="&lt;null&gt;"/>
    <s v="&lt;null&gt;"/>
    <s v="&lt;null&gt;"/>
    <n v="25"/>
    <s v="&lt;null&gt;"/>
    <s v="&lt;null&gt;"/>
    <s v="&lt;null&gt;"/>
    <s v="&lt;null&gt;"/>
    <m/>
    <m/>
    <m/>
    <m/>
  </r>
  <r>
    <x v="18"/>
    <x v="18"/>
    <s v="&lt;null&gt;"/>
    <x v="3"/>
    <n v="3458"/>
    <s v="IN/002521"/>
    <s v="X10/N153/21 Lille - Herentals Mod 13"/>
    <s v="&lt;null&gt;"/>
    <s v="Structurele Ingreep"/>
    <s v="WA/INV/N153/4"/>
    <b v="0"/>
    <s v="Ingreep wordt niet opgevolgd in BOD"/>
    <s v="&lt;null&gt;"/>
    <s v="&lt;null&gt;"/>
    <s v="&lt;null&gt;"/>
    <s v="&lt;null&gt;"/>
    <s v="&lt;null&gt;"/>
    <x v="0"/>
    <s v="&lt;null&gt;"/>
    <s v="&lt;null&gt;"/>
    <s v="&lt;null&gt;"/>
    <s v="&lt;null&gt;"/>
    <s v="&lt;null&gt;"/>
    <s v="&lt;null&gt;"/>
    <s v="&lt;null&gt;"/>
    <s v="&lt;null&gt;"/>
    <s v="&lt;null&gt;"/>
    <m/>
    <m/>
    <m/>
    <m/>
  </r>
  <r>
    <x v="1632"/>
    <x v="1632"/>
    <s v="Verkeersveiligheid"/>
    <x v="4"/>
    <n v="3459"/>
    <s v="IN/002522"/>
    <s v="Zaventem N2 x Wezembeekstraat"/>
    <s v="Aanpassen VRI geregeld kruispunt voor oversteek van fietsers.\nEventueel bushaltes vlakbij dit kruispunt mee aanpakken?"/>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3460"/>
    <s v="IN/002523"/>
    <s v="R16 - LIER - 11 Fiestostrade Antwerpen-Lier"/>
    <s v="&lt;null&gt;"/>
    <s v="Structurele Ingreep"/>
    <s v="WA/INV/R16/4"/>
    <b v="0"/>
    <s v="Ingreep wordt niet opgevolgd in BOD"/>
    <s v="&lt;null&gt;"/>
    <s v="&lt;null&gt;"/>
    <s v="&lt;null&gt;"/>
    <s v="&lt;null&gt;"/>
    <s v="&lt;null&gt;"/>
    <x v="0"/>
    <s v="&lt;null&gt;"/>
    <s v="&lt;null&gt;"/>
    <s v="&lt;null&gt;"/>
    <s v="&lt;null&gt;"/>
    <s v="&lt;null&gt;"/>
    <s v="&lt;null&gt;"/>
    <s v="&lt;null&gt;"/>
    <s v="&lt;null&gt;"/>
    <s v="&lt;null&gt;"/>
    <m/>
    <m/>
    <m/>
    <m/>
  </r>
  <r>
    <x v="18"/>
    <x v="18"/>
    <s v="&lt;null&gt;"/>
    <x v="3"/>
    <n v="3461"/>
    <s v="IN/002524"/>
    <s v="N165 - Fietspaden Noord Laakdal"/>
    <s v="&lt;null&gt;"/>
    <s v="Structurele Ingreep"/>
    <s v="WA/INV/N165/2"/>
    <b v="0"/>
    <s v="Ingreep wordt niet opgevolgd in BOD"/>
    <s v="&lt;null&gt;"/>
    <s v="&lt;null&gt;"/>
    <s v="&lt;null&gt;"/>
    <s v="&lt;null&gt;"/>
    <s v="&lt;null&gt;"/>
    <x v="0"/>
    <s v="&lt;null&gt;"/>
    <s v="&lt;null&gt;"/>
    <s v="&lt;null&gt;"/>
    <s v="&lt;null&gt;"/>
    <s v="&lt;null&gt;"/>
    <s v="&lt;null&gt;"/>
    <s v="&lt;null&gt;"/>
    <s v="&lt;null&gt;"/>
    <s v="&lt;null&gt;"/>
    <m/>
    <m/>
    <m/>
    <m/>
  </r>
  <r>
    <x v="18"/>
    <x v="18"/>
    <s v="&lt;null&gt;"/>
    <x v="3"/>
    <n v="3462"/>
    <s v="IN/002525"/>
    <s v="N156 - Geel - Kruispunten"/>
    <s v="&lt;null&gt;"/>
    <s v="Structurele Ingreep"/>
    <s v="WA/INV/N156/2"/>
    <b v="0"/>
    <s v="Ingreep wordt niet opgevolgd in BOD"/>
    <s v="&lt;null&gt;"/>
    <s v="&lt;null&gt;"/>
    <s v="&lt;null&gt;"/>
    <s v="&lt;null&gt;"/>
    <s v="&lt;null&gt;"/>
    <x v="0"/>
    <s v="&lt;null&gt;"/>
    <s v="&lt;null&gt;"/>
    <s v="&lt;null&gt;"/>
    <s v="&lt;null&gt;"/>
    <s v="&lt;null&gt;"/>
    <s v="&lt;null&gt;"/>
    <s v="&lt;null&gt;"/>
    <s v="&lt;null&gt;"/>
    <s v="&lt;null&gt;"/>
    <m/>
    <m/>
    <m/>
    <m/>
  </r>
  <r>
    <x v="18"/>
    <x v="18"/>
    <s v="&lt;null&gt;"/>
    <x v="3"/>
    <n v="3463"/>
    <s v="IN/002526"/>
    <s v="Omgevingsvergunning Krijgsbaantunnel"/>
    <s v="&lt;null&gt;"/>
    <s v="Structurele Ingreep"/>
    <s v="WA/INV/R11/5"/>
    <b v="0"/>
    <s v="Ingreep wordt niet opgevolgd in BOD"/>
    <s v="&lt;null&gt;"/>
    <s v="&lt;null&gt;"/>
    <s v="&lt;null&gt;"/>
    <s v="&lt;null&gt;"/>
    <s v="&lt;null&gt;"/>
    <x v="0"/>
    <s v="&lt;null&gt;"/>
    <s v="&lt;null&gt;"/>
    <s v="&lt;null&gt;"/>
    <s v="&lt;null&gt;"/>
    <s v="&lt;null&gt;"/>
    <s v="&lt;null&gt;"/>
    <s v="&lt;null&gt;"/>
    <s v="&lt;null&gt;"/>
    <s v="&lt;null&gt;"/>
    <m/>
    <m/>
    <m/>
    <m/>
  </r>
  <r>
    <x v="18"/>
    <x v="18"/>
    <s v="&lt;null&gt;"/>
    <x v="3"/>
    <n v="3464"/>
    <s v="IN/002527"/>
    <s v="A001 - vervangen randbalk O33"/>
    <s v="&lt;null&gt;"/>
    <s v="Structurele Ingreep"/>
    <s v="WA/INV/A001/8"/>
    <b v="0"/>
    <s v="Ingreep wordt niet opgevolgd in BOD"/>
    <s v="&lt;null&gt;"/>
    <s v="&lt;null&gt;"/>
    <s v="&lt;null&gt;"/>
    <s v="&lt;null&gt;"/>
    <s v="&lt;null&gt;"/>
    <x v="0"/>
    <s v="&lt;null&gt;"/>
    <s v="&lt;null&gt;"/>
    <s v="&lt;null&gt;"/>
    <s v="&lt;null&gt;"/>
    <s v="&lt;null&gt;"/>
    <s v="&lt;null&gt;"/>
    <s v="&lt;null&gt;"/>
    <s v="&lt;null&gt;"/>
    <s v="&lt;null&gt;"/>
    <m/>
    <m/>
    <m/>
    <m/>
  </r>
  <r>
    <x v="18"/>
    <x v="18"/>
    <s v="&lt;null&gt;"/>
    <x v="3"/>
    <n v="3465"/>
    <s v="IN/002528"/>
    <s v="N26 Mechelen Structureel onderhoud"/>
    <s v="&lt;null&gt;"/>
    <s v="Structurele Ingreep"/>
    <s v="WA/INV/N26/1"/>
    <b v="0"/>
    <s v="Ingreep wordt niet opgevolgd in BOD"/>
    <s v="&lt;null&gt;"/>
    <s v="&lt;null&gt;"/>
    <s v="&lt;null&gt;"/>
    <s v="&lt;null&gt;"/>
    <s v="&lt;null&gt;"/>
    <x v="0"/>
    <s v="&lt;null&gt;"/>
    <s v="&lt;null&gt;"/>
    <s v="&lt;null&gt;"/>
    <s v="&lt;null&gt;"/>
    <s v="&lt;null&gt;"/>
    <s v="&lt;null&gt;"/>
    <s v="&lt;null&gt;"/>
    <s v="&lt;null&gt;"/>
    <s v="&lt;null&gt;"/>
    <m/>
    <m/>
    <m/>
    <m/>
  </r>
  <r>
    <x v="1633"/>
    <x v="1633"/>
    <s v="Fiets"/>
    <x v="0"/>
    <n v="3466"/>
    <s v="IN/002529"/>
    <s v="N442 herinrichting kruispunt met de Ommeganglaan"/>
    <s v="&lt;null&gt;"/>
    <s v="Structurele Ingreep"/>
    <s v="WOV/INV/N442/2"/>
    <b v="0"/>
    <s v="Ingreep wordt niet opgevolgd in BOD"/>
    <s v="&lt;null&gt;"/>
    <s v="&lt;null&gt;"/>
    <s v="&lt;null&gt;"/>
    <s v="&lt;null&gt;"/>
    <s v="&lt;null&gt;"/>
    <x v="0"/>
    <s v="&lt;null&gt;"/>
    <s v="&lt;null&gt;"/>
    <s v="&lt;null&gt;"/>
    <s v="&lt;null&gt;"/>
    <n v="50"/>
    <s v="&lt;null&gt;"/>
    <s v="&lt;null&gt;"/>
    <s v="&lt;null&gt;"/>
    <s v="&lt;null&gt;"/>
    <m/>
    <m/>
    <m/>
    <m/>
  </r>
  <r>
    <x v="1634"/>
    <x v="1634"/>
    <s v="Verkeersveiligheid"/>
    <x v="1"/>
    <n v="3467"/>
    <s v="IN/002530"/>
    <s v="E19 vanaf Kleine Bareel   afrit tot Horstebaan"/>
    <s v="&lt;null&gt;"/>
    <s v="Structurele Ingreep"/>
    <s v="WA/INV/A1/15"/>
    <b v="0"/>
    <s v="Ingreep wordt niet opgevolgd in BOD"/>
    <s v="&lt;null&gt;"/>
    <s v="&lt;null&gt;"/>
    <s v="&lt;null&gt;"/>
    <s v="&lt;null&gt;"/>
    <s v="&lt;null&gt;"/>
    <x v="0"/>
    <s v="&lt;null&gt;"/>
    <s v="&lt;null&gt;"/>
    <s v="&lt;null&gt;"/>
    <s v="&lt;null&gt;"/>
    <n v="5"/>
    <s v="&lt;null&gt;"/>
    <s v="&lt;null&gt;"/>
    <s v="&lt;null&gt;"/>
    <s v="&lt;null&gt;"/>
    <m/>
    <m/>
    <m/>
    <m/>
  </r>
  <r>
    <x v="1635"/>
    <x v="1635"/>
    <s v="Verkeersveiligheid"/>
    <x v="1"/>
    <n v="3467"/>
    <s v="IN/002530"/>
    <s v="E19 vanaf Kleine Bareel   afrit tot Horstebaan"/>
    <s v="&lt;null&gt;"/>
    <s v="Structurele Ingreep"/>
    <s v="WA/INV/A1/15"/>
    <b v="0"/>
    <s v="Ingreep wordt niet opgevolgd in BOD"/>
    <s v="&lt;null&gt;"/>
    <s v="&lt;null&gt;"/>
    <s v="&lt;null&gt;"/>
    <s v="&lt;null&gt;"/>
    <s v="&lt;null&gt;"/>
    <x v="0"/>
    <s v="&lt;null&gt;"/>
    <s v="&lt;null&gt;"/>
    <s v="&lt;null&gt;"/>
    <s v="&lt;null&gt;"/>
    <n v="5"/>
    <s v="&lt;null&gt;"/>
    <s v="&lt;null&gt;"/>
    <s v="&lt;null&gt;"/>
    <s v="&lt;null&gt;"/>
    <m/>
    <m/>
    <m/>
    <m/>
  </r>
  <r>
    <x v="18"/>
    <x v="18"/>
    <s v="&lt;null&gt;"/>
    <x v="3"/>
    <n v="3468"/>
    <s v="IN/002531"/>
    <s v="renovatie brugdek thv de sporen"/>
    <s v="renovatie brugdek thv de sporen"/>
    <s v="Klein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3469"/>
    <s v="IN/002532"/>
    <s v="N757 Fietstunnel F571 Dilsen Stokkem"/>
    <s v="&lt;null&gt;"/>
    <s v="Structurele Ingreep"/>
    <s v="WL/INV/N757/4"/>
    <b v="0"/>
    <s v="Ingreep wordt niet opgevolgd in BOD"/>
    <s v="&lt;null&gt;"/>
    <s v="&lt;null&gt;"/>
    <s v="&lt;null&gt;"/>
    <s v="&lt;null&gt;"/>
    <s v="&lt;null&gt;"/>
    <x v="0"/>
    <s v="&lt;null&gt;"/>
    <s v="&lt;null&gt;"/>
    <s v="&lt;null&gt;"/>
    <s v="&lt;null&gt;"/>
    <s v="&lt;null&gt;"/>
    <s v="&lt;null&gt;"/>
    <s v="&lt;null&gt;"/>
    <s v="&lt;null&gt;"/>
    <s v="&lt;null&gt;"/>
    <m/>
    <m/>
    <m/>
    <m/>
  </r>
  <r>
    <x v="1636"/>
    <x v="1636"/>
    <s v="Verkeersveiligheid"/>
    <x v="1"/>
    <n v="3470"/>
    <s v="IN/002533"/>
    <s v="Ombouw slimme verkeerslichten volgens actieplan"/>
    <s v="&lt;null&gt;"/>
    <s v="Kleine Ingreep"/>
    <s v="&lt;null&gt;"/>
    <b v="0"/>
    <s v="Ingreep wordt niet opgevolgd in BOD"/>
    <s v="&lt;null&gt;"/>
    <s v="&lt;null&gt;"/>
    <s v="&lt;null&gt;"/>
    <s v="&lt;null&gt;"/>
    <s v="&lt;null&gt;"/>
    <x v="0"/>
    <s v="&lt;null&gt;"/>
    <s v="&lt;null&gt;"/>
    <s v="&lt;null&gt;"/>
    <s v="&lt;null&gt;"/>
    <n v="100"/>
    <s v="&lt;null&gt;"/>
    <s v="&lt;null&gt;"/>
    <s v="&lt;null&gt;"/>
    <s v="&lt;null&gt;"/>
    <m/>
    <m/>
    <m/>
    <m/>
  </r>
  <r>
    <x v="1626"/>
    <x v="1626"/>
    <s v="Verkeersveiligheid"/>
    <x v="1"/>
    <n v="3471"/>
    <s v="IN/002534"/>
    <s v="Optimaliseren lichtenregelingen"/>
    <s v="&lt;null&gt;"/>
    <s v="Kleine Ingreep"/>
    <s v="&lt;null&gt;"/>
    <b v="0"/>
    <s v="Ingreep wordt niet opgevolgd in BOD"/>
    <s v="&lt;null&gt;"/>
    <s v="&lt;null&gt;"/>
    <s v="&lt;null&gt;"/>
    <s v="&lt;null&gt;"/>
    <s v="&lt;null&gt;"/>
    <x v="0"/>
    <s v="&lt;null&gt;"/>
    <s v="&lt;null&gt;"/>
    <s v="&lt;null&gt;"/>
    <s v="&lt;null&gt;"/>
    <n v="100"/>
    <s v="&lt;null&gt;"/>
    <s v="&lt;null&gt;"/>
    <s v="&lt;null&gt;"/>
    <s v="&lt;null&gt;"/>
    <m/>
    <m/>
    <m/>
    <m/>
  </r>
  <r>
    <x v="1637"/>
    <x v="1637"/>
    <s v="Verkeersveiligheid"/>
    <x v="1"/>
    <n v="3472"/>
    <s v="IN/002535"/>
    <s v="Herinrichting kruispunt (trekker stad Genk)"/>
    <s v="Grondige herinrichting van het kruispunt (compacter maken, zijstraten haaks aansluiten, betere oversteekbaarheid voor fietsers/voetgangers)"/>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3473"/>
    <s v="IN/002536"/>
    <s v="regionale ontsluiting kleinstedelijk gebied geel"/>
    <s v="&lt;null&gt;"/>
    <s v="Structurele Ingreep"/>
    <s v="WA/INV/N118/4"/>
    <b v="0"/>
    <s v="Ingreep wordt niet opgevolgd in BOD"/>
    <s v="&lt;null&gt;"/>
    <s v="&lt;null&gt;"/>
    <s v="&lt;null&gt;"/>
    <s v="&lt;null&gt;"/>
    <s v="&lt;null&gt;"/>
    <x v="0"/>
    <s v="&lt;null&gt;"/>
    <s v="&lt;null&gt;"/>
    <s v="&lt;null&gt;"/>
    <s v="&lt;null&gt;"/>
    <s v="&lt;null&gt;"/>
    <s v="&lt;null&gt;"/>
    <s v="&lt;null&gt;"/>
    <s v="&lt;null&gt;"/>
    <s v="&lt;null&gt;"/>
    <m/>
    <m/>
    <m/>
    <m/>
  </r>
  <r>
    <x v="18"/>
    <x v="18"/>
    <s v="&lt;null&gt;"/>
    <x v="3"/>
    <n v="3474"/>
    <s v="IN/002537"/>
    <s v="E313 vernieuwen van de brug O41 in de E313"/>
    <s v="&lt;null&gt;"/>
    <s v="Structurele Ingreep"/>
    <s v="WA/INV/A013/10"/>
    <b v="0"/>
    <s v="Ingreep wordt niet opgevolgd in BOD"/>
    <s v="&lt;null&gt;"/>
    <s v="&lt;null&gt;"/>
    <s v="&lt;null&gt;"/>
    <s v="&lt;null&gt;"/>
    <s v="&lt;null&gt;"/>
    <x v="0"/>
    <s v="&lt;null&gt;"/>
    <s v="&lt;null&gt;"/>
    <s v="&lt;null&gt;"/>
    <s v="&lt;null&gt;"/>
    <s v="&lt;null&gt;"/>
    <s v="&lt;null&gt;"/>
    <s v="&lt;null&gt;"/>
    <s v="&lt;null&gt;"/>
    <s v="&lt;null&gt;"/>
    <m/>
    <m/>
    <m/>
    <m/>
  </r>
  <r>
    <x v="1638"/>
    <x v="1638"/>
    <s v="Verkeersveiligheid"/>
    <x v="1"/>
    <n v="3475"/>
    <s v="IN/002538"/>
    <s v="Zijstraat Genkerhei wordt afgesloten thv N75 (werken door stad Genk)"/>
    <s v="&lt;null&gt;"/>
    <s v="Kleine Ingreep"/>
    <s v="&lt;null&gt;"/>
    <b v="0"/>
    <s v="Ingreep wordt niet opgevolgd in BOD"/>
    <s v="&lt;null&gt;"/>
    <s v="&lt;null&gt;"/>
    <s v="&lt;null&gt;"/>
    <s v="&lt;null&gt;"/>
    <s v="&lt;null&gt;"/>
    <x v="0"/>
    <s v="&lt;null&gt;"/>
    <s v="&lt;null&gt;"/>
    <s v="&lt;null&gt;"/>
    <s v="&lt;null&gt;"/>
    <n v="100"/>
    <s v="&lt;null&gt;"/>
    <s v="&lt;null&gt;"/>
    <s v="&lt;null&gt;"/>
    <s v="&lt;null&gt;"/>
    <m/>
    <m/>
    <m/>
    <m/>
  </r>
  <r>
    <x v="18"/>
    <x v="18"/>
    <s v="&lt;null&gt;"/>
    <x v="3"/>
    <n v="3476"/>
    <s v="IN/002539"/>
    <s v="N13 - wegwerken missing link fp thv spoorwegbrug"/>
    <s v="&lt;null&gt;"/>
    <s v="Structurele Ingreep"/>
    <s v="WA/INV/N13/4"/>
    <b v="0"/>
    <s v="Ingreep wordt niet opgevolgd in BOD"/>
    <s v="&lt;null&gt;"/>
    <s v="&lt;null&gt;"/>
    <s v="&lt;null&gt;"/>
    <s v="&lt;null&gt;"/>
    <s v="&lt;null&gt;"/>
    <x v="0"/>
    <s v="&lt;null&gt;"/>
    <s v="&lt;null&gt;"/>
    <s v="&lt;null&gt;"/>
    <s v="&lt;null&gt;"/>
    <s v="&lt;null&gt;"/>
    <s v="&lt;null&gt;"/>
    <s v="&lt;null&gt;"/>
    <s v="&lt;null&gt;"/>
    <s v="&lt;null&gt;"/>
    <m/>
    <m/>
    <m/>
    <m/>
  </r>
  <r>
    <x v="18"/>
    <x v="18"/>
    <s v="&lt;null&gt;"/>
    <x v="3"/>
    <n v="3477"/>
    <s v="IN/002540"/>
    <s v="X10/N153/31 - Herentals afschaffen overwegen"/>
    <s v="&lt;null&gt;"/>
    <s v="Structurele Ingreep"/>
    <s v="WA/INV/N153/7"/>
    <b v="0"/>
    <s v="Ingreep wordt niet opgevolgd in BOD"/>
    <s v="&lt;null&gt;"/>
    <s v="&lt;null&gt;"/>
    <s v="&lt;null&gt;"/>
    <s v="&lt;null&gt;"/>
    <s v="&lt;null&gt;"/>
    <x v="0"/>
    <s v="&lt;null&gt;"/>
    <s v="&lt;null&gt;"/>
    <s v="&lt;null&gt;"/>
    <s v="&lt;null&gt;"/>
    <s v="&lt;null&gt;"/>
    <s v="&lt;null&gt;"/>
    <s v="&lt;null&gt;"/>
    <s v="&lt;null&gt;"/>
    <s v="&lt;null&gt;"/>
    <m/>
    <m/>
    <m/>
    <m/>
  </r>
  <r>
    <x v="18"/>
    <x v="18"/>
    <s v="&lt;null&gt;"/>
    <x v="3"/>
    <n v="3478"/>
    <s v="IN/002541"/>
    <s v="X10/N212/13"/>
    <s v="&lt;null&gt;"/>
    <s v="Structurele Ingreep"/>
    <s v="WA/INV/N212/1"/>
    <b v="0"/>
    <s v="Ingreep wordt niet opgevolgd in BOD"/>
    <s v="&lt;null&gt;"/>
    <s v="&lt;null&gt;"/>
    <s v="&lt;null&gt;"/>
    <s v="&lt;null&gt;"/>
    <s v="&lt;null&gt;"/>
    <x v="0"/>
    <s v="&lt;null&gt;"/>
    <s v="&lt;null&gt;"/>
    <s v="&lt;null&gt;"/>
    <s v="&lt;null&gt;"/>
    <s v="&lt;null&gt;"/>
    <s v="&lt;null&gt;"/>
    <s v="&lt;null&gt;"/>
    <s v="&lt;null&gt;"/>
    <s v="&lt;null&gt;"/>
    <m/>
    <m/>
    <m/>
    <m/>
  </r>
  <r>
    <x v="18"/>
    <x v="18"/>
    <s v="&lt;null&gt;"/>
    <x v="3"/>
    <n v="3479"/>
    <s v="IN/002542"/>
    <s v="Stalen afdak fietsersingang KEN"/>
    <s v="&lt;null&gt;"/>
    <s v="Structurele Ingreep"/>
    <s v="WA/INV/KEN/6"/>
    <b v="0"/>
    <s v="Ingreep wordt niet opgevolgd in BOD"/>
    <s v="&lt;null&gt;"/>
    <s v="&lt;null&gt;"/>
    <s v="&lt;null&gt;"/>
    <s v="&lt;null&gt;"/>
    <s v="&lt;null&gt;"/>
    <x v="0"/>
    <s v="&lt;null&gt;"/>
    <s v="&lt;null&gt;"/>
    <s v="&lt;null&gt;"/>
    <s v="&lt;null&gt;"/>
    <s v="&lt;null&gt;"/>
    <s v="&lt;null&gt;"/>
    <s v="&lt;null&gt;"/>
    <s v="&lt;null&gt;"/>
    <s v="&lt;null&gt;"/>
    <m/>
    <m/>
    <m/>
    <m/>
  </r>
  <r>
    <x v="18"/>
    <x v="18"/>
    <s v="&lt;null&gt;"/>
    <x v="3"/>
    <n v="3480"/>
    <s v="IN/002543"/>
    <s v="WAA Dakdichting ventillatiegebouw LO"/>
    <s v="&lt;null&gt;"/>
    <s v="Structurele Ingreep"/>
    <s v="WA/INV/WAA/1"/>
    <b v="0"/>
    <s v="Ingreep wordt niet opgevolgd in BOD"/>
    <s v="&lt;null&gt;"/>
    <s v="&lt;null&gt;"/>
    <s v="&lt;null&gt;"/>
    <s v="&lt;null&gt;"/>
    <s v="&lt;null&gt;"/>
    <x v="0"/>
    <s v="&lt;null&gt;"/>
    <s v="&lt;null&gt;"/>
    <s v="&lt;null&gt;"/>
    <s v="&lt;null&gt;"/>
    <s v="&lt;null&gt;"/>
    <s v="&lt;null&gt;"/>
    <s v="&lt;null&gt;"/>
    <s v="&lt;null&gt;"/>
    <s v="&lt;null&gt;"/>
    <m/>
    <m/>
    <m/>
    <m/>
  </r>
  <r>
    <x v="1639"/>
    <x v="1639"/>
    <s v="Stimuleren Combimobiliteit"/>
    <x v="2"/>
    <n v="3481"/>
    <s v="IN/002544"/>
    <s v="N12 SCHILDE Doorstroming busbaan"/>
    <s v="&lt;null&gt;"/>
    <s v="Structurele Ingreep"/>
    <s v="WA/INV/N12/3"/>
    <b v="0"/>
    <s v="Ingreep wordt niet opgevolgd in BOD"/>
    <s v="&lt;null&gt;"/>
    <s v="&lt;null&gt;"/>
    <s v="&lt;null&gt;"/>
    <s v="&lt;null&gt;"/>
    <s v="&lt;null&gt;"/>
    <x v="0"/>
    <s v="&lt;null&gt;"/>
    <s v="&lt;null&gt;"/>
    <s v="&lt;null&gt;"/>
    <s v="&lt;null&gt;"/>
    <n v="0"/>
    <s v="&lt;null&gt;"/>
    <s v="&lt;null&gt;"/>
    <s v="&lt;null&gt;"/>
    <s v="&lt;null&gt;"/>
    <m/>
    <m/>
    <m/>
    <m/>
  </r>
  <r>
    <x v="1640"/>
    <x v="1640"/>
    <s v="Stimuleren Combimobiliteit"/>
    <x v="2"/>
    <n v="3482"/>
    <s v="IN/002545"/>
    <s v="N014 - ZOERSEL Fietspaden Oostmalle"/>
    <s v="&lt;null&gt;"/>
    <s v="Structurele Ingreep"/>
    <s v="WA/INV/N014/2"/>
    <b v="0"/>
    <s v="Ingreep wordt niet opgevolgd in BOD"/>
    <s v="&lt;null&gt;"/>
    <s v="&lt;null&gt;"/>
    <s v="&lt;null&gt;"/>
    <s v="&lt;null&gt;"/>
    <s v="&lt;null&gt;"/>
    <x v="0"/>
    <s v="&lt;null&gt;"/>
    <s v="&lt;null&gt;"/>
    <s v="&lt;null&gt;"/>
    <s v="&lt;null&gt;"/>
    <n v="0"/>
    <s v="&lt;null&gt;"/>
    <s v="&lt;null&gt;"/>
    <s v="&lt;null&gt;"/>
    <s v="&lt;null&gt;"/>
    <m/>
    <m/>
    <m/>
    <m/>
  </r>
  <r>
    <x v="1641"/>
    <x v="1641"/>
    <s v="Verkeersveiligheid"/>
    <x v="1"/>
    <n v="3483"/>
    <s v="IN/002546"/>
    <s v="N11 Ekeren Brasschaat Herinrichting wegvak"/>
    <s v="&lt;null&gt;"/>
    <s v="Structurele Ingreep"/>
    <s v="WA/INV/N11/1"/>
    <b v="0"/>
    <s v="Ingreep wordt niet opgevolgd in BOD"/>
    <s v="&lt;null&gt;"/>
    <s v="&lt;null&gt;"/>
    <s v="&lt;null&gt;"/>
    <s v="&lt;null&gt;"/>
    <s v="&lt;null&gt;"/>
    <x v="0"/>
    <s v="&lt;null&gt;"/>
    <s v="&lt;null&gt;"/>
    <s v="&lt;null&gt;"/>
    <s v="&lt;null&gt;"/>
    <n v="0"/>
    <s v="&lt;null&gt;"/>
    <s v="&lt;null&gt;"/>
    <s v="&lt;null&gt;"/>
    <s v="&lt;null&gt;"/>
    <m/>
    <m/>
    <m/>
    <m/>
  </r>
  <r>
    <x v="1642"/>
    <x v="1642"/>
    <s v="Stimuleren Combimobiliteit"/>
    <x v="2"/>
    <n v="3483"/>
    <s v="IN/002546"/>
    <s v="N11 Ekeren Brasschaat Herinrichting wegvak"/>
    <s v="&lt;null&gt;"/>
    <s v="Structurele Ingreep"/>
    <s v="WA/INV/N11/1"/>
    <b v="0"/>
    <s v="Ingreep wordt niet opgevolgd in BOD"/>
    <s v="&lt;null&gt;"/>
    <s v="&lt;null&gt;"/>
    <s v="&lt;null&gt;"/>
    <s v="&lt;null&gt;"/>
    <s v="&lt;null&gt;"/>
    <x v="0"/>
    <s v="&lt;null&gt;"/>
    <s v="&lt;null&gt;"/>
    <s v="&lt;null&gt;"/>
    <s v="&lt;null&gt;"/>
    <n v="0"/>
    <s v="&lt;null&gt;"/>
    <s v="&lt;null&gt;"/>
    <s v="&lt;null&gt;"/>
    <s v="&lt;null&gt;"/>
    <m/>
    <m/>
    <m/>
    <m/>
  </r>
  <r>
    <x v="1643"/>
    <x v="1643"/>
    <s v="Stimuleren Combimobiliteit"/>
    <x v="2"/>
    <n v="3483"/>
    <s v="IN/002546"/>
    <s v="N11 Ekeren Brasschaat Herinrichting wegvak"/>
    <s v="&lt;null&gt;"/>
    <s v="Structurele Ingreep"/>
    <s v="WA/INV/N11/1"/>
    <b v="0"/>
    <s v="Ingreep wordt niet opgevolgd in BOD"/>
    <s v="&lt;null&gt;"/>
    <s v="&lt;null&gt;"/>
    <s v="&lt;null&gt;"/>
    <s v="&lt;null&gt;"/>
    <s v="&lt;null&gt;"/>
    <x v="0"/>
    <s v="&lt;null&gt;"/>
    <s v="&lt;null&gt;"/>
    <s v="&lt;null&gt;"/>
    <s v="&lt;null&gt;"/>
    <n v="0"/>
    <s v="&lt;null&gt;"/>
    <s v="&lt;null&gt;"/>
    <s v="&lt;null&gt;"/>
    <s v="&lt;null&gt;"/>
    <m/>
    <m/>
    <m/>
    <m/>
  </r>
  <r>
    <x v="1644"/>
    <x v="1644"/>
    <s v="Stimuleren Combimobiliteit"/>
    <x v="2"/>
    <n v="3484"/>
    <s v="IN/002547"/>
    <s v="N403 Heraanleg van de weg"/>
    <s v="&lt;null&gt;"/>
    <s v="Structurele Ingreep"/>
    <s v="WOV/INV/N403/4"/>
    <b v="0"/>
    <s v="Ingreep wordt niet opgevolgd in BOD"/>
    <s v="&lt;null&gt;"/>
    <s v="&lt;null&gt;"/>
    <s v="&lt;null&gt;"/>
    <s v="&lt;null&gt;"/>
    <s v="&lt;null&gt;"/>
    <x v="0"/>
    <s v="&lt;null&gt;"/>
    <s v="&lt;null&gt;"/>
    <s v="&lt;null&gt;"/>
    <s v="&lt;null&gt;"/>
    <n v="1"/>
    <s v="&lt;null&gt;"/>
    <s v="&lt;null&gt;"/>
    <s v="&lt;null&gt;"/>
    <s v="&lt;null&gt;"/>
    <m/>
    <m/>
    <m/>
    <m/>
  </r>
  <r>
    <x v="1645"/>
    <x v="1645"/>
    <s v="Stimuleren Combimobiliteit"/>
    <x v="2"/>
    <n v="3484"/>
    <s v="IN/002547"/>
    <s v="N403 Heraanleg van de weg"/>
    <s v="&lt;null&gt;"/>
    <s v="Structurele Ingreep"/>
    <s v="WOV/INV/N403/4"/>
    <b v="0"/>
    <s v="Ingreep wordt niet opgevolgd in BOD"/>
    <s v="&lt;null&gt;"/>
    <s v="&lt;null&gt;"/>
    <s v="&lt;null&gt;"/>
    <s v="&lt;null&gt;"/>
    <s v="&lt;null&gt;"/>
    <x v="0"/>
    <s v="&lt;null&gt;"/>
    <s v="&lt;null&gt;"/>
    <s v="&lt;null&gt;"/>
    <s v="&lt;null&gt;"/>
    <n v="1"/>
    <s v="&lt;null&gt;"/>
    <s v="&lt;null&gt;"/>
    <s v="&lt;null&gt;"/>
    <s v="&lt;null&gt;"/>
    <m/>
    <m/>
    <m/>
    <m/>
  </r>
  <r>
    <x v="1646"/>
    <x v="1646"/>
    <s v="Stimuleren Combimobiliteit"/>
    <x v="2"/>
    <n v="3485"/>
    <s v="IN/002548"/>
    <s v="N12 - SCHILDE - Doortocht"/>
    <s v="&lt;null&gt;"/>
    <s v="Structurele Ingreep"/>
    <s v="WA/INV/N012/2"/>
    <b v="0"/>
    <s v="Ingreep wordt niet opgevolgd in BOD"/>
    <s v="&lt;null&gt;"/>
    <s v="&lt;null&gt;"/>
    <s v="&lt;null&gt;"/>
    <s v="&lt;null&gt;"/>
    <s v="&lt;null&gt;"/>
    <x v="0"/>
    <s v="&lt;null&gt;"/>
    <s v="&lt;null&gt;"/>
    <s v="&lt;null&gt;"/>
    <s v="&lt;null&gt;"/>
    <n v="0"/>
    <s v="&lt;null&gt;"/>
    <s v="&lt;null&gt;"/>
    <s v="&lt;null&gt;"/>
    <s v="&lt;null&gt;"/>
    <m/>
    <m/>
    <m/>
    <m/>
  </r>
  <r>
    <x v="1647"/>
    <x v="1647"/>
    <s v="Stimuleren Combimobiliteit"/>
    <x v="2"/>
    <n v="3486"/>
    <s v="IN/002549"/>
    <s v="N117 - KALMTHOUT - SWO Bosduin Industriezone"/>
    <s v="&lt;null&gt;"/>
    <s v="Structurele Ingreep"/>
    <s v="WA/INV/N117/1"/>
    <b v="0"/>
    <s v="Ingreep wordt niet opgevolgd in BOD"/>
    <s v="&lt;null&gt;"/>
    <s v="&lt;null&gt;"/>
    <s v="&lt;null&gt;"/>
    <s v="&lt;null&gt;"/>
    <s v="&lt;null&gt;"/>
    <x v="0"/>
    <s v="&lt;null&gt;"/>
    <s v="&lt;null&gt;"/>
    <s v="&lt;null&gt;"/>
    <s v="&lt;null&gt;"/>
    <n v="0"/>
    <s v="&lt;null&gt;"/>
    <s v="&lt;null&gt;"/>
    <s v="&lt;null&gt;"/>
    <s v="&lt;null&gt;"/>
    <m/>
    <m/>
    <m/>
    <m/>
  </r>
  <r>
    <x v="1648"/>
    <x v="1648"/>
    <s v="Verkeersveiligheid"/>
    <x v="1"/>
    <n v="3487"/>
    <s v="IN/002550"/>
    <s v="Fietszone centrum Izegem"/>
    <s v="Roeselaarsestraat onderdeel van fietszone centrum Izegem (aaneenschakeling van fietsstraten).\nMax snelheid beperkt tot 30 km/u, inhaalverbod gemotoriseerde voertuigen."/>
    <s v="Kleine Ingreep"/>
    <s v="WWV/INV/N357/12"/>
    <b v="0"/>
    <s v="Ingreep wordt niet opgevolgd in BOD"/>
    <s v="&lt;null&gt;"/>
    <s v="&lt;null&gt;"/>
    <s v="&lt;null&gt;"/>
    <s v="&lt;null&gt;"/>
    <s v="&lt;null&gt;"/>
    <x v="0"/>
    <s v="&lt;null&gt;"/>
    <s v="&lt;null&gt;"/>
    <s v="&lt;null&gt;"/>
    <s v="&lt;null&gt;"/>
    <n v="100"/>
    <s v="&lt;null&gt;"/>
    <s v="&lt;null&gt;"/>
    <s v="&lt;null&gt;"/>
    <s v="&lt;null&gt;"/>
    <m/>
    <m/>
    <m/>
    <m/>
  </r>
  <r>
    <x v="1649"/>
    <x v="1649"/>
    <s v="Verkeersveiligheid"/>
    <x v="1"/>
    <n v="3488"/>
    <s v="IN/002551"/>
    <s v="QW-maatregelen fietser"/>
    <s v="Aparte fietsfase ingevoerd (conflictvrij), fietspad omgelegd"/>
    <s v="Kleine Ingreep"/>
    <s v="WWV/INV/N358/5"/>
    <b v="0"/>
    <s v="Ingreep wordt niet opgevolgd in BOD"/>
    <s v="&lt;null&gt;"/>
    <s v="&lt;null&gt;"/>
    <s v="&lt;null&gt;"/>
    <s v="&lt;null&gt;"/>
    <s v="&lt;null&gt;"/>
    <x v="0"/>
    <s v="&lt;null&gt;"/>
    <s v="&lt;null&gt;"/>
    <s v="&lt;null&gt;"/>
    <s v="&lt;null&gt;"/>
    <n v="100"/>
    <s v="&lt;null&gt;"/>
    <s v="&lt;null&gt;"/>
    <s v="&lt;null&gt;"/>
    <s v="&lt;null&gt;"/>
    <m/>
    <m/>
    <m/>
    <m/>
  </r>
  <r>
    <x v="1650"/>
    <x v="1650"/>
    <s v="Verkeersveiligheid"/>
    <x v="1"/>
    <n v="3489"/>
    <s v="IN/002552"/>
    <s v="Conflictvrij maken kruispunt"/>
    <s v="Actieplan VRI\nfietspadmarkeringen thv kruispunt"/>
    <s v="Kleine Ingreep"/>
    <s v="WWV/INV/R32/4"/>
    <b v="0"/>
    <s v="Ingreep wordt niet opgevolgd in BOD"/>
    <s v="&lt;null&gt;"/>
    <s v="&lt;null&gt;"/>
    <s v="&lt;null&gt;"/>
    <s v="&lt;null&gt;"/>
    <s v="&lt;null&gt;"/>
    <x v="0"/>
    <s v="&lt;null&gt;"/>
    <s v="&lt;null&gt;"/>
    <s v="&lt;null&gt;"/>
    <s v="&lt;null&gt;"/>
    <n v="100"/>
    <s v="&lt;null&gt;"/>
    <s v="&lt;null&gt;"/>
    <s v="&lt;null&gt;"/>
    <s v="&lt;null&gt;"/>
    <m/>
    <m/>
    <m/>
    <m/>
  </r>
  <r>
    <x v="18"/>
    <x v="18"/>
    <s v="&lt;null&gt;"/>
    <x v="3"/>
    <n v="3490"/>
    <s v="IN/002553"/>
    <s v="N43 Deinze - nieuwe oostelijke verbinding met N35"/>
    <s v="&lt;null&gt;"/>
    <s v="Structurele Ingreep"/>
    <s v="WOV/INV/N43/4"/>
    <b v="0"/>
    <s v="Ingreep wordt niet opgevolgd in BOD"/>
    <s v="&lt;null&gt;"/>
    <s v="&lt;null&gt;"/>
    <s v="&lt;null&gt;"/>
    <s v="&lt;null&gt;"/>
    <s v="&lt;null&gt;"/>
    <x v="0"/>
    <s v="&lt;null&gt;"/>
    <s v="&lt;null&gt;"/>
    <s v="&lt;null&gt;"/>
    <s v="&lt;null&gt;"/>
    <s v="&lt;null&gt;"/>
    <s v="&lt;null&gt;"/>
    <s v="&lt;null&gt;"/>
    <s v="&lt;null&gt;"/>
    <s v="&lt;null&gt;"/>
    <m/>
    <m/>
    <m/>
    <m/>
  </r>
  <r>
    <x v="18"/>
    <x v="18"/>
    <s v="&lt;null&gt;"/>
    <x v="3"/>
    <n v="3491"/>
    <s v="IN/002554"/>
    <s v="N455/R43 Eeklo Ontsluitingsweg Balgerhoeke"/>
    <s v="&lt;null&gt;"/>
    <s v="Structurele Ingreep"/>
    <s v="WOV/INV/N455/1"/>
    <b v="0"/>
    <s v="Ingreep wordt niet opgevolgd in BOD"/>
    <s v="&lt;null&gt;"/>
    <s v="&lt;null&gt;"/>
    <s v="&lt;null&gt;"/>
    <s v="&lt;null&gt;"/>
    <s v="&lt;null&gt;"/>
    <x v="0"/>
    <s v="&lt;null&gt;"/>
    <s v="&lt;null&gt;"/>
    <s v="&lt;null&gt;"/>
    <s v="&lt;null&gt;"/>
    <s v="&lt;null&gt;"/>
    <s v="&lt;null&gt;"/>
    <s v="&lt;null&gt;"/>
    <s v="&lt;null&gt;"/>
    <s v="&lt;null&gt;"/>
    <m/>
    <m/>
    <m/>
    <m/>
  </r>
  <r>
    <x v="18"/>
    <x v="18"/>
    <s v="&lt;null&gt;"/>
    <x v="3"/>
    <n v="3492"/>
    <s v="IN/002555"/>
    <s v="R40 Gent  vertramming lijn 7"/>
    <s v="&lt;null&gt;"/>
    <s v="Structurele Ingreep"/>
    <s v="WOV/INV/R40/6"/>
    <b v="0"/>
    <s v="Ingreep wordt niet opgevolgd in BOD"/>
    <s v="&lt;null&gt;"/>
    <s v="&lt;null&gt;"/>
    <s v="&lt;null&gt;"/>
    <s v="&lt;null&gt;"/>
    <s v="&lt;null&gt;"/>
    <x v="0"/>
    <s v="&lt;null&gt;"/>
    <s v="&lt;null&gt;"/>
    <s v="&lt;null&gt;"/>
    <s v="&lt;null&gt;"/>
    <s v="&lt;null&gt;"/>
    <s v="&lt;null&gt;"/>
    <s v="&lt;null&gt;"/>
    <s v="&lt;null&gt;"/>
    <s v="&lt;null&gt;"/>
    <m/>
    <m/>
    <m/>
    <m/>
  </r>
  <r>
    <x v="899"/>
    <x v="899"/>
    <s v="Verkeersveiligheid"/>
    <x v="4"/>
    <n v="3493"/>
    <s v="IN/002556"/>
    <s v="Installatie verkeerslichten"/>
    <s v="&lt;null&gt;"/>
    <s v="Kleine Ingreep"/>
    <s v="&lt;null&gt;"/>
    <b v="0"/>
    <s v="Ingreep wordt niet opgevolgd in BOD"/>
    <s v="&lt;null&gt;"/>
    <s v="&lt;null&gt;"/>
    <s v="&lt;null&gt;"/>
    <s v="&lt;null&gt;"/>
    <s v="&lt;null&gt;"/>
    <x v="0"/>
    <s v="&lt;null&gt;"/>
    <s v="&lt;null&gt;"/>
    <s v="&lt;null&gt;"/>
    <s v="&lt;null&gt;"/>
    <n v="100"/>
    <s v="&lt;null&gt;"/>
    <s v="&lt;null&gt;"/>
    <s v="&lt;null&gt;"/>
    <s v="&lt;null&gt;"/>
    <m/>
    <m/>
    <m/>
    <m/>
  </r>
  <r>
    <x v="869"/>
    <x v="869"/>
    <s v="Verkeersveiligheid"/>
    <x v="4"/>
    <n v="3494"/>
    <s v="IN/002557"/>
    <s v="Installatie verkeerslichten"/>
    <s v="&lt;null&gt;"/>
    <s v="Kleine Ingreep"/>
    <s v="&lt;null&gt;"/>
    <b v="0"/>
    <s v="Ingreep wordt niet opgevolgd in BOD"/>
    <s v="&lt;null&gt;"/>
    <s v="&lt;null&gt;"/>
    <s v="&lt;null&gt;"/>
    <s v="&lt;null&gt;"/>
    <s v="&lt;null&gt;"/>
    <x v="0"/>
    <s v="&lt;null&gt;"/>
    <s v="&lt;null&gt;"/>
    <s v="&lt;null&gt;"/>
    <s v="&lt;null&gt;"/>
    <n v="100"/>
    <s v="&lt;null&gt;"/>
    <s v="&lt;null&gt;"/>
    <s v="&lt;null&gt;"/>
    <s v="&lt;null&gt;"/>
    <m/>
    <m/>
    <m/>
    <m/>
  </r>
  <r>
    <x v="1651"/>
    <x v="1651"/>
    <s v="Verkeersveiligheid"/>
    <x v="4"/>
    <n v="3495"/>
    <s v="IN/002558"/>
    <s v="Rotonde ombouwen naar lichtengeregeld kruispunt"/>
    <s v="(tijdelijk kleine ingreep ingevoerd, in afwachting van koppeling aan Enterprise One"/>
    <s v="Kleine Ingreep"/>
    <s v="&lt;null&gt;"/>
    <b v="0"/>
    <s v="Ingreep wordt niet opgevolgd in BOD"/>
    <s v="&lt;null&gt;"/>
    <s v="&lt;null&gt;"/>
    <s v="&lt;null&gt;"/>
    <s v="&lt;null&gt;"/>
    <s v="&lt;null&gt;"/>
    <x v="0"/>
    <s v="&lt;null&gt;"/>
    <s v="&lt;null&gt;"/>
    <s v="&lt;null&gt;"/>
    <s v="&lt;null&gt;"/>
    <n v="100"/>
    <s v="&lt;null&gt;"/>
    <s v="&lt;null&gt;"/>
    <s v="&lt;null&gt;"/>
    <s v="&lt;null&gt;"/>
    <m/>
    <m/>
    <m/>
    <m/>
  </r>
  <r>
    <x v="30"/>
    <x v="30"/>
    <s v="Fiets"/>
    <x v="0"/>
    <n v="3496"/>
    <s v="IN/002559"/>
    <s v="Relance: FP in Ieper, Langemark, Wervik en Staden"/>
    <s v="N313 Relance"/>
    <s v="Kleine Ingreep"/>
    <s v="WWV/INV/N313/6"/>
    <b v="0"/>
    <s v="Ingreep wordt niet opgevolgd in BOD"/>
    <s v="&lt;null&gt;"/>
    <s v="&lt;null&gt;"/>
    <s v="&lt;null&gt;"/>
    <s v="&lt;null&gt;"/>
    <s v="&lt;null&gt;"/>
    <x v="0"/>
    <s v="&lt;null&gt;"/>
    <s v="&lt;null&gt;"/>
    <s v="&lt;null&gt;"/>
    <s v="&lt;null&gt;"/>
    <n v="100"/>
    <s v="&lt;null&gt;"/>
    <s v="&lt;null&gt;"/>
    <s v="&lt;null&gt;"/>
    <s v="&lt;null&gt;"/>
    <m/>
    <m/>
    <m/>
    <m/>
  </r>
  <r>
    <x v="1059"/>
    <x v="1059"/>
    <s v="Verkeersveiligheid"/>
    <x v="4"/>
    <n v="3497"/>
    <s v="IN/002560"/>
    <s v="SRK : Brakel N8 : Kruispunt N8-Haeyershoek te voorzien van een verkeersplateau"/>
    <s v="SRK : Brakel N8 : Kruispunt N8-Haeyershoek te voorzien van een verkeersplateau"/>
    <s v="Kleine Ingreep"/>
    <s v="&lt;null&gt;"/>
    <b v="0"/>
    <s v="Ingreep wordt niet opgevolgd in BOD"/>
    <s v="&lt;null&gt;"/>
    <s v="&lt;null&gt;"/>
    <s v="&lt;null&gt;"/>
    <s v="&lt;null&gt;"/>
    <s v="&lt;null&gt;"/>
    <x v="0"/>
    <s v="&lt;null&gt;"/>
    <s v="&lt;null&gt;"/>
    <s v="&lt;null&gt;"/>
    <s v="&lt;null&gt;"/>
    <n v="100"/>
    <s v="&lt;null&gt;"/>
    <s v="&lt;null&gt;"/>
    <s v="&lt;null&gt;"/>
    <s v="&lt;null&gt;"/>
    <m/>
    <m/>
    <m/>
    <m/>
  </r>
  <r>
    <x v="407"/>
    <x v="407"/>
    <s v="Verkeersveiligheid"/>
    <x v="1"/>
    <n v="3498"/>
    <s v="IN/002561"/>
    <s v="in Gent : B401 Richting A14, Bellevue, Dierentuinlaan, Gustaaf Callierlaan, Keizervest, Sint-Lievenslaan, Zuidparklaan"/>
    <s v="Fietsonderdoorgang + aanpassingen infra (werken bezig) + aanpassing VRI"/>
    <s v="Kleine Ingreep"/>
    <s v="WOV/INV/R40/14"/>
    <b v="0"/>
    <s v="Ingreep wordt niet opgevolgd in BOD"/>
    <s v="&lt;null&gt;"/>
    <s v="&lt;null&gt;"/>
    <s v="&lt;null&gt;"/>
    <s v="&lt;null&gt;"/>
    <s v="&lt;null&gt;"/>
    <x v="0"/>
    <s v="&lt;null&gt;"/>
    <s v="&lt;null&gt;"/>
    <s v="&lt;null&gt;"/>
    <s v="&lt;null&gt;"/>
    <n v="100"/>
    <s v="&lt;null&gt;"/>
    <s v="&lt;null&gt;"/>
    <s v="&lt;null&gt;"/>
    <s v="&lt;null&gt;"/>
    <m/>
    <m/>
    <m/>
    <m/>
  </r>
  <r>
    <x v="1652"/>
    <x v="1652"/>
    <s v="Verkeersveiligheid"/>
    <x v="4"/>
    <n v="3499"/>
    <s v="IN/002562"/>
    <s v="Structureel onderhoud"/>
    <s v="&lt;null&gt;"/>
    <s v="Kleine Ingreep"/>
    <s v="WOV/INV/NX/10"/>
    <b v="0"/>
    <s v="Ingreep wordt niet opgevolgd in BOD"/>
    <s v="&lt;null&gt;"/>
    <s v="&lt;null&gt;"/>
    <s v="&lt;null&gt;"/>
    <s v="&lt;null&gt;"/>
    <s v="&lt;null&gt;"/>
    <x v="0"/>
    <s v="&lt;null&gt;"/>
    <s v="&lt;null&gt;"/>
    <s v="&lt;null&gt;"/>
    <s v="&lt;null&gt;"/>
    <n v="100"/>
    <s v="&lt;null&gt;"/>
    <s v="&lt;null&gt;"/>
    <s v="&lt;null&gt;"/>
    <s v="&lt;null&gt;"/>
    <m/>
    <m/>
    <m/>
    <m/>
  </r>
  <r>
    <x v="18"/>
    <x v="18"/>
    <s v="&lt;null&gt;"/>
    <x v="3"/>
    <n v="3500"/>
    <s v="IN/002563"/>
    <s v="N4 structureel onderhoud verharding"/>
    <s v="Vervanging wegopbouw"/>
    <s v="Kleine Ingreep"/>
    <s v="&lt;null&gt;"/>
    <b v="0"/>
    <s v="Ingreep wordt niet opgevolgd in BOD"/>
    <s v="&lt;null&gt;"/>
    <s v="&lt;null&gt;"/>
    <s v="&lt;null&gt;"/>
    <s v="&lt;null&gt;"/>
    <s v="&lt;null&gt;"/>
    <x v="0"/>
    <s v="&lt;null&gt;"/>
    <s v="&lt;null&gt;"/>
    <s v="&lt;null&gt;"/>
    <s v="&lt;null&gt;"/>
    <s v="&lt;null&gt;"/>
    <s v="&lt;null&gt;"/>
    <s v="&lt;null&gt;"/>
    <s v="&lt;null&gt;"/>
    <s v="&lt;null&gt;"/>
    <m/>
    <m/>
    <m/>
    <m/>
  </r>
  <r>
    <x v="18"/>
    <x v="18"/>
    <s v="&lt;null&gt;"/>
    <x v="3"/>
    <n v="3501"/>
    <s v="IN/002564"/>
    <s v="N2 Herk-de-Stad herinrichting kruispunt Pastorijst"/>
    <s v="&lt;null&gt;"/>
    <s v="Structurele Ingreep"/>
    <s v="WL/INV/N2/18"/>
    <b v="0"/>
    <s v="Ingreep wordt niet opgevolgd in BOD"/>
    <s v="&lt;null&gt;"/>
    <s v="&lt;null&gt;"/>
    <s v="&lt;null&gt;"/>
    <s v="&lt;null&gt;"/>
    <s v="&lt;null&gt;"/>
    <x v="0"/>
    <s v="&lt;null&gt;"/>
    <s v="&lt;null&gt;"/>
    <s v="&lt;null&gt;"/>
    <s v="&lt;null&gt;"/>
    <s v="&lt;null&gt;"/>
    <s v="&lt;null&gt;"/>
    <s v="&lt;null&gt;"/>
    <s v="&lt;null&gt;"/>
    <s v="&lt;null&gt;"/>
    <m/>
    <m/>
    <m/>
    <m/>
  </r>
  <r>
    <x v="404"/>
    <x v="404"/>
    <s v="Verkeersveiligheid"/>
    <x v="1"/>
    <n v="3502"/>
    <s v="IN/002565"/>
    <s v="N76-N779 Genk herinrichting kruispunt"/>
    <s v="&lt;null&gt;"/>
    <s v="Structurele Ingreep"/>
    <s v="WL/INV/N76/31"/>
    <b v="0"/>
    <s v="Ingreep wordt niet opgevolgd in BOD"/>
    <s v="&lt;null&gt;"/>
    <s v="&lt;null&gt;"/>
    <s v="&lt;null&gt;"/>
    <s v="&lt;null&gt;"/>
    <s v="&lt;null&gt;"/>
    <x v="0"/>
    <s v="&lt;null&gt;"/>
    <s v="&lt;null&gt;"/>
    <s v="&lt;null&gt;"/>
    <s v="&lt;null&gt;"/>
    <n v="100"/>
    <s v="&lt;null&gt;"/>
    <s v="&lt;null&gt;"/>
    <s v="&lt;null&gt;"/>
    <s v="&lt;null&gt;"/>
    <m/>
    <m/>
    <m/>
    <m/>
  </r>
  <r>
    <x v="456"/>
    <x v="456"/>
    <s v="Verkeersveiligheid"/>
    <x v="1"/>
    <n v="3503"/>
    <s v="IN/002566"/>
    <s v="N20 Hasselt fietstunnel t.h.v. R71/Jessa"/>
    <s v="&lt;null&gt;"/>
    <s v="Structurele Ingreep"/>
    <s v="WL/INV/N20/13"/>
    <b v="0"/>
    <s v="Ingreep wordt niet opgevolgd in BOD"/>
    <s v="&lt;null&gt;"/>
    <s v="&lt;null&gt;"/>
    <s v="&lt;null&gt;"/>
    <s v="&lt;null&gt;"/>
    <s v="&lt;null&gt;"/>
    <x v="0"/>
    <s v="&lt;null&gt;"/>
    <s v="&lt;null&gt;"/>
    <s v="&lt;null&gt;"/>
    <s v="&lt;null&gt;"/>
    <n v="100"/>
    <s v="&lt;null&gt;"/>
    <s v="&lt;null&gt;"/>
    <s v="&lt;null&gt;"/>
    <s v="&lt;null&gt;"/>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8">
  <r>
    <x v="0"/>
    <x v="0"/>
    <s v="Fiets"/>
    <x v="0"/>
    <n v="1"/>
    <s v="IN/000001"/>
    <s v="Structureel Onderhoud - conforme fietspaden in Geel, Dessel, Retie opN118  1.2 - 12.5"/>
    <s v="beton vervangen door asfalt en iets breder aanleggen (tot 1.75 m) - zeer eenvoudig uit te breiden, maar wel een lang tracé"/>
    <s v="Structurele Ingreep"/>
    <s v="WA/INV/N118/6"/>
    <b v="0"/>
    <s v="Ingreep wordt niet opgevolgd in BOD"/>
    <s v="&lt;null&gt;"/>
    <s v="&lt;null&gt;"/>
    <s v="WEGENIS"/>
    <s v="&lt;null&gt;"/>
    <n v="100"/>
    <n v="3545817.2749999999"/>
    <n v="3545817.2749999999"/>
  </r>
  <r>
    <x v="1"/>
    <x v="1"/>
    <s v="Fiets"/>
    <x v="0"/>
    <n v="2"/>
    <s v="IN/000002"/>
    <s v="Structureel Onderhoud - conforme fietspaden in Kapellen opN11  3.7 - 5.4"/>
    <s v="beton naar asfalt"/>
    <s v="Kleine Ingreep"/>
    <s v="WA/INV/N11/2"/>
    <b v="1"/>
    <s v="Ingreep wordt opgevolgd in BOD"/>
    <s v="&lt;null&gt;"/>
    <s v="&lt;null&gt;"/>
    <s v="WEGENIS"/>
    <s v="&lt;null&gt;"/>
    <n v="100"/>
    <n v="545097.78839999996"/>
    <n v="545097.78839999996"/>
  </r>
  <r>
    <x v="2"/>
    <x v="2"/>
    <s v="Verkeersveiligheid"/>
    <x v="1"/>
    <n v="2"/>
    <s v="IN/000002"/>
    <s v="Structureel Onderhoud - conforme fietspaden in Kapellen opN11  3.7 - 5.4"/>
    <s v="beton naar asfalt"/>
    <s v="Kleine Ingreep"/>
    <s v="WA/INV/N11/2"/>
    <b v="1"/>
    <s v="Ingreep wordt opgevolgd in BOD"/>
    <s v="&lt;null&gt;"/>
    <s v="&lt;null&gt;"/>
    <s v="WEGENIS"/>
    <s v="&lt;null&gt;"/>
    <n v="0"/>
    <n v="545097.78839999996"/>
    <n v="0"/>
  </r>
  <r>
    <x v="3"/>
    <x v="3"/>
    <s v="Stimuleren Combimobiliteit"/>
    <x v="2"/>
    <n v="2"/>
    <s v="IN/000002"/>
    <s v="Structureel Onderhoud - conforme fietspaden in Kapellen opN11  3.7 - 5.4"/>
    <s v="beton naar asfalt"/>
    <s v="Kleine Ingreep"/>
    <s v="WA/INV/N11/2"/>
    <b v="1"/>
    <s v="Ingreep wordt opgevolgd in BOD"/>
    <s v="&lt;null&gt;"/>
    <s v="&lt;null&gt;"/>
    <s v="WEGENIS"/>
    <s v="&lt;null&gt;"/>
    <n v="0"/>
    <n v="545097.78839999996"/>
    <n v="0"/>
  </r>
  <r>
    <x v="4"/>
    <x v="4"/>
    <s v="Fiets"/>
    <x v="0"/>
    <n v="3"/>
    <s v="IN/000003"/>
    <s v="Structureel Onderhoud - conforme fietspaden in Lille opN140  7.0 - 11.0"/>
    <s v="verzakte betonplaten vervangen door beton (cfr rest Lille), eventueel verbreden naar 1.75 m"/>
    <s v="Structurele Ingreep"/>
    <s v="WA/INV/N140/4"/>
    <b v="0"/>
    <s v="Ingreep wordt niet opgevolgd in BOD"/>
    <n v="2021"/>
    <s v="Q2"/>
    <s v="WEGENIS"/>
    <s v="&lt;null&gt;"/>
    <n v="100"/>
    <n v="955127.13670000003"/>
    <n v="955127.13670000003"/>
  </r>
  <r>
    <x v="5"/>
    <x v="5"/>
    <s v="Fiets"/>
    <x v="0"/>
    <n v="4"/>
    <s v="IN/000004"/>
    <s v="Structureel Onderhoud - conforme fietspaden in Wijnegem opN112  3.9 - 3.5"/>
    <s v="Vernieuwen fietspad"/>
    <s v="Kleine Ingreep"/>
    <s v="WA/INV/N112/1"/>
    <b v="1"/>
    <s v="Ingreep wordt opgevolgd in BOD"/>
    <n v="2021"/>
    <s v="Q4"/>
    <s v="WEGENIS"/>
    <s v="&lt;null&gt;"/>
    <n v="100"/>
    <n v="45000"/>
    <n v="45000"/>
  </r>
  <r>
    <x v="6"/>
    <x v="6"/>
    <s v="Fiets"/>
    <x v="0"/>
    <n v="5"/>
    <s v="IN/000005"/>
    <s v="Structureel Onderhoud - conforme fietspaden in Sint-Truiden opN3  62.5 - 63.3"/>
    <s v="km 62,5-63,3: beton opbreken en vervangen door KWS, mogelijk nog iets verbreden"/>
    <s v="Kleine Ingreep"/>
    <s v="WL/INV/N3/6"/>
    <b v="1"/>
    <s v="Ingreep wordt opgevolgd in BOD"/>
    <s v="&lt;null&gt;"/>
    <s v="&lt;null&gt;"/>
    <s v="WEGENIS"/>
    <s v="&lt;null&gt;"/>
    <n v="100"/>
    <n v="152987.37"/>
    <n v="152987.37"/>
  </r>
  <r>
    <x v="7"/>
    <x v="7"/>
    <s v="Fiets"/>
    <x v="0"/>
    <n v="6"/>
    <s v="IN/000006"/>
    <s v="Structureel Onderhoud - conforme fietspaden in Diepenbeek opN702  3.7 - 4.4"/>
    <s v="beton opbreken en vervangen door KWS, mogelijk nog iets verbreden"/>
    <s v="Kleine Ingreep"/>
    <s v="WL/INV/N702/3"/>
    <b v="1"/>
    <s v="Ingreep wordt opgevolgd in BOD"/>
    <s v="&lt;null&gt;"/>
    <s v="&lt;null&gt;"/>
    <s v="WEGENIS"/>
    <s v="&lt;null&gt;"/>
    <n v="100"/>
    <n v="60015.93"/>
    <n v="60015.93"/>
  </r>
  <r>
    <x v="8"/>
    <x v="8"/>
    <s v="Fiets"/>
    <x v="0"/>
    <n v="7"/>
    <s v="IN/000007"/>
    <s v="Structureel Onderhoud - conforme fietspaden in Genk opN726  0.0 - 0.8"/>
    <s v="km 0-0,8 : asfalt affrezen, verbreden en nieuwe toplaag"/>
    <s v="Kleine Ingreep"/>
    <s v="WL/INV/N726/2"/>
    <b v="1"/>
    <s v="Ingreep wordt opgevolgd in BOD"/>
    <s v="&lt;null&gt;"/>
    <s v="&lt;null&gt;"/>
    <s v="WEGENIS"/>
    <s v="&lt;null&gt;"/>
    <n v="100"/>
    <n v="133917.46"/>
    <n v="133917.46"/>
  </r>
  <r>
    <x v="9"/>
    <x v="9"/>
    <s v="Fiets"/>
    <x v="0"/>
    <n v="8"/>
    <s v="IN/000008"/>
    <s v="Structureel Onderhoud - conforme fietspaden in As opN730  27.4 - 28.3"/>
    <s v="Vervangen klinkers door asfalt, plaatselijk greppel en boordsteen vervangen"/>
    <s v="Kleine Ingreep"/>
    <s v="WL/INV/N730/8"/>
    <b v="1"/>
    <s v="Ingreep wordt opgevolgd in BOD"/>
    <s v="&lt;null&gt;"/>
    <s v="&lt;null&gt;"/>
    <s v="WEGENIS"/>
    <s v="&lt;null&gt;"/>
    <n v="100"/>
    <n v="352563.23"/>
    <n v="352563.23"/>
  </r>
  <r>
    <x v="10"/>
    <x v="10"/>
    <s v="Fiets"/>
    <x v="0"/>
    <n v="9"/>
    <s v="IN/000009"/>
    <s v="Structureel Onderhoud - conforme fietspaden in Oudsbergen opN730  30.8 - 35.6"/>
    <s v="km 33,3-33,9 nieuwe toplaag"/>
    <s v="Kleine Ingreep"/>
    <s v="WL/INV/N730/9"/>
    <b v="1"/>
    <s v="Ingreep wordt opgevolgd in BOD"/>
    <s v="&lt;null&gt;"/>
    <s v="&lt;null&gt;"/>
    <s v="WEGENIS"/>
    <s v="&lt;null&gt;"/>
    <n v="100"/>
    <n v="40623.86"/>
    <n v="40623.86"/>
  </r>
  <r>
    <x v="11"/>
    <x v="11"/>
    <s v="Fiets"/>
    <x v="0"/>
    <n v="10"/>
    <s v="IN/000010"/>
    <s v="Structureel Onderhoud - conforme fietspaden in As, Dilsen opN75  20.7 - 26.3"/>
    <s v="Verbreden &amp; vernieuwen fietspad; op parkeerstrook"/>
    <s v="Kleine Ingreep"/>
    <s v="WL/INV/N75/6"/>
    <b v="1"/>
    <s v="Ingreep wordt opgevolgd in BOD"/>
    <s v="&lt;null&gt;"/>
    <s v="&lt;null&gt;"/>
    <s v="WEGENIS"/>
    <s v="&lt;null&gt;"/>
    <n v="100"/>
    <n v="1776019.32"/>
    <n v="1776019.32"/>
  </r>
  <r>
    <x v="12"/>
    <x v="12"/>
    <s v="Fiets"/>
    <x v="0"/>
    <n v="11"/>
    <s v="IN/000011"/>
    <s v="Structureel Onderhoud - conforme fietspaden in Genk opN750  4.5 - 5.55"/>
    <s v="Vernieuwen fietspad"/>
    <s v="Kleine Ingreep"/>
    <s v="WL/INV/N750/4"/>
    <b v="1"/>
    <s v="Ingreep wordt opgevolgd in BOD"/>
    <s v="&lt;null&gt;"/>
    <s v="&lt;null&gt;"/>
    <s v="WEGENIS"/>
    <s v="&lt;null&gt;"/>
    <n v="100"/>
    <n v="177501.65"/>
    <n v="177501.65"/>
  </r>
  <r>
    <x v="13"/>
    <x v="13"/>
    <s v="Fiets"/>
    <x v="0"/>
    <n v="12"/>
    <s v="IN/000012"/>
    <s v="Structureel Onderhoud - conforme fietspaden in Borgloon opN754  21.4 - 22.6"/>
    <s v="beton opbreken en vervangen door KWS, mogelijk nog iets verbreden"/>
    <s v="Kleine Ingreep"/>
    <s v="WL/INV/N754/3"/>
    <b v="1"/>
    <s v="Ingreep wordt opgevolgd in BOD"/>
    <s v="&lt;null&gt;"/>
    <s v="&lt;null&gt;"/>
    <s v="WEGENIS"/>
    <s v="&lt;null&gt;"/>
    <n v="100"/>
    <n v="166229.29999999999"/>
    <n v="166229.29999999999"/>
  </r>
  <r>
    <x v="14"/>
    <x v="14"/>
    <s v="Fiets"/>
    <x v="0"/>
    <n v="13"/>
    <s v="IN/000013"/>
    <s v="Structureel Onderhoud - conforme fietspaden in Borgloon opN76  1.5 - 5.5"/>
    <s v="beton vervangen door KWS"/>
    <s v="Kleine Ingreep"/>
    <s v="WL/INV/N76/10"/>
    <b v="1"/>
    <s v="Ingreep wordt opgevolgd in BOD"/>
    <s v="&lt;null&gt;"/>
    <s v="&lt;null&gt;"/>
    <s v="WEGENIS"/>
    <s v="&lt;null&gt;"/>
    <n v="100"/>
    <n v="976058.33"/>
    <n v="976058.33"/>
  </r>
  <r>
    <x v="15"/>
    <x v="15"/>
    <s v="Fiets"/>
    <x v="0"/>
    <n v="14"/>
    <s v="IN/000014"/>
    <s v="Structureel Onderhoud - conforme fietspaden in Oudsbergen opN76  33.3 - 33.9"/>
    <s v="30,8-35,6 : nieuwe toplaag en scheurremmer"/>
    <s v="Kleine Ingreep"/>
    <s v="WL/INV/N76/11"/>
    <b v="1"/>
    <s v="Ingreep wordt opgevolgd in BOD"/>
    <s v="&lt;null&gt;"/>
    <s v="&lt;null&gt;"/>
    <s v="WEGENIS"/>
    <s v="&lt;null&gt;"/>
    <n v="100"/>
    <n v="215672.2"/>
    <n v="215672.2"/>
  </r>
  <r>
    <x v="16"/>
    <x v="16"/>
    <s v="Fiets"/>
    <x v="0"/>
    <n v="15"/>
    <s v="IN/000015"/>
    <s v="Structureel Onderhoud - conforme fietspaden in Diepenbeek opN774  0.0 - 0.1"/>
    <s v="Verbreden &amp; vernieuwen fietspad"/>
    <s v="Kleine Ingreep"/>
    <s v="WL/INV/N774/1"/>
    <b v="1"/>
    <s v="Ingreep wordt opgevolgd in BOD"/>
    <s v="&lt;null&gt;"/>
    <s v="&lt;null&gt;"/>
    <s v="WEGENIS"/>
    <s v="&lt;null&gt;"/>
    <n v="100"/>
    <n v="138356.35"/>
    <n v="138356.35"/>
  </r>
  <r>
    <x v="17"/>
    <x v="17"/>
    <s v="Fiets"/>
    <x v="0"/>
    <n v="16"/>
    <s v="IN/000016"/>
    <s v="Structureel Onderhoud - conforme fietspaden in Aalter opN409  4.84 - 6.5"/>
    <s v="&lt;null&gt;"/>
    <s v="Kleine Ingreep"/>
    <s v="WOV/INV/N409/2"/>
    <b v="1"/>
    <s v="Ingreep wordt opgevolgd in BOD"/>
    <n v="2023"/>
    <s v="Q2"/>
    <s v="WEGENIS"/>
    <s v="&lt;null&gt;"/>
    <n v="100"/>
    <n v="307287"/>
    <n v="307287"/>
  </r>
  <r>
    <x v="18"/>
    <x v="18"/>
    <s v="&lt;null&gt;"/>
    <x v="3"/>
    <n v="17"/>
    <s v="IN/000017"/>
    <s v="Structureel Onderhoud - conforme fietspaden in Wetteren opN417  0.0 - 3.1"/>
    <s v="&lt;null&gt;"/>
    <s v="Structurele Ingreep"/>
    <s v="WOV/INV/N417/1"/>
    <b v="0"/>
    <s v="Ingreep wordt niet opgevolgd in BOD"/>
    <n v="2022"/>
    <s v="Q2"/>
    <s v="WEGENIS"/>
    <s v="&lt;null&gt;"/>
    <m/>
    <n v="1790140.14"/>
    <m/>
  </r>
  <r>
    <x v="19"/>
    <x v="19"/>
    <s v="Fiets"/>
    <x v="0"/>
    <n v="18"/>
    <s v="IN/000018"/>
    <s v="Structureel Onderhoud - conforme fietspaden in Gent opN424  9.0 - 3.2"/>
    <s v="&lt;null&gt;"/>
    <s v="Kleine Ingreep"/>
    <s v="WOV/INV/N424/4"/>
    <b v="1"/>
    <s v="Ingreep wordt opgevolgd in BOD"/>
    <n v="2023"/>
    <s v="Q2"/>
    <s v="WEGENIS"/>
    <s v="&lt;null&gt;"/>
    <n v="100"/>
    <n v="48715.62"/>
    <n v="48715.62"/>
  </r>
  <r>
    <x v="20"/>
    <x v="20"/>
    <s v="Fiets"/>
    <x v="0"/>
    <n v="19"/>
    <s v="IN/000019"/>
    <s v="Structureel Onderhoud - conforme fietspaden in Lokeren opN70  19.2 - 20.1"/>
    <s v="&lt;null&gt;"/>
    <s v="Kleine Ingreep"/>
    <s v="WOV/INV/N70/7"/>
    <b v="1"/>
    <s v="Ingreep wordt opgevolgd in BOD"/>
    <n v="2022"/>
    <s v="Q3"/>
    <s v="WEGENIS"/>
    <s v="&lt;null&gt;"/>
    <n v="100"/>
    <n v="176323.44"/>
    <n v="176323.44"/>
  </r>
  <r>
    <x v="21"/>
    <x v="21"/>
    <s v="Fiets"/>
    <x v="0"/>
    <n v="20"/>
    <s v="IN/000020"/>
    <s v="Structureel Onderhoud - conforme fietspaden in Melle opN9  47.9 - 49.0"/>
    <s v="&lt;null&gt;"/>
    <s v="Kleine Ingreep"/>
    <s v="WOV/INV/N9/14"/>
    <b v="1"/>
    <s v="Ingreep wordt opgevolgd in BOD"/>
    <n v="2023"/>
    <s v="Q2"/>
    <s v="WEGENIS"/>
    <s v="&lt;null&gt;"/>
    <n v="100"/>
    <n v="141679.67000000001"/>
    <n v="141679.67000000001"/>
  </r>
  <r>
    <x v="22"/>
    <x v="22"/>
    <s v="Fiets"/>
    <x v="0"/>
    <n v="21"/>
    <s v="IN/000021"/>
    <s v="Structureel Onderhoud - conforme fietspaden in Tienen opN223  19.1 - 20.5"/>
    <s v="Klinkers vervangen door KWS (nieuwe boordsteen achter fietspad nodig) &amp;  overgangen met zijstraten vloeiend maken"/>
    <s v="Kleine Ingreep"/>
    <s v="WVB/INV/N223/3"/>
    <b v="1"/>
    <s v="Ingreep wordt opgevolgd in BOD"/>
    <n v="2022"/>
    <s v="&lt;null&gt;"/>
    <s v="WEGENIS"/>
    <s v="&lt;null&gt;"/>
    <n v="100"/>
    <n v="310000"/>
    <n v="310000"/>
  </r>
  <r>
    <x v="18"/>
    <x v="18"/>
    <s v="&lt;null&gt;"/>
    <x v="3"/>
    <n v="22"/>
    <s v="IN/000022"/>
    <s v="MAG GEWIST WORDEN"/>
    <s v="Dubbelrichting asfaltfietspad op belangrijke schoolroute."/>
    <s v="Structurele Ingreep"/>
    <s v="&lt;null&gt;"/>
    <b v="0"/>
    <s v="Ingreep wordt niet opgevolgd in BOD"/>
    <s v="&lt;null&gt;"/>
    <s v="&lt;null&gt;"/>
    <s v="WEGENIS"/>
    <s v="&lt;null&gt;"/>
    <m/>
    <n v="150000"/>
    <m/>
  </r>
  <r>
    <x v="23"/>
    <x v="23"/>
    <s v="Fiets"/>
    <x v="0"/>
    <n v="23"/>
    <s v="IN/000023"/>
    <s v="Structureel Onderhoud - conforme fietspaden in Boutersem opN234  1.9 - 2.2"/>
    <s v="Aanleg nieuw fietspad in beide richtingen/ ombouw parkeerstrook naar fietspad. Beveiligen fietspad thv oversteken op en afritten."/>
    <s v="Kleine Ingreep"/>
    <s v="WVB/INV/N234/2"/>
    <b v="1"/>
    <s v="Ingreep wordt opgevolgd in BOD"/>
    <n v="2022"/>
    <s v="&lt;null&gt;"/>
    <s v="WEGENIS"/>
    <s v="&lt;null&gt;"/>
    <n v="100"/>
    <n v="94430.53"/>
    <n v="94430.53"/>
  </r>
  <r>
    <x v="24"/>
    <x v="24"/>
    <s v="Fiets"/>
    <x v="0"/>
    <n v="24"/>
    <s v="IN/000024"/>
    <s v="Structureel Onderhoud - conforme fietspaden in Rotselaar opN229  2.18 - 2.3"/>
    <s v="Klinkers vervangen door asfalt"/>
    <s v="Kleine Ingreep"/>
    <s v="WVB/INV/N229/3"/>
    <b v="1"/>
    <s v="Ingreep wordt opgevolgd in BOD"/>
    <n v="2021"/>
    <s v="Q1"/>
    <s v="WEGENIS"/>
    <s v="&lt;null&gt;"/>
    <n v="100"/>
    <n v="7000"/>
    <n v="7000"/>
  </r>
  <r>
    <x v="25"/>
    <x v="25"/>
    <s v="Fiets"/>
    <x v="0"/>
    <n v="25"/>
    <s v="IN/000025"/>
    <s v="Structureel Onderhoud - conforme fietspaden in Ieper opN331  0.0 - 7.4"/>
    <s v="&lt;null&gt;"/>
    <s v="Kleine Ingreep"/>
    <s v="WWV/INV/N331/3"/>
    <b v="0"/>
    <s v="Ingreep wordt niet opgevolgd in BOD"/>
    <n v="2022"/>
    <s v="Q1"/>
    <s v="WEGENIS"/>
    <s v="&lt;null&gt;"/>
    <n v="99"/>
    <n v="2000000"/>
    <n v="1980000"/>
  </r>
  <r>
    <x v="26"/>
    <x v="26"/>
    <s v="Verkeersveiligheid"/>
    <x v="4"/>
    <n v="25"/>
    <s v="IN/000025"/>
    <s v="Structureel Onderhoud - conforme fietspaden in Ieper opN331  0.0 - 7.4"/>
    <s v="&lt;null&gt;"/>
    <s v="Kleine Ingreep"/>
    <s v="WWV/INV/N331/3"/>
    <b v="0"/>
    <s v="Ingreep wordt niet opgevolgd in BOD"/>
    <n v="2022"/>
    <s v="Q1"/>
    <s v="WEGENIS"/>
    <s v="&lt;null&gt;"/>
    <n v="1"/>
    <n v="2000000"/>
    <n v="20000"/>
  </r>
  <r>
    <x v="27"/>
    <x v="27"/>
    <s v="Fiets"/>
    <x v="0"/>
    <n v="26"/>
    <s v="IN/000026"/>
    <s v="Structureel Onderhoud - conforme fietspaden in Ieper opN8  102.1 - 113.5"/>
    <s v="&lt;null&gt;"/>
    <s v="Kleine Ingreep"/>
    <s v="WWV/INV/N8/34"/>
    <b v="0"/>
    <s v="Ingreep wordt niet opgevolgd in BOD"/>
    <n v="2022"/>
    <s v="Q1"/>
    <s v="WEGENIS"/>
    <s v="&lt;null&gt;"/>
    <n v="50"/>
    <n v="2000000"/>
    <n v="1000000"/>
  </r>
  <r>
    <x v="28"/>
    <x v="28"/>
    <s v="Fiets"/>
    <x v="0"/>
    <n v="26"/>
    <s v="IN/000026"/>
    <s v="Structureel Onderhoud - conforme fietspaden in Ieper opN8  102.1 - 113.5"/>
    <s v="&lt;null&gt;"/>
    <s v="Kleine Ingreep"/>
    <s v="WWV/INV/N8/34"/>
    <b v="0"/>
    <s v="Ingreep wordt niet opgevolgd in BOD"/>
    <n v="2022"/>
    <s v="Q1"/>
    <s v="WEGENIS"/>
    <s v="&lt;null&gt;"/>
    <n v="50"/>
    <n v="2000000"/>
    <n v="1000000"/>
  </r>
  <r>
    <x v="29"/>
    <x v="29"/>
    <s v="Fiets"/>
    <x v="0"/>
    <n v="27"/>
    <s v="IN/000027"/>
    <s v="Structureel Onderhoud - conforme fietspaden in Koksijde opN355  6.9 - 8.6"/>
    <s v="&lt;null&gt;"/>
    <s v="Kleine Ingreep"/>
    <s v="&lt;null&gt;"/>
    <b v="0"/>
    <s v="Ingreep wordt niet opgevolgd in BOD"/>
    <s v="&lt;null&gt;"/>
    <s v="&lt;null&gt;"/>
    <s v="WEGENIS"/>
    <s v="&lt;null&gt;"/>
    <n v="100"/>
    <n v="238000"/>
    <n v="238000"/>
  </r>
  <r>
    <x v="30"/>
    <x v="30"/>
    <s v="Fiets"/>
    <x v="0"/>
    <n v="28"/>
    <s v="IN/000028"/>
    <s v="Structureel Onderhoud - conforme fietspaden in Langemark opN313  3.8 - 8.3"/>
    <s v="&lt;null&gt;"/>
    <s v="Structurele Ingreep"/>
    <s v="WWV/INV/N313/1"/>
    <b v="0"/>
    <s v="Ingreep wordt niet opgevolgd in BOD"/>
    <s v="&lt;null&gt;"/>
    <s v="&lt;null&gt;"/>
    <s v="WEGENIS"/>
    <s v="&lt;null&gt;"/>
    <n v="100"/>
    <n v="670000"/>
    <n v="670000"/>
  </r>
  <r>
    <x v="31"/>
    <x v="31"/>
    <s v="Fiets"/>
    <x v="0"/>
    <n v="29"/>
    <s v="IN/000029"/>
    <s v="Structureel Onderhoud - conforme fietspaden in Waregem opN357  23.3 - 24.7"/>
    <s v="&lt;null&gt;"/>
    <s v="Kleine Ingreep"/>
    <s v="&lt;null&gt;"/>
    <b v="0"/>
    <s v="Ingreep wordt niet opgevolgd in BOD"/>
    <n v="2023"/>
    <s v="&lt;null&gt;"/>
    <s v="WEGENIS"/>
    <s v="&lt;null&gt;"/>
    <n v="100"/>
    <n v="500000"/>
    <n v="500000"/>
  </r>
  <r>
    <x v="28"/>
    <x v="28"/>
    <s v="Fiets"/>
    <x v="0"/>
    <n v="30"/>
    <s v="IN/000030"/>
    <s v="Structureel Onderhoud - conforme fietspaden in Wervik opN8  102.7 - 103.9"/>
    <s v="&lt;null&gt;"/>
    <s v="Kleine Ingreep"/>
    <s v="&lt;null&gt;"/>
    <b v="0"/>
    <s v="Ingreep wordt niet opgevolgd in BOD"/>
    <s v="&lt;null&gt;"/>
    <s v="&lt;null&gt;"/>
    <s v="WEGENIS"/>
    <s v="&lt;null&gt;"/>
    <n v="100"/>
    <n v="200000"/>
    <n v="200000"/>
  </r>
  <r>
    <x v="32"/>
    <x v="32"/>
    <s v="Fiets"/>
    <x v="0"/>
    <n v="31"/>
    <s v="IN/000031"/>
    <s v="Structureel Onderhoud - conforme fietspaden in Eernegem op N368  33.3 - 34.7"/>
    <s v="&lt;null&gt;"/>
    <s v="Kleine Ingreep"/>
    <s v="WWV/INV/N368/6"/>
    <b v="1"/>
    <s v="Ingreep wordt opgevolgd in BOD"/>
    <n v="2021"/>
    <s v="Q4"/>
    <s v="WEGENIS"/>
    <s v="&lt;null&gt;"/>
    <n v="100"/>
    <n v="421000"/>
    <n v="421000"/>
  </r>
  <r>
    <x v="33"/>
    <x v="33"/>
    <s v="Fiets"/>
    <x v="0"/>
    <n v="32"/>
    <s v="IN/000032"/>
    <s v="Structureel Onderhoud - conforme fietspaden in Gistel op N367  23.5 - 26.0"/>
    <s v="&lt;null&gt;"/>
    <s v="Kleine Ingreep"/>
    <s v="WWV/INV/N367/8"/>
    <b v="0"/>
    <s v="Ingreep wordt niet opgevolgd in BOD"/>
    <n v="2022"/>
    <s v="Q3"/>
    <s v="WEGENIS"/>
    <s v="&lt;null&gt;"/>
    <n v="100"/>
    <n v="713000"/>
    <n v="713000"/>
  </r>
  <r>
    <x v="34"/>
    <x v="34"/>
    <s v="Fiets"/>
    <x v="0"/>
    <n v="33"/>
    <s v="IN/000033"/>
    <s v="Structureel Onderhoud - conforme fietspaden in Koksijde op N8  150.4 - 150.8"/>
    <s v="&lt;null&gt;"/>
    <s v="Kleine Ingreep"/>
    <s v="WWV/INV/N8/12"/>
    <b v="1"/>
    <s v="Ingreep wordt opgevolgd in BOD"/>
    <n v="2021"/>
    <s v="Q4"/>
    <s v="WEGENIS"/>
    <s v="&lt;null&gt;"/>
    <n v="100"/>
    <n v="51000"/>
    <n v="51000"/>
  </r>
  <r>
    <x v="35"/>
    <x v="35"/>
    <s v="Fiets"/>
    <x v="0"/>
    <n v="34"/>
    <s v="IN/000034"/>
    <s v="Structureel Onderhoud - conforme fietspaden in Oostende op N341  0.0 - 2.4"/>
    <s v="&lt;null&gt;"/>
    <s v="Kleine Ingreep"/>
    <s v="WWV/INV/N341/1"/>
    <b v="1"/>
    <s v="Ingreep wordt opgevolgd in BOD"/>
    <n v="2022"/>
    <s v="Q2"/>
    <s v="WEGENIS"/>
    <s v="&lt;null&gt;"/>
    <n v="100"/>
    <n v="309000"/>
    <n v="309000"/>
  </r>
  <r>
    <x v="36"/>
    <x v="36"/>
    <s v="Fiets"/>
    <x v="0"/>
    <n v="35"/>
    <s v="IN/000035"/>
    <s v="Structureel Onderhoud - conforme fietspaden in Oostende opR31  1.0 - 2.0"/>
    <s v="&lt;null&gt;"/>
    <s v="Kleine Ingreep"/>
    <s v="WWV/INV/R31/2"/>
    <b v="1"/>
    <s v="Ingreep wordt opgevolgd in BOD"/>
    <n v="2022"/>
    <s v="Q1"/>
    <s v="WEGENIS"/>
    <s v="&lt;null&gt;"/>
    <n v="100"/>
    <n v="251000"/>
    <n v="251000"/>
  </r>
  <r>
    <x v="37"/>
    <x v="37"/>
    <s v="Fiets"/>
    <x v="0"/>
    <n v="36"/>
    <s v="IN/000036"/>
    <s v="Structureel Onderhoud - conforme fietspaden in Hasselt opR71  7.9 - 7.9"/>
    <s v="3 deelprojecten: 1,3-3,8: breden FP markeren &amp; toplaag ; 11,9-12,3: toplaag fietspad vernieuwen &amp; 13,8-14,7: parkeerstrook omvormen tot fietspad"/>
    <s v="Kleine Ingreep"/>
    <s v="WL/INV/R71/9"/>
    <b v="1"/>
    <s v="Ingreep wordt opgevolgd in BOD"/>
    <s v="&lt;null&gt;"/>
    <s v="&lt;null&gt;"/>
    <s v="WEGENIS"/>
    <s v="&lt;null&gt;"/>
    <n v="100"/>
    <n v="81540.396550000005"/>
    <n v="81540.396550000005"/>
  </r>
  <r>
    <x v="38"/>
    <x v="38"/>
    <s v="Fiets"/>
    <x v="0"/>
    <n v="37"/>
    <s v="IN/000037"/>
    <s v="Structureel Onderhoud - conforme fietspaden in Hasselt opR71  6.9 - 6.9"/>
    <s v="3 deelprojecten: 1,3-3,8: breden FP markeren &amp; toplaag ; 11,9-12,3: toplaag fietspad vernieuwen &amp; 13,8-14,7: parkeerstrook omvormen tot fietspad"/>
    <s v="Kleine Ingreep"/>
    <s v="WL/INV/R71/10"/>
    <b v="1"/>
    <s v="Ingreep wordt opgevolgd in BOD"/>
    <s v="&lt;null&gt;"/>
    <s v="&lt;null&gt;"/>
    <s v="WEGENIS"/>
    <s v="&lt;null&gt;"/>
    <n v="100"/>
    <n v="13590.06609"/>
    <n v="13590.06609"/>
  </r>
  <r>
    <x v="39"/>
    <x v="39"/>
    <s v="Fiets"/>
    <x v="0"/>
    <n v="38"/>
    <s v="IN/000038"/>
    <s v="Structureel Onderhoud - conforme fietspaden in Hasselt opR71  5.8 - 5.8"/>
    <s v="3 deelprojecten: 1,3-3,8: breden FP markeren &amp; toplaag ; 11,9-12,3: toplaag fietspad vernieuwen &amp; 13,8-14,7: parkeerstrook omvormen tot fietspad"/>
    <s v="Kleine Ingreep"/>
    <s v="WL/INV/R71/11"/>
    <b v="1"/>
    <s v="Ingreep wordt opgevolgd in BOD"/>
    <s v="&lt;null&gt;"/>
    <s v="&lt;null&gt;"/>
    <s v="WEGENIS"/>
    <s v="&lt;null&gt;"/>
    <n v="100"/>
    <n v="92659.541540000006"/>
    <n v="92659.541540000006"/>
  </r>
  <r>
    <x v="40"/>
    <x v="40"/>
    <s v="Fiets"/>
    <x v="0"/>
    <n v="39"/>
    <s v="IN/000039"/>
    <s v="Structureel Onderhoud - conforme fietspaden in Hasselt opR71  5.5 - 5.5"/>
    <s v="3 deelprojecten: 1,3-3,8: breden FP markeren &amp; toplaag ; 11,9-12,3: toplaag fietspad vernieuwen &amp; 13,8-14,7: parkeerstrook omvormen tot fietspad"/>
    <s v="Kleine Ingreep"/>
    <s v="WL/INV/R71/12"/>
    <b v="1"/>
    <s v="Ingreep wordt opgevolgd in BOD"/>
    <s v="&lt;null&gt;"/>
    <s v="&lt;null&gt;"/>
    <s v="WEGENIS"/>
    <s v="&lt;null&gt;"/>
    <n v="100"/>
    <n v="70421.251569999993"/>
    <n v="70421.251569999993"/>
  </r>
  <r>
    <x v="41"/>
    <x v="41"/>
    <s v="Fiets"/>
    <x v="0"/>
    <n v="40"/>
    <s v="IN/000040"/>
    <s v="Structureel Onderhoud - conforme fietspaden in Hasselt opR71  4.9 - 4.9"/>
    <s v="3 deelprojecten: 1,3-3,8: breden FP markeren &amp; toplaag ; 11,9-12,3: toplaag fietspad vernieuwen &amp; 13,8-14,7: parkeerstrook omvormen tot fietspad"/>
    <s v="Kleine Ingreep"/>
    <s v="WL/INV/R71/13"/>
    <b v="1"/>
    <s v="Ingreep wordt opgevolgd in BOD"/>
    <s v="&lt;null&gt;"/>
    <s v="&lt;null&gt;"/>
    <s v="WEGENIS"/>
    <s v="&lt;null&gt;"/>
    <n v="100"/>
    <n v="49418.422149999999"/>
    <n v="49418.422149999999"/>
  </r>
  <r>
    <x v="42"/>
    <x v="42"/>
    <s v="Fiets"/>
    <x v="0"/>
    <n v="41"/>
    <s v="IN/000041"/>
    <s v="Structureel Onderhoud - conforme fietspaden in Hasselt opR71  4.5 - 5.3"/>
    <s v="3 deelprojecten: 1,3-3,8: breden FP markeren &amp; toplaag ; 11,9-12,3: toplaag fietspad vernieuwen &amp; 13,8-14,7: parkeerstrook omvormen tot fietspad"/>
    <s v="Kleine Ingreep"/>
    <s v="WL/INV/R71/14"/>
    <b v="1"/>
    <s v="Ingreep wordt opgevolgd in BOD"/>
    <s v="&lt;null&gt;"/>
    <s v="&lt;null&gt;"/>
    <s v="WEGENIS"/>
    <s v="&lt;null&gt;"/>
    <n v="100"/>
    <n v="93277.271810000006"/>
    <n v="93277.271810000006"/>
  </r>
  <r>
    <x v="43"/>
    <x v="43"/>
    <s v="Fiets"/>
    <x v="0"/>
    <n v="42"/>
    <s v="IN/000042"/>
    <s v="Structureel Onderhoud - conforme fietspaden in Hasselt opR71  2.8 - 2.9"/>
    <s v="3 deelprojecten: 1,3-3,8: breden FP markeren &amp; toplaag ; 11,9-12,3: toplaag fietspad vernieuwen &amp; 13,8-14,7: parkeerstrook omvormen tot fietspad"/>
    <s v="Kleine Ingreep"/>
    <s v="WL/INV/R71/15"/>
    <b v="1"/>
    <s v="Ingreep wordt opgevolgd in BOD"/>
    <s v="&lt;null&gt;"/>
    <s v="&lt;null&gt;"/>
    <s v="WEGENIS"/>
    <s v="&lt;null&gt;"/>
    <n v="100"/>
    <n v="107732.16029"/>
    <n v="107732.16029"/>
  </r>
  <r>
    <x v="44"/>
    <x v="44"/>
    <s v="Fiets"/>
    <x v="0"/>
    <n v="43"/>
    <s v="IN/000043"/>
    <s v="Structureel Onderhoud - conforme fietspaden in Hasselt opR71  1.3 - 1.3"/>
    <s v="3 deelprojecten: 1,3-3,8: breden FP markeren &amp; toplaag ; 11,9-12,3: toplaag fietspad vernieuwen &amp; 13,8-14,7: parkeerstrook omvormen tot fietspad"/>
    <s v="Kleine Ingreep"/>
    <s v="WL/INV/R71/16"/>
    <b v="1"/>
    <s v="Ingreep wordt opgevolgd in BOD"/>
    <s v="&lt;null&gt;"/>
    <s v="&lt;null&gt;"/>
    <s v="WEGENIS"/>
    <s v="&lt;null&gt;"/>
    <n v="100"/>
    <n v="42005.65883"/>
    <n v="42005.65883"/>
  </r>
  <r>
    <x v="45"/>
    <x v="45"/>
    <s v="Fiets"/>
    <x v="0"/>
    <n v="44"/>
    <s v="IN/000044"/>
    <s v="Structureel Onderhoud - conforme fietspaden in Hasselt opR71  0.6 - 0.6"/>
    <s v="3 deelprojecten: 1,3-3,8: breden FP markeren &amp; toplaag ; 11,9-12,3: toplaag fietspad vernieuwen &amp; 13,8-14,7: parkeerstrook omvormen tot fietspad"/>
    <s v="Kleine Ingreep"/>
    <s v="WL/INV/R71/17"/>
    <b v="1"/>
    <s v="Ingreep wordt opgevolgd in BOD"/>
    <s v="&lt;null&gt;"/>
    <s v="&lt;null&gt;"/>
    <s v="WEGENIS"/>
    <s v="&lt;null&gt;"/>
    <n v="100"/>
    <n v="16678.717479999999"/>
    <n v="16678.717479999999"/>
  </r>
  <r>
    <x v="46"/>
    <x v="46"/>
    <s v="Fiets"/>
    <x v="0"/>
    <n v="45"/>
    <s v="IN/000045"/>
    <s v="Structureel Onderhoud - conforme fietspaden in Grobbendonk opN13  11.0 - 15.0"/>
    <s v="Verhoging module 13 en structureel onderhoud"/>
    <s v="Kleine Ingreep"/>
    <s v="WA/INV/N13/7"/>
    <b v="0"/>
    <s v="Ingreep wordt niet opgevolgd in BOD"/>
    <s v="&lt;null&gt;"/>
    <s v="&lt;null&gt;"/>
    <s v="WEGENIS"/>
    <s v="&lt;null&gt;"/>
    <n v="100"/>
    <n v="2000000"/>
    <n v="2000000"/>
  </r>
  <r>
    <x v="47"/>
    <x v="47"/>
    <s v="Verkeersveiligheid"/>
    <x v="4"/>
    <n v="45"/>
    <s v="IN/000045"/>
    <s v="Structureel Onderhoud - conforme fietspaden in Grobbendonk opN13  11.0 - 15.0"/>
    <s v="Verhoging module 13 en structureel onderhoud"/>
    <s v="Kleine Ingreep"/>
    <s v="WA/INV/N13/7"/>
    <b v="0"/>
    <s v="Ingreep wordt niet opgevolgd in BOD"/>
    <s v="&lt;null&gt;"/>
    <s v="&lt;null&gt;"/>
    <s v="WEGENIS"/>
    <s v="&lt;null&gt;"/>
    <n v="0"/>
    <n v="2000000"/>
    <n v="0"/>
  </r>
  <r>
    <x v="48"/>
    <x v="48"/>
    <s v="Verkeersveiligheid"/>
    <x v="4"/>
    <n v="45"/>
    <s v="IN/000045"/>
    <s v="Structureel Onderhoud - conforme fietspaden in Grobbendonk opN13  11.0 - 15.0"/>
    <s v="Verhoging module 13 en structureel onderhoud"/>
    <s v="Kleine Ingreep"/>
    <s v="WA/INV/N13/7"/>
    <b v="0"/>
    <s v="Ingreep wordt niet opgevolgd in BOD"/>
    <s v="&lt;null&gt;"/>
    <s v="&lt;null&gt;"/>
    <s v="WEGENIS"/>
    <s v="&lt;null&gt;"/>
    <n v="0"/>
    <n v="2000000"/>
    <n v="0"/>
  </r>
  <r>
    <x v="49"/>
    <x v="49"/>
    <s v="Verkeersveiligheid"/>
    <x v="4"/>
    <n v="45"/>
    <s v="IN/000045"/>
    <s v="Structureel Onderhoud - conforme fietspaden in Grobbendonk opN13  11.0 - 15.0"/>
    <s v="Verhoging module 13 en structureel onderhoud"/>
    <s v="Kleine Ingreep"/>
    <s v="WA/INV/N13/7"/>
    <b v="0"/>
    <s v="Ingreep wordt niet opgevolgd in BOD"/>
    <s v="&lt;null&gt;"/>
    <s v="&lt;null&gt;"/>
    <s v="WEGENIS"/>
    <s v="&lt;null&gt;"/>
    <n v="0"/>
    <n v="2000000"/>
    <n v="0"/>
  </r>
  <r>
    <x v="50"/>
    <x v="50"/>
    <s v="Verkeersveiligheid"/>
    <x v="4"/>
    <n v="45"/>
    <s v="IN/000045"/>
    <s v="Structureel Onderhoud - conforme fietspaden in Grobbendonk opN13  11.0 - 15.0"/>
    <s v="Verhoging module 13 en structureel onderhoud"/>
    <s v="Kleine Ingreep"/>
    <s v="WA/INV/N13/7"/>
    <b v="0"/>
    <s v="Ingreep wordt niet opgevolgd in BOD"/>
    <s v="&lt;null&gt;"/>
    <s v="&lt;null&gt;"/>
    <s v="WEGENIS"/>
    <s v="&lt;null&gt;"/>
    <n v="0"/>
    <n v="2000000"/>
    <n v="0"/>
  </r>
  <r>
    <x v="51"/>
    <x v="51"/>
    <s v="Fiets"/>
    <x v="0"/>
    <n v="46"/>
    <s v="IN/000046"/>
    <s v="Structureel Onderhoud - conforme fietspaden in Boom opN177  12.9 - 13.5"/>
    <s v="Structureel Onderhoud - conforme fietspaden N177"/>
    <s v="Kleine Ingreep"/>
    <s v="WA/INV/N177/7"/>
    <b v="0"/>
    <s v="Ingreep wordt niet opgevolgd in BOD"/>
    <s v="&lt;null&gt;"/>
    <s v="&lt;null&gt;"/>
    <s v="WEGENIS"/>
    <s v="&lt;null&gt;"/>
    <n v="100"/>
    <n v="92000"/>
    <n v="92000"/>
  </r>
  <r>
    <x v="52"/>
    <x v="52"/>
    <s v="Fiets"/>
    <x v="0"/>
    <n v="47"/>
    <s v="IN/000047"/>
    <s v="Structureel Onderhoud - conforme fietspaden in Boom opN177  13.1 - 13.4"/>
    <s v="Structureel Onderhoud - conforme fietspaden N177"/>
    <s v="Kleine Ingreep"/>
    <s v="WA/INV/N177/8"/>
    <b v="0"/>
    <s v="Ingreep wordt niet opgevolgd in BOD"/>
    <s v="&lt;null&gt;"/>
    <s v="&lt;null&gt;"/>
    <s v="WEGENIS"/>
    <s v="&lt;null&gt;"/>
    <n v="100"/>
    <n v="61000"/>
    <n v="61000"/>
  </r>
  <r>
    <x v="53"/>
    <x v="53"/>
    <s v="Fiets"/>
    <x v="0"/>
    <n v="48"/>
    <s v="IN/000048"/>
    <s v="Structureel Onderhoud - conforme fietspaden in Sint-Truiden opN722  2.2 - 13.0"/>
    <s v="Structureel onderhoud en fietsvoorzieningen N722"/>
    <s v="Kleine Ingreep"/>
    <s v="WL/INV/N722/3"/>
    <b v="0"/>
    <s v="Ingreep wordt niet opgevolgd in BOD"/>
    <s v="&lt;null&gt;"/>
    <s v="&lt;null&gt;"/>
    <s v="WEGENIS"/>
    <s v="&lt;null&gt;"/>
    <n v="100"/>
    <n v="1300000"/>
    <n v="1300000"/>
  </r>
  <r>
    <x v="54"/>
    <x v="54"/>
    <s v="Fiets"/>
    <x v="0"/>
    <n v="49"/>
    <s v="IN/000049"/>
    <s v="Structureel Onderhoud - conforme fietspaden in Hechtel-Eksel opN73  32.6 - 33.6"/>
    <s v="Structureel Onderhoud - conforme fietspaden N73"/>
    <s v="Kleine Ingreep"/>
    <s v="WL/INV/N73/15"/>
    <b v="0"/>
    <s v="Ingreep wordt niet opgevolgd in BOD"/>
    <s v="&lt;null&gt;"/>
    <s v="&lt;null&gt;"/>
    <s v="WEGENIS"/>
    <s v="&lt;null&gt;"/>
    <n v="100"/>
    <n v="420000"/>
    <n v="420000"/>
  </r>
  <r>
    <x v="55"/>
    <x v="55"/>
    <s v="Fiets"/>
    <x v="0"/>
    <n v="50"/>
    <s v="IN/000050"/>
    <s v="Structureel Onderhoud - conforme fietspaden in Geraardsbergen opN42  19.6 - 22.7"/>
    <s v="Structureel Onderhoud - conforme fietspaden N42"/>
    <s v="Kleine Ingreep"/>
    <s v="WOV/INV/N42/7"/>
    <b v="0"/>
    <s v="Ingreep wordt niet opgevolgd in BOD"/>
    <s v="&lt;null&gt;"/>
    <s v="&lt;null&gt;"/>
    <s v="WEGENIS"/>
    <s v="&lt;null&gt;"/>
    <n v="100"/>
    <n v="1240000"/>
    <n v="1240000"/>
  </r>
  <r>
    <x v="56"/>
    <x v="56"/>
    <s v="Fiets"/>
    <x v="0"/>
    <n v="51"/>
    <s v="IN/000051"/>
    <s v="Fietsrelance N405 Aalst + R41 Albrechtlaan"/>
    <s v="Structureel Onderhoud:\n- fietspaden N405, vervangen bestrating door asfalt\n- fietspaden R41 tussen N9 en N411, vervangen bestrating door asfalt\n"/>
    <s v="Kleine Ingreep"/>
    <s v="WOV/INV/N405/2"/>
    <b v="0"/>
    <s v="Ingreep wordt niet opgevolgd in BOD"/>
    <n v="2022"/>
    <s v="Q4"/>
    <s v="WEGENIS"/>
    <s v="Geupdate raming aanbesteding"/>
    <n v="100"/>
    <n v="861236.53"/>
    <n v="861236.53"/>
  </r>
  <r>
    <x v="57"/>
    <x v="57"/>
    <s v="Fiets"/>
    <x v="0"/>
    <n v="52"/>
    <s v="IN/000052"/>
    <s v="Structureel Onderhoud - conforme fietspaden in Ninove opN255  10.0 - 11.4"/>
    <s v="Structureel Onderhoud - conforme fietspaden N255"/>
    <s v="Kleine Ingreep"/>
    <s v="WOV/INV/N255/2"/>
    <b v="0"/>
    <s v="Ingreep wordt niet opgevolgd in BOD"/>
    <s v="&lt;null&gt;"/>
    <s v="&lt;null&gt;"/>
    <s v="WEGENIS"/>
    <s v="&lt;null&gt;"/>
    <n v="100"/>
    <n v="462000"/>
    <n v="462000"/>
  </r>
  <r>
    <x v="58"/>
    <x v="58"/>
    <s v="Fiets"/>
    <x v="0"/>
    <n v="53"/>
    <s v="IN/000053"/>
    <s v="Fietsrelance N467 Berlare 2.76 - 5.97"/>
    <s v="Structureel Onderhoud - conforme fietspaden in Berlare op N467  2.76 -  5.97"/>
    <s v="Kleine Ingreep"/>
    <s v="WOV/INV/N467/2"/>
    <b v="0"/>
    <s v="Ingreep wordt niet opgevolgd in BOD"/>
    <n v="2022"/>
    <s v="Q4"/>
    <s v="WEGENIS"/>
    <s v="Raming aanbesteding"/>
    <n v="100"/>
    <n v="836776.56"/>
    <n v="836776.56"/>
  </r>
  <r>
    <x v="59"/>
    <x v="59"/>
    <s v="Fiets"/>
    <x v="0"/>
    <n v="54"/>
    <s v="IN/000054"/>
    <s v="Fietsrelance Denderleeuw N405 kmpt 3.1 - 4.5"/>
    <s v="Structureel Onderhoud - conforme fietspaden in Denderleeuw op N405 kmpt 3.1 - 4.5"/>
    <s v="Kleine Ingreep"/>
    <s v="WOV/INV/N405/3"/>
    <b v="0"/>
    <s v="Ingreep wordt niet opgevolgd in BOD"/>
    <n v="2022"/>
    <s v="Q4"/>
    <s v="WEGENIS"/>
    <s v="Fietsrelance N405 Denderleeuw"/>
    <n v="100"/>
    <n v="504709.67"/>
    <n v="504709.67"/>
  </r>
  <r>
    <x v="60"/>
    <x v="60"/>
    <s v="Fiets"/>
    <x v="0"/>
    <n v="55"/>
    <s v="IN/000055"/>
    <s v="Structureel Onderhoud - rijweg en fietspaden in Oudenaarde op N459  0.9 - 3.93"/>
    <s v="Structureel Onderhoud - conforme fietspaden N459"/>
    <s v="Kleine Ingreep"/>
    <s v="WOV/INV/N459/3"/>
    <b v="0"/>
    <s v="Ingreep wordt niet opgevolgd in BOD"/>
    <n v="2022"/>
    <s v="Q4"/>
    <s v="WEGENIS"/>
    <s v="Fietspaden 350.000 euro (totaalproject (wegenis + fietspaden) 2.384.816,23 €)"/>
    <n v="100"/>
    <n v="350000"/>
    <n v="350000"/>
  </r>
  <r>
    <x v="61"/>
    <x v="61"/>
    <s v="Fiets"/>
    <x v="0"/>
    <n v="56"/>
    <s v="IN/000056"/>
    <s v="Structureel Onderhoud - conforme fietspaden in Ninove opN255  14.7 - 15.2"/>
    <s v="Structureel Onderhoud - conforme fietspaden N255"/>
    <s v="Kleine Ingreep"/>
    <s v="WOV/INV/N255/3"/>
    <b v="0"/>
    <s v="Ingreep wordt niet opgevolgd in BOD"/>
    <s v="&lt;null&gt;"/>
    <s v="&lt;null&gt;"/>
    <s v="WEGENIS"/>
    <s v="&lt;null&gt;"/>
    <n v="100"/>
    <n v="165000"/>
    <n v="165000"/>
  </r>
  <r>
    <x v="62"/>
    <x v="62"/>
    <s v="Fiets"/>
    <x v="0"/>
    <n v="57"/>
    <s v="IN/000057"/>
    <s v="Structureel Onderhoud - conforme fietspaden in Horebeke opN454  14.56 - 15.2"/>
    <s v="Structureel Onderhoud - conforme fietspaden N454"/>
    <s v="Kleine Ingreep"/>
    <s v="WOV/INV/N454/7"/>
    <b v="0"/>
    <s v="Ingreep wordt niet opgevolgd in BOD"/>
    <s v="&lt;null&gt;"/>
    <s v="&lt;null&gt;"/>
    <s v="WEGENIS"/>
    <s v="&lt;null&gt;"/>
    <n v="100"/>
    <n v="90000"/>
    <n v="90000"/>
  </r>
  <r>
    <x v="63"/>
    <x v="63"/>
    <s v="Fiets"/>
    <x v="0"/>
    <n v="58"/>
    <s v="IN/000058"/>
    <s v="Structureel Onderhoud - conforme fietspaden in Leuven opN25  0.0 - 2.2"/>
    <s v="Structureel Onderhoud - conforme fietspaden N25"/>
    <s v="Kleine Ingreep"/>
    <s v="WVB/INV/N25/4"/>
    <b v="0"/>
    <s v="Ingreep wordt niet opgevolgd in BOD"/>
    <s v="&lt;null&gt;"/>
    <s v="&lt;null&gt;"/>
    <s v="WEGENIS"/>
    <s v="&lt;null&gt;"/>
    <n v="100"/>
    <n v="125000"/>
    <n v="125000"/>
  </r>
  <r>
    <x v="64"/>
    <x v="64"/>
    <s v="Fiets"/>
    <x v="0"/>
    <n v="59"/>
    <s v="IN/000059"/>
    <s v="Structureel Onderhoud - conforme fietspaden in Blankenberge opN371  8.4 - 10.5"/>
    <s v="Structureel Onderhoud - conforme fietspaden N371"/>
    <s v="Kleine Ingreep"/>
    <s v="WWV/INV/N371/2"/>
    <b v="0"/>
    <s v="Ingreep wordt niet opgevolgd in BOD"/>
    <s v="&lt;null&gt;"/>
    <s v="&lt;null&gt;"/>
    <s v="WEGENIS"/>
    <s v="&lt;null&gt;"/>
    <n v="100"/>
    <n v="1100000"/>
    <n v="1100000"/>
  </r>
  <r>
    <x v="65"/>
    <x v="65"/>
    <s v="Fiets"/>
    <x v="0"/>
    <n v="60"/>
    <s v="IN/000060"/>
    <s v="Optimalisatie kruispunten, oversteken in Aarschot opR25  0.0 - 2.5"/>
    <s v="herinrichting naar vrijliggende fietspaden: Voorzien nieuwe LED verlichting.  en aanpassen bestaande verlichting"/>
    <s v="Kleine Ingreep"/>
    <s v="WVB/INV/R25/2"/>
    <b v="0"/>
    <s v="Ingreep wordt niet opgevolgd in BOD"/>
    <n v="2021"/>
    <s v="Q1"/>
    <s v="OV"/>
    <s v="OV"/>
    <n v="100"/>
    <n v="188250.19"/>
    <n v="188250.19"/>
  </r>
  <r>
    <x v="65"/>
    <x v="65"/>
    <s v="Fiets"/>
    <x v="0"/>
    <n v="60"/>
    <s v="IN/000060"/>
    <s v="Optimalisatie kruispunten, oversteken in Aarschot opR25  0.0 - 2.5"/>
    <s v="herinrichting naar vrijliggende fietspaden: Voorzien nieuwe LED verlichting.  en aanpassen bestaande verlichting"/>
    <s v="Kleine Ingreep"/>
    <s v="WVB/INV/R25/2"/>
    <b v="0"/>
    <s v="Ingreep wordt niet opgevolgd in BOD"/>
    <n v="2021"/>
    <s v="Q1"/>
    <s v="OV"/>
    <s v="OV niet op Relance gedeelte"/>
    <n v="100"/>
    <n v="174749"/>
    <n v="174749"/>
  </r>
  <r>
    <x v="66"/>
    <x v="66"/>
    <s v="Fiets"/>
    <x v="0"/>
    <n v="61"/>
    <s v="IN/000061"/>
    <s v="Optimalisatie kruispunten, oversteken in Grimbergen opN277  6.2 - 6.4"/>
    <s v="N277 Temselaan &gt; VRI: 2 fietsoversteken voorzien om de N277 over te steken"/>
    <s v="Kleine Ingreep"/>
    <s v="WVB/INV/N277/2"/>
    <b v="0"/>
    <s v="Ingreep wordt niet opgevolgd in BOD"/>
    <n v="2021"/>
    <s v="Q1"/>
    <s v="VRI"/>
    <s v="Busbeinvloeding"/>
    <n v="100"/>
    <n v="10000"/>
    <n v="10000"/>
  </r>
  <r>
    <x v="66"/>
    <x v="66"/>
    <s v="Fiets"/>
    <x v="0"/>
    <n v="61"/>
    <s v="IN/000061"/>
    <s v="Optimalisatie kruispunten, oversteken in Grimbergen opN277  6.2 - 6.4"/>
    <s v="N277 Temselaan &gt; VRI: 2 fietsoversteken voorzien om de N277 over te steken"/>
    <s v="Kleine Ingreep"/>
    <s v="WVB/INV/N277/2"/>
    <b v="0"/>
    <s v="Ingreep wordt niet opgevolgd in BOD"/>
    <n v="2021"/>
    <s v="Q1"/>
    <s v="VRI"/>
    <s v="Regelaar"/>
    <n v="100"/>
    <n v="11000"/>
    <n v="11000"/>
  </r>
  <r>
    <x v="66"/>
    <x v="66"/>
    <s v="Fiets"/>
    <x v="0"/>
    <n v="61"/>
    <s v="IN/000061"/>
    <s v="Optimalisatie kruispunten, oversteken in Grimbergen opN277  6.2 - 6.4"/>
    <s v="N277 Temselaan &gt; VRI: 2 fietsoversteken voorzien om de N277 over te steken"/>
    <s v="Kleine Ingreep"/>
    <s v="WVB/INV/N277/2"/>
    <b v="0"/>
    <s v="Ingreep wordt niet opgevolgd in BOD"/>
    <n v="2021"/>
    <s v="Q1"/>
    <s v="VRI"/>
    <s v="buiteninstallatie"/>
    <n v="100"/>
    <n v="100000"/>
    <n v="100000"/>
  </r>
  <r>
    <x v="67"/>
    <x v="67"/>
    <s v="Fiets"/>
    <x v="0"/>
    <n v="62"/>
    <s v="IN/000062"/>
    <s v="Optimalisatie kruispunten, oversteken in Tienen opN29  57.8 - 57.8"/>
    <s v="kruispunt N29 - Aandorenstraat: herinrichting kruispunt"/>
    <s v="Kleine Ingreep"/>
    <s v="WVB/INV/N29/6"/>
    <b v="0"/>
    <s v="Ingreep wordt niet opgevolgd in BOD"/>
    <n v="2021"/>
    <s v="Q1"/>
    <s v="VRI"/>
    <s v="buiteninstallatie"/>
    <n v="100"/>
    <n v="120000"/>
    <n v="120000"/>
  </r>
  <r>
    <x v="67"/>
    <x v="67"/>
    <s v="Fiets"/>
    <x v="0"/>
    <n v="62"/>
    <s v="IN/000062"/>
    <s v="Optimalisatie kruispunten, oversteken in Tienen opN29  57.8 - 57.8"/>
    <s v="kruispunt N29 - Aandorenstraat: herinrichting kruispunt"/>
    <s v="Kleine Ingreep"/>
    <s v="WVB/INV/N29/6"/>
    <b v="0"/>
    <s v="Ingreep wordt niet opgevolgd in BOD"/>
    <n v="2021"/>
    <s v="Q1"/>
    <s v="VRI"/>
    <s v="Regelaar"/>
    <n v="100"/>
    <n v="40000"/>
    <n v="40000"/>
  </r>
  <r>
    <x v="68"/>
    <x v="68"/>
    <s v="Fiets"/>
    <x v="0"/>
    <n v="63"/>
    <s v="IN/000063"/>
    <s v="Optimalisatie kruispunten, oversteken in Zaventem opN227  15.7 - 15.8"/>
    <s v="N227 Erpsestraat: VRI voor beveiligen oversteek (fietsers) kruispunt:"/>
    <s v="Kleine Ingreep"/>
    <s v="WVB/INV/N227/1"/>
    <b v="1"/>
    <s v="Ingreep wordt opgevolgd in BOD"/>
    <n v="2021"/>
    <s v="Q3"/>
    <s v="VRI"/>
    <s v="buiteninstallatie"/>
    <n v="100"/>
    <n v="63406.03"/>
    <n v="63406.03"/>
  </r>
  <r>
    <x v="68"/>
    <x v="68"/>
    <s v="Fiets"/>
    <x v="0"/>
    <n v="63"/>
    <s v="IN/000063"/>
    <s v="Optimalisatie kruispunten, oversteken in Zaventem opN227  15.7 - 15.8"/>
    <s v="N227 Erpsestraat: VRI voor beveiligen oversteek (fietsers) kruispunt:"/>
    <s v="Kleine Ingreep"/>
    <s v="WVB/INV/N227/1"/>
    <b v="1"/>
    <s v="Ingreep wordt opgevolgd in BOD"/>
    <n v="2021"/>
    <s v="Q3"/>
    <s v="VRI"/>
    <s v="Regelaar"/>
    <n v="100"/>
    <n v="14955.14"/>
    <n v="14955.14"/>
  </r>
  <r>
    <x v="69"/>
    <x v="69"/>
    <s v="Fiets"/>
    <x v="0"/>
    <n v="64"/>
    <s v="IN/000064"/>
    <s v="Optimalisatie kruispunten, oversteken in Heist-op-den-Berg opN10  22.0 - 22.3"/>
    <s v="N10 x N15 werken"/>
    <s v="Kleine Ingreep"/>
    <s v="WA/INV/N10/7"/>
    <b v="0"/>
    <s v="Ingreep wordt niet opgevolgd in BOD"/>
    <s v="&lt;null&gt;"/>
    <s v="&lt;null&gt;"/>
    <s v="WEGENIS"/>
    <s v="&lt;null&gt;"/>
    <n v="100"/>
    <n v="11000000"/>
    <n v="11000000"/>
  </r>
  <r>
    <x v="70"/>
    <x v="70"/>
    <s v="Fiets"/>
    <x v="0"/>
    <n v="65"/>
    <s v="IN/000065"/>
    <s v="Optimalisatie kruispunten, oversteken in Kontich opN171  3.4 - 3.7"/>
    <s v="Deelname in fietstunnel st.-Rita"/>
    <s v="Kleine Ingreep"/>
    <s v="WA/INV/N171/8"/>
    <b v="0"/>
    <s v="Ingreep wordt niet opgevolgd in BOD"/>
    <s v="&lt;null&gt;"/>
    <s v="&lt;null&gt;"/>
    <s v="WEGENIS"/>
    <s v="&lt;null&gt;"/>
    <n v="100"/>
    <n v="2400000"/>
    <n v="2400000"/>
  </r>
  <r>
    <x v="71"/>
    <x v="71"/>
    <s v="Fiets"/>
    <x v="0"/>
    <n v="66"/>
    <s v="IN/000066"/>
    <s v="Optimalisatie kruispunten, oversteken in Dilsen-Stokkem opN75  17.0 - 29.0"/>
    <s v="Ecorecreaduct N75 - uitvoering fiets"/>
    <s v="Kleine Ingreep"/>
    <s v="WL/INV/N75/8"/>
    <b v="0"/>
    <s v="Ingreep wordt niet opgevolgd in BOD"/>
    <s v="&lt;null&gt;"/>
    <s v="&lt;null&gt;"/>
    <s v="WEGENIS"/>
    <s v="&lt;null&gt;"/>
    <n v="100"/>
    <n v="3000000"/>
    <n v="3000000"/>
  </r>
  <r>
    <x v="72"/>
    <x v="72"/>
    <s v="Fiets"/>
    <x v="0"/>
    <n v="67"/>
    <s v="IN/000067"/>
    <s v="Optimalisatie kruispunten, oversteken in Peer opN73  28.2 - 28.3"/>
    <s v="St. Trudostraat (VRI + fietsoversteek)"/>
    <s v="Kleine Ingreep"/>
    <s v="WL/INV/N73/16"/>
    <b v="0"/>
    <s v="Ingreep wordt niet opgevolgd in BOD"/>
    <s v="&lt;null&gt;"/>
    <s v="&lt;null&gt;"/>
    <s v="WEGENIS"/>
    <s v="&lt;null&gt;"/>
    <n v="100"/>
    <n v="300000"/>
    <n v="300000"/>
  </r>
  <r>
    <x v="73"/>
    <x v="73"/>
    <s v="Fiets"/>
    <x v="0"/>
    <n v="68"/>
    <s v="IN/000068"/>
    <s v="Vrijliggende fietspaden à rotondes in Zandhoven opN14  23.9 - 24.4"/>
    <s v="Herinrichting N14 te Zandhoven"/>
    <s v="Kleine Ingreep"/>
    <s v="WA/INV/N14/7"/>
    <b v="0"/>
    <s v="Ingreep wordt niet opgevolgd in BOD"/>
    <s v="&lt;null&gt;"/>
    <s v="&lt;null&gt;"/>
    <s v="WEGENIS"/>
    <s v="&lt;null&gt;"/>
    <n v="100"/>
    <n v="730000"/>
    <n v="730000"/>
  </r>
  <r>
    <x v="74"/>
    <x v="74"/>
    <s v="Fiets"/>
    <x v="0"/>
    <n v="69"/>
    <s v="IN/000069"/>
    <s v="Nieuwe SLEM-laag in Herk-de-Stad opN717  10.9 - 11.1"/>
    <s v="km 10,9-11,1 : rode slem vernieuwen"/>
    <s v="Kleine Ingreep"/>
    <s v="WL/INV/N717/4"/>
    <b v="1"/>
    <s v="Ingreep wordt opgevolgd in BOD"/>
    <s v="&lt;null&gt;"/>
    <s v="&lt;null&gt;"/>
    <s v="WEGENIS"/>
    <s v="&lt;null&gt;"/>
    <n v="100"/>
    <n v="181456.29"/>
    <n v="181456.29"/>
  </r>
  <r>
    <x v="75"/>
    <x v="75"/>
    <s v="Fiets"/>
    <x v="0"/>
    <n v="70"/>
    <s v="IN/000070"/>
    <s v="Nieuwe SLEM-laag in Peer opN73  26.1 - 26.2"/>
    <s v="km 26,1-26,2 : nieuwe anti-slip laag op fietsbrug"/>
    <s v="Kleine Ingreep"/>
    <s v="WL/INV/N73/13"/>
    <b v="1"/>
    <s v="Ingreep wordt opgevolgd in BOD"/>
    <s v="&lt;null&gt;"/>
    <s v="&lt;null&gt;"/>
    <s v="WEGENIS"/>
    <s v="&lt;null&gt;"/>
    <n v="100"/>
    <n v="16689.400000000001"/>
    <n v="16689.400000000001"/>
  </r>
  <r>
    <x v="76"/>
    <x v="76"/>
    <s v="Fiets"/>
    <x v="0"/>
    <n v="71"/>
    <s v="IN/000071"/>
    <s v="Aanleg vrijliggende fietspaden in Koksijde opN34  57.7 - 58.4"/>
    <s v="&lt;null&gt;"/>
    <s v="Kleine Ingreep"/>
    <s v="WWV/INV/N34/8"/>
    <b v="1"/>
    <s v="Ingreep wordt opgevolgd in BOD"/>
    <n v="2021"/>
    <s v="Q4"/>
    <s v="WEGENIS"/>
    <s v="&lt;null&gt;"/>
    <n v="100"/>
    <n v="150000"/>
    <n v="150000"/>
  </r>
  <r>
    <x v="77"/>
    <x v="77"/>
    <s v="Fiets"/>
    <x v="0"/>
    <n v="72"/>
    <s v="IN/000072"/>
    <s v="Aanleg vrijliggende fietspaden in Duffel opN14  5.3 - 7.86"/>
    <s v="Aanleg vrijliggende fietspaden; WERKEN DUFFEL"/>
    <s v="Kleine Ingreep"/>
    <s v="WA/INV/N14/8"/>
    <b v="0"/>
    <s v="Ingreep wordt niet opgevolgd in BOD"/>
    <s v="&lt;null&gt;"/>
    <s v="&lt;null&gt;"/>
    <s v="VRI"/>
    <s v="&lt;null&gt;"/>
    <n v="100"/>
    <n v="200000"/>
    <n v="200000"/>
  </r>
  <r>
    <x v="77"/>
    <x v="77"/>
    <s v="Fiets"/>
    <x v="0"/>
    <n v="72"/>
    <s v="IN/000072"/>
    <s v="Aanleg vrijliggende fietspaden in Duffel opN14  5.3 - 7.86"/>
    <s v="Aanleg vrijliggende fietspaden; WERKEN DUFFEL"/>
    <s v="Kleine Ingreep"/>
    <s v="WA/INV/N14/8"/>
    <b v="0"/>
    <s v="Ingreep wordt niet opgevolgd in BOD"/>
    <s v="&lt;null&gt;"/>
    <s v="&lt;null&gt;"/>
    <s v="WEGENIS"/>
    <s v="&lt;null&gt;"/>
    <n v="100"/>
    <n v="2500000"/>
    <n v="2500000"/>
  </r>
  <r>
    <x v="78"/>
    <x v="78"/>
    <s v="Fiets"/>
    <x v="0"/>
    <n v="73"/>
    <s v="IN/000073"/>
    <s v="Aanleg vrijliggende fietspaden in Antwerpen opN148  4.0 - 5.8"/>
    <s v="Sint-Bernardsesteenweg en Schoonselhof (routeplan 2030)"/>
    <s v="Kleine Ingreep"/>
    <s v="WA/INV/N148/2"/>
    <b v="0"/>
    <s v="Ingreep wordt niet opgevolgd in BOD"/>
    <s v="&lt;null&gt;"/>
    <s v="&lt;null&gt;"/>
    <s v="VRI"/>
    <s v="&lt;null&gt;"/>
    <n v="100"/>
    <n v="500000"/>
    <n v="500000"/>
  </r>
  <r>
    <x v="78"/>
    <x v="78"/>
    <s v="Fiets"/>
    <x v="0"/>
    <n v="73"/>
    <s v="IN/000073"/>
    <s v="Aanleg vrijliggende fietspaden in Antwerpen opN148  4.0 - 5.8"/>
    <s v="Sint-Bernardsesteenweg en Schoonselhof (routeplan 2030)"/>
    <s v="Kleine Ingreep"/>
    <s v="WA/INV/N148/2"/>
    <b v="0"/>
    <s v="Ingreep wordt niet opgevolgd in BOD"/>
    <s v="&lt;null&gt;"/>
    <s v="&lt;null&gt;"/>
    <s v="WEGENIS"/>
    <s v="&lt;null&gt;"/>
    <n v="100"/>
    <n v="3500000"/>
    <n v="3500000"/>
  </r>
  <r>
    <x v="79"/>
    <x v="79"/>
    <s v="Fiets"/>
    <x v="0"/>
    <n v="74"/>
    <s v="IN/000074"/>
    <s v="Aanleg vrijliggende fietspaden in Puurs-Sint-Amands opN17  6.1 - 9.0"/>
    <s v="St-amands: vrijliggende fietspaden WERKEN"/>
    <s v="Kleine Ingreep"/>
    <s v="WA/INV/N17/4"/>
    <b v="0"/>
    <s v="Ingreep wordt niet opgevolgd in BOD"/>
    <s v="&lt;null&gt;"/>
    <s v="&lt;null&gt;"/>
    <s v="WEGENIS"/>
    <s v="&lt;null&gt;"/>
    <n v="100"/>
    <n v="1000000"/>
    <n v="1000000"/>
  </r>
  <r>
    <x v="80"/>
    <x v="80"/>
    <s v="Fiets"/>
    <x v="0"/>
    <n v="75"/>
    <s v="IN/000075"/>
    <s v="Aanleg vrijliggende fietspaden in Antwerpen opN114  3.0 - 4.0"/>
    <s v="Aanleg vrijliggend fietspad Leugenberg"/>
    <s v="Kleine Ingreep"/>
    <s v="WA/INV/N114/4"/>
    <b v="0"/>
    <s v="Ingreep wordt niet opgevolgd in BOD"/>
    <s v="&lt;null&gt;"/>
    <s v="&lt;null&gt;"/>
    <s v="WEGENIS"/>
    <s v="&lt;null&gt;"/>
    <n v="100"/>
    <n v="2500000"/>
    <n v="2500000"/>
  </r>
  <r>
    <x v="81"/>
    <x v="81"/>
    <s v="Fiets"/>
    <x v="0"/>
    <n v="76"/>
    <s v="IN/000076"/>
    <s v="Aanleg vrijliggende fietspaden in Antwerpen, Ekeren opN114  3.0 - 3.1"/>
    <s v="Aanleg vrijliggend fietspad Leugenberg : OV"/>
    <s v="Kleine Ingreep"/>
    <s v="WA/INV/N114/5"/>
    <b v="0"/>
    <s v="Ingreep wordt niet opgevolgd in BOD"/>
    <s v="&lt;null&gt;"/>
    <s v="&lt;null&gt;"/>
    <s v="WEGENIS"/>
    <s v="&lt;null&gt;"/>
    <n v="100"/>
    <n v="100000"/>
    <n v="100000"/>
  </r>
  <r>
    <x v="82"/>
    <x v="82"/>
    <s v="Fiets"/>
    <x v="0"/>
    <n v="77"/>
    <s v="IN/000077"/>
    <s v="Aanleg vrijliggende fietspaden in Tongeren opN753  1.9 - 3.1"/>
    <s v="Noordoostelijke omleidingsweg te Tongeren N79; fietspaden Molenweg"/>
    <s v="Kleine Ingreep"/>
    <s v="WL/INV/N753/4"/>
    <b v="0"/>
    <s v="Ingreep wordt niet opgevolgd in BOD"/>
    <s v="&lt;null&gt;"/>
    <s v="&lt;null&gt;"/>
    <s v="WEGENIS"/>
    <s v="&lt;null&gt;"/>
    <n v="100"/>
    <n v="2000000"/>
    <n v="2000000"/>
  </r>
  <r>
    <x v="83"/>
    <x v="83"/>
    <s v="Fiets"/>
    <x v="0"/>
    <n v="78"/>
    <s v="IN/000078"/>
    <s v="Aanleg vrijliggende fietspaden in Lummen opN725  11.9 - 12.8"/>
    <s v="Fietspaden Blanklaarstraat - ontbrekend stuk"/>
    <s v="Kleine Ingreep"/>
    <s v="WL/INV/N725/10"/>
    <b v="0"/>
    <s v="Ingreep wordt niet opgevolgd in BOD"/>
    <s v="&lt;null&gt;"/>
    <s v="&lt;null&gt;"/>
    <s v="WEGENIS"/>
    <s v="&lt;null&gt;"/>
    <n v="100"/>
    <n v="1000000"/>
    <n v="1000000"/>
  </r>
  <r>
    <x v="84"/>
    <x v="84"/>
    <s v="Fiets"/>
    <x v="0"/>
    <n v="79"/>
    <s v="IN/000079"/>
    <s v="Aanleg vrijliggende fietspaden in Beringen opN72  13.0 - 14.0"/>
    <s v="Herinrichting Kasteletsingel - deel fietspaden"/>
    <s v="Kleine Ingreep"/>
    <s v="WL/INV/N72/12"/>
    <b v="0"/>
    <s v="Ingreep wordt niet opgevolgd in BOD"/>
    <s v="&lt;null&gt;"/>
    <s v="&lt;null&gt;"/>
    <s v="WEGENIS"/>
    <s v="&lt;null&gt;"/>
    <n v="100"/>
    <n v="1000000"/>
    <n v="1000000"/>
  </r>
  <r>
    <x v="85"/>
    <x v="85"/>
    <s v="Fiets"/>
    <x v="0"/>
    <n v="80"/>
    <s v="IN/000080"/>
    <s v="Aanleg vrijliggende fietspaden in Sint-Truiden opN3  60.2 - 63.2"/>
    <s v="fietspaden N3"/>
    <s v="Kleine Ingreep"/>
    <s v="WL/INV/N3/7"/>
    <b v="0"/>
    <s v="Ingreep wordt niet opgevolgd in BOD"/>
    <s v="&lt;null&gt;"/>
    <s v="&lt;null&gt;"/>
    <s v="WEGENIS"/>
    <s v="&lt;null&gt;"/>
    <n v="100"/>
    <n v="800000"/>
    <n v="800000"/>
  </r>
  <r>
    <x v="86"/>
    <x v="86"/>
    <s v="Fiets"/>
    <x v="0"/>
    <n v="81"/>
    <s v="IN/000081"/>
    <s v="Aanleg vrijliggende fietspaden in Tongeren opN20  10.0 - 11.0"/>
    <s v="fietspaden overrepen N20"/>
    <s v="Kleine Ingreep"/>
    <s v="WL/INV/N20/7"/>
    <b v="0"/>
    <s v="Ingreep wordt niet opgevolgd in BOD"/>
    <s v="&lt;null&gt;"/>
    <s v="&lt;null&gt;"/>
    <s v="WEGENIS"/>
    <s v="&lt;null&gt;"/>
    <n v="100"/>
    <n v="800000"/>
    <n v="800000"/>
  </r>
  <r>
    <x v="87"/>
    <x v="87"/>
    <s v="Fiets"/>
    <x v="0"/>
    <n v="82"/>
    <s v="IN/000082"/>
    <s v="Aanleg vrijliggende fietspaden in Peer opN748  0.8 - 17.0"/>
    <s v="fietspaden deel Bokt N748"/>
    <s v="Kleine Ingreep"/>
    <s v="WL/INV/N748/4"/>
    <b v="0"/>
    <s v="Ingreep wordt niet opgevolgd in BOD"/>
    <s v="&lt;null&gt;"/>
    <s v="&lt;null&gt;"/>
    <s v="WEGENIS"/>
    <s v="&lt;null&gt;"/>
    <n v="100"/>
    <n v="600000"/>
    <n v="600000"/>
  </r>
  <r>
    <x v="88"/>
    <x v="88"/>
    <s v="Fiets"/>
    <x v="0"/>
    <n v="83"/>
    <s v="IN/000083"/>
    <s v="Aanleg vrijliggende fietspaden in Tessenderlo opN174  7.4 - 15.2"/>
    <s v="fietspad N174, uitvoeringsstudie"/>
    <s v="Kleine Ingreep"/>
    <s v="WL/INV/N174/4"/>
    <b v="0"/>
    <s v="Ingreep wordt niet opgevolgd in BOD"/>
    <s v="&lt;null&gt;"/>
    <s v="&lt;null&gt;"/>
    <s v="WEGENIS"/>
    <s v="&lt;null&gt;"/>
    <n v="100"/>
    <n v="200000"/>
    <n v="200000"/>
  </r>
  <r>
    <x v="89"/>
    <x v="89"/>
    <s v="Fiets"/>
    <x v="0"/>
    <n v="84"/>
    <s v="IN/000084"/>
    <s v="Aanleg vrijliggende fietspaden in Haacht opN21  22.0 - 23.5"/>
    <s v="Bereikbaarheid station Haacht, inbegrepen BOB vanaf rotonde Zoellaan"/>
    <s v="Kleine Ingreep"/>
    <s v="WVB/INV/N21/8"/>
    <b v="0"/>
    <s v="Ingreep wordt niet opgevolgd in BOD"/>
    <n v="2023"/>
    <s v="Q2"/>
    <s v="WEGENIS"/>
    <s v="Gedeelte relance fietspaden"/>
    <n v="100"/>
    <n v="1600000"/>
    <n v="1600000"/>
  </r>
  <r>
    <x v="89"/>
    <x v="89"/>
    <s v="Fiets"/>
    <x v="0"/>
    <n v="84"/>
    <s v="IN/000084"/>
    <s v="Aanleg vrijliggende fietspaden in Haacht opN21  22.0 - 23.5"/>
    <s v="Bereikbaarheid station Haacht, inbegrepen BOB vanaf rotonde Zoellaan"/>
    <s v="Kleine Ingreep"/>
    <s v="WVB/INV/N21/8"/>
    <b v="0"/>
    <s v="Ingreep wordt niet opgevolgd in BOD"/>
    <n v="2023"/>
    <s v="Q2"/>
    <s v="WEGENIS"/>
    <s v="Gedeelte wegenis &amp; BOB"/>
    <n v="100"/>
    <n v="1600000"/>
    <n v="1600000"/>
  </r>
  <r>
    <x v="90"/>
    <x v="90"/>
    <s v="Fiets"/>
    <x v="0"/>
    <n v="85"/>
    <s v="IN/000085"/>
    <s v="Aanleg vrijliggende fietspaden in Herent opN2  17.2 - 20.0"/>
    <s v="Brusselsesteenweg:aanleg fietspaden tussen van kmpt 17,2 tot 20"/>
    <s v="Kleine Ingreep"/>
    <s v="WVB/INV/N2/12"/>
    <b v="0"/>
    <s v="Ingreep wordt niet opgevolgd in BOD"/>
    <s v="&lt;null&gt;"/>
    <s v="&lt;null&gt;"/>
    <s v="WEGENIS"/>
    <s v="&lt;null&gt;"/>
    <n v="100"/>
    <n v="1000000"/>
    <n v="1000000"/>
  </r>
  <r>
    <x v="18"/>
    <x v="18"/>
    <s v="&lt;null&gt;"/>
    <x v="3"/>
    <n v="86"/>
    <s v="IN/000086"/>
    <s v="Aanleg vrijliggende fietspaden in Knokke-Heist opN49  81.9 - 82.6"/>
    <s v="Knokke-Heist: N49 2de golf/kragendijk heraanleg fietspaden"/>
    <s v="Kleine Ingreep"/>
    <s v="WWV/INV/N49/10"/>
    <b v="0"/>
    <s v="Ingreep wordt niet opgevolgd in BOD"/>
    <s v="&lt;null&gt;"/>
    <s v="&lt;null&gt;"/>
    <s v="WEGENIS"/>
    <s v="&lt;null&gt;"/>
    <m/>
    <n v="750000"/>
    <m/>
  </r>
  <r>
    <x v="91"/>
    <x v="91"/>
    <s v="Fiets"/>
    <x v="0"/>
    <n v="87"/>
    <s v="IN/000087"/>
    <s v="Aanleg aanliggende fietspaden in Zonhoven opN72  1.0 - 4.0"/>
    <s v="Aanleg riolering en fietspaden N72"/>
    <s v="Kleine Ingreep"/>
    <s v="WL/INV/N72/13"/>
    <b v="0"/>
    <s v="Ingreep wordt niet opgevolgd in BOD"/>
    <s v="&lt;null&gt;"/>
    <s v="&lt;null&gt;"/>
    <s v="WEGENIS"/>
    <s v="&lt;null&gt;"/>
    <n v="100"/>
    <n v="3000000"/>
    <n v="3000000"/>
  </r>
  <r>
    <x v="92"/>
    <x v="92"/>
    <s v="Fiets"/>
    <x v="0"/>
    <n v="88"/>
    <s v="IN/000088"/>
    <s v="Aanleg aanliggende fietspaden in Heers opN3  71.3 - 73.1"/>
    <s v="Fietspaden renovatie doortocht N3"/>
    <s v="Kleine Ingreep"/>
    <s v="WL/INV/N3/8"/>
    <b v="0"/>
    <s v="Ingreep wordt niet opgevolgd in BOD"/>
    <s v="&lt;null&gt;"/>
    <s v="&lt;null&gt;"/>
    <s v="WEGENIS"/>
    <s v="&lt;null&gt;"/>
    <n v="100"/>
    <n v="2500000"/>
    <n v="2500000"/>
  </r>
  <r>
    <x v="93"/>
    <x v="93"/>
    <s v="Fiets"/>
    <x v="0"/>
    <n v="89"/>
    <s v="IN/000089"/>
    <s v="Aanleg aanliggende fietspaden in Voeren opN648  13.6 - 14.7"/>
    <s v="Fietspaden project Plackerweg"/>
    <s v="Kleine Ingreep"/>
    <s v="WL/INV/N648/4"/>
    <b v="0"/>
    <s v="Ingreep wordt niet opgevolgd in BOD"/>
    <s v="&lt;null&gt;"/>
    <s v="&lt;null&gt;"/>
    <s v="WEGENIS"/>
    <s v="&lt;null&gt;"/>
    <n v="100"/>
    <n v="500000"/>
    <n v="500000"/>
  </r>
  <r>
    <x v="94"/>
    <x v="94"/>
    <s v="Fiets"/>
    <x v="0"/>
    <n v="90"/>
    <s v="IN/000090"/>
    <s v="Aanleg aanliggende fietspaden in Beersel opN235  9.8 - 10.1"/>
    <s v="Fietspaden en schoolomgeving Sint-Victor - uitvoering deel 1"/>
    <s v="Kleine Ingreep"/>
    <s v="WVB/INV/N235/4"/>
    <b v="0"/>
    <s v="Ingreep wordt niet opgevolgd in BOD"/>
    <s v="&lt;null&gt;"/>
    <s v="&lt;null&gt;"/>
    <s v="WEGENIS"/>
    <s v="&lt;null&gt;"/>
    <n v="100"/>
    <n v="1500000"/>
    <n v="1500000"/>
  </r>
  <r>
    <x v="95"/>
    <x v="95"/>
    <s v="Fiets"/>
    <x v="0"/>
    <n v="91"/>
    <s v="IN/000091"/>
    <s v="Aanleg aanliggende fietspaden in Rotselaar opN229  2.0 - 3.2"/>
    <s v="Structureel onderhoud N229 met aanleg fietspaden (incl. Aquafincollector Wingepark)"/>
    <s v="Kleine Ingreep"/>
    <s v="WVB/INV/N229/4"/>
    <b v="0"/>
    <s v="Ingreep wordt niet opgevolgd in BOD"/>
    <s v="&lt;null&gt;"/>
    <s v="&lt;null&gt;"/>
    <s v="WEGENIS"/>
    <s v="&lt;null&gt;"/>
    <n v="100"/>
    <n v="800000"/>
    <n v="800000"/>
  </r>
  <r>
    <x v="96"/>
    <x v="96"/>
    <s v="Fiets"/>
    <x v="0"/>
    <n v="92"/>
    <s v="IN/000092"/>
    <s v="Aanleg aanliggende fietspaden in Dilbeek opN8  8.8 - 9.2"/>
    <s v="N8 Dilbeek verbinding fietspad in Schepdaal\n41594-1"/>
    <s v="Kleine Ingreep"/>
    <s v="WVB/INV/N8/3"/>
    <b v="0"/>
    <s v="Ingreep wordt niet opgevolgd in BOD"/>
    <s v="&lt;null&gt;"/>
    <s v="&lt;null&gt;"/>
    <s v="WEGENIS"/>
    <s v="&lt;null&gt;"/>
    <n v="100"/>
    <n v="100000"/>
    <n v="100000"/>
  </r>
  <r>
    <x v="97"/>
    <x v="97"/>
    <s v="Fiets"/>
    <x v="0"/>
    <n v="93"/>
    <s v="IN/000093"/>
    <s v="Structureel Onderhoud - bijna conforme fietspaden in Grobbendonk opN13  14.4 - 15.0"/>
    <s v="missing link tussen 2 MOD13 dossiers wegwerken, parkeervakken op brughellingen wegnemen en FP op brug in goede staat brengen"/>
    <s v="Kleine Ingreep"/>
    <s v="WA/INV/N13/5"/>
    <b v="1"/>
    <s v="Ingreep wordt opgevolgd in BOD"/>
    <s v="&lt;null&gt;"/>
    <s v="&lt;null&gt;"/>
    <s v="WEGENIS"/>
    <s v="&lt;null&gt;"/>
    <n v="100"/>
    <n v="264028.84860000003"/>
    <n v="264028.84860000003"/>
  </r>
  <r>
    <x v="98"/>
    <x v="98"/>
    <s v="Fiets"/>
    <x v="0"/>
    <n v="94"/>
    <s v="IN/000094"/>
    <s v="Structureel Onderhoud - bijna conforme fietspaden in Hove opN1  31.1 - 33.6"/>
    <s v="Verzakkingen volgens klacht KM-2020-12334 - klinkers vervangen door asfalt"/>
    <s v="Kleine Ingreep"/>
    <s v="WA/INV/N1/25"/>
    <b v="0"/>
    <s v="Ingreep wordt niet opgevolgd in BOD"/>
    <n v="2022"/>
    <s v="Q3"/>
    <s v="WEGENIS"/>
    <s v="&lt;null&gt;"/>
    <n v="100"/>
    <n v="608761.90209999995"/>
    <n v="608761.90209999995"/>
  </r>
  <r>
    <x v="99"/>
    <x v="99"/>
    <s v="Fiets"/>
    <x v="0"/>
    <n v="95"/>
    <s v="IN/000095"/>
    <s v="Structureel Onderhoud - bijna conforme fietspaden in Lier opN14  9.6 - 13.3"/>
    <s v="beton vervangen door asfalt en omvormen naar 2-richtingsfietspad (parking in kasseien opbreken en groenberm, fietspad verbreden?)"/>
    <s v="Kleine Ingreep"/>
    <s v="WA/INV/N14/14"/>
    <b v="0"/>
    <s v="Ingreep wordt niet opgevolgd in BOD"/>
    <s v="&lt;null&gt;"/>
    <s v="&lt;null&gt;"/>
    <s v="WEGENIS"/>
    <s v="&lt;null&gt;"/>
    <n v="100"/>
    <n v="1254402.9586"/>
    <n v="1254402.9586"/>
  </r>
  <r>
    <x v="100"/>
    <x v="100"/>
    <s v="Fiets"/>
    <x v="0"/>
    <n v="96"/>
    <s v="IN/000096"/>
    <s v="Structureel Onderhoud - bijna conforme fietspaden in Tessenderlo opN174  13.6 - 15.1"/>
    <s v="toplaag fietspad en rijweg in slechte staat"/>
    <s v="Kleine Ingreep"/>
    <s v="WL/INV/N174/3"/>
    <b v="1"/>
    <s v="Ingreep wordt opgevolgd in BOD"/>
    <s v="&lt;null&gt;"/>
    <s v="&lt;null&gt;"/>
    <s v="WEGENIS"/>
    <s v="&lt;null&gt;"/>
    <n v="100"/>
    <n v="331270.84999999998"/>
    <n v="331270.84999999998"/>
  </r>
  <r>
    <x v="101"/>
    <x v="101"/>
    <s v="Fiets"/>
    <x v="0"/>
    <n v="97"/>
    <s v="IN/000097"/>
    <s v="Structureel Onderhoud - bijna conforme fietspaden in Lommel opN715  34.7 - 35.1"/>
    <s v="km 34,7-35,1 : betonnen platen stuk"/>
    <s v="Kleine Ingreep"/>
    <s v="WL/INV/N715/1"/>
    <b v="1"/>
    <s v="Ingreep wordt opgevolgd in BOD"/>
    <s v="&lt;null&gt;"/>
    <s v="&lt;null&gt;"/>
    <s v="WEGENIS"/>
    <s v="&lt;null&gt;"/>
    <n v="100"/>
    <n v="73995.19"/>
    <n v="73995.19"/>
  </r>
  <r>
    <x v="102"/>
    <x v="102"/>
    <s v="Fiets"/>
    <x v="0"/>
    <n v="98"/>
    <s v="IN/000098"/>
    <s v="Structureel Onderhoud - bijna conforme fietspaden in Heusden-Zolder opN72  8.4 - 8.8"/>
    <s v="toplaag fietspad en greppel in slechte staat"/>
    <s v="Kleine Ingreep"/>
    <s v="WL/INV/N72/9"/>
    <b v="1"/>
    <s v="Ingreep wordt opgevolgd in BOD"/>
    <s v="&lt;null&gt;"/>
    <s v="&lt;null&gt;"/>
    <s v="WEGENIS"/>
    <s v="&lt;null&gt;"/>
    <n v="100"/>
    <n v="181902.36"/>
    <n v="181902.36"/>
  </r>
  <r>
    <x v="103"/>
    <x v="103"/>
    <s v="Fiets"/>
    <x v="0"/>
    <n v="99"/>
    <s v="IN/000099"/>
    <s v="Structureel Onderhoud - bijna conforme fietspaden in Hasselt opN725  1.0 - 1.4"/>
    <s v="km 1-1,5 : klinkers vervangen door KWS"/>
    <s v="Kleine Ingreep"/>
    <s v="WL/INV/N725/9"/>
    <b v="1"/>
    <s v="Ingreep wordt opgevolgd in BOD"/>
    <s v="&lt;null&gt;"/>
    <s v="&lt;null&gt;"/>
    <s v="WEGENIS"/>
    <s v="&lt;null&gt;"/>
    <n v="100"/>
    <n v="90471.43"/>
    <n v="90471.43"/>
  </r>
  <r>
    <x v="104"/>
    <x v="104"/>
    <s v="Fiets"/>
    <x v="0"/>
    <n v="100"/>
    <s v="IN/000100"/>
    <s v="Structureel Onderhoud - bijna conforme fietspaden in Heusden-Zolder opN72  7.0 - 8.1"/>
    <s v="km 7-8 : toplaag fietspad vernieuwen"/>
    <s v="Kleine Ingreep"/>
    <s v="WL/INV/N72/11"/>
    <b v="1"/>
    <s v="Ingreep wordt opgevolgd in BOD"/>
    <s v="&lt;null&gt;"/>
    <s v="&lt;null&gt;"/>
    <s v="WEGENIS"/>
    <s v="&lt;null&gt;"/>
    <n v="100"/>
    <n v="214741.75"/>
    <n v="214741.75"/>
  </r>
  <r>
    <x v="105"/>
    <x v="105"/>
    <s v="Fiets"/>
    <x v="0"/>
    <n v="101"/>
    <s v="IN/000101"/>
    <s v="Structureel Onderhoud - bijna conforme fietspaden in Leopoldsburg opN73  40.0 - 41.5"/>
    <s v="km 40-41,5 beton affrezen en KWS toplaag in de plaats"/>
    <s v="Kleine Ingreep"/>
    <s v="WL/INV/N73/14"/>
    <b v="1"/>
    <s v="Ingreep wordt opgevolgd in BOD"/>
    <s v="&lt;null&gt;"/>
    <s v="&lt;null&gt;"/>
    <s v="WEGENIS"/>
    <s v="&lt;null&gt;"/>
    <n v="100"/>
    <n v="343592.7"/>
    <n v="343592.7"/>
  </r>
  <r>
    <x v="106"/>
    <x v="106"/>
    <s v="Fiets"/>
    <x v="0"/>
    <n v="102"/>
    <s v="IN/000102"/>
    <s v="Structureel Onderhoud - bijna conforme fietspaden in Hamont-Achel opN76  58.0 - 58.4"/>
    <s v="70% F. km 58-58,5 : klinkers vervangen door KWS en toplaag rijweg"/>
    <s v="Kleine Ingreep"/>
    <s v="WL/INV/N76/12"/>
    <b v="1"/>
    <s v="Ingreep wordt opgevolgd in BOD"/>
    <s v="&lt;null&gt;"/>
    <s v="&lt;null&gt;"/>
    <s v="WEGENIS"/>
    <s v="&lt;null&gt;"/>
    <n v="100"/>
    <n v="87490.25"/>
    <n v="87490.25"/>
  </r>
  <r>
    <x v="107"/>
    <x v="107"/>
    <s v="Fiets"/>
    <x v="0"/>
    <n v="103"/>
    <s v="IN/000103"/>
    <s v="Structureel Onderhoud - bijna conforme fietspaden in Maaseik opN773  0.4 - 2.7"/>
    <s v="km 0,4-2,7 : laag beton affrezen, nieuwe KWS toplaag, fietspad breder markeren"/>
    <s v="Kleine Ingreep"/>
    <s v="WL/INV/N773/1"/>
    <b v="1"/>
    <s v="Ingreep wordt opgevolgd in BOD"/>
    <s v="&lt;null&gt;"/>
    <s v="&lt;null&gt;"/>
    <s v="WEGENIS"/>
    <s v="&lt;null&gt;"/>
    <n v="100"/>
    <n v="173598.13"/>
    <n v="173598.13"/>
  </r>
  <r>
    <x v="108"/>
    <x v="108"/>
    <s v="Fiets"/>
    <x v="0"/>
    <n v="104"/>
    <s v="IN/000104"/>
    <s v="Structureel Onderhoud - bijna conforme fietspaden in Ninove opN255  11.5 - 12.5"/>
    <s v="fietspad in betonstraatstenen vervangen door asfalt"/>
    <s v="Kleine Ingreep"/>
    <s v="WOV/INV/N255/1"/>
    <b v="1"/>
    <s v="Ingreep wordt opgevolgd in BOD"/>
    <n v="2022"/>
    <s v="Q3"/>
    <s v="WEGENIS"/>
    <s v="&lt;null&gt;"/>
    <n v="100"/>
    <n v="309999.99"/>
    <n v="309999.99"/>
  </r>
  <r>
    <x v="109"/>
    <x v="109"/>
    <s v="Fiets"/>
    <x v="0"/>
    <n v="105"/>
    <s v="IN/000105"/>
    <s v="Structureel Onderhoud - bijna conforme fietspaden in Wetteren opN400  0.44 - 1.85"/>
    <s v="&lt;null&gt;"/>
    <s v="Kleine Ingreep"/>
    <s v="WOV/INV/N400/1"/>
    <b v="1"/>
    <s v="Ingreep wordt opgevolgd in BOD"/>
    <n v="2022"/>
    <s v="Q2"/>
    <s v="WEGENIS"/>
    <s v="&lt;null&gt;"/>
    <n v="100"/>
    <n v="143256.07"/>
    <n v="143256.07"/>
  </r>
  <r>
    <x v="110"/>
    <x v="110"/>
    <s v="Fiets"/>
    <x v="0"/>
    <n v="106"/>
    <s v="IN/000106"/>
    <s v="Structureel Onderhoud - bijna conforme fietspaden in Brakel opN415  17.5 - 20.6"/>
    <s v="fietspad in beton vervangen door asfalt"/>
    <s v="Kleine Ingreep"/>
    <s v="WOV/INV/N415/5"/>
    <b v="1"/>
    <s v="Ingreep wordt opgevolgd in BOD"/>
    <n v="2022"/>
    <s v="Q3"/>
    <s v="WEGENIS"/>
    <s v="&lt;null&gt;"/>
    <n v="100"/>
    <n v="192923.33"/>
    <n v="192923.33"/>
  </r>
  <r>
    <x v="111"/>
    <x v="111"/>
    <s v="Fiets"/>
    <x v="0"/>
    <n v="107"/>
    <s v="IN/000107"/>
    <s v="Structureel Onderhoud - bijna conforme fietspaden in Zwalm, Gavere opN415  9.3 - 8.3"/>
    <s v="aanliggend verhoogd dubbelrichtingsfietspad met versleten slemlaag, dwarse scheuren en opstuikingen vervangen door beton."/>
    <s v="Kleine Ingreep"/>
    <s v="WOV/INV/N415/4"/>
    <b v="1"/>
    <s v="Ingreep wordt opgevolgd in BOD"/>
    <n v="2022"/>
    <s v="Q3"/>
    <s v="WEGENIS"/>
    <s v="&lt;null&gt;"/>
    <n v="100"/>
    <n v="230298.09"/>
    <n v="230298.09"/>
  </r>
  <r>
    <x v="112"/>
    <x v="112"/>
    <s v="Fiets"/>
    <x v="0"/>
    <n v="108"/>
    <s v="IN/000108"/>
    <s v="Structureel Onderhoud - bijna conforme fietspaden in Wetteren opN416  13.2 - 14.4"/>
    <s v="&lt;null&gt;"/>
    <s v="Kleine Ingreep"/>
    <s v="WOV/INV/N416/3"/>
    <b v="1"/>
    <s v="Ingreep wordt opgevolgd in BOD"/>
    <n v="2022"/>
    <s v="Q2"/>
    <s v="WEGENIS"/>
    <s v="&lt;null&gt;"/>
    <n v="100"/>
    <n v="151372.46"/>
    <n v="151372.46"/>
  </r>
  <r>
    <x v="113"/>
    <x v="113"/>
    <s v="Fiets"/>
    <x v="0"/>
    <n v="109"/>
    <s v="IN/000109"/>
    <s v="Structureel Onderhoud - bijna conforme fietspaden in Eeklo opN434  6.9 - 8.3"/>
    <s v="&lt;null&gt;"/>
    <s v="Kleine Ingreep"/>
    <s v="WOV/INV/N434/1"/>
    <b v="1"/>
    <s v="Ingreep wordt opgevolgd in BOD"/>
    <n v="2021"/>
    <s v="Q4"/>
    <s v="WEGENIS"/>
    <s v="&lt;null&gt;"/>
    <n v="100"/>
    <n v="193612.55"/>
    <n v="193612.55"/>
  </r>
  <r>
    <x v="114"/>
    <x v="114"/>
    <s v="Fiets"/>
    <x v="0"/>
    <n v="110"/>
    <s v="IN/000110"/>
    <s v="Structureel Onderhoud - bijna conforme fietspaden in Nazareth opN437  17.6 - 18.9"/>
    <s v="&lt;null&gt;"/>
    <s v="Kleine Ingreep"/>
    <s v="WOV/INV/N437/8"/>
    <b v="1"/>
    <s v="Ingreep wordt opgevolgd in BOD"/>
    <n v="2022"/>
    <s v="Q2"/>
    <s v="WEGENIS"/>
    <s v="&lt;null&gt;"/>
    <n v="100"/>
    <n v="208813.35"/>
    <n v="208813.35"/>
  </r>
  <r>
    <x v="115"/>
    <x v="115"/>
    <s v="Fiets"/>
    <x v="0"/>
    <n v="111"/>
    <s v="IN/000111"/>
    <s v="Structureel Onderhoud - bijna conforme fietspaden in Berlare, Zele opN445  17.9 - 20.9"/>
    <s v="zone werd uitgebreid naar 18 - 21 (zie ook andere regel van N 445)"/>
    <s v="Kleine Ingreep"/>
    <s v="WOV/INV/N445/1"/>
    <b v="1"/>
    <s v="Ingreep wordt opgevolgd in BOD"/>
    <n v="2022"/>
    <s v="Q2"/>
    <s v="WEGENIS"/>
    <s v="&lt;null&gt;"/>
    <n v="100"/>
    <n v="1067572.1100000001"/>
    <n v="1067572.1100000001"/>
  </r>
  <r>
    <x v="116"/>
    <x v="116"/>
    <s v="Fiets"/>
    <x v="0"/>
    <n v="112"/>
    <s v="IN/000112"/>
    <s v="Structureel Onderhoud - bijna conforme fietspaden in Zottegem opN454  19.0 - 20.6"/>
    <s v="verhoogd aanliggend fietspad in betonstraatstenen vervangen door asfalt"/>
    <s v="Kleine Ingreep"/>
    <s v="WOV/INV/N454/6"/>
    <b v="1"/>
    <s v="Ingreep wordt opgevolgd in BOD"/>
    <n v="2022"/>
    <s v="Q3"/>
    <s v="WEGENIS"/>
    <s v="&lt;null&gt;"/>
    <n v="100"/>
    <n v="243573.75"/>
    <n v="243573.75"/>
  </r>
  <r>
    <x v="117"/>
    <x v="117"/>
    <s v="Fiets"/>
    <x v="0"/>
    <n v="113"/>
    <s v="IN/000113"/>
    <s v="Structureel Onderhoud - bijna conforme fietspaden in Gent opN456  16.5 - 17.0"/>
    <s v="&lt;null&gt;"/>
    <s v="Kleine Ingreep"/>
    <s v="WOV/INV/N456/7"/>
    <b v="1"/>
    <s v="Ingreep wordt opgevolgd in BOD"/>
    <n v="2021"/>
    <s v="Q4"/>
    <s v="WEGENIS"/>
    <s v="&lt;null&gt;"/>
    <n v="100"/>
    <n v="67789.600000000006"/>
    <n v="67789.600000000006"/>
  </r>
  <r>
    <x v="118"/>
    <x v="118"/>
    <s v="Fiets"/>
    <x v="0"/>
    <n v="114"/>
    <s v="IN/000114"/>
    <s v="Structureel Onderhoud - bijna conforme fietspaden in Gent opN456  20.0 - 20.1"/>
    <s v="&lt;null&gt;"/>
    <s v="Kleine Ingreep"/>
    <s v="WOV/INV/N456/8"/>
    <b v="1"/>
    <s v="Ingreep wordt opgevolgd in BOD"/>
    <n v="2022"/>
    <s v="Q2"/>
    <s v="WEGENIS"/>
    <s v="&lt;null&gt;"/>
    <n v="100"/>
    <n v="216339.53"/>
    <n v="216339.53"/>
  </r>
  <r>
    <x v="119"/>
    <x v="119"/>
    <s v="Fiets"/>
    <x v="0"/>
    <n v="115"/>
    <s v="IN/000115"/>
    <s v="Structureel Onderhoud - bijna conforme fietspaden in Kaprijke opN456  5.3 - 7.5"/>
    <s v="&lt;null&gt;"/>
    <s v="Kleine Ingreep"/>
    <s v="WOV/INV/N456/9"/>
    <b v="1"/>
    <s v="Ingreep wordt opgevolgd in BOD"/>
    <n v="2022"/>
    <s v="Q2"/>
    <s v="WEGENIS"/>
    <s v="&lt;null&gt;"/>
    <n v="100"/>
    <n v="405486.73"/>
    <n v="405486.73"/>
  </r>
  <r>
    <x v="120"/>
    <x v="120"/>
    <s v="Fiets"/>
    <x v="0"/>
    <n v="116"/>
    <s v="IN/000116"/>
    <s v="Structureel Onderhoud - bijna conforme fietspaden in Herzele opN46  11.4 - 13.0"/>
    <s v="vrijliggend fietspad in beton (gebrokkeld) vervangen door asfalt"/>
    <s v="Kleine Ingreep"/>
    <s v="WOV/INV/N46/7"/>
    <b v="1"/>
    <s v="Ingreep wordt opgevolgd in BOD"/>
    <n v="2023"/>
    <s v="Q2"/>
    <s v="WEGENIS"/>
    <s v="&lt;null&gt;"/>
    <n v="100"/>
    <n v="899999.99"/>
    <n v="899999.99"/>
  </r>
  <r>
    <x v="121"/>
    <x v="121"/>
    <s v="Fiets"/>
    <x v="0"/>
    <n v="117"/>
    <s v="IN/000117"/>
    <s v="Structureel Onderhoud - bijna conforme fietspaden in Geraardsbergen opN460  13.8 - 14.6"/>
    <s v="aanliggend fietspad in beton vervangen door asfalt (oplopende kmp)"/>
    <s v="Kleine Ingreep"/>
    <s v="WOV/INV/N460/5"/>
    <b v="1"/>
    <s v="Ingreep wordt opgevolgd in BOD"/>
    <n v="2022"/>
    <s v="Q1"/>
    <s v="WEGENIS"/>
    <s v="&lt;null&gt;"/>
    <n v="100"/>
    <n v="202486.34"/>
    <n v="202486.34"/>
  </r>
  <r>
    <x v="122"/>
    <x v="122"/>
    <s v="Fiets"/>
    <x v="0"/>
    <n v="118"/>
    <s v="IN/000118"/>
    <s v="Structureel Onderhoud - bijna conforme fietspaden in Gent opN466  2.0 - 3.0"/>
    <s v="&lt;null&gt;"/>
    <s v="Kleine Ingreep"/>
    <s v="WOV/INV/N466/5"/>
    <b v="1"/>
    <s v="Ingreep wordt opgevolgd in BOD"/>
    <n v="2022"/>
    <s v="Q1"/>
    <s v="WEGENIS"/>
    <s v="&lt;null&gt;"/>
    <n v="100"/>
    <n v="114893.29"/>
    <n v="114893.29"/>
  </r>
  <r>
    <x v="123"/>
    <x v="123"/>
    <s v="Fiets"/>
    <x v="0"/>
    <n v="119"/>
    <s v="IN/000119"/>
    <s v="Structureel Onderhoud - bijna conforme fietspaden in Gent opN60  2.5 - 3.7"/>
    <s v="&lt;null&gt;"/>
    <s v="Kleine Ingreep"/>
    <s v="WOV/INV/N60/10"/>
    <b v="1"/>
    <s v="Ingreep wordt opgevolgd in BOD"/>
    <n v="2022"/>
    <s v="Q3"/>
    <s v="WEGENIS"/>
    <s v="&lt;null&gt;"/>
    <n v="100"/>
    <n v="25732.79"/>
    <n v="25732.79"/>
  </r>
  <r>
    <x v="124"/>
    <x v="124"/>
    <s v="Fiets"/>
    <x v="0"/>
    <n v="120"/>
    <s v="IN/000120"/>
    <s v="Structureel Onderhoud - bijna conforme fietspaden in Lochristi opN70  7.5 - 9.0"/>
    <s v="&lt;null&gt;"/>
    <s v="Kleine Ingreep"/>
    <s v="WOV/INV/N70/8"/>
    <b v="1"/>
    <s v="Ingreep wordt opgevolgd in BOD"/>
    <n v="2022"/>
    <s v="Q2"/>
    <s v="WEGENIS"/>
    <s v="&lt;null&gt;"/>
    <n v="100"/>
    <n v="407967.63"/>
    <n v="407967.63"/>
  </r>
  <r>
    <x v="125"/>
    <x v="125"/>
    <s v="Fiets"/>
    <x v="0"/>
    <n v="121"/>
    <s v="IN/000121"/>
    <s v="Structureel Onderhoud - bijna conforme fietspaden in Lierde opN8  36.9 - 37.8"/>
    <s v="&lt;null&gt;"/>
    <s v="Kleine Ingreep"/>
    <s v="WOV/INV/N8/9"/>
    <b v="1"/>
    <s v="Ingreep wordt opgevolgd in BOD"/>
    <n v="2022"/>
    <s v="Q2"/>
    <s v="WEGENIS"/>
    <s v="&lt;null&gt;"/>
    <n v="100"/>
    <n v="216694.97"/>
    <n v="216694.97"/>
  </r>
  <r>
    <x v="126"/>
    <x v="126"/>
    <s v="Fiets"/>
    <x v="0"/>
    <n v="122"/>
    <s v="IN/000122"/>
    <s v="Structureel Onderhoud - bijna conforme fietspaden in Gent opN9  55.19 - 56.1"/>
    <s v="&lt;null&gt;"/>
    <s v="Kleine Ingreep"/>
    <s v="WOV/INV/N9/13"/>
    <b v="1"/>
    <s v="Ingreep wordt opgevolgd in BOD"/>
    <n v="2022"/>
    <s v="Q1"/>
    <s v="WEGENIS"/>
    <s v="&lt;null&gt;"/>
    <n v="100"/>
    <n v="131757.17000000001"/>
    <n v="131757.17000000001"/>
  </r>
  <r>
    <x v="127"/>
    <x v="127"/>
    <s v="Fiets"/>
    <x v="0"/>
    <n v="123"/>
    <s v="IN/000123"/>
    <s v="Structureel Onderhoud - bijna conforme fietspaden in Gent opR4  5.6 - 5.7"/>
    <s v="&lt;null&gt;"/>
    <s v="Kleine Ingreep"/>
    <s v="WOV/INV/R4/3"/>
    <b v="0"/>
    <s v="Ingreep wordt niet opgevolgd in BOD"/>
    <s v="&lt;null&gt;"/>
    <s v="&lt;null&gt;"/>
    <s v="WEGENIS"/>
    <s v="&lt;null&gt;"/>
    <n v="100"/>
    <n v="4320"/>
    <n v="4320"/>
  </r>
  <r>
    <x v="128"/>
    <x v="128"/>
    <s v="Fiets"/>
    <x v="0"/>
    <n v="124"/>
    <s v="IN/000124"/>
    <s v="Structureel Onderhoud - bijna conforme fietspaden in Gent opR4  5.7 - 5.8"/>
    <s v="&lt;null&gt;"/>
    <s v="Kleine Ingreep"/>
    <s v="WOV/INV/R4/4"/>
    <b v="0"/>
    <s v="Ingreep wordt niet opgevolgd in BOD"/>
    <s v="&lt;null&gt;"/>
    <s v="&lt;null&gt;"/>
    <s v="WEGENIS"/>
    <s v="&lt;null&gt;"/>
    <n v="100"/>
    <n v="2880"/>
    <n v="2880"/>
  </r>
  <r>
    <x v="129"/>
    <x v="129"/>
    <s v="Fiets"/>
    <x v="0"/>
    <n v="125"/>
    <s v="IN/000125"/>
    <s v="Structureel Onderhoud - bijna conforme fietspaden in Wemmel opN290  5.7 - 6.8"/>
    <s v="KWS bestek Vervangen volledige bestaande opbouw fietspad en aanhorigheden (weerhouden in fase1)"/>
    <s v="Kleine Ingreep"/>
    <s v="WVB/INV/N290/1"/>
    <b v="1"/>
    <s v="Ingreep wordt opgevolgd in BOD"/>
    <s v="&lt;null&gt;"/>
    <s v="&lt;null&gt;"/>
    <s v="WEGENIS"/>
    <s v="&lt;null&gt;"/>
    <n v="100"/>
    <n v="200000"/>
    <n v="200000"/>
  </r>
  <r>
    <x v="130"/>
    <x v="130"/>
    <s v="Fiets"/>
    <x v="0"/>
    <n v="126"/>
    <s v="IN/000126"/>
    <s v="Structureel Onderhoud - bijna conforme fietspaden in Avelgem opN353  2.5 - 3.5"/>
    <s v="&lt;null&gt;"/>
    <s v="Structurele Ingreep"/>
    <s v="WWV/INV/N353/2"/>
    <b v="0"/>
    <s v="Ingreep wordt niet opgevolgd in BOD"/>
    <s v="&lt;null&gt;"/>
    <s v="&lt;null&gt;"/>
    <s v="WEGENIS"/>
    <s v="&lt;null&gt;"/>
    <n v="100"/>
    <n v="300000"/>
    <n v="300000"/>
  </r>
  <r>
    <x v="18"/>
    <x v="18"/>
    <s v="&lt;null&gt;"/>
    <x v="3"/>
    <n v="127"/>
    <s v="IN/000127"/>
    <s v="Structureel Onderhoud - bijna conforme fietspaden in Wervik opN311  0.7 - 2.0"/>
    <s v="&lt;null&gt;"/>
    <s v="Kleine Ingreep"/>
    <s v="&lt;null&gt;"/>
    <b v="0"/>
    <s v="Ingreep wordt niet opgevolgd in BOD"/>
    <s v="&lt;null&gt;"/>
    <s v="&lt;null&gt;"/>
    <s v="WEGENIS"/>
    <s v="&lt;null&gt;"/>
    <m/>
    <n v="500000"/>
    <m/>
  </r>
  <r>
    <x v="131"/>
    <x v="131"/>
    <s v="Fiets"/>
    <x v="0"/>
    <n v="128"/>
    <s v="IN/000128"/>
    <s v="Structureel Onderhoud -  Staden N313"/>
    <s v="Plaatselijk klinkerfietspad --&gt; beton \nRotonde in klinkers --&gt; asfalt"/>
    <s v="Kleine Ingreep"/>
    <s v="WWV/INV/N313/5"/>
    <b v="0"/>
    <s v="Ingreep wordt niet opgevolgd in BOD"/>
    <n v="2022"/>
    <s v="Q1"/>
    <s v="WEGENIS"/>
    <s v="&lt;null&gt;"/>
    <n v="100"/>
    <n v="100000"/>
    <n v="100000"/>
  </r>
  <r>
    <x v="132"/>
    <x v="132"/>
    <s v="Fiets"/>
    <x v="0"/>
    <n v="129"/>
    <s v="IN/000129"/>
    <s v="Relance: FP in Ieper, Langemark, Wervik en Staden"/>
    <s v="vernieuwing toplaag fietspad tss kmpnt 6.9-9.9"/>
    <s v="Kleine Ingreep"/>
    <s v="WWV/INV/REL/1"/>
    <b v="0"/>
    <s v="Ingreep wordt niet opgevolgd in BOD"/>
    <n v="2022"/>
    <s v="Q1"/>
    <s v="WEGENIS"/>
    <s v="&lt;null&gt;"/>
    <n v="100"/>
    <n v="245000"/>
    <n v="245000"/>
  </r>
  <r>
    <x v="133"/>
    <x v="133"/>
    <s v="Fiets"/>
    <x v="0"/>
    <n v="130"/>
    <s v="IN/000130"/>
    <s v="Structureel Onderhoud - bijna conforme fietspaden in Gistel opN367  19.8 - 20.9"/>
    <s v="&lt;null&gt;"/>
    <s v="Kleine Ingreep"/>
    <s v="WWV/INV/N367/9"/>
    <b v="1"/>
    <s v="Ingreep wordt opgevolgd in BOD"/>
    <n v="2022"/>
    <s v="Q2"/>
    <s v="WEGENIS"/>
    <s v="&lt;null&gt;"/>
    <n v="100"/>
    <n v="88000"/>
    <n v="88000"/>
  </r>
  <r>
    <x v="134"/>
    <x v="134"/>
    <s v="Fiets"/>
    <x v="0"/>
    <n v="131"/>
    <s v="IN/000131"/>
    <s v="Structureel Onderhoud - bijna conforme fietspaden in Koksijde op N396  5.5 - 7.5"/>
    <s v="&lt;null&gt;"/>
    <s v="Kleine Ingreep"/>
    <s v="WWV/INV/N396/2"/>
    <b v="0"/>
    <s v="Ingreep wordt niet opgevolgd in BOD"/>
    <n v="2022"/>
    <s v="Q3"/>
    <s v="WEGENIS"/>
    <s v="bouwheer = Koksijde"/>
    <n v="100"/>
    <n v="250000"/>
    <n v="250000"/>
  </r>
  <r>
    <x v="135"/>
    <x v="135"/>
    <s v="Fiets"/>
    <x v="0"/>
    <n v="132"/>
    <s v="IN/000132"/>
    <s v="Structureel Onderhoud - bijna conforme fietspaden in Lanaken opN78  1.3 - 3.9"/>
    <s v="3 deelprojecten: 1,3-3,8: breden FP markeren &amp; toplaag ; 11,9-12,3: toplaag fietspad vernieuwen &amp; 13,8-14,7: parkeerstrook omvormen tot fietspad"/>
    <s v="Kleine Ingreep"/>
    <s v="WL/INV/N78/14"/>
    <b v="1"/>
    <s v="Ingreep wordt opgevolgd in BOD"/>
    <s v="&lt;null&gt;"/>
    <s v="&lt;null&gt;"/>
    <s v="WEGENIS"/>
    <s v="&lt;null&gt;"/>
    <n v="100"/>
    <n v="321266.47080000001"/>
    <n v="321266.47080000001"/>
  </r>
  <r>
    <x v="136"/>
    <x v="136"/>
    <s v="Fiets"/>
    <x v="0"/>
    <n v="133"/>
    <s v="IN/000133"/>
    <s v="Structureel Onderhoud - bijna conforme fietspaden in Hechtel-Eksel opN715  22.8 - 23.2"/>
    <s v="Structureel Onderhoud - bijna conforme fietspaden N715"/>
    <s v="Kleine Ingreep"/>
    <s v="WL/INV/N715/5"/>
    <b v="0"/>
    <s v="Ingreep wordt niet opgevolgd in BOD"/>
    <s v="&lt;null&gt;"/>
    <s v="&lt;null&gt;"/>
    <s v="WEGENIS"/>
    <s v="&lt;null&gt;"/>
    <n v="100"/>
    <n v="800000"/>
    <n v="800000"/>
  </r>
  <r>
    <x v="137"/>
    <x v="137"/>
    <s v="Fiets"/>
    <x v="0"/>
    <n v="134"/>
    <s v="IN/000134"/>
    <s v="Fietsrelance N9 Aalst  27.1 - 28.5"/>
    <s v="Structureel Onderhoud - bijna conforme fietspaden in Aalst langs N9"/>
    <s v="Kleine Ingreep"/>
    <s v="WOV/INV/N9/15"/>
    <b v="0"/>
    <s v="Ingreep wordt niet opgevolgd in BOD"/>
    <n v="2022"/>
    <s v="Q4"/>
    <s v="WEGENIS"/>
    <s v="Geupdate raming aanbesteding"/>
    <n v="95"/>
    <n v="1303307.3400000001"/>
    <n v="1238141.973"/>
  </r>
  <r>
    <x v="138"/>
    <x v="138"/>
    <s v="Verkeersveiligheid"/>
    <x v="4"/>
    <n v="134"/>
    <s v="IN/000134"/>
    <s v="Fietsrelance N9 Aalst  27.1 - 28.5"/>
    <s v="Structureel Onderhoud - bijna conforme fietspaden in Aalst langs N9"/>
    <s v="Kleine Ingreep"/>
    <s v="WOV/INV/N9/15"/>
    <b v="0"/>
    <s v="Ingreep wordt niet opgevolgd in BOD"/>
    <n v="2022"/>
    <s v="Q4"/>
    <s v="WEGENIS"/>
    <s v="Geupdate raming aanbesteding"/>
    <n v="5"/>
    <n v="1303307.3400000001"/>
    <n v="65165.366999999998"/>
  </r>
  <r>
    <x v="139"/>
    <x v="139"/>
    <s v="Fiets"/>
    <x v="0"/>
    <n v="135"/>
    <s v="IN/000135"/>
    <s v="Structureel Onderhoud - bijna conforme fietspaden in Middelkerke opN325  3.1 - 4.3"/>
    <s v="Structureel onderhoud Middelkerke-Driewege, samen met fietspadenproject en riolering N325"/>
    <s v="Kleine Ingreep"/>
    <s v="WWV/INV/N325/2"/>
    <b v="0"/>
    <s v="Ingreep wordt niet opgevolgd in BOD"/>
    <s v="&lt;null&gt;"/>
    <s v="&lt;null&gt;"/>
    <s v="WEGENIS"/>
    <s v="&lt;null&gt;"/>
    <n v="100"/>
    <n v="1800000"/>
    <n v="1800000"/>
  </r>
  <r>
    <x v="140"/>
    <x v="140"/>
    <s v="Fiets"/>
    <x v="0"/>
    <n v="136"/>
    <s v="IN/000136"/>
    <s v="Structureel Onderhoud - bijna conforme fietspaden in Veurne opN39  8.9 - 9.6"/>
    <s v="Nieuwpoortkeiweg N39 - verbeteren afwatering"/>
    <s v="Kleine Ingreep"/>
    <s v="WWV/INV/N39/2"/>
    <b v="0"/>
    <s v="Ingreep wordt niet opgevolgd in BOD"/>
    <s v="&lt;null&gt;"/>
    <s v="&lt;null&gt;"/>
    <s v="WEGENIS"/>
    <s v="&lt;null&gt;"/>
    <n v="100"/>
    <n v="650000"/>
    <n v="650000"/>
  </r>
  <r>
    <x v="141"/>
    <x v="141"/>
    <s v="Fiets"/>
    <x v="0"/>
    <n v="137"/>
    <s v="IN/000137"/>
    <s v="Studie i.f.v. projectvoortgang in Wuustwezel opN1  60.6 - 67.7"/>
    <s v="aanleg vrijliggende fietspaden : STUDIE"/>
    <s v="Kleine Ingreep"/>
    <s v="WA/INV/N1/8"/>
    <b v="0"/>
    <s v="Ingreep wordt niet opgevolgd in BOD"/>
    <s v="&lt;null&gt;"/>
    <s v="&lt;null&gt;"/>
    <s v="WEGENIS"/>
    <s v="&lt;null&gt;"/>
    <n v="100"/>
    <n v="150000"/>
    <n v="150000"/>
  </r>
  <r>
    <x v="142"/>
    <x v="142"/>
    <s v="Fiets"/>
    <x v="0"/>
    <n v="138"/>
    <s v="IN/000138"/>
    <s v="Studie i.f.v. projectvoortgang in Ham opN141  11.0 - 11.1"/>
    <s v="fietstunnel in FSW N141 - studie"/>
    <s v="Kleine Ingreep"/>
    <s v="WL/INV/N141/7"/>
    <b v="0"/>
    <s v="Ingreep wordt niet opgevolgd in BOD"/>
    <s v="&lt;null&gt;"/>
    <s v="&lt;null&gt;"/>
    <s v="WEGENIS"/>
    <s v="&lt;null&gt;"/>
    <n v="100"/>
    <n v="200000"/>
    <n v="200000"/>
  </r>
  <r>
    <x v="143"/>
    <x v="143"/>
    <s v="Fiets"/>
    <x v="0"/>
    <n v="139"/>
    <s v="IN/000139"/>
    <s v="Studie i.f.v. projectvoortgang in Hasselt opN729  4.0 - 5.0"/>
    <s v="aanleg fietspaden tussen kanaal en bolderberg - studie"/>
    <s v="Kleine Ingreep"/>
    <s v="WL/INV/N729/8"/>
    <b v="0"/>
    <s v="Ingreep wordt niet opgevolgd in BOD"/>
    <s v="&lt;null&gt;"/>
    <s v="&lt;null&gt;"/>
    <s v="WEGENIS"/>
    <s v="&lt;null&gt;"/>
    <n v="100"/>
    <n v="200000"/>
    <n v="200000"/>
  </r>
  <r>
    <x v="144"/>
    <x v="144"/>
    <s v="Fiets"/>
    <x v="0"/>
    <n v="140"/>
    <s v="IN/000140"/>
    <s v="Studie i.f.v. projectvoortgang in Hasselt opN203  3.0 - 4.0"/>
    <s v="kruispunt N20 met E313 incl fiets - studie"/>
    <s v="Kleine Ingreep"/>
    <s v="WL/INV/N203/1"/>
    <b v="0"/>
    <s v="Ingreep wordt niet opgevolgd in BOD"/>
    <s v="&lt;null&gt;"/>
    <s v="&lt;null&gt;"/>
    <s v="WEGENIS"/>
    <s v="&lt;null&gt;"/>
    <n v="100"/>
    <n v="200000"/>
    <n v="200000"/>
  </r>
  <r>
    <x v="145"/>
    <x v="145"/>
    <s v="Fiets"/>
    <x v="0"/>
    <n v="141"/>
    <s v="IN/000141"/>
    <s v="Studie i.f.v. projectvoortgang in Houthalen-Helchteren opN719  12.0 - 12.4"/>
    <s v="Studie aanleg fietspaden N719"/>
    <s v="Kleine Ingreep"/>
    <s v="WL/INV/N719/7"/>
    <b v="0"/>
    <s v="Ingreep wordt niet opgevolgd in BOD"/>
    <s v="&lt;null&gt;"/>
    <s v="&lt;null&gt;"/>
    <s v="WEGENIS"/>
    <s v="&lt;null&gt;"/>
    <n v="100"/>
    <n v="150000"/>
    <n v="150000"/>
  </r>
  <r>
    <x v="18"/>
    <x v="18"/>
    <s v="&lt;null&gt;"/>
    <x v="3"/>
    <n v="142"/>
    <s v="IN/000142"/>
    <s v="Studie i.f.v. projectvoortgang in Kaprijke opN456  21.37 - 23.3"/>
    <s v="Aanleg vrijliggende fietspaden in de Molenstraat te Kaprijke - studie"/>
    <s v="Kleine Ingreep"/>
    <s v="WOV/INV/N456/10"/>
    <b v="0"/>
    <s v="Ingreep wordt niet opgevolgd in BOD"/>
    <n v="2023"/>
    <s v="&lt;null&gt;"/>
    <s v="WEGENIS"/>
    <s v="gaat over studie - opdracht"/>
    <m/>
    <n v="100000"/>
    <m/>
  </r>
  <r>
    <x v="146"/>
    <x v="146"/>
    <s v="Fiets"/>
    <x v="0"/>
    <n v="143"/>
    <s v="IN/000143"/>
    <s v="A12.DP04 - Fietssnelweg F28 Wolvertem-Londerzeel - Studie"/>
    <s v="A12.DP04 - Fietssnelweg F28 Wolvertem-Londerzeel - Studie"/>
    <s v="Kleine Ingreep"/>
    <s v="WVB/INV/A12/6"/>
    <b v="0"/>
    <s v="Ingreep wordt niet opgevolgd in BOD"/>
    <n v="2022"/>
    <s v="Q3"/>
    <s v="STUDIE"/>
    <s v="&lt;null&gt;"/>
    <n v="100"/>
    <n v="200000"/>
    <n v="200000"/>
  </r>
  <r>
    <x v="147"/>
    <x v="147"/>
    <s v="Fiets"/>
    <x v="0"/>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s v="&lt;null&gt;"/>
    <s v="&lt;null&gt;"/>
    <s v="WEGENIS"/>
    <s v="&lt;null&gt;"/>
    <n v="100"/>
    <n v="346625.77179999999"/>
    <n v="346625.77179999999"/>
  </r>
  <r>
    <x v="148"/>
    <x v="148"/>
    <s v="Verkeersveiligheid"/>
    <x v="4"/>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s v="&lt;null&gt;"/>
    <s v="&lt;null&gt;"/>
    <s v="WEGENIS"/>
    <s v="&lt;null&gt;"/>
    <n v="0"/>
    <n v="346625.77179999999"/>
    <n v="0"/>
  </r>
  <r>
    <x v="149"/>
    <x v="149"/>
    <s v="Verkeersveiligheid"/>
    <x v="4"/>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s v="&lt;null&gt;"/>
    <s v="&lt;null&gt;"/>
    <s v="WEGENIS"/>
    <s v="&lt;null&gt;"/>
    <n v="0"/>
    <n v="346625.77179999999"/>
    <n v="0"/>
  </r>
  <r>
    <x v="150"/>
    <x v="150"/>
    <s v="Verkeersveiligheid"/>
    <x v="4"/>
    <n v="144"/>
    <s v="IN/000144"/>
    <s v="Herindeling van de weg (markeringen) in Herentals opN13  19.2 - 20.2"/>
    <s v="ter hoogte vd kruispunten ook infra aanpassing + verplaatsen van 2 lichten, ook afscheiding voorzien tussen rijbaan en FP (of verharding wegnemen)"/>
    <s v="Kleine Ingreep"/>
    <s v="WA/INV/N13/6"/>
    <b v="1"/>
    <s v="Ingreep wordt opgevolgd in BOD"/>
    <s v="&lt;null&gt;"/>
    <s v="&lt;null&gt;"/>
    <s v="WEGENIS"/>
    <s v="&lt;null&gt;"/>
    <n v="0"/>
    <n v="346625.77179999999"/>
    <n v="0"/>
  </r>
  <r>
    <x v="151"/>
    <x v="151"/>
    <s v="Fiets"/>
    <x v="0"/>
    <n v="145"/>
    <s v="IN/000145"/>
    <s v="Herindeling van de weg (markeringen) in Lier, Boechout opN10  3.5 - 8.1"/>
    <s v="Vrijliggend fietspad maken d.m.v. belijning: afschaffen parkeerstrook &amp; versmalde verdrijfstrook."/>
    <s v="Kleine Ingreep"/>
    <s v="WA/INV/N10/6"/>
    <b v="1"/>
    <s v="Ingreep wordt opgevolgd in BOD"/>
    <n v="2022"/>
    <s v="Q2"/>
    <s v="WEGENIS"/>
    <s v="&lt;null&gt;"/>
    <n v="95"/>
    <n v="1393097.8533999999"/>
    <n v="1323442.9607299999"/>
  </r>
  <r>
    <x v="152"/>
    <x v="152"/>
    <s v="Verkeersveiligheid"/>
    <x v="1"/>
    <n v="145"/>
    <s v="IN/000145"/>
    <s v="Herindeling van de weg (markeringen) in Lier, Boechout opN10  3.5 - 8.1"/>
    <s v="Vrijliggend fietspad maken d.m.v. belijning: afschaffen parkeerstrook &amp; versmalde verdrijfstrook."/>
    <s v="Kleine Ingreep"/>
    <s v="WA/INV/N10/6"/>
    <b v="1"/>
    <s v="Ingreep wordt opgevolgd in BOD"/>
    <n v="2022"/>
    <s v="Q2"/>
    <s v="WEGENIS"/>
    <s v="&lt;null&gt;"/>
    <n v="5"/>
    <n v="1393097.8533999999"/>
    <n v="69654.892670000001"/>
  </r>
  <r>
    <x v="153"/>
    <x v="153"/>
    <s v="Fiets"/>
    <x v="0"/>
    <n v="146"/>
    <s v="IN/000146"/>
    <s v="Herindeling van de weg (markeringen) in Mechelen opN26  17.6 - 20.9"/>
    <s v="tussen 17,6-18,4 verhoogd aanliggend. Vanaf 20,9 wordt aangepakt ikv stationsomgeving. Over volledige lengte klinkers --&gt;"/>
    <s v="Kleine Ingreep"/>
    <s v="WA/INV/N26/7"/>
    <b v="0"/>
    <s v="Ingreep wordt niet opgevolgd in BOD"/>
    <s v="&lt;null&gt;"/>
    <s v="&lt;null&gt;"/>
    <s v="WEGENIS"/>
    <s v="&lt;null&gt;"/>
    <n v="100"/>
    <n v="1457059.3125"/>
    <n v="1457059.3125"/>
  </r>
  <r>
    <x v="154"/>
    <x v="154"/>
    <s v="Fiets"/>
    <x v="0"/>
    <n v="147"/>
    <s v="IN/000147"/>
    <s v="Herindeling van de weg (markeringen) in Dilsen-Stokkem opN75  28.0 - 29.2"/>
    <s v="km 28-29,2 : toplaag fietspad vernieuwen en breder markeren"/>
    <s v="Kleine Ingreep"/>
    <s v="WL/INV/N75/7"/>
    <b v="1"/>
    <s v="Ingreep wordt opgevolgd in BOD"/>
    <s v="&lt;null&gt;"/>
    <s v="&lt;null&gt;"/>
    <s v="WEGENIS"/>
    <s v="&lt;null&gt;"/>
    <n v="100"/>
    <n v="251203.91"/>
    <n v="251203.91"/>
  </r>
  <r>
    <x v="155"/>
    <x v="155"/>
    <s v="Fiets"/>
    <x v="0"/>
    <n v="148"/>
    <s v="IN/000148"/>
    <s v="Herindeling van de weg (markeringen) in Geel opN142  0.55 - 1.25"/>
    <s v="Parkeervakken omvormen tot FP"/>
    <s v="Kleine Ingreep"/>
    <s v="WA/INV/N142/3"/>
    <b v="0"/>
    <s v="Ingreep wordt niet opgevolgd in BOD"/>
    <s v="&lt;null&gt;"/>
    <s v="&lt;null&gt;"/>
    <s v="WEGENIS"/>
    <s v="&lt;null&gt;"/>
    <n v="100"/>
    <n v="300000"/>
    <n v="300000"/>
  </r>
  <r>
    <x v="156"/>
    <x v="156"/>
    <s v="Fiets"/>
    <x v="0"/>
    <n v="149"/>
    <s v="IN/000149"/>
    <s v="Herindeling van de weg (markeringen) in Diepenbeek opN76  0.1 - 1.2"/>
    <s v="Herindeling van de weg - schilder- én infrastructuurwerken N76"/>
    <s v="Kleine Ingreep"/>
    <s v="WL/INV/N76/16"/>
    <b v="0"/>
    <s v="Ingreep wordt niet opgevolgd in BOD"/>
    <s v="&lt;null&gt;"/>
    <s v="&lt;null&gt;"/>
    <s v="WEGENIS"/>
    <s v="&lt;null&gt;"/>
    <n v="100"/>
    <n v="900000"/>
    <n v="900000"/>
  </r>
  <r>
    <x v="157"/>
    <x v="157"/>
    <s v="Fiets"/>
    <x v="0"/>
    <n v="150"/>
    <s v="IN/000150"/>
    <s v="Herindeling van de weg (infrastructuurwerken) in Vilvoorde opN1  4.4 - 6.6"/>
    <s v="afschaffen rijstrook over bijna gehele lengte en fietspad markeren op vrijgekomen ruimte (soms voor, soms achter parkeerstrook)"/>
    <s v="Kleine Ingreep"/>
    <s v="WVB/INV/N1/2"/>
    <b v="1"/>
    <s v="Ingreep wordt opgevolgd in BOD"/>
    <n v="2022"/>
    <s v="Q2"/>
    <s v="WEGENIS"/>
    <s v="&lt;null&gt;"/>
    <n v="100"/>
    <n v="419720.69"/>
    <n v="419720.69"/>
  </r>
  <r>
    <x v="158"/>
    <x v="158"/>
    <s v="Fiets"/>
    <x v="0"/>
    <n v="151"/>
    <s v="IN/000151"/>
    <s v="N2/78 Tielt-Winge/Bekkevoort FP &amp; StructOnderh N2"/>
    <s v="&lt;null&gt;"/>
    <s v="Structurele Ingreep"/>
    <s v="WVB/INV/N2/11"/>
    <b v="0"/>
    <s v="Ingreep wordt niet opgevolgd in BOD"/>
    <s v="&lt;null&gt;"/>
    <s v="&lt;null&gt;"/>
    <s v="WEGENIS"/>
    <s v="&lt;null&gt;"/>
    <n v="100"/>
    <n v="2500000"/>
    <n v="2500000"/>
  </r>
  <r>
    <x v="159"/>
    <x v="159"/>
    <s v="Verkeersveiligheid"/>
    <x v="4"/>
    <n v="151"/>
    <s v="IN/000151"/>
    <s v="N2/78 Tielt-Winge/Bekkevoort FP &amp; StructOnderh N2"/>
    <s v="&lt;null&gt;"/>
    <s v="Structurele Ingreep"/>
    <s v="WVB/INV/N2/11"/>
    <b v="0"/>
    <s v="Ingreep wordt niet opgevolgd in BOD"/>
    <s v="&lt;null&gt;"/>
    <s v="&lt;null&gt;"/>
    <s v="WEGENIS"/>
    <s v="&lt;null&gt;"/>
    <n v="0"/>
    <n v="2500000"/>
    <n v="0"/>
  </r>
  <r>
    <x v="160"/>
    <x v="160"/>
    <s v="Fiets"/>
    <x v="0"/>
    <n v="152"/>
    <s v="IN/000152"/>
    <s v="Herindeling van de weg (infrastructuurwerken) in Izegem opN36  18.9 - 22.2"/>
    <s v="Beton opbreken en vervangen door asfalt (incl. verbreden naar 200 cm)"/>
    <s v="Kleine Ingreep"/>
    <s v="&lt;null&gt;"/>
    <b v="0"/>
    <s v="Ingreep wordt niet opgevolgd in BOD"/>
    <s v="&lt;null&gt;"/>
    <s v="&lt;null&gt;"/>
    <s v="WEGENIS"/>
    <s v="&lt;null&gt;"/>
    <n v="100"/>
    <n v="1000000"/>
    <n v="1000000"/>
  </r>
  <r>
    <x v="18"/>
    <x v="18"/>
    <s v="&lt;null&gt;"/>
    <x v="3"/>
    <n v="153"/>
    <s v="IN/000153"/>
    <s v="Herindeling van de weg (infrastructuurwerken) in Koksijde opN34  57.7 - 58.4"/>
    <s v="Realisatie fietspad + vermijden tramsporen"/>
    <s v="Kleine Ingreep"/>
    <s v="&lt;null&gt;"/>
    <b v="0"/>
    <s v="Ingreep wordt niet opgevolgd in BOD"/>
    <s v="&lt;null&gt;"/>
    <s v="&lt;null&gt;"/>
    <s v="WEGENIS"/>
    <s v="&lt;null&gt;"/>
    <m/>
    <n v="400000"/>
    <m/>
  </r>
  <r>
    <x v="161"/>
    <x v="161"/>
    <s v="Fiets"/>
    <x v="0"/>
    <n v="154"/>
    <s v="IN/000154"/>
    <s v="Herindeling van de weg (infrastructuurwerken) in Lanaken opN78  13.8 - 14.7"/>
    <s v="3 deelprojecten: 1,3-3,8: breden FP markeren &amp; toplaag ; 11,9-12,3: toplaag fietspad vernieuwen &amp; 13,8-14,7: parkeerstrook omvormen tot fietspad"/>
    <s v="Kleine Ingreep"/>
    <s v="WL/INV/N78/15"/>
    <b v="1"/>
    <s v="Ingreep wordt opgevolgd in BOD"/>
    <s v="&lt;null&gt;"/>
    <s v="&lt;null&gt;"/>
    <s v="WEGENIS"/>
    <s v="&lt;null&gt;"/>
    <n v="100"/>
    <n v="152825.8314"/>
    <n v="152825.8314"/>
  </r>
  <r>
    <x v="162"/>
    <x v="162"/>
    <s v="Fiets"/>
    <x v="0"/>
    <n v="155"/>
    <s v="IN/000155"/>
    <s v="Herindeling van de weg (infrastructuurwerken) in Lanaken opN78  11.9 - 12.3"/>
    <s v="3 deelprojecten: 1,3-3,8: breden FP markeren &amp; toplaag ; 11,9-12,3: toplaag fietspad vernieuwen &amp; 13,8-14,7: parkeerstrook omvormen tot fietspad"/>
    <s v="Kleine Ingreep"/>
    <s v="WL/INV/N78/16"/>
    <b v="1"/>
    <s v="Ingreep wordt opgevolgd in BOD"/>
    <s v="&lt;null&gt;"/>
    <s v="&lt;null&gt;"/>
    <s v="WEGENIS"/>
    <s v="&lt;null&gt;"/>
    <n v="100"/>
    <n v="44345.943399999996"/>
    <n v="44345.943399999996"/>
  </r>
  <r>
    <x v="163"/>
    <x v="163"/>
    <s v="Fiets"/>
    <x v="0"/>
    <n v="156"/>
    <s v="IN/000156"/>
    <s v="Herindeling van de weg (infrastructuurwerken) in Hasselt opR71  0.0 - 0.0"/>
    <s v="3 deelprojecten: 1,3-3,8: breden FP markeren &amp; toplaag ; 11,9-12,3: toplaag fietspad vernieuwen &amp; 13,8-14,7: parkeerstrook omvormen tot fietspad"/>
    <s v="Kleine Ingreep"/>
    <s v="WL/INV/R71/18"/>
    <b v="1"/>
    <s v="Ingreep wordt opgevolgd in BOD"/>
    <s v="&lt;null&gt;"/>
    <s v="&lt;null&gt;"/>
    <s v="WEGENIS"/>
    <s v="&lt;null&gt;"/>
    <n v="100"/>
    <n v="105014.14707000001"/>
    <n v="105014.14707000001"/>
  </r>
  <r>
    <x v="164"/>
    <x v="164"/>
    <s v="Fiets"/>
    <x v="0"/>
    <n v="157"/>
    <s v="IN/000157"/>
    <s v="Herindeling van de weg (infrastructuurwerken) in Hasselt opR71  9.7 - 10.0"/>
    <s v="3 deelprojecten: 1,3-3,8: breden FP markeren &amp; toplaag ; 11,9-12,3: toplaag fietspad vernieuwen &amp; 13,8-14,7: parkeerstrook omvormen tot fietspad"/>
    <s v="Kleine Ingreep"/>
    <s v="WL/INV/R71/19"/>
    <b v="1"/>
    <s v="Ingreep wordt opgevolgd in BOD"/>
    <s v="&lt;null&gt;"/>
    <s v="&lt;null&gt;"/>
    <s v="WEGENIS"/>
    <s v="&lt;null&gt;"/>
    <n v="100"/>
    <n v="37063.816610000002"/>
    <n v="37063.816610000002"/>
  </r>
  <r>
    <x v="165"/>
    <x v="165"/>
    <s v="Fiets"/>
    <x v="0"/>
    <n v="158"/>
    <s v="IN/000158"/>
    <s v="Herindeling van de weg (infrastructuurwerken) in Schoten opN115  3.3 - 4.4"/>
    <s v="Herinrichting fietspaden : UITVOERING"/>
    <s v="Kleine Ingreep"/>
    <s v="WA/INV/N115/5"/>
    <b v="0"/>
    <s v="Ingreep wordt niet opgevolgd in BOD"/>
    <s v="&lt;null&gt;"/>
    <s v="&lt;null&gt;"/>
    <s v="WEGENIS"/>
    <s v="&lt;null&gt;"/>
    <n v="100"/>
    <n v="700000"/>
    <n v="700000"/>
  </r>
  <r>
    <x v="166"/>
    <x v="166"/>
    <s v="Verkeersveiligheid"/>
    <x v="4"/>
    <n v="158"/>
    <s v="IN/000158"/>
    <s v="Herindeling van de weg (infrastructuurwerken) in Schoten opN115  3.3 - 4.4"/>
    <s v="Herinrichting fietspaden : UITVOERING"/>
    <s v="Kleine Ingreep"/>
    <s v="WA/INV/N115/5"/>
    <b v="0"/>
    <s v="Ingreep wordt niet opgevolgd in BOD"/>
    <s v="&lt;null&gt;"/>
    <s v="&lt;null&gt;"/>
    <s v="WEGENIS"/>
    <s v="&lt;null&gt;"/>
    <n v="0"/>
    <n v="700000"/>
    <n v="0"/>
  </r>
  <r>
    <x v="167"/>
    <x v="167"/>
    <s v="Verkeersveiligheid"/>
    <x v="4"/>
    <n v="158"/>
    <s v="IN/000158"/>
    <s v="Herindeling van de weg (infrastructuurwerken) in Schoten opN115  3.3 - 4.4"/>
    <s v="Herinrichting fietspaden : UITVOERING"/>
    <s v="Kleine Ingreep"/>
    <s v="WA/INV/N115/5"/>
    <b v="0"/>
    <s v="Ingreep wordt niet opgevolgd in BOD"/>
    <s v="&lt;null&gt;"/>
    <s v="&lt;null&gt;"/>
    <s v="WEGENIS"/>
    <s v="&lt;null&gt;"/>
    <n v="0"/>
    <n v="700000"/>
    <n v="0"/>
  </r>
  <r>
    <x v="168"/>
    <x v="168"/>
    <s v="Fiets"/>
    <x v="0"/>
    <n v="159"/>
    <s v="IN/000159"/>
    <s v="Herindeling van de weg (infrastructuurwerken) in Wuustwezel opN133  13.7 - 15.1"/>
    <s v="Structureel onderhoud fietspad (of heraanleg incL parkeerstrookjes) :WERKEN"/>
    <s v="Kleine Ingreep"/>
    <s v="WA/INV/N133/6"/>
    <b v="0"/>
    <s v="Ingreep wordt niet opgevolgd in BOD"/>
    <s v="&lt;null&gt;"/>
    <s v="&lt;null&gt;"/>
    <s v="WEGENIS"/>
    <s v="&lt;null&gt;"/>
    <n v="100"/>
    <n v="600000"/>
    <n v="600000"/>
  </r>
  <r>
    <x v="169"/>
    <x v="169"/>
    <s v="Verkeersveiligheid"/>
    <x v="4"/>
    <n v="159"/>
    <s v="IN/000159"/>
    <s v="Herindeling van de weg (infrastructuurwerken) in Wuustwezel opN133  13.7 - 15.1"/>
    <s v="Structureel onderhoud fietspad (of heraanleg incL parkeerstrookjes) :WERKEN"/>
    <s v="Kleine Ingreep"/>
    <s v="WA/INV/N133/6"/>
    <b v="0"/>
    <s v="Ingreep wordt niet opgevolgd in BOD"/>
    <s v="&lt;null&gt;"/>
    <s v="&lt;null&gt;"/>
    <s v="WEGENIS"/>
    <s v="&lt;null&gt;"/>
    <n v="0"/>
    <n v="600000"/>
    <n v="0"/>
  </r>
  <r>
    <x v="170"/>
    <x v="170"/>
    <s v="Fiets"/>
    <x v="0"/>
    <n v="160"/>
    <s v="IN/000160"/>
    <s v="Herindeling van de weg (infrastructuurwerken) in Bree, Bocholt opN76  47.6 - 50.8"/>
    <s v="Herindeling van de weg - infrastructuurwerken N76"/>
    <s v="Kleine Ingreep"/>
    <s v="WL/INV/N76/17"/>
    <b v="0"/>
    <s v="Ingreep wordt niet opgevolgd in BOD"/>
    <s v="&lt;null&gt;"/>
    <s v="&lt;null&gt;"/>
    <s v="WEGENIS"/>
    <s v="&lt;null&gt;"/>
    <n v="100"/>
    <n v="500000"/>
    <n v="500000"/>
  </r>
  <r>
    <x v="171"/>
    <x v="171"/>
    <s v="Fiets"/>
    <x v="0"/>
    <n v="161"/>
    <s v="IN/000161"/>
    <s v="Herindeling van de weg (infrastructuurwerken) in Bree opN76  45.0 - 46.0"/>
    <s v="Herindeling van de weg - infrastructuurwerken N76"/>
    <s v="Kleine Ingreep"/>
    <s v="WL/INV/N76/18"/>
    <b v="0"/>
    <s v="Ingreep wordt niet opgevolgd in BOD"/>
    <s v="&lt;null&gt;"/>
    <s v="&lt;null&gt;"/>
    <s v="WEGENIS"/>
    <s v="&lt;null&gt;"/>
    <n v="100"/>
    <n v="350000"/>
    <n v="350000"/>
  </r>
  <r>
    <x v="172"/>
    <x v="172"/>
    <s v="Fiets"/>
    <x v="0"/>
    <n v="162"/>
    <s v="IN/000162"/>
    <s v="Aanpak aanliggende fietspaden in Lier opN108  1.0 - 1.8"/>
    <s v="N108 Lier tussen 1k0 en 1k8 beide kanten aanliggend fietspad in slechte beton opbreken en verhoogd aanbrengen in asfalt"/>
    <s v="Kleine Ingreep"/>
    <s v="WA/INV/N108/3"/>
    <b v="1"/>
    <s v="Ingreep wordt opgevolgd in BOD"/>
    <s v="&lt;null&gt;"/>
    <s v="&lt;null&gt;"/>
    <s v="WEGENIS"/>
    <s v="&lt;null&gt;"/>
    <n v="100"/>
    <n v="442730.71755"/>
    <n v="442730.71755"/>
  </r>
  <r>
    <x v="173"/>
    <x v="173"/>
    <s v="Fiets"/>
    <x v="0"/>
    <n v="163"/>
    <s v="IN/000163"/>
    <s v="Aanpak aanliggende fietspaden in Lier opN108  1.8 - 2.2"/>
    <s v="N108 1k8 tot 2k2 enkel oplopende kant: aanliggend fietspad in slechte beton opbreken en verhoogd aanbrengen in asfalt en aan 2k2 oversteek voorzien naar bestaand dubbelrichtingsfietspad"/>
    <s v="Kleine Ingreep"/>
    <s v="WA/INV/N108/4"/>
    <b v="0"/>
    <s v="Ingreep wordt niet opgevolgd in BOD"/>
    <s v="&lt;null&gt;"/>
    <s v="&lt;null&gt;"/>
    <s v="WEGENIS"/>
    <s v="&lt;null&gt;"/>
    <n v="100"/>
    <n v="147576.90585000001"/>
    <n v="147576.90585000001"/>
  </r>
  <r>
    <x v="174"/>
    <x v="174"/>
    <s v="Fiets"/>
    <x v="0"/>
    <n v="164"/>
    <s v="IN/000164"/>
    <s v="Aanpak aanliggende fietspaden in Malle opN12  25.5 - 25.8"/>
    <s v="Aanliggend verhoogd fietspad in asfalt realiseren ter vervanging van de betonstroken."/>
    <s v="Kleine Ingreep"/>
    <s v="WA/INV/N12/8"/>
    <b v="1"/>
    <s v="Ingreep wordt opgevolgd in BOD"/>
    <s v="&lt;null&gt;"/>
    <s v="&lt;null&gt;"/>
    <s v="WEGENIS"/>
    <s v="&lt;null&gt;"/>
    <n v="90"/>
    <n v="174878.14493000001"/>
    <n v="157390.330437"/>
  </r>
  <r>
    <x v="175"/>
    <x v="175"/>
    <s v="Verkeersveiligheid"/>
    <x v="4"/>
    <n v="164"/>
    <s v="IN/000164"/>
    <s v="Aanpak aanliggende fietspaden in Malle opN12  25.5 - 25.8"/>
    <s v="Aanliggend verhoogd fietspad in asfalt realiseren ter vervanging van de betonstroken."/>
    <s v="Kleine Ingreep"/>
    <s v="WA/INV/N12/8"/>
    <b v="1"/>
    <s v="Ingreep wordt opgevolgd in BOD"/>
    <s v="&lt;null&gt;"/>
    <s v="&lt;null&gt;"/>
    <s v="WEGENIS"/>
    <s v="&lt;null&gt;"/>
    <n v="10"/>
    <n v="174878.14493000001"/>
    <n v="17487.814493000002"/>
  </r>
  <r>
    <x v="176"/>
    <x v="176"/>
    <s v="Fiets"/>
    <x v="0"/>
    <n v="165"/>
    <s v="IN/000165"/>
    <s v="Aanpak aanliggende fietspaden in Dilsen-Stokkem opN742  1.0 - 2.7"/>
    <s v="50% F. km 1-2,7 : nieuwe toplaag volledige weg en fietspaden breder markeren"/>
    <s v="Kleine Ingreep"/>
    <s v="WL/INV/N742/1"/>
    <b v="1"/>
    <s v="Ingreep wordt opgevolgd in BOD"/>
    <s v="&lt;null&gt;"/>
    <s v="&lt;null&gt;"/>
    <s v="WEGENIS"/>
    <s v="&lt;null&gt;"/>
    <n v="100"/>
    <n v="1603264.38"/>
    <n v="1603264.38"/>
  </r>
  <r>
    <x v="177"/>
    <x v="177"/>
    <s v="Verkeersveiligheid"/>
    <x v="4"/>
    <n v="165"/>
    <s v="IN/000165"/>
    <s v="Aanpak aanliggende fietspaden in Dilsen-Stokkem opN742  1.0 - 2.7"/>
    <s v="50% F. km 1-2,7 : nieuwe toplaag volledige weg en fietspaden breder markeren"/>
    <s v="Kleine Ingreep"/>
    <s v="WL/INV/N742/1"/>
    <b v="1"/>
    <s v="Ingreep wordt opgevolgd in BOD"/>
    <s v="&lt;null&gt;"/>
    <s v="&lt;null&gt;"/>
    <s v="WEGENIS"/>
    <s v="&lt;null&gt;"/>
    <n v="0"/>
    <n v="1603264.38"/>
    <n v="0"/>
  </r>
  <r>
    <x v="18"/>
    <x v="18"/>
    <s v="&lt;null&gt;"/>
    <x v="3"/>
    <n v="166"/>
    <s v="IN/000166"/>
    <s v="Aanpak aanliggende fietspaden in Kinrooi, Lanaken opN78  0.0 - 43.0"/>
    <s v="20% F - toplaag hele rijweg vernieuwen in slechtste zones, fietspad breder markeren"/>
    <s v="Structurele Ingreep"/>
    <s v="&lt;null&gt;"/>
    <b v="0"/>
    <s v="Ingreep wordt niet opgevolgd in BOD"/>
    <s v="&lt;null&gt;"/>
    <s v="&lt;null&gt;"/>
    <s v="WEGENIS"/>
    <s v="&lt;null&gt;"/>
    <m/>
    <n v="5000000"/>
    <m/>
  </r>
  <r>
    <x v="178"/>
    <x v="178"/>
    <s v="Fiets"/>
    <x v="0"/>
    <n v="167"/>
    <s v="IN/000167"/>
    <s v="Aanpak aanliggende fietspaden in Dendermonde opN017  11.6 - 12.7"/>
    <s v="De  stad  Dendermonde  gaat  niet  akkoord  met  de  vooropgestelde  zone  van  de  N17  (tussen  kmpt. 13,470  en  kmpt.  14,850).  Deze  zone  betreft  een  fietspad  in  kleinschalige  elementen  maar  dewelke nog  in  goede  staat  zijn  volgens  de  "/>
    <s v="Kleine Ingreep"/>
    <s v="WOV/INV/N17/3"/>
    <b v="1"/>
    <s v="Ingreep wordt opgevolgd in BOD"/>
    <n v="2022"/>
    <s v="Q2"/>
    <s v="WEGENIS"/>
    <s v="&lt;null&gt;"/>
    <n v="100"/>
    <n v="135471.21"/>
    <n v="135471.21"/>
  </r>
  <r>
    <x v="179"/>
    <x v="179"/>
    <s v="Fiets"/>
    <x v="0"/>
    <n v="168"/>
    <s v="IN/000168"/>
    <s v="Aanpak aanliggende fietspaden in Wetteren opN416  12.8 - 13.2"/>
    <s v="geschrapt"/>
    <s v="Kleine Ingreep"/>
    <s v="WOV/INV/N416/4"/>
    <b v="0"/>
    <s v="Ingreep wordt niet opgevolgd in BOD"/>
    <s v="&lt;null&gt;"/>
    <s v="&lt;null&gt;"/>
    <s v="WEGENIS"/>
    <s v="&lt;null&gt;"/>
    <n v="100"/>
    <n v="96000"/>
    <n v="96000"/>
  </r>
  <r>
    <x v="180"/>
    <x v="180"/>
    <s v="Fiets"/>
    <x v="0"/>
    <n v="169"/>
    <s v="IN/000169"/>
    <s v="NIET IN E1 Aanpak enkelrichtingsfietspaden in Dendermonde op N416 kmpt. 0.825-4.600"/>
    <s v="Vrijliggende enkelrichtingsfietspaden in beton vervangen door asfalt"/>
    <s v="Structurele Ingreep"/>
    <s v="&lt;null&gt;"/>
    <b v="0"/>
    <s v="Ingreep wordt niet opgevolgd in BOD"/>
    <n v="2021"/>
    <s v="Q4"/>
    <s v="WEGENIS"/>
    <s v="&lt;null&gt;"/>
    <n v="100"/>
    <n v="475689"/>
    <n v="475689"/>
  </r>
  <r>
    <x v="181"/>
    <x v="181"/>
    <s v="Fiets"/>
    <x v="0"/>
    <n v="170"/>
    <s v="IN/000170"/>
    <s v="Aanpak aanliggende fietspaden in Gent opN424  0.0 - 0.16"/>
    <s v="&lt;null&gt;"/>
    <s v="Kleine Ingreep"/>
    <s v="WOV/INV/N424/5"/>
    <b v="1"/>
    <s v="Ingreep wordt opgevolgd in BOD"/>
    <n v="2023"/>
    <s v="Q2"/>
    <s v="WEGENIS"/>
    <s v="&lt;null&gt;"/>
    <n v="100"/>
    <n v="71586.820000000007"/>
    <n v="71586.820000000007"/>
  </r>
  <r>
    <x v="182"/>
    <x v="182"/>
    <s v="Fiets"/>
    <x v="0"/>
    <n v="171"/>
    <s v="IN/000171"/>
    <s v="Aanpak aanliggende fietspaden in Gent opN424  0.0 - 2.2"/>
    <s v="&lt;null&gt;"/>
    <s v="Kleine Ingreep"/>
    <s v="WOV/INV/N424/6"/>
    <b v="1"/>
    <s v="Ingreep wordt opgevolgd in BOD"/>
    <n v="2022"/>
    <s v="Q2"/>
    <s v="WEGENIS"/>
    <s v="&lt;null&gt;"/>
    <n v="100"/>
    <n v="336579.89"/>
    <n v="336579.89"/>
  </r>
  <r>
    <x v="18"/>
    <x v="18"/>
    <s v="&lt;null&gt;"/>
    <x v="3"/>
    <n v="172"/>
    <s v="IN/000172"/>
    <s v="N442 herinrichting kruispunt met de Ommeganglaan"/>
    <s v="fietspad in betonstraatstenen vervangen door asfalt"/>
    <s v="Kleine Ingreep"/>
    <s v="WOV/INV/N442/2"/>
    <b v="0"/>
    <s v="Ingreep wordt niet opgevolgd in BOD"/>
    <n v="2022"/>
    <s v="Q2"/>
    <s v="WEGENIS"/>
    <s v="&lt;null&gt;"/>
    <m/>
    <n v="721700"/>
    <m/>
  </r>
  <r>
    <x v="183"/>
    <x v="183"/>
    <s v="Fiets"/>
    <x v="0"/>
    <n v="173"/>
    <s v="IN/000173"/>
    <s v="Aanpak aanliggende fietspaden in Zwalm opN46  20.3 - 22.1"/>
    <s v="vrijliggend fietspad in beton vervangen door asfalt"/>
    <s v="Kleine Ingreep"/>
    <s v="WOV/INV/N46/8"/>
    <b v="1"/>
    <s v="Ingreep wordt opgevolgd in BOD"/>
    <n v="2022"/>
    <s v="Q3"/>
    <s v="WEGENIS"/>
    <s v="&lt;null&gt;"/>
    <n v="100"/>
    <n v="43456"/>
    <n v="43456"/>
  </r>
  <r>
    <x v="184"/>
    <x v="184"/>
    <s v="Fiets"/>
    <x v="0"/>
    <n v="174"/>
    <s v="IN/000174"/>
    <s v="Aanpak aanliggende fietspaden in Dendermonde opN470  0.1 - 1.5"/>
    <s v="&lt;null&gt;"/>
    <s v="Kleine Ingreep"/>
    <s v="WOV/INV/N470/5"/>
    <b v="0"/>
    <s v="Ingreep wordt niet opgevolgd in BOD"/>
    <n v="2023"/>
    <s v="Q2"/>
    <s v="WEGENIS"/>
    <s v="&lt;null&gt;"/>
    <n v="100"/>
    <n v="324000"/>
    <n v="324000"/>
  </r>
  <r>
    <x v="185"/>
    <x v="185"/>
    <s v="Fiets"/>
    <x v="0"/>
    <n v="175"/>
    <s v="IN/000175"/>
    <s v="Aanpak aanliggende fietspaden in Dendermonde opN470  2.6 - 4.15"/>
    <s v="&lt;null&gt;"/>
    <s v="Kleine Ingreep"/>
    <s v="WOV/INV/N470/4"/>
    <b v="1"/>
    <s v="Ingreep wordt opgevolgd in BOD"/>
    <n v="2021"/>
    <s v="Q4"/>
    <s v="WEGENIS"/>
    <s v="&lt;null&gt;"/>
    <n v="100"/>
    <n v="46354.93"/>
    <n v="46354.93"/>
  </r>
  <r>
    <x v="186"/>
    <x v="186"/>
    <s v="Fiets"/>
    <x v="0"/>
    <n v="176"/>
    <s v="IN/000176"/>
    <s v="Aanpak aanliggende fietspaden in Geraardsbergen opN495  1.9 - 2.2"/>
    <s v="aanliggend fietspad in beton vervangen door asfalt (oplopende kmp)"/>
    <s v="Kleine Ingreep"/>
    <s v="WOV/INV/N495/1"/>
    <b v="1"/>
    <s v="Ingreep wordt opgevolgd in BOD"/>
    <n v="2022"/>
    <s v="Q1"/>
    <s v="WEGENIS"/>
    <s v="&lt;null&gt;"/>
    <n v="100"/>
    <n v="47070.95"/>
    <n v="47070.95"/>
  </r>
  <r>
    <x v="187"/>
    <x v="187"/>
    <s v="Fiets"/>
    <x v="0"/>
    <n v="177"/>
    <s v="IN/000177"/>
    <s v="Aanpak aanliggende fietspaden in Bertem, Huldenberg opN253  3.5 - 10.5"/>
    <s v="Qwins Deel 2 - verbeteren verkeersveiligheid zwakke wegbruikers"/>
    <s v="Kleine Ingreep"/>
    <s v="WVB/INV/N253/4"/>
    <b v="0"/>
    <s v="Ingreep wordt niet opgevolgd in BOD"/>
    <s v="&lt;null&gt;"/>
    <s v="&lt;null&gt;"/>
    <s v="WEGENIS"/>
    <s v="&lt;null&gt;"/>
    <n v="100"/>
    <n v="1068469"/>
    <n v="1068469"/>
  </r>
  <r>
    <x v="188"/>
    <x v="188"/>
    <s v="Fiets"/>
    <x v="0"/>
    <n v="178"/>
    <s v="IN/000178"/>
    <s v="Aanpak aanliggende fietspaden in Huldenberg opN253  12.2 - 12.8"/>
    <s v="ingrepen 2 pcv-dossiers, doortrekken fietspad van dreefweg tot ingang kasteelpark + aanleg fietspad (missing link) vanaf A. Goossensstraat tot kmp 12.4, werken uitgevoerd door gemeente, nog niet terugbetaald door AWV"/>
    <s v="Kleine Ingreep"/>
    <s v="WVB/INV/N253/5"/>
    <b v="1"/>
    <s v="Ingreep wordt opgevolgd in BOD"/>
    <n v="2021"/>
    <s v="Q4"/>
    <s v="WEGENIS"/>
    <s v="&lt;null&gt;"/>
    <n v="100"/>
    <n v="45466.05"/>
    <n v="45466.05"/>
  </r>
  <r>
    <x v="189"/>
    <x v="189"/>
    <s v="Fiets"/>
    <x v="0"/>
    <n v="179"/>
    <s v="IN/000179"/>
    <s v="Aanpak aanliggende fietspaden in Sint-Genesius-Rode opN5  10.2 - 10.8"/>
    <s v="omgeving Brassinelaan wegwerken levensgevaarlijke dubbele fietsoversteek, verbreden fietspad van 30cm tot 250, is doortrekken 2-richtingsfietspad kant bos tussen 2 delen van bestaand 2-richtingsfietspad"/>
    <s v="Kleine Ingreep"/>
    <s v="WVB/INV/N5/2"/>
    <b v="0"/>
    <s v="Ingreep wordt niet opgevolgd in BOD"/>
    <s v="&lt;null&gt;"/>
    <s v="&lt;null&gt;"/>
    <s v="WEGENIS"/>
    <s v="&lt;null&gt;"/>
    <n v="100"/>
    <n v="500000"/>
    <n v="500000"/>
  </r>
  <r>
    <x v="190"/>
    <x v="190"/>
    <s v="Fiets"/>
    <x v="0"/>
    <n v="180"/>
    <s v="IN/000180"/>
    <s v="Aanpak aanliggende fietspaden in Halle opN6-N28  14.6 - 15.6"/>
    <s v="aanleg gescheiden fietspaden waar nu aanliggend gemarkeerde  fietspaden liggen (kan nog doorgetrokken worden tot rotonde begin N7, bushaltes"/>
    <s v="Kleine Ingreep"/>
    <s v="WVB/INV/N28/2"/>
    <b v="0"/>
    <s v="Ingreep wordt niet opgevolgd in BOD"/>
    <s v="&lt;null&gt;"/>
    <s v="&lt;null&gt;"/>
    <s v="WEGENIS"/>
    <s v="&lt;null&gt;"/>
    <n v="100"/>
    <n v="1000000"/>
    <n v="1000000"/>
  </r>
  <r>
    <x v="18"/>
    <x v="18"/>
    <s v="&lt;null&gt;"/>
    <x v="3"/>
    <n v="181"/>
    <s v="IN/000181"/>
    <s v="Aanpak aanliggende fietspaden in Ternat opN285  5.3 - 9.4"/>
    <s v="verhoogd fietspad maken en lijnvormig element tussen rijbaan en fietspad (excl. stukken die reeds vernieuwd werden) + aanpassen kruispunt Kraanstraat, aanleg beveiligde fietsoversteek"/>
    <s v="Kleine Ingreep"/>
    <s v="WVB/INV/N285/9"/>
    <b v="0"/>
    <s v="Ingreep wordt niet opgevolgd in BOD"/>
    <n v="2022"/>
    <s v="Q2"/>
    <s v="WEGENIS"/>
    <s v="&lt;null&gt;"/>
    <m/>
    <n v="1450000"/>
    <m/>
  </r>
  <r>
    <x v="191"/>
    <x v="191"/>
    <s v="Fiets"/>
    <x v="0"/>
    <n v="182"/>
    <s v="IN/000182"/>
    <s v="Aanpak aanliggende fietspaden in Brugge N376 - B6 - 9.051 - 9.560 - Zeekanaalweg - Zelzatebrug"/>
    <s v="&lt;null&gt;"/>
    <s v="Kleine Ingreep"/>
    <s v="WWV/INV/N376/3"/>
    <b v="1"/>
    <s v="Ingreep wordt opgevolgd in BOD"/>
    <s v="&lt;null&gt;"/>
    <s v="&lt;null&gt;"/>
    <s v="WEGENIS"/>
    <s v="&lt;null&gt;"/>
    <n v="100"/>
    <n v="466295.8"/>
    <n v="466295.8"/>
  </r>
  <r>
    <x v="192"/>
    <x v="192"/>
    <s v="Fiets"/>
    <x v="0"/>
    <n v="183"/>
    <s v="IN/000183"/>
    <s v="Aanpak aanliggende fietspaden in Brugge opR30  0.0 - 0.2"/>
    <s v="&lt;null&gt;"/>
    <s v="Kleine Ingreep"/>
    <s v="WWV/INV/R30/6"/>
    <b v="0"/>
    <s v="Ingreep wordt niet opgevolgd in BOD"/>
    <s v="&lt;null&gt;"/>
    <s v="&lt;null&gt;"/>
    <s v="WEGENIS"/>
    <s v="&lt;null&gt;"/>
    <n v="100"/>
    <n v="30800"/>
    <n v="30800"/>
  </r>
  <r>
    <x v="193"/>
    <x v="193"/>
    <s v="Fiets"/>
    <x v="0"/>
    <n v="184"/>
    <s v="IN/000184"/>
    <s v="Aanpak aanliggende fietspaden in Brugge R30 - B1 - 0.900 - 1.761 - Warandebrug - Fort Lapin"/>
    <s v="&lt;null&gt;"/>
    <s v="Kleine Ingreep"/>
    <s v="WWV/INV/R30/7"/>
    <b v="1"/>
    <s v="Ingreep wordt opgevolgd in BOD"/>
    <s v="&lt;null&gt;"/>
    <s v="&lt;null&gt;"/>
    <s v="WEGENIS"/>
    <s v="&lt;null&gt;"/>
    <n v="100"/>
    <n v="312995.69"/>
    <n v="312995.69"/>
  </r>
  <r>
    <x v="194"/>
    <x v="194"/>
    <s v="Fiets"/>
    <x v="0"/>
    <n v="185"/>
    <s v="IN/000185"/>
    <s v="Aanpak aanliggende fietspaden in Brugge R30 - B2 -  2.010 - 2.843 - Kruispoort - Dampoort"/>
    <s v="&lt;null&gt;"/>
    <s v="Kleine Ingreep"/>
    <s v="WWV/INV/R30/8"/>
    <b v="0"/>
    <s v="Ingreep wordt niet opgevolgd in BOD"/>
    <s v="&lt;null&gt;"/>
    <s v="&lt;null&gt;"/>
    <s v="WEGENIS"/>
    <s v="&lt;null&gt;"/>
    <n v="100"/>
    <n v="275749.8"/>
    <n v="275749.8"/>
  </r>
  <r>
    <x v="195"/>
    <x v="195"/>
    <s v="Fiets"/>
    <x v="0"/>
    <n v="186"/>
    <s v="IN/000186"/>
    <s v="Aanpak aanliggende fietspaden in Brugge R30 - B3 - 6.664 tot 6.892 - Hoefijzerlaan"/>
    <s v="&lt;null&gt;"/>
    <s v="Kleine Ingreep"/>
    <s v="WWV/INV/R30/9"/>
    <b v="1"/>
    <s v="Ingreep wordt opgevolgd in BOD"/>
    <s v="&lt;null&gt;"/>
    <s v="&lt;null&gt;"/>
    <s v="WEGENIS"/>
    <s v="&lt;null&gt;"/>
    <n v="100"/>
    <n v="254196.35"/>
    <n v="254196.35"/>
  </r>
  <r>
    <x v="196"/>
    <x v="196"/>
    <s v="Fiets"/>
    <x v="0"/>
    <n v="187"/>
    <s v="IN/000187"/>
    <s v="Aanpak aanliggende fietspaden in Brugge opR30  7.6 - 8.2"/>
    <s v="&lt;null&gt;"/>
    <s v="Kleine Ingreep"/>
    <s v="WWV/INV/R30/10"/>
    <b v="0"/>
    <s v="Ingreep wordt niet opgevolgd in BOD"/>
    <s v="&lt;null&gt;"/>
    <s v="&lt;null&gt;"/>
    <s v="WEGENIS"/>
    <s v="&lt;null&gt;"/>
    <n v="100"/>
    <n v="42000"/>
    <n v="42000"/>
  </r>
  <r>
    <x v="18"/>
    <x v="18"/>
    <s v="&lt;null&gt;"/>
    <x v="3"/>
    <n v="188"/>
    <s v="IN/000188"/>
    <s v="Aanpak aanliggende fietspaden in Knokke-Heist opN376  14.5 - 17.33"/>
    <s v="&lt;null&gt;"/>
    <s v="Kleine Ingreep"/>
    <s v="WWV/INV/N376/4"/>
    <b v="0"/>
    <s v="Ingreep wordt niet opgevolgd in BOD"/>
    <s v="&lt;null&gt;"/>
    <s v="&lt;null&gt;"/>
    <s v="WEGENIS"/>
    <s v="&lt;null&gt;"/>
    <m/>
    <n v="396200"/>
    <m/>
  </r>
  <r>
    <x v="197"/>
    <x v="197"/>
    <s v="Fiets"/>
    <x v="0"/>
    <n v="189"/>
    <s v="IN/000189"/>
    <s v="Aanpak aanliggende fietspaden in Zonhoven opN715  0.1 - 1.4"/>
    <s v="2 deelprojecten: 01,-1,3: SO aanliggend fietspad &amp; 3-3,8: SO aanliggend fietspad"/>
    <s v="Kleine Ingreep"/>
    <s v="WL/INV/N715/3"/>
    <b v="1"/>
    <s v="Ingreep wordt opgevolgd in BOD"/>
    <s v="&lt;null&gt;"/>
    <s v="&lt;null&gt;"/>
    <s v="WEGENIS"/>
    <s v="&lt;null&gt;"/>
    <n v="100"/>
    <n v="125964.7994"/>
    <n v="125964.7994"/>
  </r>
  <r>
    <x v="198"/>
    <x v="198"/>
    <s v="Fiets"/>
    <x v="0"/>
    <n v="190"/>
    <s v="IN/000190"/>
    <s v="Aanpak aanliggende fietspaden in Zonhoven opN715  3.0 - 3.7"/>
    <s v="2 deelprojecten: 01,-1,3: SO aanliggend fietspad &amp; 3-3,8: SO aanliggend fietspad"/>
    <s v="Kleine Ingreep"/>
    <s v="WL/INV/N715/4"/>
    <b v="1"/>
    <s v="Ingreep wordt opgevolgd in BOD"/>
    <s v="&lt;null&gt;"/>
    <s v="&lt;null&gt;"/>
    <s v="WEGENIS"/>
    <s v="&lt;null&gt;"/>
    <n v="100"/>
    <n v="123182.2834"/>
    <n v="123182.2834"/>
  </r>
  <r>
    <x v="199"/>
    <x v="199"/>
    <s v="Fiets"/>
    <x v="0"/>
    <n v="191"/>
    <s v="IN/000191"/>
    <s v="Fietsverbindingen/-kruisingen realiseren in Diest opR26  4.55 - 4.65"/>
    <s v="Beveiligde fietsoversteek t.h.v. Steineweg, PCV-dossiers"/>
    <s v="Kleine Ingreep"/>
    <s v="WVB/INV/R26/2"/>
    <b v="1"/>
    <s v="Ingreep wordt opgevolgd in BOD"/>
    <n v="2021"/>
    <s v="Q1"/>
    <s v="WEGENIS"/>
    <s v="&lt;null&gt;"/>
    <n v="100"/>
    <n v="300000"/>
    <n v="300000"/>
  </r>
  <r>
    <x v="200"/>
    <x v="200"/>
    <s v="Fiets"/>
    <x v="0"/>
    <n v="192"/>
    <s v="IN/000192"/>
    <s v="Fietsverbindingen/-kruisingen realiseren in Opwijk opN47  6.0 - 6.2"/>
    <s v="beveiligen fietsoversteek Leirekensroute, aanleg middengeleider thv fietsoversteek .  en aandachtsverhogende aanpassingen nav dodelijk ongeval"/>
    <s v="Kleine Ingreep"/>
    <s v="WVB/INV/N47/3"/>
    <b v="1"/>
    <s v="Ingreep wordt opgevolgd in BOD"/>
    <n v="2021"/>
    <s v="Q1"/>
    <s v="WEGENIS"/>
    <s v="IBO"/>
    <n v="100"/>
    <n v="54833.42"/>
    <n v="54833.42"/>
  </r>
  <r>
    <x v="201"/>
    <x v="201"/>
    <s v="Fiets"/>
    <x v="0"/>
    <n v="193"/>
    <s v="IN/000193"/>
    <s v="Fietsverbindingen/-kruisingen realiseren in Beersel opN231  4.3 - 4.4"/>
    <s v="Verbeteren fietsoversteken, schoolomgeving"/>
    <s v="Kleine Ingreep"/>
    <s v="WVB/INV/N231/3"/>
    <b v="1"/>
    <s v="Ingreep wordt opgevolgd in BOD"/>
    <s v="&lt;null&gt;"/>
    <s v="&lt;null&gt;"/>
    <s v="WEGENIS"/>
    <s v="&lt;null&gt;"/>
    <n v="100"/>
    <n v="250000"/>
    <n v="250000"/>
  </r>
  <r>
    <x v="202"/>
    <x v="202"/>
    <s v="Fiets"/>
    <x v="0"/>
    <n v="194"/>
    <s v="IN/000194"/>
    <s v="Fietsverbindingen/-kruisingen realiseren in Beersel opN231  4.75 - 4.85"/>
    <s v="Verbeteren fietsoversteken, schoolomgeving"/>
    <s v="Kleine Ingreep"/>
    <s v="WVB/INV/N231/4"/>
    <b v="1"/>
    <s v="Ingreep wordt opgevolgd in BOD"/>
    <s v="&lt;null&gt;"/>
    <s v="&lt;null&gt;"/>
    <s v="WEGENIS"/>
    <s v="&lt;null&gt;"/>
    <n v="100"/>
    <n v="150000"/>
    <n v="150000"/>
  </r>
  <r>
    <x v="203"/>
    <x v="203"/>
    <s v="Fiets"/>
    <x v="0"/>
    <n v="195"/>
    <s v="IN/000195"/>
    <s v="Fietsverbindingen/-kruisingen realiseren in Zwevegem op N391  5.3 - 5.4"/>
    <s v="Fietsverbinding herstellen door aanleg fietshelling op de talud van de Kanaalweg N39 tussen Oude Lettenhofstraat en het dubbelrichitngsfietspad langs de N391."/>
    <s v="Structurele Ingreep"/>
    <s v="WWV/INV/N391/1"/>
    <b v="0"/>
    <s v="Ingreep wordt niet opgevolgd in BOD"/>
    <n v="2022"/>
    <s v="Q2"/>
    <s v="WEGENIS"/>
    <s v="&lt;null&gt;"/>
    <n v="100"/>
    <n v="650000"/>
    <n v="650000"/>
  </r>
  <r>
    <x v="204"/>
    <x v="204"/>
    <s v="Fiets"/>
    <x v="0"/>
    <n v="196"/>
    <s v="IN/000196"/>
    <s v="Fietsverbindingen/-kruisingen realiseren in Halle opN203  0.1 - 0.3"/>
    <s v="Omvorming van de N203a tot autosnelweg (A8) - studie en uitvoering tijdelijke bruggen"/>
    <s v="Kleine Ingreep"/>
    <s v="WVB/INV/N203/1"/>
    <b v="0"/>
    <s v="Ingreep wordt niet opgevolgd in BOD"/>
    <s v="&lt;null&gt;"/>
    <s v="&lt;null&gt;"/>
    <s v="WEGENIS"/>
    <s v="&lt;null&gt;"/>
    <n v="100"/>
    <n v="5000000"/>
    <n v="5000000"/>
  </r>
  <r>
    <x v="18"/>
    <x v="18"/>
    <s v="&lt;null&gt;"/>
    <x v="3"/>
    <n v="197"/>
    <s v="IN/000197"/>
    <s v="Fietsverbindingen/-kruisingen realiseren in Hooglede opR32  6.2 - 6.3"/>
    <s v="R32 aanpassingen kruispunt met Honzebrouck + fietstunnel"/>
    <s v="Kleine Ingreep"/>
    <s v="WWV/INV/R32/2"/>
    <b v="0"/>
    <s v="Ingreep wordt niet opgevolgd in BOD"/>
    <s v="&lt;null&gt;"/>
    <s v="&lt;null&gt;"/>
    <s v="WEGENIS"/>
    <s v="&lt;null&gt;"/>
    <m/>
    <n v="1500000"/>
    <m/>
  </r>
  <r>
    <x v="205"/>
    <x v="205"/>
    <s v="Fiets"/>
    <x v="0"/>
    <n v="198"/>
    <s v="IN/000198"/>
    <s v="Fietsverbindingen/-kruisingen realiseren in Wielsbeke opN382  15.7 - 15.8"/>
    <s v="Fietsverbindingen/-kruisingen realiseren N382 Wielsbeke"/>
    <s v="Kleine Ingreep"/>
    <s v="WWV/INV/N382/6"/>
    <b v="0"/>
    <s v="Ingreep wordt niet opgevolgd in BOD"/>
    <s v="&lt;null&gt;"/>
    <s v="&lt;null&gt;"/>
    <s v="WEGENIS"/>
    <s v="&lt;null&gt;"/>
    <n v="100"/>
    <n v="1500000"/>
    <n v="1500000"/>
  </r>
  <r>
    <x v="206"/>
    <x v="206"/>
    <s v="Fiets"/>
    <x v="0"/>
    <n v="199"/>
    <s v="IN/000199"/>
    <s v="Fietsverbindingen/-kruisingen realiseren in Koksijde opN39  1.5 - 1.6"/>
    <s v="N39 Koksijde: aandeel in werken Veurne Vaartstraat in combinatie met werken van de Vlaamse Waterweg (landhoofden Pelikaanbrug)"/>
    <s v="Kleine Ingreep"/>
    <s v="WWV/INV/N39/3"/>
    <b v="0"/>
    <s v="Ingreep wordt niet opgevolgd in BOD"/>
    <n v="2022"/>
    <s v="Q3"/>
    <s v="WEGENIS"/>
    <s v="&lt;null&gt;"/>
    <n v="100"/>
    <n v="1000000"/>
    <n v="1000000"/>
  </r>
  <r>
    <x v="207"/>
    <x v="207"/>
    <s v="Fiets"/>
    <x v="0"/>
    <n v="200"/>
    <s v="IN/000200"/>
    <s v="Realisatie fietsprojecten uit het GIP in Antwerpen opN114  3.0 - 4.0"/>
    <s v="3MH227 - Aanleg vrijliggend fietspad Leugenberg"/>
    <s v="Structurele Ingreep"/>
    <s v="&lt;null&gt;"/>
    <b v="0"/>
    <s v="Ingreep wordt niet opgevolgd in BOD"/>
    <s v="&lt;null&gt;"/>
    <s v="&lt;null&gt;"/>
    <s v="WEGENIS"/>
    <s v="&lt;null&gt;"/>
    <n v="100"/>
    <n v="150000"/>
    <n v="150000"/>
  </r>
  <r>
    <x v="208"/>
    <x v="208"/>
    <s v="Fiets"/>
    <x v="0"/>
    <n v="201"/>
    <s v="IN/000201"/>
    <s v="Realisatie fietsprojecten uit het GIP in Zwijndrecht opN419  12.1 - 12.2"/>
    <s v="Herinrichting kruispunt Kruibeeksesteenweg"/>
    <s v="Structurele Ingreep"/>
    <s v="WA/INV/N419/2"/>
    <b v="0"/>
    <s v="Ingreep wordt niet opgevolgd in BOD"/>
    <s v="&lt;null&gt;"/>
    <s v="&lt;null&gt;"/>
    <s v="WEGENIS"/>
    <s v="&lt;null&gt;"/>
    <n v="100"/>
    <n v="50000"/>
    <n v="50000"/>
  </r>
  <r>
    <x v="209"/>
    <x v="209"/>
    <s v="Fiets"/>
    <x v="0"/>
    <n v="202"/>
    <s v="IN/000202"/>
    <s v="N723 Fietspaden As"/>
    <s v="3MH227 - Aanleg fietspaden N723 As"/>
    <s v="Structurele Ingreep"/>
    <s v="WL/INV/N723/2"/>
    <b v="0"/>
    <s v="Ingreep wordt niet opgevolgd in BOD"/>
    <s v="&lt;null&gt;"/>
    <s v="&lt;null&gt;"/>
    <s v="WEGENIS"/>
    <s v="&lt;null&gt;"/>
    <n v="100"/>
    <n v="900000"/>
    <n v="900000"/>
  </r>
  <r>
    <x v="210"/>
    <x v="210"/>
    <s v="Fiets"/>
    <x v="0"/>
    <n v="203"/>
    <s v="IN/000203"/>
    <s v="Realisatie fietsprojecten uit het GIP in Gent opN60  2.0 - 4.0"/>
    <s v="3MH227 - Fietsverbinding tussen Campus De Sterre en Campus Ardoyen en heraanleg N60 Zwijnaarde"/>
    <s v="Structurele Ingreep"/>
    <s v="WOV/INV/N60/9"/>
    <b v="0"/>
    <s v="Ingreep wordt niet opgevolgd in BOD"/>
    <n v="2022"/>
    <s v="&lt;null&gt;"/>
    <s v="WEGENIS"/>
    <s v="Studieopdracht (voorwaardelijk deel)"/>
    <n v="100"/>
    <n v="370000"/>
    <n v="370000"/>
  </r>
  <r>
    <x v="18"/>
    <x v="18"/>
    <s v="&lt;null&gt;"/>
    <x v="3"/>
    <n v="204"/>
    <s v="IN/000204"/>
    <s v="KOMT OVEREEN MET WVB/INV/N2/11 - KIM MELDT DAT DIT AL INGEGEVEN IS."/>
    <s v="Aandeel AWV riolering relance fiets / uitvoering"/>
    <s v="Structurele Ingreep"/>
    <s v="&lt;null&gt;"/>
    <b v="0"/>
    <s v="Ingreep wordt niet opgevolgd in BOD"/>
    <s v="&lt;null&gt;"/>
    <s v="&lt;null&gt;"/>
    <s v="WEGENIS"/>
    <s v="&lt;null&gt;"/>
    <m/>
    <n v="2000000"/>
    <m/>
  </r>
  <r>
    <x v="211"/>
    <x v="211"/>
    <s v="Fiets"/>
    <x v="0"/>
    <n v="205"/>
    <s v="IN/000205"/>
    <s v="N283/1 Landen herinr kruispt N283-Karolingerslaan"/>
    <s v="3MH227 - N283 Landen: aansluiting fietspaden Karolingerslaan op kruispunt met N283"/>
    <s v="Structurele Ingreep"/>
    <s v="WVB/INV/N283/1"/>
    <b v="0"/>
    <s v="Ingreep wordt niet opgevolgd in BOD"/>
    <s v="&lt;null&gt;"/>
    <s v="&lt;null&gt;"/>
    <s v="WEGENIS"/>
    <s v="&lt;null&gt;"/>
    <n v="100"/>
    <n v="425000"/>
    <n v="425000"/>
  </r>
  <r>
    <x v="212"/>
    <x v="212"/>
    <s v="Fiets"/>
    <x v="0"/>
    <n v="206"/>
    <s v="IN/000206"/>
    <s v="Realisatie fietsprojecten uit het GIP in Waregem opA14  23.0 - 23.0"/>
    <s v="3MH227 - Herinrichting complex 5 met N382"/>
    <s v="Structurele Ingreep"/>
    <s v="WWV/INV/E17/10"/>
    <b v="0"/>
    <s v="Ingreep wordt niet opgevolgd in BOD"/>
    <s v="&lt;null&gt;"/>
    <s v="&lt;null&gt;"/>
    <s v="STUDIE"/>
    <s v="&lt;null&gt;"/>
    <n v="100"/>
    <n v="250000"/>
    <n v="250000"/>
  </r>
  <r>
    <x v="213"/>
    <x v="213"/>
    <s v="Fiets"/>
    <x v="0"/>
    <n v="207"/>
    <s v="IN/000207"/>
    <s v="Oude modules (of samenwerkingsovereenkomsten) versneld uitvoeren in Brakel opN48  0.0 - 4.3"/>
    <s v="Structureel onderhoud bij module 13 project"/>
    <s v="Structurele Ingreep"/>
    <s v="WOV/INV/N48/1"/>
    <b v="0"/>
    <s v="Ingreep wordt niet opgevolgd in BOD"/>
    <n v="2023"/>
    <s v="&lt;null&gt;"/>
    <s v="WEGENIS"/>
    <s v="&lt;null&gt;"/>
    <n v="100"/>
    <n v="1150000"/>
    <n v="1150000"/>
  </r>
  <r>
    <x v="214"/>
    <x v="214"/>
    <s v="Fiets"/>
    <x v="0"/>
    <n v="208"/>
    <s v="IN/000208"/>
    <s v="EM-werken in Leuven opN2  22.3 - 22.7"/>
    <s v="N2-E314 complex Winksele &gt; kruispunt ombouwen van gloei naar LED &gt;   aanpassen volgens actieplan en maximaal conflictvrij"/>
    <s v="Kleine Ingreep"/>
    <s v="WVB/INV/N2/13"/>
    <b v="0"/>
    <s v="Ingreep wordt niet opgevolgd in BOD"/>
    <n v="2022"/>
    <s v="Q4"/>
    <s v="VRI"/>
    <s v="Buiteninstallatie VKL"/>
    <n v="100"/>
    <n v="300000"/>
    <n v="300000"/>
  </r>
  <r>
    <x v="215"/>
    <x v="215"/>
    <s v="Fiets"/>
    <x v="0"/>
    <n v="209"/>
    <s v="IN/000209"/>
    <s v="EM-werken in Boortmeerbeek opN267  0.3 - 0.4"/>
    <s v="N267-Jaagpad &gt; Nieuwe VRI"/>
    <s v="Kleine Ingreep"/>
    <s v="WVB/INV/N267/2"/>
    <b v="0"/>
    <s v="Ingreep wordt niet opgevolgd in BOD"/>
    <n v="2021"/>
    <s v="Q4"/>
    <s v="WEGENIS"/>
    <s v="&lt;null&gt;"/>
    <n v="100"/>
    <n v="85000"/>
    <n v="85000"/>
  </r>
  <r>
    <x v="216"/>
    <x v="216"/>
    <s v="Fiets"/>
    <x v="0"/>
    <n v="210"/>
    <s v="IN/000210"/>
    <s v="EM-werken in Leuven op R23  1.0 - 1.1"/>
    <s v="R23-N19-Artoisplein &gt; vernieuwen van die zwarte palen naar  nieuwe palen met LED &gt; veel klachten van fietsers over de verlichting hier, dus zeker een must!"/>
    <s v="Kleine Ingreep"/>
    <s v="WVB/INV/R23/11"/>
    <b v="1"/>
    <s v="Ingreep wordt opgevolgd in BOD"/>
    <n v="2022"/>
    <s v="Q2"/>
    <s v="WEGENIS"/>
    <s v="&lt;null&gt;"/>
    <n v="100"/>
    <n v="275000"/>
    <n v="275000"/>
  </r>
  <r>
    <x v="217"/>
    <x v="217"/>
    <s v="Fiets"/>
    <x v="0"/>
    <n v="211"/>
    <s v="IN/000211"/>
    <s v="EM-werken in Liedekerke opN207  2.7 - 2.8"/>
    <s v="N207- Kleemputtenstraat &gt; Aanpassen VRI: Conflictvrije regeling  voor de fiets- en voetgangersoversteken"/>
    <s v="Kleine Ingreep"/>
    <s v="WVB/INV/N207/2"/>
    <b v="0"/>
    <s v="Ingreep wordt niet opgevolgd in BOD"/>
    <n v="2021"/>
    <s v="Q2"/>
    <s v="WEGENIS"/>
    <s v="&lt;null&gt;"/>
    <n v="100"/>
    <n v="130000"/>
    <n v="130000"/>
  </r>
  <r>
    <x v="218"/>
    <x v="218"/>
    <s v="Fiets"/>
    <x v="0"/>
    <n v="212"/>
    <s v="IN/000212"/>
    <s v="EM-werken in Liedekerke opN207  3.5 - 3.6"/>
    <s v="N207- Muilemstraat &gt; Aanpassen VRI: Conflictvrije regeling  voor de fiets- en voetgangersoversteken"/>
    <s v="Kleine Ingreep"/>
    <s v="WVB/INV/N207/3"/>
    <b v="1"/>
    <s v="Ingreep wordt opgevolgd in BOD"/>
    <s v="&lt;null&gt;"/>
    <s v="&lt;null&gt;"/>
    <s v="WEGENIS"/>
    <s v="&lt;null&gt;"/>
    <n v="100"/>
    <n v="117938.62"/>
    <n v="117938.62"/>
  </r>
  <r>
    <x v="81"/>
    <x v="81"/>
    <s v="Fiets"/>
    <x v="0"/>
    <n v="213"/>
    <s v="IN/000213"/>
    <s v="EM-werken in Antwerpen opN114  3.0 - 3.1"/>
    <s v="Aanleg vrijliggend fietspad Leugenberg : VRI"/>
    <s v="Kleine Ingreep"/>
    <s v="WA/INV/N114/6"/>
    <b v="0"/>
    <s v="Ingreep wordt niet opgevolgd in BOD"/>
    <s v="&lt;null&gt;"/>
    <s v="&lt;null&gt;"/>
    <s v="WEGENIS"/>
    <s v="&lt;null&gt;"/>
    <n v="100"/>
    <n v="200000"/>
    <n v="200000"/>
  </r>
  <r>
    <x v="219"/>
    <x v="219"/>
    <s v="Fiets"/>
    <x v="0"/>
    <n v="214"/>
    <s v="IN/000214"/>
    <s v="Structureel Onderhoud - conforme fietspaden in Antwerpen opA12  0.0 - 0.8"/>
    <s v="vervangen van oude klinkers, zit opgesloten tussen 2 jersey's, ook druk bereden fietspad in haven"/>
    <s v="Kleine Ingreep"/>
    <s v="WA/INV/A12/10"/>
    <b v="0"/>
    <s v="Ingreep wordt niet opgevolgd in BOD"/>
    <n v="2022"/>
    <s v="Q2"/>
    <s v="WEGENIS"/>
    <s v="&lt;null&gt;"/>
    <n v="100"/>
    <n v="25000"/>
    <n v="25000"/>
  </r>
  <r>
    <x v="220"/>
    <x v="220"/>
    <s v="Fiets"/>
    <x v="0"/>
    <n v="215"/>
    <s v="IN/000215"/>
    <s v="Structureel Onderhoud - conforme fietspaden in Aarschot opN19"/>
    <s v="Structureel Onderhoud - conforme fietspaden in Aarschot opN19 47.05 - 49.4\nDubbelrichting asfaltfietspad op belangrijke schoolroute."/>
    <s v="Kleine Ingreep"/>
    <s v="WVB/INV/N19/5"/>
    <b v="1"/>
    <s v="Ingreep wordt opgevolgd in BOD"/>
    <n v="2022"/>
    <s v="Q1"/>
    <s v="WEGENIS"/>
    <s v="&lt;null&gt;"/>
    <n v="100"/>
    <n v="148704.4"/>
    <n v="148704.4"/>
  </r>
  <r>
    <x v="221"/>
    <x v="221"/>
    <s v="Verkeersveiligheid"/>
    <x v="1"/>
    <n v="252"/>
    <s v="IN/000216"/>
    <s v="in Aalst : wegvak N9 Brusselse steenweg tussen kruispunt met R41 Albrechtlaan en Dender"/>
    <s v="Complete herinrichting"/>
    <s v="Structurele Ingreep"/>
    <s v="WOV/INV/N9/8"/>
    <b v="0"/>
    <s v="Ingreep wordt niet opgevolgd in BOD"/>
    <s v="&lt;null&gt;"/>
    <s v="&lt;null&gt;"/>
    <s v="&lt;null&gt;"/>
    <s v="&lt;null&gt;"/>
    <n v="10"/>
    <m/>
    <m/>
  </r>
  <r>
    <x v="222"/>
    <x v="222"/>
    <s v="Verkeersveiligheid"/>
    <x v="1"/>
    <n v="252"/>
    <s v="IN/000216"/>
    <s v="in Aalst : wegvak N9 Brusselse steenweg tussen kruispunt met R41 Albrechtlaan en Dender"/>
    <s v="Complete herinrichting"/>
    <s v="Structurele Ingreep"/>
    <s v="WOV/INV/N9/8"/>
    <b v="0"/>
    <s v="Ingreep wordt niet opgevolgd in BOD"/>
    <s v="&lt;null&gt;"/>
    <s v="&lt;null&gt;"/>
    <s v="&lt;null&gt;"/>
    <s v="&lt;null&gt;"/>
    <n v="10"/>
    <m/>
    <m/>
  </r>
  <r>
    <x v="223"/>
    <x v="223"/>
    <s v="Verkeersveiligheid"/>
    <x v="1"/>
    <n v="252"/>
    <s v="IN/000216"/>
    <s v="in Aalst : wegvak N9 Brusselse steenweg tussen kruispunt met R41 Albrechtlaan en Dender"/>
    <s v="Complete herinrichting"/>
    <s v="Structurele Ingreep"/>
    <s v="WOV/INV/N9/8"/>
    <b v="0"/>
    <s v="Ingreep wordt niet opgevolgd in BOD"/>
    <s v="&lt;null&gt;"/>
    <s v="&lt;null&gt;"/>
    <s v="&lt;null&gt;"/>
    <s v="&lt;null&gt;"/>
    <n v="70"/>
    <m/>
    <m/>
  </r>
  <r>
    <x v="224"/>
    <x v="224"/>
    <s v="Verkeersveiligheid"/>
    <x v="1"/>
    <n v="252"/>
    <s v="IN/000216"/>
    <s v="in Aalst : wegvak N9 Brusselse steenweg tussen kruispunt met R41 Albrechtlaan en Dender"/>
    <s v="Complete herinrichting"/>
    <s v="Structurele Ingreep"/>
    <s v="WOV/INV/N9/8"/>
    <b v="0"/>
    <s v="Ingreep wordt niet opgevolgd in BOD"/>
    <s v="&lt;null&gt;"/>
    <s v="&lt;null&gt;"/>
    <s v="&lt;null&gt;"/>
    <s v="&lt;null&gt;"/>
    <n v="10"/>
    <m/>
    <m/>
  </r>
  <r>
    <x v="225"/>
    <x v="225"/>
    <s v="Verkeersveiligheid"/>
    <x v="1"/>
    <n v="253"/>
    <s v="IN/000217"/>
    <s v="Gevaarlijk Punt: R41 Aalst: aanpassen lichtenregeling"/>
    <s v="Aanpassen lichtenregeling (VRI): linksaf wordt conflictvrij (2021);\nR41 Boudewijnlaan / Heilig Hartlaan met Ledebaan"/>
    <s v="Kleine Ingreep"/>
    <s v="WOV/INV/R41/1"/>
    <b v="0"/>
    <s v="Ingreep wordt niet opgevolgd in BOD"/>
    <s v="&lt;null&gt;"/>
    <s v="&lt;null&gt;"/>
    <s v="&lt;null&gt;"/>
    <s v="&lt;null&gt;"/>
    <n v="100"/>
    <m/>
    <m/>
  </r>
  <r>
    <x v="18"/>
    <x v="18"/>
    <s v="&lt;null&gt;"/>
    <x v="3"/>
    <n v="254"/>
    <s v="IN/000218"/>
    <s v="VERWIJDEREN in Aalst : N9 Parklaan met Eikstraat en Frans Blanckaertdreef"/>
    <s v="Volledige herinrichting"/>
    <s v="Structurele Ingreep"/>
    <s v="&lt;null&gt;"/>
    <b v="0"/>
    <s v="Ingreep wordt niet opgevolgd in BOD"/>
    <s v="&lt;null&gt;"/>
    <s v="&lt;null&gt;"/>
    <s v="&lt;null&gt;"/>
    <s v="&lt;null&gt;"/>
    <m/>
    <m/>
    <m/>
  </r>
  <r>
    <x v="18"/>
    <x v="18"/>
    <s v="&lt;null&gt;"/>
    <x v="3"/>
    <n v="255"/>
    <s v="IN/000219"/>
    <s v="VERWIJDEREN in Aalst : N9 Parklaan met N405 Geraardsbergsestraat en N45 Geraardsbergsesteenweg"/>
    <s v="&lt;null&gt;"/>
    <s v="Structurele Ingreep"/>
    <s v="&lt;null&gt;"/>
    <b v="0"/>
    <s v="Ingreep wordt niet opgevolgd in BOD"/>
    <s v="&lt;null&gt;"/>
    <s v="&lt;null&gt;"/>
    <s v="&lt;null&gt;"/>
    <s v="&lt;null&gt;"/>
    <m/>
    <m/>
    <m/>
  </r>
  <r>
    <x v="226"/>
    <x v="226"/>
    <s v="Verkeersveiligheid"/>
    <x v="1"/>
    <n v="256"/>
    <s v="IN/000220"/>
    <s v="UITGEVOERD NIET IN E1: A10-E40 Richting Oostende"/>
    <s v="heraanleg complex"/>
    <s v="Structurele Ingreep"/>
    <s v="&lt;null&gt;"/>
    <b v="0"/>
    <s v="Ingreep wordt niet opgevolgd in BOD"/>
    <s v="&lt;null&gt;"/>
    <s v="&lt;null&gt;"/>
    <s v="&lt;null&gt;"/>
    <s v="&lt;null&gt;"/>
    <n v="100"/>
    <m/>
    <m/>
  </r>
  <r>
    <x v="227"/>
    <x v="227"/>
    <s v="Verkeersveiligheid"/>
    <x v="1"/>
    <n v="257"/>
    <s v="IN/000221"/>
    <s v="UITGEVOERD NIET IN E1: A10-E40 Richting Brussel Uitrit 11, Knokkeweg, N44 Richting Maldegem, Rond Punt, Tieltsesteenweg"/>
    <s v="heraanleg complex"/>
    <s v="Structurele Ingreep"/>
    <s v="WOV/INV/N44/4"/>
    <b v="0"/>
    <s v="Ingreep wordt niet opgevolgd in BOD"/>
    <s v="&lt;null&gt;"/>
    <s v="&lt;null&gt;"/>
    <s v="&lt;null&gt;"/>
    <s v="&lt;null&gt;"/>
    <n v="100"/>
    <m/>
    <m/>
  </r>
  <r>
    <x v="228"/>
    <x v="228"/>
    <s v="Verkeersveiligheid"/>
    <x v="1"/>
    <n v="258"/>
    <s v="IN/000222"/>
    <s v="in Aarschot : Bloemsehoeve, Liersesteenweg, N10 Richting Mortsel, Oude Mechelsebaan"/>
    <s v="Actieplan VRI"/>
    <s v="Kleine Ingreep"/>
    <s v="WVB/INV/N10/5"/>
    <b v="1"/>
    <s v="Ingreep wordt opgevolgd in BOD"/>
    <n v="2022"/>
    <s v="Q2"/>
    <s v="WEGENIS"/>
    <s v="&lt;null&gt;"/>
    <n v="100"/>
    <n v="50000"/>
    <n v="50000"/>
  </r>
  <r>
    <x v="228"/>
    <x v="228"/>
    <s v="Verkeersveiligheid"/>
    <x v="1"/>
    <n v="258"/>
    <s v="IN/000222"/>
    <s v="in Aarschot : Bloemsehoeve, Liersesteenweg, N10 Richting Mortsel, Oude Mechelsebaan"/>
    <s v="Actieplan VRI"/>
    <s v="Kleine Ingreep"/>
    <s v="WVB/INV/N10/5"/>
    <b v="1"/>
    <s v="Ingreep wordt opgevolgd in BOD"/>
    <n v="2022"/>
    <s v="Q2"/>
    <s v="VRI"/>
    <s v="&lt;null&gt;"/>
    <n v="100"/>
    <n v="150000"/>
    <n v="150000"/>
  </r>
  <r>
    <x v="229"/>
    <x v="229"/>
    <s v="Verkeersveiligheid"/>
    <x v="1"/>
    <n v="259"/>
    <s v="IN/000223"/>
    <s v="Plaatsen van straatmeubilair (oa omegabeugels, paaltjes, new yerseys) in Aarschot : R25 Binnenring, Ter Heidelaan"/>
    <s v="Bij structureel onderhoud Raf Oosters wordt jersey voorzien\ntussen rijbaan en fietspad. Dit zal zowel vermijden dat auto's van de baan raken en tegen niet botsvriendelijke objecten langs de weg terechtkomen. zal ook ongevallen tussen fietsers en auto's h"/>
    <s v="Kleine Ingreep"/>
    <s v="&lt;null&gt;"/>
    <b v="0"/>
    <s v="Ingreep wordt niet opgevolgd in BOD"/>
    <s v="&lt;null&gt;"/>
    <s v="&lt;null&gt;"/>
    <s v="&lt;null&gt;"/>
    <s v="&lt;null&gt;"/>
    <n v="100"/>
    <m/>
    <m/>
  </r>
  <r>
    <x v="230"/>
    <x v="230"/>
    <s v="Verkeersveiligheid"/>
    <x v="1"/>
    <n v="260"/>
    <s v="IN/000224"/>
    <s v="Horizontale signalisatie aanpassen in Aarschot : Gijmelsesteenweg, Langdorpsesteenweg"/>
    <s v="wegwijzer Langdorp verplaatsen (zichtbaarheid) + oversteek vergeten zie V-plan V016402V + fietsers rechtsaf geleiden + hermarkeren. Voorlopig nog geen aanpassingen gebeurd, volgt nog . Tellingen in oktober"/>
    <s v="Kleine Ingreep"/>
    <s v="WVB/INV/R25/3"/>
    <b v="0"/>
    <s v="Ingreep wordt niet opgevolgd in BOD"/>
    <n v="2022"/>
    <s v="Q2"/>
    <s v="WEGENIS"/>
    <s v="&lt;null&gt;"/>
    <n v="100"/>
    <n v="50000"/>
    <n v="50000"/>
  </r>
  <r>
    <x v="230"/>
    <x v="230"/>
    <s v="Verkeersveiligheid"/>
    <x v="1"/>
    <n v="260"/>
    <s v="IN/000224"/>
    <s v="Horizontale signalisatie aanpassen in Aarschot : Gijmelsesteenweg, Langdorpsesteenweg"/>
    <s v="wegwijzer Langdorp verplaatsen (zichtbaarheid) + oversteek vergeten zie V-plan V016402V + fietsers rechtsaf geleiden + hermarkeren. Voorlopig nog geen aanpassingen gebeurd, volgt nog . Tellingen in oktober"/>
    <s v="Kleine Ingreep"/>
    <s v="WVB/INV/R25/3"/>
    <b v="0"/>
    <s v="Ingreep wordt niet opgevolgd in BOD"/>
    <n v="2022"/>
    <s v="Q2"/>
    <s v="VRI"/>
    <s v="&lt;null&gt;"/>
    <n v="100"/>
    <n v="100000"/>
    <n v="100000"/>
  </r>
  <r>
    <x v="231"/>
    <x v="231"/>
    <s v="Verkeersveiligheid"/>
    <x v="1"/>
    <n v="261"/>
    <s v="IN/000225"/>
    <s v="Horizontale signalisatie aanpassen in Aarschot : Hoensberg, Schoonderbeukenweg, Schransstraat"/>
    <m/>
    <s v="Kleine Ingreep"/>
    <s v="WVB/INV/N258/1"/>
    <b v="0"/>
    <s v="Ingreep wordt niet opgevolgd in BOD"/>
    <n v="2022"/>
    <s v="Q3"/>
    <s v="WEGENIS"/>
    <s v="&lt;null&gt;"/>
    <n v="100"/>
    <n v="50000"/>
    <n v="50000"/>
  </r>
  <r>
    <x v="232"/>
    <x v="232"/>
    <s v="Verkeersveiligheid"/>
    <x v="1"/>
    <n v="262"/>
    <s v="IN/000226"/>
    <s v="in Aartselaar : Boomsesteenweg"/>
    <s v="Aanpassing VRI-regeling, maximaal conflictvrij, uitrol VLCC"/>
    <s v="Kleine Ingreep"/>
    <s v="&lt;null&gt;"/>
    <b v="0"/>
    <s v="Ingreep wordt niet opgevolgd in BOD"/>
    <s v="&lt;null&gt;"/>
    <s v="&lt;null&gt;"/>
    <s v="&lt;null&gt;"/>
    <s v="&lt;null&gt;"/>
    <n v="100"/>
    <m/>
    <m/>
  </r>
  <r>
    <x v="232"/>
    <x v="232"/>
    <s v="Verkeersveiligheid"/>
    <x v="1"/>
    <n v="263"/>
    <s v="IN/000227"/>
    <s v="in Aartselaar : Boomsesteenweg"/>
    <s v="Tunnels"/>
    <s v="Structurele Ingreep"/>
    <s v="&lt;null&gt;"/>
    <b v="0"/>
    <s v="Ingreep wordt niet opgevolgd in BOD"/>
    <s v="&lt;null&gt;"/>
    <s v="&lt;null&gt;"/>
    <s v="&lt;null&gt;"/>
    <s v="&lt;null&gt;"/>
    <n v="100"/>
    <m/>
    <m/>
  </r>
  <r>
    <x v="233"/>
    <x v="233"/>
    <s v="Verkeersveiligheid"/>
    <x v="1"/>
    <n v="264"/>
    <s v="IN/000228"/>
    <s v="in Aartselaar : A12 Richting Antwerpen, A12 Richting Brussel, Antwerpsesteenweg, Boomsesteenweg, Guido Gezellestraat, Helststraat"/>
    <s v="Aanpassing VRI-regeling, maximaal conflictvrij, uitrol VLCC, 3e rijstrook"/>
    <s v="Kleine Ingreep"/>
    <s v="&lt;null&gt;"/>
    <b v="0"/>
    <s v="Ingreep wordt niet opgevolgd in BOD"/>
    <s v="&lt;null&gt;"/>
    <s v="&lt;null&gt;"/>
    <s v="&lt;null&gt;"/>
    <s v="&lt;null&gt;"/>
    <n v="100"/>
    <m/>
    <m/>
  </r>
  <r>
    <x v="233"/>
    <x v="233"/>
    <s v="Verkeersveiligheid"/>
    <x v="1"/>
    <n v="265"/>
    <s v="IN/000229"/>
    <s v="in Aartselaar : A12 Richting Antwerpen, A12 Richting Brussel, Antwerpsesteenweg, Boomsesteenweg, Guido Gezellestraat, Helststraat"/>
    <s v="Tunnels"/>
    <s v="Structurele Ingreep"/>
    <s v="&lt;null&gt;"/>
    <b v="0"/>
    <s v="Ingreep wordt niet opgevolgd in BOD"/>
    <s v="&lt;null&gt;"/>
    <s v="&lt;null&gt;"/>
    <s v="&lt;null&gt;"/>
    <s v="&lt;null&gt;"/>
    <n v="100"/>
    <m/>
    <m/>
  </r>
  <r>
    <x v="234"/>
    <x v="234"/>
    <s v="Verkeersveiligheid"/>
    <x v="1"/>
    <n v="266"/>
    <s v="IN/000230"/>
    <s v="in Aartselaar : A12 Richting Antwerpen, A12 Richting Brussel, Bist, Boomsesteenweg, Langlaarsteenweg"/>
    <s v="linksaf conflictvrij, zijstraten tak voor tak, 3e rijstrook"/>
    <s v="Kleine Ingreep"/>
    <s v="&lt;null&gt;"/>
    <b v="0"/>
    <s v="Ingreep wordt niet opgevolgd in BOD"/>
    <s v="&lt;null&gt;"/>
    <s v="&lt;null&gt;"/>
    <s v="&lt;null&gt;"/>
    <s v="&lt;null&gt;"/>
    <n v="100"/>
    <m/>
    <m/>
  </r>
  <r>
    <x v="234"/>
    <x v="234"/>
    <s v="Verkeersveiligheid"/>
    <x v="1"/>
    <n v="267"/>
    <s v="IN/000231"/>
    <s v="in Aartselaar : A12 Richting Antwerpen, A12 Richting Brussel, Bist, Boomsesteenweg, Langlaarsteenweg"/>
    <s v="Tunnels"/>
    <s v="Structurele Ingreep"/>
    <s v="&lt;null&gt;"/>
    <b v="0"/>
    <s v="Ingreep wordt niet opgevolgd in BOD"/>
    <s v="&lt;null&gt;"/>
    <s v="&lt;null&gt;"/>
    <s v="&lt;null&gt;"/>
    <s v="&lt;null&gt;"/>
    <n v="100"/>
    <m/>
    <m/>
  </r>
  <r>
    <x v="235"/>
    <x v="235"/>
    <s v="Verkeersveiligheid"/>
    <x v="1"/>
    <n v="268"/>
    <s v="IN/000232"/>
    <s v="in Aartselaar : A12 Richting Antwerpen, A12 Richting Brussel, Antwerpsesteenweg, Boomsesteenweg, Leugstraat, Vluchtenburgstraat"/>
    <s v="linksaf conflictvrij, zijstraten tak voor tak, aanleg 3e rijstrook (inname middenberm)"/>
    <s v="Kleine Ingreep"/>
    <s v="&lt;null&gt;"/>
    <b v="0"/>
    <s v="Ingreep wordt niet opgevolgd in BOD"/>
    <s v="&lt;null&gt;"/>
    <s v="&lt;null&gt;"/>
    <s v="&lt;null&gt;"/>
    <s v="&lt;null&gt;"/>
    <n v="100"/>
    <m/>
    <m/>
  </r>
  <r>
    <x v="235"/>
    <x v="235"/>
    <s v="Verkeersveiligheid"/>
    <x v="1"/>
    <n v="269"/>
    <s v="IN/000233"/>
    <s v="in Aartselaar : A12 Richting Antwerpen, A12 Richting Brussel, Antwerpsesteenweg, Boomsesteenweg, Leugstraat, Vluchtenburgstraat"/>
    <s v="Tunnels"/>
    <s v="Structurele Ingreep"/>
    <s v="&lt;null&gt;"/>
    <b v="0"/>
    <s v="Ingreep wordt niet opgevolgd in BOD"/>
    <s v="&lt;null&gt;"/>
    <s v="&lt;null&gt;"/>
    <s v="&lt;null&gt;"/>
    <s v="&lt;null&gt;"/>
    <n v="100"/>
    <m/>
    <m/>
  </r>
  <r>
    <x v="236"/>
    <x v="236"/>
    <s v="Verkeersveiligheid"/>
    <x v="1"/>
    <n v="270"/>
    <s v="IN/000234"/>
    <s v="Verlichting verbeteren in Aartselaar : Antwerpsesteenweg, Oudestraat RELANCE21"/>
    <s v="Verlichting plaatsen (vooral ongevallen bij duisternis)\n"/>
    <s v="Kleine Ingreep"/>
    <s v="WA/INV/N177/10"/>
    <b v="0"/>
    <s v="Ingreep wordt niet opgevolgd in BOD"/>
    <n v="2022"/>
    <s v="Q3"/>
    <s v="STUDIE"/>
    <s v="&lt;null&gt;"/>
    <n v="100"/>
    <n v="22500"/>
    <n v="22500"/>
  </r>
  <r>
    <x v="236"/>
    <x v="236"/>
    <s v="Verkeersveiligheid"/>
    <x v="1"/>
    <n v="270"/>
    <s v="IN/000234"/>
    <s v="Verlichting verbeteren in Aartselaar : Antwerpsesteenweg, Oudestraat RELANCE21"/>
    <s v="Verlichting plaatsen (vooral ongevallen bij duisternis)\n"/>
    <s v="Kleine Ingreep"/>
    <s v="WA/INV/N177/10"/>
    <b v="0"/>
    <s v="Ingreep wordt niet opgevolgd in BOD"/>
    <n v="2022"/>
    <s v="Q3"/>
    <s v="OV"/>
    <s v="&lt;null&gt;"/>
    <n v="100"/>
    <n v="100000"/>
    <n v="100000"/>
  </r>
  <r>
    <x v="236"/>
    <x v="236"/>
    <s v="Verkeersveiligheid"/>
    <x v="1"/>
    <n v="270"/>
    <s v="IN/000234"/>
    <s v="Verlichting verbeteren in Aartselaar : Antwerpsesteenweg, Oudestraat RELANCE21"/>
    <s v="Verlichting plaatsen (vooral ongevallen bij duisternis)\n"/>
    <s v="Kleine Ingreep"/>
    <s v="WA/INV/N177/10"/>
    <b v="0"/>
    <s v="Ingreep wordt niet opgevolgd in BOD"/>
    <n v="2022"/>
    <s v="Q3"/>
    <s v="WEGENIS"/>
    <s v="&lt;null&gt;"/>
    <n v="100"/>
    <n v="50000"/>
    <n v="50000"/>
  </r>
  <r>
    <x v="237"/>
    <x v="237"/>
    <s v="Verkeersveiligheid"/>
    <x v="1"/>
    <n v="271"/>
    <s v="IN/000235"/>
    <s v="in Aartselaar : A12 Richting Antwerpen, A12 Richting Brussel, Antwerpsesteenweg, Boomsesteenweg, Cleydaellaan, Kontichsesteenweg, N177 Antwerpen - Breendonk (Puurs)"/>
    <s v="linksaf conflictvrij, zijstraten tak voor tak + snelheidsverlag, 3e rijstrook"/>
    <s v="Kleine Ingreep"/>
    <s v="&lt;null&gt;"/>
    <b v="0"/>
    <s v="Ingreep wordt niet opgevolgd in BOD"/>
    <s v="&lt;null&gt;"/>
    <s v="&lt;null&gt;"/>
    <s v="&lt;null&gt;"/>
    <s v="&lt;null&gt;"/>
    <n v="100"/>
    <m/>
    <m/>
  </r>
  <r>
    <x v="237"/>
    <x v="237"/>
    <s v="Verkeersveiligheid"/>
    <x v="1"/>
    <n v="272"/>
    <s v="IN/000236"/>
    <s v="in Aartselaar : A12 Richting Antwerpen, A12 Richting Brussel, Antwerpsesteenweg, Boomsesteenweg, Cleydaellaan, Kontichsesteenweg, N177 Antwerpen - Breendonk (Puurs)"/>
    <s v="Tunnels"/>
    <s v="Structurele Ingreep"/>
    <s v="&lt;null&gt;"/>
    <b v="0"/>
    <s v="Ingreep wordt niet opgevolgd in BOD"/>
    <s v="&lt;null&gt;"/>
    <s v="&lt;null&gt;"/>
    <s v="&lt;null&gt;"/>
    <s v="&lt;null&gt;"/>
    <n v="100"/>
    <m/>
    <m/>
  </r>
  <r>
    <x v="238"/>
    <x v="238"/>
    <s v="Verkeersveiligheid"/>
    <x v="1"/>
    <n v="273"/>
    <s v="IN/000237"/>
    <s v="in Affligem : A10-E40 Richting Oostende"/>
    <s v="Aanpassing verkeerslichtenregeling conform actieplan"/>
    <s v="Kleine Ingreep"/>
    <s v="&lt;null&gt;"/>
    <b v="0"/>
    <s v="Ingreep wordt niet opgevolgd in BOD"/>
    <s v="&lt;null&gt;"/>
    <s v="&lt;null&gt;"/>
    <s v="WEGENIS"/>
    <s v="&lt;null&gt;"/>
    <n v="100"/>
    <n v="100000"/>
    <n v="100000"/>
  </r>
  <r>
    <x v="239"/>
    <x v="239"/>
    <s v="Verkeersveiligheid"/>
    <x v="1"/>
    <n v="274"/>
    <s v="IN/000238"/>
    <s v="in Affligem : A10-E40 Richting Brussel, A10-E40 Richting Brussel Uitrit 19A"/>
    <s v="new yerseys zetten"/>
    <s v="Kleine Ingreep"/>
    <s v="&lt;null&gt;"/>
    <b v="0"/>
    <s v="Ingreep wordt niet opgevolgd in BOD"/>
    <s v="&lt;null&gt;"/>
    <s v="&lt;null&gt;"/>
    <s v="WEGENIS"/>
    <s v="&lt;null&gt;"/>
    <n v="100"/>
    <n v="100000"/>
    <n v="100000"/>
  </r>
  <r>
    <x v="240"/>
    <x v="240"/>
    <s v="Verkeersveiligheid"/>
    <x v="1"/>
    <n v="275"/>
    <s v="IN/000239"/>
    <s v="in Alken : Meerdegatstraat, N80, N80 Richting Hasselt"/>
    <s v="Aanpassen lichtenregeling + hermarkering"/>
    <s v="Kleine Ingreep"/>
    <s v="&lt;null&gt;"/>
    <b v="0"/>
    <s v="Ingreep wordt niet opgevolgd in BOD"/>
    <s v="&lt;null&gt;"/>
    <s v="&lt;null&gt;"/>
    <s v="VRI"/>
    <s v="&lt;null&gt;"/>
    <n v="100"/>
    <n v="150000"/>
    <n v="150000"/>
  </r>
  <r>
    <x v="241"/>
    <x v="241"/>
    <s v="Verkeersveiligheid"/>
    <x v="1"/>
    <n v="276"/>
    <s v="IN/000240"/>
    <s v="VRI: aanpassen lichtenregeling in Antwerpen : Bredabaan, Deurnsebaan, Weggestraat RELANCE21"/>
    <s v="Verbod rechtsafslaan vrachtwagens (2020), markering oversteek, voorstart fietsers, ander type VRI (paal)"/>
    <s v="Kleine Ingreep"/>
    <s v="WA/INV/N130/1"/>
    <b v="1"/>
    <s v="Ingreep wordt opgevolgd in BOD"/>
    <n v="2022"/>
    <s v="Q3"/>
    <s v="STUDIE"/>
    <s v="&lt;null&gt;"/>
    <n v="100"/>
    <n v="60000"/>
    <n v="60000"/>
  </r>
  <r>
    <x v="241"/>
    <x v="241"/>
    <s v="Verkeersveiligheid"/>
    <x v="1"/>
    <n v="276"/>
    <s v="IN/000240"/>
    <s v="VRI: aanpassen lichtenregeling in Antwerpen : Bredabaan, Deurnsebaan, Weggestraat RELANCE21"/>
    <s v="Verbod rechtsafslaan vrachtwagens (2020), markering oversteek, voorstart fietsers, ander type VRI (paal)"/>
    <s v="Kleine Ingreep"/>
    <s v="WA/INV/N130/1"/>
    <b v="1"/>
    <s v="Ingreep wordt opgevolgd in BOD"/>
    <n v="2022"/>
    <s v="Q3"/>
    <s v="WEGENIS"/>
    <s v="&lt;null&gt;"/>
    <n v="100"/>
    <n v="150000"/>
    <n v="150000"/>
  </r>
  <r>
    <x v="241"/>
    <x v="241"/>
    <s v="Verkeersveiligheid"/>
    <x v="1"/>
    <n v="276"/>
    <s v="IN/000240"/>
    <s v="VRI: aanpassen lichtenregeling in Antwerpen : Bredabaan, Deurnsebaan, Weggestraat RELANCE21"/>
    <s v="Verbod rechtsafslaan vrachtwagens (2020), markering oversteek, voorstart fietsers, ander type VRI (paal)"/>
    <s v="Kleine Ingreep"/>
    <s v="WA/INV/N130/1"/>
    <b v="1"/>
    <s v="Ingreep wordt opgevolgd in BOD"/>
    <n v="2022"/>
    <s v="Q3"/>
    <s v="VRI"/>
    <s v="&lt;null&gt;"/>
    <n v="100"/>
    <n v="250000"/>
    <n v="250000"/>
  </r>
  <r>
    <x v="242"/>
    <x v="242"/>
    <s v="Verkeersveiligheid"/>
    <x v="1"/>
    <n v="277"/>
    <s v="IN/000241"/>
    <s v="in Antwerpen : Desguinlei, Jan Van Rijswijcklaan, Singel"/>
    <s v="VLCC uitgerold (7/2020) maar onvoldoende want veel ongevallen op bypasses"/>
    <s v="Kleine Ingreep"/>
    <s v="&lt;null&gt;"/>
    <b v="0"/>
    <s v="Ingreep wordt niet opgevolgd in BOD"/>
    <n v="2022"/>
    <s v="&lt;null&gt;"/>
    <s v="WEGENIS"/>
    <s v="&lt;null&gt;"/>
    <n v="100"/>
    <n v="2000000"/>
    <n v="2000000"/>
  </r>
  <r>
    <x v="242"/>
    <x v="242"/>
    <s v="Verkeersveiligheid"/>
    <x v="1"/>
    <n v="277"/>
    <s v="IN/000241"/>
    <s v="in Antwerpen : Desguinlei, Jan Van Rijswijcklaan, Singel"/>
    <s v="VLCC uitgerold (7/2020) maar onvoldoende want veel ongevallen op bypasses"/>
    <s v="Kleine Ingreep"/>
    <s v="&lt;null&gt;"/>
    <b v="0"/>
    <s v="Ingreep wordt niet opgevolgd in BOD"/>
    <n v="2022"/>
    <s v="&lt;null&gt;"/>
    <s v="VRI"/>
    <s v="&lt;null&gt;"/>
    <n v="100"/>
    <n v="250000"/>
    <n v="250000"/>
  </r>
  <r>
    <x v="242"/>
    <x v="242"/>
    <s v="Verkeersveiligheid"/>
    <x v="1"/>
    <n v="277"/>
    <s v="IN/000241"/>
    <s v="in Antwerpen : Desguinlei, Jan Van Rijswijcklaan, Singel"/>
    <s v="VLCC uitgerold (7/2020) maar onvoldoende want veel ongevallen op bypasses"/>
    <s v="Kleine Ingreep"/>
    <s v="&lt;null&gt;"/>
    <b v="0"/>
    <s v="Ingreep wordt niet opgevolgd in BOD"/>
    <s v="&lt;null&gt;"/>
    <s v="&lt;null&gt;"/>
    <s v="STUDIE"/>
    <s v="&lt;null&gt;"/>
    <n v="100"/>
    <n v="345000"/>
    <n v="345000"/>
  </r>
  <r>
    <x v="242"/>
    <x v="242"/>
    <s v="Verkeersveiligheid"/>
    <x v="1"/>
    <n v="277"/>
    <s v="IN/000241"/>
    <s v="in Antwerpen : Desguinlei, Jan Van Rijswijcklaan, Singel"/>
    <s v="VLCC uitgerold (7/2020) maar onvoldoende want veel ongevallen op bypasses"/>
    <s v="Kleine Ingreep"/>
    <s v="&lt;null&gt;"/>
    <b v="0"/>
    <s v="Ingreep wordt niet opgevolgd in BOD"/>
    <s v="&lt;null&gt;"/>
    <s v="&lt;null&gt;"/>
    <s v="OV"/>
    <s v="&lt;null&gt;"/>
    <n v="100"/>
    <n v="50000"/>
    <n v="50000"/>
  </r>
  <r>
    <x v="243"/>
    <x v="243"/>
    <s v="Verkeersveiligheid"/>
    <x v="1"/>
    <n v="278"/>
    <s v="IN/000242"/>
    <s v="in Antwerpen : Bisschoppenhoflaan, Keesinglaan RELANCE21"/>
    <s v="Uitrol VLCC + afslagstrook + bypass"/>
    <s v="Kleine Ingreep"/>
    <s v="WA/INV/N120/3"/>
    <b v="1"/>
    <s v="Ingreep wordt opgevolgd in BOD"/>
    <n v="2022"/>
    <s v="Q4"/>
    <s v="WEGENIS"/>
    <s v="&lt;null&gt;"/>
    <n v="50"/>
    <n v="250000"/>
    <n v="125000"/>
  </r>
  <r>
    <x v="243"/>
    <x v="243"/>
    <s v="Verkeersveiligheid"/>
    <x v="1"/>
    <n v="278"/>
    <s v="IN/000242"/>
    <s v="in Antwerpen : Bisschoppenhoflaan, Keesinglaan RELANCE21"/>
    <s v="Uitrol VLCC + afslagstrook + bypass"/>
    <s v="Kleine Ingreep"/>
    <s v="WA/INV/N120/3"/>
    <b v="1"/>
    <s v="Ingreep wordt opgevolgd in BOD"/>
    <n v="2022"/>
    <s v="Q4"/>
    <s v="VRI"/>
    <s v="&lt;null&gt;"/>
    <n v="50"/>
    <n v="350000"/>
    <n v="175000"/>
  </r>
  <r>
    <x v="243"/>
    <x v="243"/>
    <s v="Verkeersveiligheid"/>
    <x v="1"/>
    <n v="278"/>
    <s v="IN/000242"/>
    <s v="in Antwerpen : Bisschoppenhoflaan, Keesinglaan RELANCE21"/>
    <s v="Uitrol VLCC + afslagstrook + bypass"/>
    <s v="Kleine Ingreep"/>
    <s v="WA/INV/N120/3"/>
    <b v="1"/>
    <s v="Ingreep wordt opgevolgd in BOD"/>
    <n v="2022"/>
    <s v="Q4"/>
    <s v="OV"/>
    <s v="&lt;null&gt;"/>
    <n v="50"/>
    <n v="100000"/>
    <n v="50000"/>
  </r>
  <r>
    <x v="244"/>
    <x v="244"/>
    <s v="Verkeersveiligheid"/>
    <x v="1"/>
    <n v="278"/>
    <s v="IN/000242"/>
    <s v="in Antwerpen : Bisschoppenhoflaan, Keesinglaan RELANCE21"/>
    <s v="Uitrol VLCC + afslagstrook + bypass"/>
    <s v="Kleine Ingreep"/>
    <s v="WA/INV/N120/3"/>
    <b v="1"/>
    <s v="Ingreep wordt opgevolgd in BOD"/>
    <n v="2022"/>
    <s v="Q4"/>
    <s v="OV"/>
    <s v="&lt;null&gt;"/>
    <n v="50"/>
    <n v="100000"/>
    <n v="50000"/>
  </r>
  <r>
    <x v="244"/>
    <x v="244"/>
    <s v="Verkeersveiligheid"/>
    <x v="1"/>
    <n v="278"/>
    <s v="IN/000242"/>
    <s v="in Antwerpen : Bisschoppenhoflaan, Keesinglaan RELANCE21"/>
    <s v="Uitrol VLCC + afslagstrook + bypass"/>
    <s v="Kleine Ingreep"/>
    <s v="WA/INV/N120/3"/>
    <b v="1"/>
    <s v="Ingreep wordt opgevolgd in BOD"/>
    <n v="2022"/>
    <s v="Q4"/>
    <s v="WEGENIS"/>
    <s v="&lt;null&gt;"/>
    <n v="50"/>
    <n v="250000"/>
    <n v="125000"/>
  </r>
  <r>
    <x v="244"/>
    <x v="244"/>
    <s v="Verkeersveiligheid"/>
    <x v="1"/>
    <n v="278"/>
    <s v="IN/000242"/>
    <s v="in Antwerpen : Bisschoppenhoflaan, Keesinglaan RELANCE21"/>
    <s v="Uitrol VLCC + afslagstrook + bypass"/>
    <s v="Kleine Ingreep"/>
    <s v="WA/INV/N120/3"/>
    <b v="1"/>
    <s v="Ingreep wordt opgevolgd in BOD"/>
    <n v="2022"/>
    <s v="Q4"/>
    <s v="VRI"/>
    <s v="&lt;null&gt;"/>
    <n v="50"/>
    <n v="350000"/>
    <n v="175000"/>
  </r>
  <r>
    <x v="245"/>
    <x v="245"/>
    <s v="Verkeersveiligheid"/>
    <x v="1"/>
    <n v="279"/>
    <s v="IN/000243"/>
    <s v="in Antwerpen : Binnensingel, Desguinlei, Kolonel Silvertopstraat, Singel"/>
    <s v="Aanpassing VRI"/>
    <s v="Kleine Ingreep"/>
    <s v="&lt;null&gt;"/>
    <b v="0"/>
    <s v="Ingreep wordt niet opgevolgd in BOD"/>
    <s v="&lt;null&gt;"/>
    <s v="&lt;null&gt;"/>
    <s v="&lt;null&gt;"/>
    <s v="&lt;null&gt;"/>
    <n v="100"/>
    <m/>
    <m/>
  </r>
  <r>
    <x v="246"/>
    <x v="246"/>
    <s v="Verkeersveiligheid"/>
    <x v="1"/>
    <n v="280"/>
    <s v="IN/000244"/>
    <s v="in Antwerpen : R1 Buitenring"/>
    <s v="aanpassing aansluiting met E34/E313"/>
    <s v="Kleine Ingreep"/>
    <s v="&lt;null&gt;"/>
    <b v="0"/>
    <s v="Ingreep wordt niet opgevolgd in BOD"/>
    <s v="&lt;null&gt;"/>
    <s v="&lt;null&gt;"/>
    <s v="&lt;null&gt;"/>
    <s v="&lt;null&gt;"/>
    <n v="100"/>
    <m/>
    <m/>
  </r>
  <r>
    <x v="247"/>
    <x v="247"/>
    <s v="Verkeersveiligheid"/>
    <x v="1"/>
    <n v="281"/>
    <s v="IN/000245"/>
    <s v="in Antwerpen : Havanastraat, Korte Wielenstraat, Noorderlaan"/>
    <s v="Brabo 2"/>
    <s v="Structurele Ingreep"/>
    <s v="&lt;null&gt;"/>
    <b v="0"/>
    <s v="Ingreep wordt niet opgevolgd in BOD"/>
    <s v="&lt;null&gt;"/>
    <s v="&lt;null&gt;"/>
    <s v="&lt;null&gt;"/>
    <s v="&lt;null&gt;"/>
    <n v="100"/>
    <m/>
    <m/>
  </r>
  <r>
    <x v="248"/>
    <x v="248"/>
    <s v="Verkeersveiligheid"/>
    <x v="1"/>
    <n v="282"/>
    <s v="IN/000246"/>
    <s v="Antwerpen : Boterlaarbaan, Dassastraat"/>
    <s v="Zichtbaarheid fietser verbeteren, afslagbewegingen duidelijker te maken"/>
    <s v="Kleine Ingreep"/>
    <s v="WA/INV/N116/8"/>
    <b v="0"/>
    <s v="Ingreep wordt niet opgevolgd in BOD"/>
    <s v="&lt;null&gt;"/>
    <s v="&lt;null&gt;"/>
    <s v="STUDIE"/>
    <s v="&lt;null&gt;"/>
    <n v="100"/>
    <n v="7500"/>
    <n v="7500"/>
  </r>
  <r>
    <x v="248"/>
    <x v="248"/>
    <s v="Verkeersveiligheid"/>
    <x v="1"/>
    <n v="282"/>
    <s v="IN/000246"/>
    <s v="Antwerpen : Boterlaarbaan, Dassastraat"/>
    <s v="Zichtbaarheid fietser verbeteren, afslagbewegingen duidelijker te maken"/>
    <s v="Kleine Ingreep"/>
    <s v="WA/INV/N116/8"/>
    <b v="0"/>
    <s v="Ingreep wordt niet opgevolgd in BOD"/>
    <s v="&lt;null&gt;"/>
    <s v="&lt;null&gt;"/>
    <s v="WEGENIS"/>
    <s v="&lt;null&gt;"/>
    <n v="100"/>
    <n v="50000"/>
    <n v="50000"/>
  </r>
  <r>
    <x v="249"/>
    <x v="249"/>
    <s v="Verkeersveiligheid"/>
    <x v="1"/>
    <n v="283"/>
    <s v="IN/000247"/>
    <s v="in Antwerpen : Bredabaan, Ringlaan, Winkelstap RELANCE21"/>
    <s v="Aanpassing VRI\nQW oplossing, voor definitieve oplossing zie volgende ingreep"/>
    <s v="Kleine Ingreep"/>
    <s v="&lt;null&gt;"/>
    <b v="0"/>
    <s v="Ingreep wordt niet opgevolgd in BOD"/>
    <n v="2022"/>
    <s v="&lt;null&gt;"/>
    <s v="VRI"/>
    <s v="&lt;null&gt;"/>
    <n v="100"/>
    <n v="250000"/>
    <n v="250000"/>
  </r>
  <r>
    <x v="250"/>
    <x v="250"/>
    <s v="Verkeersveiligheid"/>
    <x v="1"/>
    <n v="284"/>
    <s v="IN/000248"/>
    <s v="in Antwerpen : A12 Richting Brussel"/>
    <s v="Aanpassing VRI-regeling, maximaal conflictvrij, uitrol VLCC"/>
    <s v="Kleine Ingreep"/>
    <s v="&lt;null&gt;"/>
    <b v="0"/>
    <s v="Ingreep wordt niet opgevolgd in BOD"/>
    <s v="&lt;null&gt;"/>
    <s v="&lt;null&gt;"/>
    <s v="&lt;null&gt;"/>
    <s v="&lt;null&gt;"/>
    <n v="100"/>
    <m/>
    <m/>
  </r>
  <r>
    <x v="250"/>
    <x v="250"/>
    <s v="Verkeersveiligheid"/>
    <x v="1"/>
    <n v="285"/>
    <s v="IN/000249"/>
    <s v="in Antwerpen : A12 Richting Brussel"/>
    <s v="Tunnels"/>
    <s v="Structurele Ingreep"/>
    <s v="&lt;null&gt;"/>
    <b v="0"/>
    <s v="Ingreep wordt niet opgevolgd in BOD"/>
    <s v="&lt;null&gt;"/>
    <s v="&lt;null&gt;"/>
    <s v="&lt;null&gt;"/>
    <s v="&lt;null&gt;"/>
    <n v="100"/>
    <m/>
    <m/>
  </r>
  <r>
    <x v="251"/>
    <x v="251"/>
    <s v="Verkeersveiligheid"/>
    <x v="1"/>
    <n v="286"/>
    <s v="IN/000250"/>
    <s v="in Antwerpen : Gerard Le Grellelaan, Vogelzanglaan"/>
    <s v="Aanpassing VRI (VLCC)"/>
    <s v="Kleine Ingreep"/>
    <s v="&lt;null&gt;"/>
    <b v="0"/>
    <s v="Ingreep wordt niet opgevolgd in BOD"/>
    <s v="&lt;null&gt;"/>
    <s v="&lt;null&gt;"/>
    <s v="&lt;null&gt;"/>
    <s v="&lt;null&gt;"/>
    <n v="100"/>
    <m/>
    <m/>
  </r>
  <r>
    <x v="252"/>
    <x v="252"/>
    <s v="Verkeersveiligheid"/>
    <x v="1"/>
    <n v="287"/>
    <s v="IN/000251"/>
    <s v="in Antwerpen : R1 Buitenring"/>
    <s v="Aanpassing aansluiting&gt; tweede rijstrook werd doorgetrokken naar R1, inclusief aanpassing van verticale signalisatie (zie ook VVA-A-29)"/>
    <s v="Kleine Ingreep"/>
    <s v="&lt;null&gt;"/>
    <b v="0"/>
    <s v="Ingreep wordt niet opgevolgd in BOD"/>
    <s v="&lt;null&gt;"/>
    <s v="&lt;null&gt;"/>
    <s v="&lt;null&gt;"/>
    <s v="&lt;null&gt;"/>
    <n v="100"/>
    <m/>
    <m/>
  </r>
  <r>
    <x v="253"/>
    <x v="253"/>
    <s v="Verkeersveiligheid"/>
    <x v="1"/>
    <n v="288"/>
    <s v="IN/000252"/>
    <s v="R11 N173 Wilrijk kruispunt Frans Van Dunlaan"/>
    <s v="Heraanleg"/>
    <s v="Structurele Ingreep"/>
    <s v="WA/INV/R11/1"/>
    <b v="0"/>
    <s v="Ingreep wordt niet opgevolgd in BOD"/>
    <n v="2022"/>
    <s v="&lt;null&gt;"/>
    <s v="OVERIGE"/>
    <s v="&lt;null&gt;"/>
    <n v="100"/>
    <n v="240000"/>
    <n v="240000"/>
  </r>
  <r>
    <x v="253"/>
    <x v="253"/>
    <s v="Verkeersveiligheid"/>
    <x v="1"/>
    <n v="288"/>
    <s v="IN/000252"/>
    <s v="R11 N173 Wilrijk kruispunt Frans Van Dunlaan"/>
    <s v="Heraanleg"/>
    <s v="Structurele Ingreep"/>
    <s v="WA/INV/R11/1"/>
    <b v="0"/>
    <s v="Ingreep wordt niet opgevolgd in BOD"/>
    <s v="&lt;null&gt;"/>
    <s v="&lt;null&gt;"/>
    <s v="WEGENIS"/>
    <s v="&lt;null&gt;"/>
    <n v="100"/>
    <n v="4500000"/>
    <n v="4500000"/>
  </r>
  <r>
    <x v="254"/>
    <x v="254"/>
    <s v="Verkeersveiligheid"/>
    <x v="1"/>
    <n v="289"/>
    <s v="IN/000253"/>
    <s v="in Antwerpen : Burgemeester E. Waghemansbrug, Merksemsesteenweg"/>
    <s v="Nieuwe brug"/>
    <s v="Structurele Ingreep"/>
    <s v="&lt;null&gt;"/>
    <b v="0"/>
    <s v="Ingreep wordt niet opgevolgd in BOD"/>
    <s v="&lt;null&gt;"/>
    <s v="&lt;null&gt;"/>
    <s v="&lt;null&gt;"/>
    <s v="&lt;null&gt;"/>
    <n v="100"/>
    <m/>
    <m/>
  </r>
  <r>
    <x v="18"/>
    <x v="18"/>
    <s v="&lt;null&gt;"/>
    <x v="3"/>
    <n v="290"/>
    <s v="IN/000254"/>
    <s v="in Antwerpen : Grotesteenweg, Sint-Hubertusstraat"/>
    <s v="Oversteekplaats heraanleggen"/>
    <s v="Kleine Ingreep"/>
    <s v="&lt;null&gt;"/>
    <b v="0"/>
    <s v="Ingreep wordt niet opgevolgd in BOD"/>
    <n v="2022"/>
    <s v="&lt;null&gt;"/>
    <s v="WEGENIS"/>
    <s v="&lt;null&gt;"/>
    <m/>
    <n v="50000"/>
    <m/>
  </r>
  <r>
    <x v="18"/>
    <x v="18"/>
    <s v="&lt;null&gt;"/>
    <x v="3"/>
    <n v="290"/>
    <s v="IN/000254"/>
    <s v="in Antwerpen : Grotesteenweg, Sint-Hubertusstraat"/>
    <s v="Oversteekplaats heraanleggen"/>
    <s v="Kleine Ingreep"/>
    <s v="&lt;null&gt;"/>
    <b v="0"/>
    <s v="Ingreep wordt niet opgevolgd in BOD"/>
    <s v="&lt;null&gt;"/>
    <s v="&lt;null&gt;"/>
    <s v="STUDIE"/>
    <s v="&lt;null&gt;"/>
    <m/>
    <n v="11250"/>
    <m/>
  </r>
  <r>
    <x v="18"/>
    <x v="18"/>
    <s v="&lt;null&gt;"/>
    <x v="3"/>
    <n v="290"/>
    <s v="IN/000254"/>
    <s v="in Antwerpen : Grotesteenweg, Sint-Hubertusstraat"/>
    <s v="Oversteekplaats heraanleggen"/>
    <s v="Kleine Ingreep"/>
    <s v="&lt;null&gt;"/>
    <b v="0"/>
    <s v="Ingreep wordt niet opgevolgd in BOD"/>
    <s v="&lt;null&gt;"/>
    <s v="&lt;null&gt;"/>
    <s v="OV"/>
    <s v="&lt;null&gt;"/>
    <m/>
    <n v="25000"/>
    <m/>
  </r>
  <r>
    <x v="255"/>
    <x v="255"/>
    <s v="Verkeersveiligheid"/>
    <x v="1"/>
    <n v="291"/>
    <s v="IN/000255"/>
    <s v="in Antwerpen : Leeuwlantstraat, Turnhoutsebaan"/>
    <s v="speed pedelecs en bromfietsers op de rijbaan en oversteek dichter tegen kruispunt"/>
    <s v="Kleine Ingreep"/>
    <s v="&lt;null&gt;"/>
    <b v="0"/>
    <s v="Ingreep wordt niet opgevolgd in BOD"/>
    <s v="&lt;null&gt;"/>
    <s v="&lt;null&gt;"/>
    <s v="&lt;null&gt;"/>
    <s v="&lt;null&gt;"/>
    <n v="100"/>
    <m/>
    <m/>
  </r>
  <r>
    <x v="256"/>
    <x v="256"/>
    <s v="Verkeersveiligheid"/>
    <x v="1"/>
    <n v="292"/>
    <s v="IN/000256"/>
    <s v="in Antwerpen : Maria-Henriëttalei, Rubenslei, Van Breestraat, Van Eycklei"/>
    <s v="nog niet gedefinieerd"/>
    <s v="Kleine Ingreep"/>
    <s v="WA/INV/N184/2"/>
    <b v="0"/>
    <s v="Ingreep wordt niet opgevolgd in BOD"/>
    <n v="2022"/>
    <s v="Q4"/>
    <s v="VRI"/>
    <m/>
    <n v="100"/>
    <n v="150000"/>
    <n v="150000"/>
  </r>
  <r>
    <x v="256"/>
    <x v="256"/>
    <s v="Verkeersveiligheid"/>
    <x v="1"/>
    <n v="292"/>
    <s v="IN/000256"/>
    <s v="in Antwerpen : Maria-Henriëttalei, Rubenslei, Van Breestraat, Van Eycklei"/>
    <s v="nog niet gedefinieerd"/>
    <s v="Kleine Ingreep"/>
    <s v="WA/INV/N184/2"/>
    <b v="0"/>
    <s v="Ingreep wordt niet opgevolgd in BOD"/>
    <n v="2022"/>
    <s v="Q4"/>
    <s v="WEGENIS"/>
    <s v="&lt;null&gt;"/>
    <n v="100"/>
    <n v="100000"/>
    <n v="100000"/>
  </r>
  <r>
    <x v="257"/>
    <x v="257"/>
    <s v="Verkeersveiligheid"/>
    <x v="1"/>
    <n v="293"/>
    <s v="IN/000257"/>
    <s v="in Antwerpen : August Van de Wielelei, Ivan Maquinaylei"/>
    <s v="nog niet gedefinieerd"/>
    <s v="Kleine Ingreep"/>
    <s v="&lt;null&gt;"/>
    <b v="0"/>
    <s v="Ingreep wordt niet opgevolgd in BOD"/>
    <n v="2022"/>
    <s v="&lt;null&gt;"/>
    <s v="WEGENIS"/>
    <s v="&lt;null&gt;"/>
    <n v="100"/>
    <n v="100000"/>
    <n v="100000"/>
  </r>
  <r>
    <x v="257"/>
    <x v="257"/>
    <s v="Verkeersveiligheid"/>
    <x v="1"/>
    <n v="293"/>
    <s v="IN/000257"/>
    <s v="in Antwerpen : August Van de Wielelei, Ivan Maquinaylei"/>
    <s v="nog niet gedefinieerd"/>
    <s v="Kleine Ingreep"/>
    <s v="&lt;null&gt;"/>
    <b v="0"/>
    <s v="Ingreep wordt niet opgevolgd in BOD"/>
    <s v="&lt;null&gt;"/>
    <s v="&lt;null&gt;"/>
    <s v="OV"/>
    <s v="&lt;null&gt;"/>
    <n v="100"/>
    <n v="25000"/>
    <n v="25000"/>
  </r>
  <r>
    <x v="257"/>
    <x v="257"/>
    <s v="Verkeersveiligheid"/>
    <x v="1"/>
    <n v="293"/>
    <s v="IN/000257"/>
    <s v="in Antwerpen : August Van de Wielelei, Ivan Maquinaylei"/>
    <s v="nog niet gedefinieerd"/>
    <s v="Kleine Ingreep"/>
    <s v="&lt;null&gt;"/>
    <b v="0"/>
    <s v="Ingreep wordt niet opgevolgd in BOD"/>
    <s v="&lt;null&gt;"/>
    <s v="&lt;null&gt;"/>
    <s v="STUDIE"/>
    <s v="&lt;null&gt;"/>
    <n v="100"/>
    <n v="18750"/>
    <n v="18750"/>
  </r>
  <r>
    <x v="258"/>
    <x v="258"/>
    <s v="Verkeersveiligheid"/>
    <x v="4"/>
    <n v="293"/>
    <s v="IN/000257"/>
    <s v="in Antwerpen : August Van de Wielelei, Ivan Maquinaylei"/>
    <s v="nog niet gedefinieerd"/>
    <s v="Kleine Ingreep"/>
    <s v="&lt;null&gt;"/>
    <b v="0"/>
    <s v="Ingreep wordt niet opgevolgd in BOD"/>
    <s v="&lt;null&gt;"/>
    <s v="&lt;null&gt;"/>
    <s v="OV"/>
    <s v="&lt;null&gt;"/>
    <n v="0"/>
    <n v="25000"/>
    <n v="0"/>
  </r>
  <r>
    <x v="258"/>
    <x v="258"/>
    <s v="Verkeersveiligheid"/>
    <x v="4"/>
    <n v="293"/>
    <s v="IN/000257"/>
    <s v="in Antwerpen : August Van de Wielelei, Ivan Maquinaylei"/>
    <s v="nog niet gedefinieerd"/>
    <s v="Kleine Ingreep"/>
    <s v="&lt;null&gt;"/>
    <b v="0"/>
    <s v="Ingreep wordt niet opgevolgd in BOD"/>
    <n v="2022"/>
    <s v="&lt;null&gt;"/>
    <s v="WEGENIS"/>
    <s v="&lt;null&gt;"/>
    <n v="0"/>
    <n v="100000"/>
    <n v="0"/>
  </r>
  <r>
    <x v="258"/>
    <x v="258"/>
    <s v="Verkeersveiligheid"/>
    <x v="4"/>
    <n v="293"/>
    <s v="IN/000257"/>
    <s v="in Antwerpen : August Van de Wielelei, Ivan Maquinaylei"/>
    <s v="nog niet gedefinieerd"/>
    <s v="Kleine Ingreep"/>
    <s v="&lt;null&gt;"/>
    <b v="0"/>
    <s v="Ingreep wordt niet opgevolgd in BOD"/>
    <s v="&lt;null&gt;"/>
    <s v="&lt;null&gt;"/>
    <s v="STUDIE"/>
    <s v="&lt;null&gt;"/>
    <n v="0"/>
    <n v="18750"/>
    <n v="0"/>
  </r>
  <r>
    <x v="259"/>
    <x v="259"/>
    <s v="Verkeersveiligheid"/>
    <x v="1"/>
    <n v="294"/>
    <s v="IN/000258"/>
    <s v="in Antwerpen : Turnhoutsebaan"/>
    <s v="VOP begin dit jaar aangepast, zodat deze ook doorloopt over trambedding en gemengd gedeelte."/>
    <s v="Kleine Ingreep"/>
    <s v="&lt;null&gt;"/>
    <b v="0"/>
    <s v="Ingreep wordt niet opgevolgd in BOD"/>
    <s v="&lt;null&gt;"/>
    <s v="&lt;null&gt;"/>
    <s v="&lt;null&gt;"/>
    <s v="&lt;null&gt;"/>
    <n v="100"/>
    <m/>
    <m/>
  </r>
  <r>
    <x v="260"/>
    <x v="260"/>
    <s v="Verkeersveiligheid"/>
    <x v="1"/>
    <n v="295"/>
    <s v="IN/000259"/>
    <s v="Horizontale signalisatie aanpassen in Antwerpen : Bredabaan, Groenendaallaan, Minister Delbekelaan RELANCE21"/>
    <s v="dubbele linksaf wordt enkele linksaf + aanpassen lichtenregeling"/>
    <s v="Kleine Ingreep"/>
    <s v="WA/INV/N1/9"/>
    <b v="0"/>
    <s v="Ingreep wordt niet opgevolgd in BOD"/>
    <n v="2022"/>
    <s v="&lt;null&gt;"/>
    <s v="VRI"/>
    <s v="&lt;null&gt;"/>
    <n v="100"/>
    <n v="50000"/>
    <n v="50000"/>
  </r>
  <r>
    <x v="260"/>
    <x v="260"/>
    <s v="Verkeersveiligheid"/>
    <x v="1"/>
    <n v="295"/>
    <s v="IN/000259"/>
    <s v="Horizontale signalisatie aanpassen in Antwerpen : Bredabaan, Groenendaallaan, Minister Delbekelaan RELANCE21"/>
    <s v="dubbele linksaf wordt enkele linksaf + aanpassen lichtenregeling"/>
    <s v="Kleine Ingreep"/>
    <s v="WA/INV/N1/9"/>
    <b v="0"/>
    <s v="Ingreep wordt niet opgevolgd in BOD"/>
    <s v="&lt;null&gt;"/>
    <s v="&lt;null&gt;"/>
    <s v="WEGENIS"/>
    <s v="&lt;null&gt;"/>
    <n v="100"/>
    <n v="50000"/>
    <n v="50000"/>
  </r>
  <r>
    <x v="261"/>
    <x v="261"/>
    <s v="Verkeersveiligheid"/>
    <x v="1"/>
    <n v="296"/>
    <s v="IN/000260"/>
    <s v="in Antwerpen : Plantin en Moretuslei, Quinten Matsijslei"/>
    <s v="2 bypasses worden weggewerkt + conflictvrij maken"/>
    <s v="Structurele Ingreep"/>
    <s v="&lt;null&gt;"/>
    <b v="0"/>
    <s v="Ingreep wordt niet opgevolgd in BOD"/>
    <s v="&lt;null&gt;"/>
    <s v="&lt;null&gt;"/>
    <s v="&lt;null&gt;"/>
    <s v="&lt;null&gt;"/>
    <n v="100"/>
    <m/>
    <m/>
  </r>
  <r>
    <x v="262"/>
    <x v="262"/>
    <s v="Verkeersveiligheid"/>
    <x v="1"/>
    <n v="297"/>
    <s v="IN/000261"/>
    <s v="in Antwerpen : A12 Richting Bergen Op Zoom (NL), A12 Richting Brussel, Atomiumlaan, Boomsesteenweg"/>
    <s v="aanpassingen FOP en VOP (2018), VLCC"/>
    <s v="Kleine Ingreep"/>
    <s v="&lt;null&gt;"/>
    <b v="0"/>
    <s v="Ingreep wordt niet opgevolgd in BOD"/>
    <s v="&lt;null&gt;"/>
    <s v="&lt;null&gt;"/>
    <s v="&lt;null&gt;"/>
    <s v="&lt;null&gt;"/>
    <n v="100"/>
    <m/>
    <m/>
  </r>
  <r>
    <x v="262"/>
    <x v="262"/>
    <s v="Verkeersveiligheid"/>
    <x v="1"/>
    <n v="298"/>
    <s v="IN/000262"/>
    <s v="MAG WEG in Antwerpen : A12 Richting Bergen Op Zoom (NL), A12 Richting Brussel, Atomiumlaan, Boomsesteenweg"/>
    <s v="Aanleg tunnels"/>
    <s v="Structurele Ingreep"/>
    <s v="&lt;null&gt;"/>
    <b v="0"/>
    <s v="Ingreep wordt niet opgevolgd in BOD"/>
    <s v="&lt;null&gt;"/>
    <s v="&lt;null&gt;"/>
    <s v="&lt;null&gt;"/>
    <s v="&lt;null&gt;"/>
    <n v="100"/>
    <m/>
    <m/>
  </r>
  <r>
    <x v="263"/>
    <x v="263"/>
    <s v="Verkeersveiligheid"/>
    <x v="1"/>
    <n v="299"/>
    <s v="IN/000263"/>
    <s v="in Antwerpen : Fruithoflaan, Grotesteenweg, Ringlaan"/>
    <s v="VLCC"/>
    <s v="Kleine Ingreep"/>
    <s v="&lt;null&gt;"/>
    <b v="0"/>
    <s v="Ingreep wordt niet opgevolgd in BOD"/>
    <s v="&lt;null&gt;"/>
    <s v="&lt;null&gt;"/>
    <s v="&lt;null&gt;"/>
    <s v="&lt;null&gt;"/>
    <n v="100"/>
    <m/>
    <m/>
  </r>
  <r>
    <x v="264"/>
    <x v="264"/>
    <s v="Verkeersveiligheid"/>
    <x v="1"/>
    <n v="300"/>
    <s v="IN/000264"/>
    <s v="in Antwerpen : Bisschoppenhoflaan, N120 Antwerpen (N129) - Wijnegem (N112), Raoul Grégoirplein, Schijnpoortweg, Tweemontstraat"/>
    <s v="nog niet gedefinieerd"/>
    <s v="Kleine Ingreep"/>
    <s v="&lt;null&gt;"/>
    <b v="0"/>
    <s v="Ingreep wordt niet opgevolgd in BOD"/>
    <s v="&lt;null&gt;"/>
    <s v="&lt;null&gt;"/>
    <s v="OV"/>
    <s v="&lt;null&gt;"/>
    <n v="100"/>
    <n v="75000"/>
    <n v="75000"/>
  </r>
  <r>
    <x v="264"/>
    <x v="264"/>
    <s v="Verkeersveiligheid"/>
    <x v="1"/>
    <n v="300"/>
    <s v="IN/000264"/>
    <s v="in Antwerpen : Bisschoppenhoflaan, N120 Antwerpen (N129) - Wijnegem (N112), Raoul Grégoirplein, Schijnpoortweg, Tweemontstraat"/>
    <s v="nog niet gedefinieerd"/>
    <s v="Kleine Ingreep"/>
    <s v="&lt;null&gt;"/>
    <b v="0"/>
    <s v="Ingreep wordt niet opgevolgd in BOD"/>
    <s v="&lt;null&gt;"/>
    <s v="&lt;null&gt;"/>
    <s v="STUDIE"/>
    <s v="&lt;null&gt;"/>
    <n v="100"/>
    <n v="228750"/>
    <n v="228750"/>
  </r>
  <r>
    <x v="264"/>
    <x v="264"/>
    <s v="Verkeersveiligheid"/>
    <x v="1"/>
    <n v="300"/>
    <s v="IN/000264"/>
    <s v="in Antwerpen : Bisschoppenhoflaan, N120 Antwerpen (N129) - Wijnegem (N112), Raoul Grégoirplein, Schijnpoortweg, Tweemontstraat"/>
    <s v="nog niet gedefinieerd"/>
    <s v="Kleine Ingreep"/>
    <s v="&lt;null&gt;"/>
    <b v="0"/>
    <s v="Ingreep wordt niet opgevolgd in BOD"/>
    <n v="2022"/>
    <s v="&lt;null&gt;"/>
    <s v="VRI"/>
    <s v="&lt;null&gt;"/>
    <n v="100"/>
    <n v="450000"/>
    <n v="450000"/>
  </r>
  <r>
    <x v="264"/>
    <x v="264"/>
    <s v="Verkeersveiligheid"/>
    <x v="1"/>
    <n v="300"/>
    <s v="IN/000264"/>
    <s v="in Antwerpen : Bisschoppenhoflaan, N120 Antwerpen (N129) - Wijnegem (N112), Raoul Grégoirplein, Schijnpoortweg, Tweemontstraat"/>
    <s v="nog niet gedefinieerd"/>
    <s v="Kleine Ingreep"/>
    <s v="&lt;null&gt;"/>
    <b v="0"/>
    <s v="Ingreep wordt niet opgevolgd in BOD"/>
    <n v="2022"/>
    <s v="&lt;null&gt;"/>
    <s v="WEGENIS"/>
    <s v="&lt;null&gt;"/>
    <n v="100"/>
    <n v="1000000"/>
    <n v="1000000"/>
  </r>
  <r>
    <x v="264"/>
    <x v="264"/>
    <s v="Verkeersveiligheid"/>
    <x v="1"/>
    <n v="301"/>
    <s v="IN/000265"/>
    <s v="MAG WEG in Antwerpen : Bisschoppenhoflaan, N120 Antwerpen (N129) - Wijnegem (N112), Raoul Grégoirplein, Schijnpoortweg, Tweemontstraat"/>
    <s v="zit mee in OWV. vanaf zomer 2022 zullen werken worden uitgevoerd. Tijdelijk viaduct vanaf 2022"/>
    <s v="Structurele Ingreep"/>
    <s v="&lt;null&gt;"/>
    <b v="0"/>
    <s v="Ingreep wordt niet opgevolgd in BOD"/>
    <s v="&lt;null&gt;"/>
    <s v="&lt;null&gt;"/>
    <s v="&lt;null&gt;"/>
    <s v="&lt;null&gt;"/>
    <n v="100"/>
    <m/>
    <m/>
  </r>
  <r>
    <x v="265"/>
    <x v="265"/>
    <s v="Verkeersveiligheid"/>
    <x v="1"/>
    <n v="302"/>
    <s v="IN/000266"/>
    <s v="in Antwerpen : Boomsesteenweg, Jules Moretuslei"/>
    <s v="nog niet gedefinieerd"/>
    <s v="Kleine Ingreep"/>
    <s v="&lt;null&gt;"/>
    <b v="0"/>
    <s v="Ingreep wordt niet opgevolgd in BOD"/>
    <n v="2022"/>
    <s v="&lt;null&gt;"/>
    <s v="VRI"/>
    <s v="&lt;null&gt;"/>
    <n v="100"/>
    <n v="300000"/>
    <n v="300000"/>
  </r>
  <r>
    <x v="265"/>
    <x v="265"/>
    <s v="Verkeersveiligheid"/>
    <x v="1"/>
    <n v="302"/>
    <s v="IN/000266"/>
    <s v="in Antwerpen : Boomsesteenweg, Jules Moretuslei"/>
    <s v="nog niet gedefinieerd"/>
    <s v="Kleine Ingreep"/>
    <s v="&lt;null&gt;"/>
    <b v="0"/>
    <s v="Ingreep wordt niet opgevolgd in BOD"/>
    <s v="&lt;null&gt;"/>
    <s v="&lt;null&gt;"/>
    <s v="OV"/>
    <s v="&lt;null&gt;"/>
    <n v="100"/>
    <n v="50000"/>
    <n v="50000"/>
  </r>
  <r>
    <x v="265"/>
    <x v="265"/>
    <s v="Verkeersveiligheid"/>
    <x v="1"/>
    <n v="302"/>
    <s v="IN/000266"/>
    <s v="in Antwerpen : Boomsesteenweg, Jules Moretuslei"/>
    <s v="nog niet gedefinieerd"/>
    <s v="Kleine Ingreep"/>
    <s v="&lt;null&gt;"/>
    <b v="0"/>
    <s v="Ingreep wordt niet opgevolgd in BOD"/>
    <s v="&lt;null&gt;"/>
    <s v="&lt;null&gt;"/>
    <s v="STUDIE"/>
    <s v="&lt;null&gt;"/>
    <n v="100"/>
    <n v="127500"/>
    <n v="127500"/>
  </r>
  <r>
    <x v="265"/>
    <x v="265"/>
    <s v="Verkeersveiligheid"/>
    <x v="1"/>
    <n v="302"/>
    <s v="IN/000266"/>
    <s v="in Antwerpen : Boomsesteenweg, Jules Moretuslei"/>
    <s v="nog niet gedefinieerd"/>
    <s v="Kleine Ingreep"/>
    <s v="&lt;null&gt;"/>
    <b v="0"/>
    <s v="Ingreep wordt niet opgevolgd in BOD"/>
    <n v="2022"/>
    <s v="&lt;null&gt;"/>
    <s v="WEGENIS"/>
    <s v="&lt;null&gt;"/>
    <n v="100"/>
    <n v="500000"/>
    <n v="500000"/>
  </r>
  <r>
    <x v="266"/>
    <x v="266"/>
    <s v="Verkeersveiligheid"/>
    <x v="1"/>
    <n v="303"/>
    <s v="IN/000267"/>
    <s v="VRI: aanpassen lichtenregeling in Antwerpen : Grotesteenweg, Jan Moorkensstraat"/>
    <s v="Conflictvrije regeling"/>
    <s v="Kleine Ingreep"/>
    <s v="&lt;null&gt;"/>
    <b v="0"/>
    <s v="Ingreep wordt niet opgevolgd in BOD"/>
    <s v="&lt;null&gt;"/>
    <s v="&lt;null&gt;"/>
    <s v="&lt;null&gt;"/>
    <s v="&lt;null&gt;"/>
    <n v="100"/>
    <m/>
    <m/>
  </r>
  <r>
    <x v="267"/>
    <x v="267"/>
    <s v="Verkeersveiligheid"/>
    <x v="1"/>
    <n v="304"/>
    <s v="IN/000268"/>
    <s v="in Antwerpen : Lange Van Ruusbroecstraat, Montensstraat, Plantin en Moretuslei, Wolfstraat"/>
    <s v="Volledige heraanleg"/>
    <s v="Structurele Ingreep"/>
    <s v="&lt;null&gt;"/>
    <b v="0"/>
    <s v="Ingreep wordt niet opgevolgd in BOD"/>
    <s v="&lt;null&gt;"/>
    <s v="&lt;null&gt;"/>
    <s v="&lt;null&gt;"/>
    <s v="&lt;null&gt;"/>
    <n v="100"/>
    <m/>
    <m/>
  </r>
  <r>
    <x v="268"/>
    <x v="268"/>
    <s v="Verkeersveiligheid"/>
    <x v="1"/>
    <n v="305"/>
    <s v="IN/000269"/>
    <s v="in Antwerpen : Boomsesteenweg 67"/>
    <s v="Parkeerplaatsen weghalen + voetpaduitstulping (indien relance)"/>
    <s v="Kleine Ingreep"/>
    <s v="WA/INV/N177/9"/>
    <b v="1"/>
    <s v="Ingreep wordt opgevolgd in BOD"/>
    <n v="2022"/>
    <s v="Q3"/>
    <s v="WEGENIS"/>
    <s v="&lt;null&gt;"/>
    <n v="50"/>
    <n v="50000"/>
    <n v="25000"/>
  </r>
  <r>
    <x v="269"/>
    <x v="269"/>
    <s v="Verkeersveiligheid"/>
    <x v="4"/>
    <n v="305"/>
    <s v="IN/000269"/>
    <s v="in Antwerpen : Boomsesteenweg 67"/>
    <s v="Parkeerplaatsen weghalen + voetpaduitstulping (indien relance)"/>
    <s v="Kleine Ingreep"/>
    <s v="WA/INV/N177/9"/>
    <b v="1"/>
    <s v="Ingreep wordt opgevolgd in BOD"/>
    <n v="2022"/>
    <s v="Q3"/>
    <s v="WEGENIS"/>
    <s v="&lt;null&gt;"/>
    <n v="50"/>
    <n v="50000"/>
    <n v="25000"/>
  </r>
  <r>
    <x v="270"/>
    <x v="270"/>
    <s v="Verkeersveiligheid"/>
    <x v="1"/>
    <n v="306"/>
    <s v="IN/000270"/>
    <s v="in Antwerpen : Hendriklei, Julius De Geyterstraat, Sint-Bernardsesteenweg RELANCE21"/>
    <s v="Aanpassen verkeerslichtenregeling (kadert in een grotere herinrichting waar de stad de infrastructuurwerken zal uitvoeren)"/>
    <s v="Kleine Ingreep"/>
    <s v="WA/INV/N148/5"/>
    <b v="1"/>
    <s v="Ingreep wordt opgevolgd in BOD"/>
    <n v="2021"/>
    <s v="&lt;null&gt;"/>
    <s v="VRI"/>
    <s v="&lt;null&gt;"/>
    <n v="100"/>
    <n v="50000"/>
    <n v="50000"/>
  </r>
  <r>
    <x v="18"/>
    <x v="18"/>
    <s v="&lt;null&gt;"/>
    <x v="3"/>
    <n v="307"/>
    <s v="IN/000271"/>
    <s v="in Antwerpen : Hendriklei, Julius De Geyterstraat, Sint-Bernardsesteenweg VIA PCV BESTEK"/>
    <s v="Aanpassen lichtenregeling + afslagstroken (conflict met tram wordt eruit gehaald)"/>
    <s v="Kleine Ingreep"/>
    <s v="&lt;null&gt;"/>
    <b v="0"/>
    <s v="Ingreep wordt niet opgevolgd in BOD"/>
    <s v="&lt;null&gt;"/>
    <s v="&lt;null&gt;"/>
    <s v="&lt;null&gt;"/>
    <s v="&lt;null&gt;"/>
    <m/>
    <m/>
    <m/>
  </r>
  <r>
    <x v="271"/>
    <x v="271"/>
    <s v="Verkeersveiligheid"/>
    <x v="1"/>
    <n v="308"/>
    <s v="IN/000272"/>
    <s v="in Antwerpen : Grotesteenweg, Klauwaardsstraat, Vredestraat RELANCE21"/>
    <s v="Oversteekplaats heraanleggen + VRI"/>
    <s v="Kleine Ingreep"/>
    <s v="WA/INV/N1/10"/>
    <b v="1"/>
    <s v="Ingreep wordt opgevolgd in BOD"/>
    <n v="2022"/>
    <s v="Q3"/>
    <s v="STUDIE"/>
    <s v="&lt;null&gt;"/>
    <n v="25"/>
    <n v="11250"/>
    <n v="2812.5"/>
  </r>
  <r>
    <x v="271"/>
    <x v="271"/>
    <s v="Verkeersveiligheid"/>
    <x v="1"/>
    <n v="308"/>
    <s v="IN/000272"/>
    <s v="in Antwerpen : Grotesteenweg, Klauwaardsstraat, Vredestraat RELANCE21"/>
    <s v="Oversteekplaats heraanleggen + VRI"/>
    <s v="Kleine Ingreep"/>
    <s v="WA/INV/N1/10"/>
    <b v="1"/>
    <s v="Ingreep wordt opgevolgd in BOD"/>
    <n v="2022"/>
    <s v="Q3"/>
    <s v="WEGENIS"/>
    <s v="&lt;null&gt;"/>
    <n v="25"/>
    <n v="50000"/>
    <n v="12500"/>
  </r>
  <r>
    <x v="271"/>
    <x v="271"/>
    <s v="Verkeersveiligheid"/>
    <x v="1"/>
    <n v="308"/>
    <s v="IN/000272"/>
    <s v="in Antwerpen : Grotesteenweg, Klauwaardsstraat, Vredestraat RELANCE21"/>
    <s v="Oversteekplaats heraanleggen + VRI"/>
    <s v="Kleine Ingreep"/>
    <s v="WA/INV/N1/10"/>
    <b v="1"/>
    <s v="Ingreep wordt opgevolgd in BOD"/>
    <n v="2022"/>
    <s v="Q3"/>
    <s v="OV"/>
    <s v="&lt;null&gt;"/>
    <n v="25"/>
    <n v="25000"/>
    <n v="6250"/>
  </r>
  <r>
    <x v="272"/>
    <x v="272"/>
    <s v="Verkeersveiligheid"/>
    <x v="1"/>
    <n v="308"/>
    <s v="IN/000272"/>
    <s v="in Antwerpen : Grotesteenweg, Klauwaardsstraat, Vredestraat RELANCE21"/>
    <s v="Oversteekplaats heraanleggen + VRI"/>
    <s v="Kleine Ingreep"/>
    <s v="WA/INV/N1/10"/>
    <b v="1"/>
    <s v="Ingreep wordt opgevolgd in BOD"/>
    <n v="2022"/>
    <s v="Q3"/>
    <s v="STUDIE"/>
    <s v="&lt;null&gt;"/>
    <n v="25"/>
    <n v="11250"/>
    <n v="2812.5"/>
  </r>
  <r>
    <x v="272"/>
    <x v="272"/>
    <s v="Verkeersveiligheid"/>
    <x v="1"/>
    <n v="308"/>
    <s v="IN/000272"/>
    <s v="in Antwerpen : Grotesteenweg, Klauwaardsstraat, Vredestraat RELANCE21"/>
    <s v="Oversteekplaats heraanleggen + VRI"/>
    <s v="Kleine Ingreep"/>
    <s v="WA/INV/N1/10"/>
    <b v="1"/>
    <s v="Ingreep wordt opgevolgd in BOD"/>
    <n v="2022"/>
    <s v="Q3"/>
    <s v="OV"/>
    <s v="&lt;null&gt;"/>
    <n v="25"/>
    <n v="25000"/>
    <n v="6250"/>
  </r>
  <r>
    <x v="272"/>
    <x v="272"/>
    <s v="Verkeersveiligheid"/>
    <x v="1"/>
    <n v="308"/>
    <s v="IN/000272"/>
    <s v="in Antwerpen : Grotesteenweg, Klauwaardsstraat, Vredestraat RELANCE21"/>
    <s v="Oversteekplaats heraanleggen + VRI"/>
    <s v="Kleine Ingreep"/>
    <s v="WA/INV/N1/10"/>
    <b v="1"/>
    <s v="Ingreep wordt opgevolgd in BOD"/>
    <n v="2022"/>
    <s v="Q3"/>
    <s v="WEGENIS"/>
    <s v="&lt;null&gt;"/>
    <n v="25"/>
    <n v="50000"/>
    <n v="12500"/>
  </r>
  <r>
    <x v="273"/>
    <x v="273"/>
    <s v="Verkeersveiligheid"/>
    <x v="1"/>
    <n v="308"/>
    <s v="IN/000272"/>
    <s v="in Antwerpen : Grotesteenweg, Klauwaardsstraat, Vredestraat RELANCE21"/>
    <s v="Oversteekplaats heraanleggen + VRI"/>
    <s v="Kleine Ingreep"/>
    <s v="WA/INV/N1/10"/>
    <b v="1"/>
    <s v="Ingreep wordt opgevolgd in BOD"/>
    <n v="2022"/>
    <s v="Q3"/>
    <s v="WEGENIS"/>
    <s v="&lt;null&gt;"/>
    <n v="25"/>
    <n v="50000"/>
    <n v="12500"/>
  </r>
  <r>
    <x v="273"/>
    <x v="273"/>
    <s v="Verkeersveiligheid"/>
    <x v="1"/>
    <n v="308"/>
    <s v="IN/000272"/>
    <s v="in Antwerpen : Grotesteenweg, Klauwaardsstraat, Vredestraat RELANCE21"/>
    <s v="Oversteekplaats heraanleggen + VRI"/>
    <s v="Kleine Ingreep"/>
    <s v="WA/INV/N1/10"/>
    <b v="1"/>
    <s v="Ingreep wordt opgevolgd in BOD"/>
    <n v="2022"/>
    <s v="Q3"/>
    <s v="STUDIE"/>
    <s v="&lt;null&gt;"/>
    <n v="25"/>
    <n v="11250"/>
    <n v="2812.5"/>
  </r>
  <r>
    <x v="273"/>
    <x v="273"/>
    <s v="Verkeersveiligheid"/>
    <x v="1"/>
    <n v="308"/>
    <s v="IN/000272"/>
    <s v="in Antwerpen : Grotesteenweg, Klauwaardsstraat, Vredestraat RELANCE21"/>
    <s v="Oversteekplaats heraanleggen + VRI"/>
    <s v="Kleine Ingreep"/>
    <s v="WA/INV/N1/10"/>
    <b v="1"/>
    <s v="Ingreep wordt opgevolgd in BOD"/>
    <n v="2022"/>
    <s v="Q3"/>
    <s v="OV"/>
    <s v="&lt;null&gt;"/>
    <n v="25"/>
    <n v="25000"/>
    <n v="6250"/>
  </r>
  <r>
    <x v="274"/>
    <x v="274"/>
    <s v="Verkeersveiligheid"/>
    <x v="1"/>
    <n v="308"/>
    <s v="IN/000272"/>
    <s v="in Antwerpen : Grotesteenweg, Klauwaardsstraat, Vredestraat RELANCE21"/>
    <s v="Oversteekplaats heraanleggen + VRI"/>
    <s v="Kleine Ingreep"/>
    <s v="WA/INV/N1/10"/>
    <b v="1"/>
    <s v="Ingreep wordt opgevolgd in BOD"/>
    <n v="2022"/>
    <s v="Q3"/>
    <s v="STUDIE"/>
    <s v="&lt;null&gt;"/>
    <n v="25"/>
    <n v="11250"/>
    <n v="2812.5"/>
  </r>
  <r>
    <x v="274"/>
    <x v="274"/>
    <s v="Verkeersveiligheid"/>
    <x v="1"/>
    <n v="308"/>
    <s v="IN/000272"/>
    <s v="in Antwerpen : Grotesteenweg, Klauwaardsstraat, Vredestraat RELANCE21"/>
    <s v="Oversteekplaats heraanleggen + VRI"/>
    <s v="Kleine Ingreep"/>
    <s v="WA/INV/N1/10"/>
    <b v="1"/>
    <s v="Ingreep wordt opgevolgd in BOD"/>
    <n v="2022"/>
    <s v="Q3"/>
    <s v="WEGENIS"/>
    <s v="&lt;null&gt;"/>
    <n v="25"/>
    <n v="50000"/>
    <n v="12500"/>
  </r>
  <r>
    <x v="274"/>
    <x v="274"/>
    <s v="Verkeersveiligheid"/>
    <x v="1"/>
    <n v="308"/>
    <s v="IN/000272"/>
    <s v="in Antwerpen : Grotesteenweg, Klauwaardsstraat, Vredestraat RELANCE21"/>
    <s v="Oversteekplaats heraanleggen + VRI"/>
    <s v="Kleine Ingreep"/>
    <s v="WA/INV/N1/10"/>
    <b v="1"/>
    <s v="Ingreep wordt opgevolgd in BOD"/>
    <n v="2022"/>
    <s v="Q3"/>
    <s v="OV"/>
    <s v="&lt;null&gt;"/>
    <n v="25"/>
    <n v="25000"/>
    <n v="6250"/>
  </r>
  <r>
    <x v="18"/>
    <x v="18"/>
    <s v="&lt;null&gt;"/>
    <x v="3"/>
    <n v="309"/>
    <s v="IN/000273"/>
    <s v="in Antwerpen : Boomsesteenweg, Geleegweg, Oudebaan"/>
    <s v="nog niet gedefinieerd"/>
    <s v="Kleine Ingreep"/>
    <s v="&lt;null&gt;"/>
    <b v="0"/>
    <s v="Ingreep wordt niet opgevolgd in BOD"/>
    <n v="2022"/>
    <s v="&lt;null&gt;"/>
    <s v="VRI"/>
    <s v="&lt;null&gt;"/>
    <m/>
    <n v="250000"/>
    <m/>
  </r>
  <r>
    <x v="18"/>
    <x v="18"/>
    <s v="&lt;null&gt;"/>
    <x v="3"/>
    <n v="309"/>
    <s v="IN/000273"/>
    <s v="in Antwerpen : Boomsesteenweg, Geleegweg, Oudebaan"/>
    <s v="nog niet gedefinieerd"/>
    <s v="Kleine Ingreep"/>
    <s v="&lt;null&gt;"/>
    <b v="0"/>
    <s v="Ingreep wordt niet opgevolgd in BOD"/>
    <s v="&lt;null&gt;"/>
    <s v="&lt;null&gt;"/>
    <s v="OV"/>
    <s v="&lt;null&gt;"/>
    <m/>
    <n v="75000"/>
    <m/>
  </r>
  <r>
    <x v="18"/>
    <x v="18"/>
    <s v="&lt;null&gt;"/>
    <x v="3"/>
    <n v="309"/>
    <s v="IN/000273"/>
    <s v="in Antwerpen : Boomsesteenweg, Geleegweg, Oudebaan"/>
    <s v="nog niet gedefinieerd"/>
    <s v="Kleine Ingreep"/>
    <s v="&lt;null&gt;"/>
    <b v="0"/>
    <s v="Ingreep wordt niet opgevolgd in BOD"/>
    <s v="&lt;null&gt;"/>
    <s v="&lt;null&gt;"/>
    <s v="WEGENIS"/>
    <s v="&lt;null&gt;"/>
    <m/>
    <n v="250000"/>
    <m/>
  </r>
  <r>
    <x v="275"/>
    <x v="275"/>
    <s v="Verkeersveiligheid"/>
    <x v="1"/>
    <n v="310"/>
    <s v="IN/000274"/>
    <s v="in Antwerpen : Boomsesteenweg, Geleegweg, Oudebaan"/>
    <s v="uitgebreide heraanleg tussen Atomiumlaan Krijgslaan (dd juni 2020: onteigeningen lopende)"/>
    <s v="Structurele Ingreep"/>
    <s v="WA/INV/N177/1"/>
    <b v="0"/>
    <s v="Ingreep wordt niet opgevolgd in BOD"/>
    <s v="&lt;null&gt;"/>
    <s v="&lt;null&gt;"/>
    <s v="WEGENIS"/>
    <s v="&lt;null&gt;"/>
    <n v="100"/>
    <n v="1"/>
    <n v="1"/>
  </r>
  <r>
    <x v="276"/>
    <x v="276"/>
    <s v="Verkeersveiligheid"/>
    <x v="4"/>
    <n v="310"/>
    <s v="IN/000274"/>
    <s v="in Antwerpen : Boomsesteenweg, Geleegweg, Oudebaan"/>
    <s v="uitgebreide heraanleg tussen Atomiumlaan Krijgslaan (dd juni 2020: onteigeningen lopende)"/>
    <s v="Structurele Ingreep"/>
    <s v="WA/INV/N177/1"/>
    <b v="0"/>
    <s v="Ingreep wordt niet opgevolgd in BOD"/>
    <s v="&lt;null&gt;"/>
    <s v="&lt;null&gt;"/>
    <s v="WEGENIS"/>
    <s v="&lt;null&gt;"/>
    <n v="0"/>
    <n v="1"/>
    <n v="0"/>
  </r>
  <r>
    <x v="277"/>
    <x v="277"/>
    <s v="Verkeersveiligheid"/>
    <x v="1"/>
    <n v="311"/>
    <s v="IN/000275"/>
    <s v="in Antwerpen : Groenendaallaan, R1 Binnenring, R1 Buitenring"/>
    <s v="kleine aanpassingen aan markeringen"/>
    <s v="Kleine Ingreep"/>
    <s v="&lt;null&gt;"/>
    <b v="0"/>
    <s v="Ingreep wordt niet opgevolgd in BOD"/>
    <s v="&lt;null&gt;"/>
    <s v="&lt;null&gt;"/>
    <s v="&lt;null&gt;"/>
    <s v="&lt;null&gt;"/>
    <n v="100"/>
    <m/>
    <m/>
  </r>
  <r>
    <x v="278"/>
    <x v="278"/>
    <s v="Verkeersveiligheid"/>
    <x v="1"/>
    <n v="312"/>
    <s v="IN/000276"/>
    <s v="in Antwerpen : De Bosschaertstraat, Sint-Bernardsesteenweg RELANCE21"/>
    <s v="Aanpassen verkeerslichtenregeling (kadert in een grotere herinrichting waar de stad de infrastructuurwerken zal uitvoeren)"/>
    <s v="Kleine Ingreep"/>
    <s v="WA/INV/N148/4"/>
    <b v="1"/>
    <s v="Ingreep wordt opgevolgd in BOD"/>
    <n v="2021"/>
    <s v="&lt;null&gt;"/>
    <s v="VRI"/>
    <s v="&lt;null&gt;"/>
    <n v="100"/>
    <n v="50000"/>
    <n v="50000"/>
  </r>
  <r>
    <x v="278"/>
    <x v="278"/>
    <s v="Verkeersveiligheid"/>
    <x v="1"/>
    <n v="313"/>
    <s v="IN/000277"/>
    <s v="MAG WEG in Antwerpen : De Bosschaertstraat, Sint-Bernardsesteenweg"/>
    <s v="zie ook andere kruispunten sint-bernardsesteenweg"/>
    <s v="Structurele Ingreep"/>
    <s v="&lt;null&gt;"/>
    <b v="0"/>
    <s v="Ingreep wordt niet opgevolgd in BOD"/>
    <s v="&lt;null&gt;"/>
    <s v="&lt;null&gt;"/>
    <s v="&lt;null&gt;"/>
    <s v="&lt;null&gt;"/>
    <n v="100"/>
    <m/>
    <m/>
  </r>
  <r>
    <x v="279"/>
    <x v="279"/>
    <s v="Verkeersveiligheid"/>
    <x v="1"/>
    <n v="314"/>
    <s v="IN/000278"/>
    <s v="in Antwerpen : Boterlaarbaan, Florent Pauwelslei, Ruggeveldlaan"/>
    <s v="Conflictvrijere regeling VLCC: linskaf conflicten werden eruit gehaald (juli 2018)"/>
    <s v="Kleine Ingreep"/>
    <s v="&lt;null&gt;"/>
    <b v="0"/>
    <s v="Ingreep wordt niet opgevolgd in BOD"/>
    <s v="&lt;null&gt;"/>
    <s v="&lt;null&gt;"/>
    <s v="&lt;null&gt;"/>
    <s v="&lt;null&gt;"/>
    <n v="100"/>
    <m/>
    <m/>
  </r>
  <r>
    <x v="18"/>
    <x v="18"/>
    <s v="&lt;null&gt;"/>
    <x v="3"/>
    <n v="315"/>
    <s v="IN/000279"/>
    <s v="in Antwerpen : Bisschoppenhoflaan, Jan Welterslaan RELANCE21"/>
    <s v="Studie conflictvrije regeling"/>
    <s v="Kleine Ingreep"/>
    <s v="WA/INV/N120/4"/>
    <b v="0"/>
    <s v="Ingreep wordt niet opgevolgd in BOD"/>
    <n v="2022"/>
    <s v="Q4"/>
    <s v="STUDIE"/>
    <s v="&lt;null&gt;"/>
    <m/>
    <n v="82500"/>
    <m/>
  </r>
  <r>
    <x v="18"/>
    <x v="18"/>
    <s v="&lt;null&gt;"/>
    <x v="3"/>
    <n v="315"/>
    <s v="IN/000279"/>
    <s v="in Antwerpen : Bisschoppenhoflaan, Jan Welterslaan RELANCE21"/>
    <s v="Studie conflictvrije regeling"/>
    <s v="Kleine Ingreep"/>
    <s v="WA/INV/N120/4"/>
    <b v="0"/>
    <s v="Ingreep wordt niet opgevolgd in BOD"/>
    <n v="2022"/>
    <s v="Q4"/>
    <s v="WEGENIS"/>
    <s v="&lt;null&gt;"/>
    <m/>
    <n v="250000"/>
    <m/>
  </r>
  <r>
    <x v="18"/>
    <x v="18"/>
    <s v="&lt;null&gt;"/>
    <x v="3"/>
    <n v="315"/>
    <s v="IN/000279"/>
    <s v="in Antwerpen : Bisschoppenhoflaan, Jan Welterslaan RELANCE21"/>
    <s v="Studie conflictvrije regeling"/>
    <s v="Kleine Ingreep"/>
    <s v="WA/INV/N120/4"/>
    <b v="0"/>
    <s v="Ingreep wordt niet opgevolgd in BOD"/>
    <n v="2022"/>
    <s v="Q4"/>
    <s v="OV"/>
    <s v="&lt;null&gt;"/>
    <m/>
    <n v="50000"/>
    <m/>
  </r>
  <r>
    <x v="18"/>
    <x v="18"/>
    <s v="&lt;null&gt;"/>
    <x v="3"/>
    <n v="315"/>
    <s v="IN/000279"/>
    <s v="in Antwerpen : Bisschoppenhoflaan, Jan Welterslaan RELANCE21"/>
    <s v="Studie conflictvrije regeling"/>
    <s v="Kleine Ingreep"/>
    <s v="WA/INV/N120/4"/>
    <b v="0"/>
    <s v="Ingreep wordt niet opgevolgd in BOD"/>
    <n v="2022"/>
    <s v="Q4"/>
    <s v="VRI"/>
    <s v="&lt;null&gt;"/>
    <m/>
    <n v="250000"/>
    <m/>
  </r>
  <r>
    <x v="280"/>
    <x v="280"/>
    <s v="Verkeersveiligheid"/>
    <x v="1"/>
    <n v="316"/>
    <s v="IN/000280"/>
    <s v="N1 R10 Antwerpen Heraanleg Singel x Grotesteenweg"/>
    <s v="Heraanleg kruispunt: studie loopt, werken voorzien vastlegging 2019. Zit in 1 project samen met 8207"/>
    <s v="Structurele Ingreep"/>
    <s v="WA/INV/N1/1"/>
    <b v="0"/>
    <s v="Ingreep wordt niet opgevolgd in BOD"/>
    <s v="&lt;null&gt;"/>
    <s v="&lt;null&gt;"/>
    <s v="VRI"/>
    <s v="&lt;null&gt;"/>
    <n v="50"/>
    <n v="400000"/>
    <n v="200000"/>
  </r>
  <r>
    <x v="280"/>
    <x v="280"/>
    <s v="Verkeersveiligheid"/>
    <x v="1"/>
    <n v="316"/>
    <s v="IN/000280"/>
    <s v="N1 R10 Antwerpen Heraanleg Singel x Grotesteenweg"/>
    <s v="Heraanleg kruispunt: studie loopt, werken voorzien vastlegging 2019. Zit in 1 project samen met 8207"/>
    <s v="Structurele Ingreep"/>
    <s v="WA/INV/N1/1"/>
    <b v="0"/>
    <s v="Ingreep wordt niet opgevolgd in BOD"/>
    <s v="&lt;null&gt;"/>
    <s v="&lt;null&gt;"/>
    <s v="WEGENIS"/>
    <s v="&lt;null&gt;"/>
    <n v="50"/>
    <n v="4900000"/>
    <n v="2450000"/>
  </r>
  <r>
    <x v="281"/>
    <x v="281"/>
    <s v="Verkeersveiligheid"/>
    <x v="1"/>
    <n v="316"/>
    <s v="IN/000280"/>
    <s v="N1 R10 Antwerpen Heraanleg Singel x Grotesteenweg"/>
    <s v="Heraanleg kruispunt: studie loopt, werken voorzien vastlegging 2019. Zit in 1 project samen met 8207"/>
    <s v="Structurele Ingreep"/>
    <s v="WA/INV/N1/1"/>
    <b v="0"/>
    <s v="Ingreep wordt niet opgevolgd in BOD"/>
    <s v="&lt;null&gt;"/>
    <s v="&lt;null&gt;"/>
    <s v="WEGENIS"/>
    <s v="&lt;null&gt;"/>
    <n v="50"/>
    <n v="4900000"/>
    <n v="2450000"/>
  </r>
  <r>
    <x v="281"/>
    <x v="281"/>
    <s v="Verkeersveiligheid"/>
    <x v="1"/>
    <n v="316"/>
    <s v="IN/000280"/>
    <s v="N1 R10 Antwerpen Heraanleg Singel x Grotesteenweg"/>
    <s v="Heraanleg kruispunt: studie loopt, werken voorzien vastlegging 2019. Zit in 1 project samen met 8207"/>
    <s v="Structurele Ingreep"/>
    <s v="WA/INV/N1/1"/>
    <b v="0"/>
    <s v="Ingreep wordt niet opgevolgd in BOD"/>
    <s v="&lt;null&gt;"/>
    <s v="&lt;null&gt;"/>
    <s v="VRI"/>
    <s v="&lt;null&gt;"/>
    <n v="50"/>
    <n v="400000"/>
    <n v="200000"/>
  </r>
  <r>
    <x v="282"/>
    <x v="282"/>
    <s v="Verkeersveiligheid"/>
    <x v="4"/>
    <n v="316"/>
    <s v="IN/000280"/>
    <s v="N1 R10 Antwerpen Heraanleg Singel x Grotesteenweg"/>
    <s v="Heraanleg kruispunt: studie loopt, werken voorzien vastlegging 2019. Zit in 1 project samen met 8207"/>
    <s v="Structurele Ingreep"/>
    <s v="WA/INV/N1/1"/>
    <b v="0"/>
    <s v="Ingreep wordt niet opgevolgd in BOD"/>
    <s v="&lt;null&gt;"/>
    <s v="&lt;null&gt;"/>
    <s v="WEGENIS"/>
    <s v="&lt;null&gt;"/>
    <n v="0"/>
    <n v="4900000"/>
    <n v="0"/>
  </r>
  <r>
    <x v="282"/>
    <x v="282"/>
    <s v="Verkeersveiligheid"/>
    <x v="4"/>
    <n v="316"/>
    <s v="IN/000280"/>
    <s v="N1 R10 Antwerpen Heraanleg Singel x Grotesteenweg"/>
    <s v="Heraanleg kruispunt: studie loopt, werken voorzien vastlegging 2019. Zit in 1 project samen met 8207"/>
    <s v="Structurele Ingreep"/>
    <s v="WA/INV/N1/1"/>
    <b v="0"/>
    <s v="Ingreep wordt niet opgevolgd in BOD"/>
    <s v="&lt;null&gt;"/>
    <s v="&lt;null&gt;"/>
    <s v="VRI"/>
    <s v="&lt;null&gt;"/>
    <n v="0"/>
    <n v="400000"/>
    <n v="0"/>
  </r>
  <r>
    <x v="283"/>
    <x v="283"/>
    <s v="Verkeersveiligheid"/>
    <x v="1"/>
    <n v="317"/>
    <s v="IN/000281"/>
    <s v="Horizontale signalisatie aanpassen in Antwerpen : August Van de Wielelei, Schotensesteenweg, Turnhoutsebaan RELANCE21"/>
    <s v="Aanpassn markering (verder al zo goed mogelijk uitgevoerd)"/>
    <s v="Kleine Ingreep"/>
    <s v="WA/INV/N12/10"/>
    <b v="0"/>
    <s v="Ingreep wordt niet opgevolgd in BOD"/>
    <n v="2022"/>
    <s v="&lt;null&gt;"/>
    <s v="WEGENIS"/>
    <s v="&lt;null&gt;"/>
    <n v="100"/>
    <n v="150000"/>
    <n v="150000"/>
  </r>
  <r>
    <x v="283"/>
    <x v="283"/>
    <s v="Verkeersveiligheid"/>
    <x v="1"/>
    <n v="317"/>
    <s v="IN/000281"/>
    <s v="Horizontale signalisatie aanpassen in Antwerpen : August Van de Wielelei, Schotensesteenweg, Turnhoutsebaan RELANCE21"/>
    <s v="Aanpassn markering (verder al zo goed mogelijk uitgevoerd)"/>
    <s v="Kleine Ingreep"/>
    <s v="WA/INV/N12/10"/>
    <b v="0"/>
    <s v="Ingreep wordt niet opgevolgd in BOD"/>
    <s v="&lt;null&gt;"/>
    <s v="&lt;null&gt;"/>
    <s v="OV"/>
    <s v="&lt;null&gt;"/>
    <n v="100"/>
    <n v="25000"/>
    <n v="25000"/>
  </r>
  <r>
    <x v="283"/>
    <x v="283"/>
    <s v="Verkeersveiligheid"/>
    <x v="1"/>
    <n v="317"/>
    <s v="IN/000281"/>
    <s v="Horizontale signalisatie aanpassen in Antwerpen : August Van de Wielelei, Schotensesteenweg, Turnhoutsebaan RELANCE21"/>
    <s v="Aanpassn markering (verder al zo goed mogelijk uitgevoerd)"/>
    <s v="Kleine Ingreep"/>
    <s v="WA/INV/N12/10"/>
    <b v="0"/>
    <s v="Ingreep wordt niet opgevolgd in BOD"/>
    <s v="&lt;null&gt;"/>
    <s v="&lt;null&gt;"/>
    <s v="STUDIE"/>
    <s v="&lt;null&gt;"/>
    <n v="100"/>
    <n v="26250"/>
    <n v="26250"/>
  </r>
  <r>
    <x v="284"/>
    <x v="284"/>
    <s v="Verkeersveiligheid"/>
    <x v="1"/>
    <n v="318"/>
    <s v="IN/000282"/>
    <s v="in Antwerpen : Columbiastraat, Groenendaallaan"/>
    <s v="heraanleg (vooral oversteek voor fietsers en voetgangers)"/>
    <s v="Structurele Ingreep"/>
    <s v="&lt;null&gt;"/>
    <b v="0"/>
    <s v="Ingreep wordt niet opgevolgd in BOD"/>
    <s v="&lt;null&gt;"/>
    <s v="&lt;null&gt;"/>
    <s v="&lt;null&gt;"/>
    <s v="&lt;null&gt;"/>
    <n v="100"/>
    <m/>
    <m/>
  </r>
  <r>
    <x v="285"/>
    <x v="285"/>
    <s v="Verkeersveiligheid"/>
    <x v="1"/>
    <n v="319"/>
    <s v="IN/000283"/>
    <s v="in Antwerpen : Justitiestraat, Mechelsesteenweg, Van Breestraat"/>
    <s v="Vierkant groen &gt; voorlopig nog niet mogelijk"/>
    <s v="Kleine Ingreep"/>
    <s v="&lt;null&gt;"/>
    <b v="0"/>
    <s v="Ingreep wordt niet opgevolgd in BOD"/>
    <s v="&lt;null&gt;"/>
    <s v="&lt;null&gt;"/>
    <s v="STUDIE"/>
    <s v="&lt;null&gt;"/>
    <n v="100"/>
    <n v="97500"/>
    <n v="97500"/>
  </r>
  <r>
    <x v="285"/>
    <x v="285"/>
    <s v="Verkeersveiligheid"/>
    <x v="1"/>
    <n v="319"/>
    <s v="IN/000283"/>
    <s v="in Antwerpen : Justitiestraat, Mechelsesteenweg, Van Breestraat"/>
    <s v="Vierkant groen &gt; voorlopig nog niet mogelijk"/>
    <s v="Kleine Ingreep"/>
    <s v="&lt;null&gt;"/>
    <b v="0"/>
    <s v="Ingreep wordt niet opgevolgd in BOD"/>
    <n v="2022"/>
    <s v="&lt;null&gt;"/>
    <s v="VRI"/>
    <s v="&lt;null&gt;"/>
    <n v="100"/>
    <n v="150000"/>
    <n v="150000"/>
  </r>
  <r>
    <x v="285"/>
    <x v="285"/>
    <s v="Verkeersveiligheid"/>
    <x v="1"/>
    <n v="319"/>
    <s v="IN/000283"/>
    <s v="in Antwerpen : Justitiestraat, Mechelsesteenweg, Van Breestraat"/>
    <s v="Vierkant groen &gt; voorlopig nog niet mogelijk"/>
    <s v="Kleine Ingreep"/>
    <s v="&lt;null&gt;"/>
    <b v="0"/>
    <s v="Ingreep wordt niet opgevolgd in BOD"/>
    <n v="2022"/>
    <s v="&lt;null&gt;"/>
    <s v="WEGENIS"/>
    <s v="&lt;null&gt;"/>
    <n v="100"/>
    <n v="350000"/>
    <n v="350000"/>
  </r>
  <r>
    <x v="285"/>
    <x v="285"/>
    <s v="Verkeersveiligheid"/>
    <x v="1"/>
    <n v="319"/>
    <s v="IN/000283"/>
    <s v="in Antwerpen : Justitiestraat, Mechelsesteenweg, Van Breestraat"/>
    <s v="Vierkant groen &gt; voorlopig nog niet mogelijk"/>
    <s v="Kleine Ingreep"/>
    <s v="&lt;null&gt;"/>
    <b v="0"/>
    <s v="Ingreep wordt niet opgevolgd in BOD"/>
    <s v="&lt;null&gt;"/>
    <s v="&lt;null&gt;"/>
    <s v="OV"/>
    <s v="&lt;null&gt;"/>
    <n v="100"/>
    <n v="50000"/>
    <n v="50000"/>
  </r>
  <r>
    <x v="286"/>
    <x v="286"/>
    <s v="Verkeersveiligheid"/>
    <x v="1"/>
    <n v="320"/>
    <s v="IN/000284"/>
    <s v="in Antwerpen : Emiel Vloorsstraat, Generaal Armstrongweg, Kolonel Silvertopstraat, N148 Antwerpen (R10) - Boom, R2 richting ANTWERPEN, Sint-Bernardsesteenweg"/>
    <s v="aanpassingen VRI (VLCC)"/>
    <s v="Kleine Ingreep"/>
    <s v="&lt;null&gt;"/>
    <b v="0"/>
    <s v="Ingreep wordt niet opgevolgd in BOD"/>
    <s v="&lt;null&gt;"/>
    <s v="&lt;null&gt;"/>
    <s v="&lt;null&gt;"/>
    <s v="&lt;null&gt;"/>
    <n v="100"/>
    <m/>
    <m/>
  </r>
  <r>
    <x v="287"/>
    <x v="287"/>
    <s v="Verkeersveiligheid"/>
    <x v="1"/>
    <n v="321"/>
    <s v="IN/000285"/>
    <s v="Horizontale signalisatie aanpassen in Antwerpen : Barnkrachtstraat, Bredabaan"/>
    <s v="Haaientanden + rodeslem"/>
    <s v="Kleine Ingreep"/>
    <s v="WA/INV/N1/11"/>
    <b v="0"/>
    <s v="Ingreep wordt niet opgevolgd in BOD"/>
    <n v="2022"/>
    <s v="Q2"/>
    <s v="OVERIGE"/>
    <s v="markering"/>
    <n v="100"/>
    <n v="1000"/>
    <n v="1000"/>
  </r>
  <r>
    <x v="288"/>
    <x v="288"/>
    <s v="Verkeersveiligheid"/>
    <x v="4"/>
    <n v="321"/>
    <s v="IN/000285"/>
    <s v="Horizontale signalisatie aanpassen in Antwerpen : Barnkrachtstraat, Bredabaan"/>
    <s v="Haaientanden + rodeslem"/>
    <s v="Kleine Ingreep"/>
    <s v="WA/INV/N1/11"/>
    <b v="0"/>
    <s v="Ingreep wordt niet opgevolgd in BOD"/>
    <n v="2022"/>
    <s v="Q2"/>
    <s v="OVERIGE"/>
    <s v="markering"/>
    <n v="0"/>
    <n v="1000"/>
    <n v="0"/>
  </r>
  <r>
    <x v="289"/>
    <x v="289"/>
    <s v="Verkeersveiligheid"/>
    <x v="1"/>
    <n v="322"/>
    <s v="IN/000286"/>
    <s v="in Antwerpen : Plantin en Moretuslei, Provinciestraat, Rolwagenstraat, Van den Nestlei"/>
    <s v="volledige heraanleg"/>
    <s v="Structurele Ingreep"/>
    <s v="&lt;null&gt;"/>
    <b v="0"/>
    <s v="Ingreep wordt niet opgevolgd in BOD"/>
    <s v="&lt;null&gt;"/>
    <s v="&lt;null&gt;"/>
    <s v="&lt;null&gt;"/>
    <s v="&lt;null&gt;"/>
    <n v="100"/>
    <m/>
    <m/>
  </r>
  <r>
    <x v="290"/>
    <x v="290"/>
    <s v="Verkeersveiligheid"/>
    <x v="1"/>
    <n v="323"/>
    <s v="IN/000287"/>
    <s v="in Antwerpen : Mercatorstraat, Plantin en Moretuslei, Simonsstraat"/>
    <s v="volledig heraanleg (nadeel: niet mogelijk om linksaf conflictvrij te regelen)"/>
    <s v="Structurele Ingreep"/>
    <s v="&lt;null&gt;"/>
    <b v="0"/>
    <s v="Ingreep wordt niet opgevolgd in BOD"/>
    <s v="&lt;null&gt;"/>
    <s v="&lt;null&gt;"/>
    <s v="&lt;null&gt;"/>
    <s v="&lt;null&gt;"/>
    <n v="100"/>
    <m/>
    <m/>
  </r>
  <r>
    <x v="291"/>
    <x v="291"/>
    <s v="Verkeersveiligheid"/>
    <x v="1"/>
    <n v="324"/>
    <s v="IN/000288"/>
    <s v="in Antwerpen : Groenenborgerlaan, Jules Moretuslei, R11 Richting Hoboken, R11 Richting Wijnegem, R11 - VERBINDING TUSSEN N173 EN A12 (WIL)"/>
    <s v="heraanleg gepland met conflictvrije regeling en langere aflagstroken (voor bouwverlof klaar)"/>
    <s v="Structurele Ingreep"/>
    <s v="&lt;null&gt;"/>
    <b v="0"/>
    <s v="Ingreep wordt niet opgevolgd in BOD"/>
    <s v="&lt;null&gt;"/>
    <s v="&lt;null&gt;"/>
    <s v="&lt;null&gt;"/>
    <s v="&lt;null&gt;"/>
    <n v="100"/>
    <m/>
    <m/>
  </r>
  <r>
    <x v="292"/>
    <x v="292"/>
    <s v="Verkeersveiligheid"/>
    <x v="1"/>
    <n v="325"/>
    <s v="IN/000289"/>
    <s v="in Antwerpen : Carnotstraat, Kerkstraat, Turnhoutsebaan"/>
    <s v="Kerkstraat werd heraangelegd. Conflict met de fietsers conflictvrij (vooral conflicten met fietsers zijn er uit)"/>
    <s v="Structurele Ingreep"/>
    <s v="&lt;null&gt;"/>
    <b v="0"/>
    <s v="Ingreep wordt niet opgevolgd in BOD"/>
    <s v="&lt;null&gt;"/>
    <s v="&lt;null&gt;"/>
    <s v="&lt;null&gt;"/>
    <s v="&lt;null&gt;"/>
    <n v="100"/>
    <m/>
    <m/>
  </r>
  <r>
    <x v="293"/>
    <x v="293"/>
    <s v="Verkeersveiligheid"/>
    <x v="1"/>
    <n v="326"/>
    <s v="IN/000290"/>
    <s v="in Antwerpen : Dokter Van de Perrelei, Karel De Preterlei, Luitenant Lippenslaan"/>
    <s v="Aanpassing VRI (1 linksafbeweging conflictvrij)"/>
    <s v="Kleine Ingreep"/>
    <s v="&lt;null&gt;"/>
    <b v="0"/>
    <s v="Ingreep wordt niet opgevolgd in BOD"/>
    <s v="&lt;null&gt;"/>
    <s v="&lt;null&gt;"/>
    <s v="&lt;null&gt;"/>
    <s v="&lt;null&gt;"/>
    <n v="100"/>
    <m/>
    <m/>
  </r>
  <r>
    <x v="294"/>
    <x v="294"/>
    <s v="Verkeersveiligheid"/>
    <x v="1"/>
    <n v="327"/>
    <s v="IN/000291"/>
    <s v="VRI: aanpassen lichtenregeling in Antwerpen : Luithagen-Haven, Noorderlaan RELANCE21"/>
    <s v="Aanpassing VRI gepland + betere geleiding op kruispunt"/>
    <s v="Kleine Ingreep"/>
    <s v="WA/INV/N180/5"/>
    <b v="1"/>
    <s v="Ingreep wordt opgevolgd in BOD"/>
    <n v="2022"/>
    <s v="Q1"/>
    <s v="VRI"/>
    <s v="&lt;null&gt;"/>
    <n v="100"/>
    <n v="300000"/>
    <n v="300000"/>
  </r>
  <r>
    <x v="294"/>
    <x v="294"/>
    <s v="Verkeersveiligheid"/>
    <x v="1"/>
    <n v="327"/>
    <s v="IN/000291"/>
    <s v="VRI: aanpassen lichtenregeling in Antwerpen : Luithagen-Haven, Noorderlaan RELANCE21"/>
    <s v="Aanpassing VRI gepland + betere geleiding op kruispunt"/>
    <s v="Kleine Ingreep"/>
    <s v="WA/INV/N180/5"/>
    <b v="1"/>
    <s v="Ingreep wordt opgevolgd in BOD"/>
    <n v="2022"/>
    <s v="Q1"/>
    <s v="OV"/>
    <s v="&lt;null&gt;"/>
    <n v="100"/>
    <n v="50000"/>
    <n v="50000"/>
  </r>
  <r>
    <x v="294"/>
    <x v="294"/>
    <s v="Verkeersveiligheid"/>
    <x v="1"/>
    <n v="327"/>
    <s v="IN/000291"/>
    <s v="VRI: aanpassen lichtenregeling in Antwerpen : Luithagen-Haven, Noorderlaan RELANCE21"/>
    <s v="Aanpassing VRI gepland + betere geleiding op kruispunt"/>
    <s v="Kleine Ingreep"/>
    <s v="WA/INV/N180/5"/>
    <b v="1"/>
    <s v="Ingreep wordt opgevolgd in BOD"/>
    <n v="2022"/>
    <s v="Q1"/>
    <s v="WEGENIS"/>
    <s v="&lt;null&gt;"/>
    <n v="100"/>
    <n v="200000"/>
    <n v="200000"/>
  </r>
  <r>
    <x v="294"/>
    <x v="294"/>
    <s v="Verkeersveiligheid"/>
    <x v="1"/>
    <n v="327"/>
    <s v="IN/000291"/>
    <s v="VRI: aanpassen lichtenregeling in Antwerpen : Luithagen-Haven, Noorderlaan RELANCE21"/>
    <s v="Aanpassing VRI gepland + betere geleiding op kruispunt"/>
    <s v="Kleine Ingreep"/>
    <s v="WA/INV/N180/5"/>
    <b v="1"/>
    <s v="Ingreep wordt opgevolgd in BOD"/>
    <n v="2022"/>
    <s v="Q1"/>
    <s v="STUDIE"/>
    <s v="&lt;null&gt;"/>
    <n v="100"/>
    <n v="90000"/>
    <n v="90000"/>
  </r>
  <r>
    <x v="295"/>
    <x v="295"/>
    <s v="Verkeersveiligheid"/>
    <x v="1"/>
    <n v="328"/>
    <s v="IN/000292"/>
    <s v="in Antwerpen : A12 Richting Brussel, Boomsesteenweg, Terbekehofdreef"/>
    <s v="snelheidsverlaging + lichtenregeling + conflict met voetgangers en fietsers er uitgehaald"/>
    <s v="Kleine Ingreep"/>
    <s v="&lt;null&gt;"/>
    <b v="0"/>
    <s v="Ingreep wordt niet opgevolgd in BOD"/>
    <s v="&lt;null&gt;"/>
    <s v="&lt;null&gt;"/>
    <s v="&lt;null&gt;"/>
    <s v="&lt;null&gt;"/>
    <n v="100"/>
    <m/>
    <m/>
  </r>
  <r>
    <x v="296"/>
    <x v="296"/>
    <s v="Verkeersveiligheid"/>
    <x v="1"/>
    <n v="329"/>
    <s v="IN/000293"/>
    <s v="in Antwerpen : Desguinlei, Gerard Le Grellelaan, Karel Oomsstraat"/>
    <s v="Aanpassing VRI"/>
    <s v="Kleine Ingreep"/>
    <s v="&lt;null&gt;"/>
    <b v="0"/>
    <s v="Ingreep wordt niet opgevolgd in BOD"/>
    <s v="&lt;null&gt;"/>
    <s v="&lt;null&gt;"/>
    <s v="&lt;null&gt;"/>
    <s v="&lt;null&gt;"/>
    <n v="100"/>
    <m/>
    <m/>
  </r>
  <r>
    <x v="297"/>
    <x v="297"/>
    <s v="Verkeersveiligheid"/>
    <x v="1"/>
    <n v="330"/>
    <s v="IN/000294"/>
    <s v="in Antwerpen : R1 Buitenring"/>
    <s v="onderzocht maar geen quick wins gevonden op basis van huidige ongevallengegevens"/>
    <s v="Kleine Ingreep"/>
    <s v="&lt;null&gt;"/>
    <b v="0"/>
    <s v="Ingreep wordt niet opgevolgd in BOD"/>
    <s v="&lt;null&gt;"/>
    <s v="&lt;null&gt;"/>
    <s v="&lt;null&gt;"/>
    <s v="&lt;null&gt;"/>
    <n v="100"/>
    <m/>
    <m/>
  </r>
  <r>
    <x v="298"/>
    <x v="298"/>
    <s v="Verkeersveiligheid"/>
    <x v="1"/>
    <n v="331"/>
    <s v="IN/000295"/>
    <s v="VRI: aanpassen lichtenregeling + bijkomende aanpassingen infra in Antwerpen : Bisschoppenhoflaan, Ten Eekhovelei, Van der Delftstraat"/>
    <s v="In 2018 : voorstart in ruimte voor rechtsafslaande  fietsers (zuidelijk kant). Vroeger ontruimingsfase en auto's konden inrijden, terwijl fietsers nog geen groen hadden . sept 2018 .\nAanpassen markering"/>
    <s v="Kleine Ingreep"/>
    <s v="&lt;null&gt;"/>
    <b v="0"/>
    <s v="Ingreep wordt niet opgevolgd in BOD"/>
    <n v="2022"/>
    <s v="&lt;null&gt;"/>
    <s v="WEGENIS"/>
    <s v="&lt;null&gt;"/>
    <n v="100"/>
    <n v="450000"/>
    <n v="450000"/>
  </r>
  <r>
    <x v="298"/>
    <x v="298"/>
    <s v="Verkeersveiligheid"/>
    <x v="1"/>
    <n v="331"/>
    <s v="IN/000295"/>
    <s v="VRI: aanpassen lichtenregeling + bijkomende aanpassingen infra in Antwerpen : Bisschoppenhoflaan, Ten Eekhovelei, Van der Delftstraat"/>
    <s v="In 2018 : voorstart in ruimte voor rechtsafslaande  fietsers (zuidelijk kant). Vroeger ontruimingsfase en auto's konden inrijden, terwijl fietsers nog geen groen hadden . sept 2018 .\nAanpassen markering"/>
    <s v="Kleine Ingreep"/>
    <s v="&lt;null&gt;"/>
    <b v="0"/>
    <s v="Ingreep wordt niet opgevolgd in BOD"/>
    <n v="2022"/>
    <s v="&lt;null&gt;"/>
    <s v="VRI"/>
    <s v="&lt;null&gt;"/>
    <n v="100"/>
    <n v="250000"/>
    <n v="250000"/>
  </r>
  <r>
    <x v="298"/>
    <x v="298"/>
    <s v="Verkeersveiligheid"/>
    <x v="1"/>
    <n v="331"/>
    <s v="IN/000295"/>
    <s v="VRI: aanpassen lichtenregeling + bijkomende aanpassingen infra in Antwerpen : Bisschoppenhoflaan, Ten Eekhovelei, Van der Delftstraat"/>
    <s v="In 2018 : voorstart in ruimte voor rechtsafslaande  fietsers (zuidelijk kant). Vroeger ontruimingsfase en auto's konden inrijden, terwijl fietsers nog geen groen hadden . sept 2018 .\nAanpassen markering"/>
    <s v="Kleine Ingreep"/>
    <s v="&lt;null&gt;"/>
    <b v="0"/>
    <s v="Ingreep wordt niet opgevolgd in BOD"/>
    <s v="&lt;null&gt;"/>
    <s v="&lt;null&gt;"/>
    <s v="STUDIE"/>
    <s v="&lt;null&gt;"/>
    <n v="100"/>
    <n v="112500"/>
    <n v="112500"/>
  </r>
  <r>
    <x v="298"/>
    <x v="298"/>
    <s v="Verkeersveiligheid"/>
    <x v="1"/>
    <n v="331"/>
    <s v="IN/000295"/>
    <s v="VRI: aanpassen lichtenregeling + bijkomende aanpassingen infra in Antwerpen : Bisschoppenhoflaan, Ten Eekhovelei, Van der Delftstraat"/>
    <s v="In 2018 : voorstart in ruimte voor rechtsafslaande  fietsers (zuidelijk kant). Vroeger ontruimingsfase en auto's konden inrijden, terwijl fietsers nog geen groen hadden . sept 2018 .\nAanpassen markering"/>
    <s v="Kleine Ingreep"/>
    <s v="&lt;null&gt;"/>
    <b v="0"/>
    <s v="Ingreep wordt niet opgevolgd in BOD"/>
    <s v="&lt;null&gt;"/>
    <s v="&lt;null&gt;"/>
    <s v="OV"/>
    <s v="&lt;null&gt;"/>
    <n v="100"/>
    <n v="50000"/>
    <n v="50000"/>
  </r>
  <r>
    <x v="299"/>
    <x v="299"/>
    <s v="Verkeersveiligheid"/>
    <x v="1"/>
    <n v="332"/>
    <s v="IN/000296"/>
    <s v="in Antwerpen : Binnensingel, Posthofbrug, Posthoflei"/>
    <s v="heraanleg aansluiting Posthofbrug naar kruispunt + fietsersbrug  (mei 2018)"/>
    <s v="Structurele Ingreep"/>
    <s v="&lt;null&gt;"/>
    <b v="0"/>
    <s v="Ingreep wordt niet opgevolgd in BOD"/>
    <s v="&lt;null&gt;"/>
    <s v="&lt;null&gt;"/>
    <s v="&lt;null&gt;"/>
    <s v="&lt;null&gt;"/>
    <n v="100"/>
    <m/>
    <m/>
  </r>
  <r>
    <x v="300"/>
    <x v="300"/>
    <s v="Verkeersveiligheid"/>
    <x v="1"/>
    <n v="333"/>
    <s v="IN/000297"/>
    <s v="Verlagen toegelaten snelheid in Antwerpen : A12 Richting Bergen Op Zoom (NL)  (thv Bevrijdingstunnel)"/>
    <s v="Trajectcontrole + snelheidsverlaging + markering aanpassen + RVMS?"/>
    <s v="Kleine Ingreep"/>
    <s v="WA/INV/A12/11"/>
    <b v="0"/>
    <s v="Ingreep wordt niet opgevolgd in BOD"/>
    <n v="2022"/>
    <s v="&lt;null&gt;"/>
    <s v="WEGENIS"/>
    <s v="&lt;null&gt;"/>
    <n v="100"/>
    <n v="25000"/>
    <n v="25000"/>
  </r>
  <r>
    <x v="301"/>
    <x v="301"/>
    <s v="Verkeersveiligheid"/>
    <x v="1"/>
    <n v="334"/>
    <s v="IN/000298"/>
    <s v="in Antwerpen : R1 Buitenring"/>
    <s v="Aanpassing markeringen en borden"/>
    <s v="Kleine Ingreep"/>
    <s v="&lt;null&gt;"/>
    <b v="0"/>
    <s v="Ingreep wordt niet opgevolgd in BOD"/>
    <s v="&lt;null&gt;"/>
    <s v="&lt;null&gt;"/>
    <s v="&lt;null&gt;"/>
    <s v="&lt;null&gt;"/>
    <n v="100"/>
    <m/>
    <m/>
  </r>
  <r>
    <x v="302"/>
    <x v="302"/>
    <s v="Verkeersveiligheid"/>
    <x v="1"/>
    <n v="335"/>
    <s v="IN/000299"/>
    <s v="MAG WEG in Antwerpen : Groenendaallaan, Lambrechtshoekenlaan"/>
    <s v="&lt;null&gt;"/>
    <s v="Structurele Ingreep"/>
    <s v="&lt;null&gt;"/>
    <b v="0"/>
    <s v="Ingreep wordt niet opgevolgd in BOD"/>
    <s v="&lt;null&gt;"/>
    <s v="&lt;null&gt;"/>
    <s v="&lt;null&gt;"/>
    <s v="&lt;null&gt;"/>
    <n v="100"/>
    <m/>
    <m/>
  </r>
  <r>
    <x v="303"/>
    <x v="303"/>
    <s v="Verkeersveiligheid"/>
    <x v="1"/>
    <n v="336"/>
    <s v="IN/000300"/>
    <s v="VRI: aanpassen lichtenregeling + bijkomende aanpassingen infra in Antwerpen : Jan Denucéstraat, Kolonel Silvertopstraat"/>
    <s v="plaatsing VRI+ linksaf aanpassen"/>
    <s v="Kleine Ingreep"/>
    <s v="WA/INV/N148/6"/>
    <b v="0"/>
    <s v="Ingreep wordt niet opgevolgd in BOD"/>
    <n v="2021"/>
    <s v="&lt;null&gt;"/>
    <s v="WEGENIS"/>
    <s v="&lt;null&gt;"/>
    <n v="100"/>
    <n v="200000"/>
    <n v="200000"/>
  </r>
  <r>
    <x v="303"/>
    <x v="303"/>
    <s v="Verkeersveiligheid"/>
    <x v="1"/>
    <n v="336"/>
    <s v="IN/000300"/>
    <s v="VRI: aanpassen lichtenregeling + bijkomende aanpassingen infra in Antwerpen : Jan Denucéstraat, Kolonel Silvertopstraat"/>
    <s v="plaatsing VRI+ linksaf aanpassen"/>
    <s v="Kleine Ingreep"/>
    <s v="WA/INV/N148/6"/>
    <b v="0"/>
    <s v="Ingreep wordt niet opgevolgd in BOD"/>
    <n v="2021"/>
    <s v="&lt;null&gt;"/>
    <s v="VRI"/>
    <s v="&lt;null&gt;"/>
    <n v="100"/>
    <n v="300000"/>
    <n v="300000"/>
  </r>
  <r>
    <x v="304"/>
    <x v="304"/>
    <s v="Verkeersveiligheid"/>
    <x v="1"/>
    <n v="337"/>
    <s v="IN/000301"/>
    <s v="VRI: aanpassen lichtenregeling in Antwerpen : Sint-Bernardsesteenweg, De Bruynlaan"/>
    <s v="Aanpassen lichtenregeling"/>
    <s v="Kleine Ingreep"/>
    <s v="&lt;null&gt;"/>
    <b v="0"/>
    <s v="Ingreep wordt niet opgevolgd in BOD"/>
    <s v="&lt;null&gt;"/>
    <s v="&lt;null&gt;"/>
    <s v="STUDIE"/>
    <s v="&lt;null&gt;"/>
    <n v="100"/>
    <n v="30000"/>
    <n v="30000"/>
  </r>
  <r>
    <x v="304"/>
    <x v="304"/>
    <s v="Verkeersveiligheid"/>
    <x v="1"/>
    <n v="337"/>
    <s v="IN/000301"/>
    <s v="VRI: aanpassen lichtenregeling in Antwerpen : Sint-Bernardsesteenweg, De Bruynlaan"/>
    <s v="Aanpassen lichtenregeling"/>
    <s v="Kleine Ingreep"/>
    <s v="&lt;null&gt;"/>
    <b v="0"/>
    <s v="Ingreep wordt niet opgevolgd in BOD"/>
    <n v="2021"/>
    <s v="&lt;null&gt;"/>
    <s v="VRI"/>
    <s v="&lt;null&gt;"/>
    <n v="100"/>
    <n v="200000"/>
    <n v="200000"/>
  </r>
  <r>
    <x v="305"/>
    <x v="305"/>
    <s v="Verkeersveiligheid"/>
    <x v="1"/>
    <n v="338"/>
    <s v="IN/000302"/>
    <s v="Horizontale signalisatie aanpassen in Antwerpen : Bredabaan, Nieuwdreef RELANCE21"/>
    <s v="Parkeerplaatsen weghalen voor zebrapad, lichten verplaatsen op boogpaal zodat ze boven rijstrook hangen. Later ook VLCC (studie 2022, uitvoering 2023)"/>
    <s v="Kleine Ingreep"/>
    <s v="WA/INV/N1/20"/>
    <b v="1"/>
    <s v="Ingreep wordt opgevolgd in BOD"/>
    <n v="2022"/>
    <s v="&lt;null&gt;"/>
    <s v="VRI"/>
    <s v="&lt;null&gt;"/>
    <n v="100"/>
    <n v="250000"/>
    <n v="250000"/>
  </r>
  <r>
    <x v="18"/>
    <x v="18"/>
    <s v="&lt;null&gt;"/>
    <x v="3"/>
    <n v="339"/>
    <s v="IN/000303"/>
    <s v="in Antwerpen : Krijgsbaan, Sint-Bernardsesteenweg"/>
    <s v="nog niet gedefinieerd"/>
    <s v="Kleine Ingreep"/>
    <s v="&lt;null&gt;"/>
    <b v="0"/>
    <s v="Ingreep wordt niet opgevolgd in BOD"/>
    <n v="2023"/>
    <s v="&lt;null&gt;"/>
    <s v="VRI"/>
    <s v="&lt;null&gt;"/>
    <m/>
    <n v="250000"/>
    <m/>
  </r>
  <r>
    <x v="18"/>
    <x v="18"/>
    <s v="&lt;null&gt;"/>
    <x v="3"/>
    <n v="339"/>
    <s v="IN/000303"/>
    <s v="in Antwerpen : Krijgsbaan, Sint-Bernardsesteenweg"/>
    <s v="nog niet gedefinieerd"/>
    <s v="Kleine Ingreep"/>
    <s v="&lt;null&gt;"/>
    <b v="0"/>
    <s v="Ingreep wordt niet opgevolgd in BOD"/>
    <s v="&lt;null&gt;"/>
    <s v="&lt;null&gt;"/>
    <s v="OV"/>
    <s v="&lt;null&gt;"/>
    <m/>
    <n v="50000"/>
    <m/>
  </r>
  <r>
    <x v="78"/>
    <x v="78"/>
    <s v="Fiets"/>
    <x v="0"/>
    <n v="340"/>
    <s v="IN/000304"/>
    <s v="N148 Vrijlig fietsp Schoonselhof-Hemiksem-rout2030"/>
    <s v="Heraanleg (groter project met heraanleg aansluitende wegen)"/>
    <s v="Structurele Ingreep"/>
    <s v="WA/INV/N148/1"/>
    <b v="0"/>
    <s v="Ingreep wordt niet opgevolgd in BOD"/>
    <n v="2023"/>
    <s v="&lt;null&gt;"/>
    <s v="OVERIGE"/>
    <s v="&lt;null&gt;"/>
    <n v="80"/>
    <n v="3500000"/>
    <n v="2800000"/>
  </r>
  <r>
    <x v="78"/>
    <x v="78"/>
    <s v="Fiets"/>
    <x v="0"/>
    <n v="340"/>
    <s v="IN/000304"/>
    <s v="N148 Vrijlig fietsp Schoonselhof-Hemiksem-rout2030"/>
    <s v="Heraanleg (groter project met heraanleg aansluitende wegen)"/>
    <s v="Structurele Ingreep"/>
    <s v="WA/INV/N148/1"/>
    <b v="0"/>
    <s v="Ingreep wordt niet opgevolgd in BOD"/>
    <n v="2022"/>
    <s v="&lt;null&gt;"/>
    <s v="OVERIGE"/>
    <s v="&lt;null&gt;"/>
    <n v="80"/>
    <n v="500000"/>
    <n v="400000"/>
  </r>
  <r>
    <x v="306"/>
    <x v="306"/>
    <s v="Verkeersveiligheid"/>
    <x v="1"/>
    <n v="340"/>
    <s v="IN/000304"/>
    <s v="N148 Vrijlig fietsp Schoonselhof-Hemiksem-rout2030"/>
    <s v="Heraanleg (groter project met heraanleg aansluitende wegen)"/>
    <s v="Structurele Ingreep"/>
    <s v="WA/INV/N148/1"/>
    <b v="0"/>
    <s v="Ingreep wordt niet opgevolgd in BOD"/>
    <n v="2022"/>
    <s v="&lt;null&gt;"/>
    <s v="OVERIGE"/>
    <s v="&lt;null&gt;"/>
    <n v="15"/>
    <n v="500000"/>
    <n v="75000"/>
  </r>
  <r>
    <x v="306"/>
    <x v="306"/>
    <s v="Verkeersveiligheid"/>
    <x v="1"/>
    <n v="340"/>
    <s v="IN/000304"/>
    <s v="N148 Vrijlig fietsp Schoonselhof-Hemiksem-rout2030"/>
    <s v="Heraanleg (groter project met heraanleg aansluitende wegen)"/>
    <s v="Structurele Ingreep"/>
    <s v="WA/INV/N148/1"/>
    <b v="0"/>
    <s v="Ingreep wordt niet opgevolgd in BOD"/>
    <n v="2023"/>
    <s v="&lt;null&gt;"/>
    <s v="OVERIGE"/>
    <s v="&lt;null&gt;"/>
    <n v="15"/>
    <n v="3500000"/>
    <n v="525000"/>
  </r>
  <r>
    <x v="307"/>
    <x v="307"/>
    <s v="Verkeersveiligheid"/>
    <x v="1"/>
    <n v="340"/>
    <s v="IN/000304"/>
    <s v="N148 Vrijlig fietsp Schoonselhof-Hemiksem-rout2030"/>
    <s v="Heraanleg (groter project met heraanleg aansluitende wegen)"/>
    <s v="Structurele Ingreep"/>
    <s v="WA/INV/N148/1"/>
    <b v="0"/>
    <s v="Ingreep wordt niet opgevolgd in BOD"/>
    <n v="2022"/>
    <s v="&lt;null&gt;"/>
    <s v="OVERIGE"/>
    <s v="&lt;null&gt;"/>
    <n v="5"/>
    <n v="500000"/>
    <n v="25000"/>
  </r>
  <r>
    <x v="307"/>
    <x v="307"/>
    <s v="Verkeersveiligheid"/>
    <x v="1"/>
    <n v="340"/>
    <s v="IN/000304"/>
    <s v="N148 Vrijlig fietsp Schoonselhof-Hemiksem-rout2030"/>
    <s v="Heraanleg (groter project met heraanleg aansluitende wegen)"/>
    <s v="Structurele Ingreep"/>
    <s v="WA/INV/N148/1"/>
    <b v="0"/>
    <s v="Ingreep wordt niet opgevolgd in BOD"/>
    <n v="2023"/>
    <s v="&lt;null&gt;"/>
    <s v="OVERIGE"/>
    <s v="&lt;null&gt;"/>
    <n v="5"/>
    <n v="3500000"/>
    <n v="175000"/>
  </r>
  <r>
    <x v="18"/>
    <x v="18"/>
    <s v="&lt;null&gt;"/>
    <x v="3"/>
    <n v="341"/>
    <s v="IN/000305"/>
    <s v="in Antwerpen : Bisschoppenhoflaan, Brug van den azijn, Burgemeester E. Waghemansbrug, Lakborslei, Merksemsesteenweg"/>
    <s v="nog niet gedefinieerd"/>
    <s v="Kleine Ingreep"/>
    <s v="&lt;null&gt;"/>
    <b v="0"/>
    <s v="Ingreep wordt niet opgevolgd in BOD"/>
    <s v="&lt;null&gt;"/>
    <s v="&lt;null&gt;"/>
    <s v="OV"/>
    <s v="&lt;null&gt;"/>
    <m/>
    <n v="50000"/>
    <m/>
  </r>
  <r>
    <x v="18"/>
    <x v="18"/>
    <s v="&lt;null&gt;"/>
    <x v="3"/>
    <n v="341"/>
    <s v="IN/000305"/>
    <s v="in Antwerpen : Bisschoppenhoflaan, Brug van den azijn, Burgemeester E. Waghemansbrug, Lakborslei, Merksemsesteenweg"/>
    <s v="nog niet gedefinieerd"/>
    <s v="Kleine Ingreep"/>
    <s v="&lt;null&gt;"/>
    <b v="0"/>
    <s v="Ingreep wordt niet opgevolgd in BOD"/>
    <n v="2022"/>
    <s v="&lt;null&gt;"/>
    <s v="VRI"/>
    <s v="&lt;null&gt;"/>
    <m/>
    <n v="350000"/>
    <m/>
  </r>
  <r>
    <x v="18"/>
    <x v="18"/>
    <s v="&lt;null&gt;"/>
    <x v="3"/>
    <n v="341"/>
    <s v="IN/000305"/>
    <s v="in Antwerpen : Bisschoppenhoflaan, Brug van den azijn, Burgemeester E. Waghemansbrug, Lakborslei, Merksemsesteenweg"/>
    <s v="nog niet gedefinieerd"/>
    <s v="Kleine Ingreep"/>
    <s v="&lt;null&gt;"/>
    <b v="0"/>
    <s v="Ingreep wordt niet opgevolgd in BOD"/>
    <n v="2022"/>
    <s v="&lt;null&gt;"/>
    <s v="WEGENIS"/>
    <s v="&lt;null&gt;"/>
    <m/>
    <n v="1500000"/>
    <m/>
  </r>
  <r>
    <x v="308"/>
    <x v="308"/>
    <s v="Verkeersveiligheid"/>
    <x v="1"/>
    <n v="342"/>
    <s v="IN/000306"/>
    <s v="VRI: aanpassen lichtenregeling in Antwerpen : Noordersingel, Turnhoutsebaan RELANCE21"/>
    <s v="Aanpassing lichtenregeling"/>
    <s v="Kleine Ingreep"/>
    <s v="WA/INV/R10/4"/>
    <b v="0"/>
    <s v="Ingreep wordt niet opgevolgd in BOD"/>
    <n v="2022"/>
    <s v="&lt;null&gt;"/>
    <s v="VRI"/>
    <s v="&lt;null&gt;"/>
    <n v="100"/>
    <n v="50000"/>
    <n v="50000"/>
  </r>
  <r>
    <x v="309"/>
    <x v="309"/>
    <s v="Verkeersveiligheid"/>
    <x v="1"/>
    <n v="343"/>
    <s v="IN/000307"/>
    <s v="in Antwerpen : Boterlaarbaan, Sterckshoflei"/>
    <s v="Aanpassing VRI"/>
    <s v="Kleine Ingreep"/>
    <s v="&lt;null&gt;"/>
    <b v="0"/>
    <s v="Ingreep wordt niet opgevolgd in BOD"/>
    <s v="&lt;null&gt;"/>
    <s v="&lt;null&gt;"/>
    <s v="&lt;null&gt;"/>
    <s v="&lt;null&gt;"/>
    <n v="100"/>
    <m/>
    <m/>
  </r>
  <r>
    <x v="310"/>
    <x v="310"/>
    <s v="Verkeersveiligheid"/>
    <x v="1"/>
    <n v="344"/>
    <s v="IN/000308"/>
    <s v="in Antwerpen : Camille Huysmanslaan, Jan De Voslei"/>
    <s v="VLCC"/>
    <s v="Kleine Ingreep"/>
    <s v="&lt;null&gt;"/>
    <b v="0"/>
    <s v="Ingreep wordt niet opgevolgd in BOD"/>
    <s v="&lt;null&gt;"/>
    <s v="&lt;null&gt;"/>
    <s v="&lt;null&gt;"/>
    <s v="&lt;null&gt;"/>
    <n v="100"/>
    <m/>
    <m/>
  </r>
  <r>
    <x v="311"/>
    <x v="311"/>
    <s v="Verkeersveiligheid"/>
    <x v="1"/>
    <n v="345"/>
    <s v="IN/000309"/>
    <s v="VRI: andere installatie (oa boogpalen, opschuiven drukknop, lichtengeregelde oversteek) in Antwerpen : Bredabaan, Van Roiestraat, Van Stralenlei RELANCE21"/>
    <s v="Galgpaal + aanpassen lichtenregeling, aanpassen markering"/>
    <s v="Kleine Ingreep"/>
    <s v="WA/INV/N1/12"/>
    <b v="1"/>
    <s v="Ingreep wordt opgevolgd in BOD"/>
    <n v="2022"/>
    <s v="&lt;null&gt;"/>
    <s v="VRI"/>
    <s v="&lt;null&gt;"/>
    <n v="100"/>
    <n v="150000"/>
    <n v="150000"/>
  </r>
  <r>
    <x v="312"/>
    <x v="312"/>
    <s v="Verkeersveiligheid"/>
    <x v="1"/>
    <n v="346"/>
    <s v="IN/000310"/>
    <s v="in Antwerpen : Binnensingel, Luitenant Lippenslaan, Noordersingel, Plantin en Moretuslei"/>
    <s v="Volledige heraanleg"/>
    <s v="Structurele Ingreep"/>
    <s v="&lt;null&gt;"/>
    <b v="0"/>
    <s v="Ingreep wordt niet opgevolgd in BOD"/>
    <s v="&lt;null&gt;"/>
    <s v="&lt;null&gt;"/>
    <s v="&lt;null&gt;"/>
    <s v="&lt;null&gt;"/>
    <n v="100"/>
    <m/>
    <m/>
  </r>
  <r>
    <x v="313"/>
    <x v="313"/>
    <s v="Verkeersveiligheid"/>
    <x v="1"/>
    <n v="347"/>
    <s v="IN/000311"/>
    <s v="in Antwerpen : R001073 verkeerswisselaar R1 richting E19 Brussel"/>
    <s v="plaatsing afschermende constructie"/>
    <s v="Kleine Ingreep"/>
    <s v="&lt;null&gt;"/>
    <b v="0"/>
    <s v="Ingreep wordt niet opgevolgd in BOD"/>
    <s v="&lt;null&gt;"/>
    <s v="&lt;null&gt;"/>
    <s v="&lt;null&gt;"/>
    <s v="&lt;null&gt;"/>
    <n v="100"/>
    <m/>
    <m/>
  </r>
  <r>
    <x v="314"/>
    <x v="314"/>
    <s v="Verkeersveiligheid"/>
    <x v="1"/>
    <n v="348"/>
    <s v="IN/000312"/>
    <s v="in Antwerpen : Eliaertsstraat, Turnhoutsebaan"/>
    <s v="nog niet gedefinieerd"/>
    <s v="Kleine Ingreep"/>
    <s v="&lt;null&gt;"/>
    <b v="0"/>
    <s v="Ingreep wordt niet opgevolgd in BOD"/>
    <n v="2022"/>
    <s v="&lt;null&gt;"/>
    <s v="WEGENIS"/>
    <s v="&lt;null&gt;"/>
    <n v="100"/>
    <n v="100000"/>
    <n v="100000"/>
  </r>
  <r>
    <x v="314"/>
    <x v="314"/>
    <s v="Verkeersveiligheid"/>
    <x v="1"/>
    <n v="348"/>
    <s v="IN/000312"/>
    <s v="in Antwerpen : Eliaertsstraat, Turnhoutsebaan"/>
    <s v="nog niet gedefinieerd"/>
    <s v="Kleine Ingreep"/>
    <s v="&lt;null&gt;"/>
    <b v="0"/>
    <s v="Ingreep wordt niet opgevolgd in BOD"/>
    <s v="&lt;null&gt;"/>
    <s v="&lt;null&gt;"/>
    <s v="STUDIE"/>
    <s v="&lt;null&gt;"/>
    <n v="100"/>
    <n v="45000"/>
    <n v="45000"/>
  </r>
  <r>
    <x v="314"/>
    <x v="314"/>
    <s v="Verkeersveiligheid"/>
    <x v="1"/>
    <n v="348"/>
    <s v="IN/000312"/>
    <s v="in Antwerpen : Eliaertsstraat, Turnhoutsebaan"/>
    <s v="nog niet gedefinieerd"/>
    <s v="Kleine Ingreep"/>
    <s v="&lt;null&gt;"/>
    <b v="0"/>
    <s v="Ingreep wordt niet opgevolgd in BOD"/>
    <n v="2022"/>
    <s v="&lt;null&gt;"/>
    <s v="VRI"/>
    <s v="&lt;null&gt;"/>
    <n v="100"/>
    <n v="200000"/>
    <n v="200000"/>
  </r>
  <r>
    <x v="315"/>
    <x v="315"/>
    <s v="Verkeersveiligheid"/>
    <x v="1"/>
    <n v="349"/>
    <s v="IN/000313"/>
    <s v="in Antwerpen : Noordersingel, Schijnpoortweg, Slachthuislaan"/>
    <s v="heraanleg kruispunt (oa passarel voor voetgangers vanaf parking naar Sportpaleis)"/>
    <s v="Structurele Ingreep"/>
    <s v="&lt;null&gt;"/>
    <b v="0"/>
    <s v="Ingreep wordt niet opgevolgd in BOD"/>
    <s v="&lt;null&gt;"/>
    <s v="&lt;null&gt;"/>
    <s v="&lt;null&gt;"/>
    <s v="&lt;null&gt;"/>
    <n v="100"/>
    <m/>
    <m/>
  </r>
  <r>
    <x v="316"/>
    <x v="316"/>
    <s v="Verkeersveiligheid"/>
    <x v="1"/>
    <n v="350"/>
    <s v="IN/000314"/>
    <s v="in Antwerpen : Noordersingel, Stenenbrug"/>
    <s v="volledige heraanleg (vanaf Turnhoutsebaan tot voorbij Stenenbrug) fietsers zitten onder op- en afrittencomplex"/>
    <s v="Structurele Ingreep"/>
    <s v="&lt;null&gt;"/>
    <b v="0"/>
    <s v="Ingreep wordt niet opgevolgd in BOD"/>
    <s v="&lt;null&gt;"/>
    <s v="&lt;null&gt;"/>
    <s v="&lt;null&gt;"/>
    <s v="&lt;null&gt;"/>
    <n v="100"/>
    <m/>
    <m/>
  </r>
  <r>
    <x v="317"/>
    <x v="317"/>
    <s v="Verkeersveiligheid"/>
    <x v="1"/>
    <n v="351"/>
    <s v="IN/000315"/>
    <s v="in Antwerpen : Sint-Bernardsesteenweg, Zaanstraat RELANCE21"/>
    <s v="Aanpassen verkeerslichtenregeling (kadert in een grotere herinrichting waar de stad de infrastructuurwerken zal uitvoeren)"/>
    <s v="Kleine Ingreep"/>
    <s v="WA/INV/N148/3"/>
    <b v="1"/>
    <s v="Ingreep wordt opgevolgd in BOD"/>
    <n v="2021"/>
    <s v="&lt;null&gt;"/>
    <s v="VRI"/>
    <s v="&lt;null&gt;"/>
    <n v="100"/>
    <n v="50000"/>
    <n v="50000"/>
  </r>
  <r>
    <x v="317"/>
    <x v="317"/>
    <s v="Verkeersveiligheid"/>
    <x v="1"/>
    <n v="352"/>
    <s v="IN/000316"/>
    <s v="in Antwerpen : Sint-Bernardsesteenweg, Zaanstraat VIA PCV BESTEK"/>
    <s v="VLCC + linksafslagstrook wordt aangepast&gt;opstelruimte voor voetgangers en fietsers + conflict met tram wordt eruit gehaald"/>
    <s v="Kleine Ingreep"/>
    <s v="&lt;null&gt;"/>
    <b v="0"/>
    <s v="Ingreep wordt niet opgevolgd in BOD"/>
    <s v="&lt;null&gt;"/>
    <s v="&lt;null&gt;"/>
    <s v="&lt;null&gt;"/>
    <s v="&lt;null&gt;"/>
    <n v="100"/>
    <m/>
    <m/>
  </r>
  <r>
    <x v="18"/>
    <x v="18"/>
    <s v="&lt;null&gt;"/>
    <x v="3"/>
    <n v="353"/>
    <s v="IN/000317"/>
    <s v="in Antwerpen : Binnensingel, Grotesteenweg, Singel"/>
    <s v="nog niet gedefinieerd"/>
    <s v="Kleine Ingreep"/>
    <s v="&lt;null&gt;"/>
    <b v="0"/>
    <s v="Ingreep wordt niet opgevolgd in BOD"/>
    <n v="2022"/>
    <s v="&lt;null&gt;"/>
    <s v="VRI"/>
    <s v="&lt;null&gt;"/>
    <m/>
    <n v="350000"/>
    <m/>
  </r>
  <r>
    <x v="18"/>
    <x v="18"/>
    <s v="&lt;null&gt;"/>
    <x v="3"/>
    <n v="353"/>
    <s v="IN/000317"/>
    <s v="in Antwerpen : Binnensingel, Grotesteenweg, Singel"/>
    <s v="nog niet gedefinieerd"/>
    <s v="Kleine Ingreep"/>
    <s v="&lt;null&gt;"/>
    <b v="0"/>
    <s v="Ingreep wordt niet opgevolgd in BOD"/>
    <s v="&lt;null&gt;"/>
    <s v="&lt;null&gt;"/>
    <s v="OV"/>
    <s v="&lt;null&gt;"/>
    <m/>
    <n v="50000"/>
    <m/>
  </r>
  <r>
    <x v="18"/>
    <x v="18"/>
    <s v="&lt;null&gt;"/>
    <x v="3"/>
    <n v="354"/>
    <s v="IN/000318"/>
    <s v="in Antwerpen : Driekoningenstraat, Grotesteenweg"/>
    <s v="Nog concreet te bepalen: Rode slem fietspaden, zichtbaarheid linksaf?, lichtenregeling linksaf, dambordmarkering, knipperlicht tramoversteek"/>
    <s v="Kleine Ingreep"/>
    <s v="WA/INV/N1/13"/>
    <b v="0"/>
    <s v="Ingreep wordt niet opgevolgd in BOD"/>
    <n v="2021"/>
    <s v="&lt;null&gt;"/>
    <s v="VRI"/>
    <s v="&lt;null&gt;"/>
    <m/>
    <n v="50000"/>
    <m/>
  </r>
  <r>
    <x v="18"/>
    <x v="18"/>
    <s v="&lt;null&gt;"/>
    <x v="3"/>
    <n v="354"/>
    <s v="IN/000318"/>
    <s v="in Antwerpen : Driekoningenstraat, Grotesteenweg"/>
    <s v="Nog concreet te bepalen: Rode slem fietspaden, zichtbaarheid linksaf?, lichtenregeling linksaf, dambordmarkering, knipperlicht tramoversteek"/>
    <s v="Kleine Ingreep"/>
    <s v="WA/INV/N1/13"/>
    <b v="0"/>
    <s v="Ingreep wordt niet opgevolgd in BOD"/>
    <s v="&lt;null&gt;"/>
    <s v="&lt;null&gt;"/>
    <s v="OV"/>
    <s v="&lt;null&gt;"/>
    <m/>
    <n v="25000"/>
    <m/>
  </r>
  <r>
    <x v="18"/>
    <x v="18"/>
    <s v="&lt;null&gt;"/>
    <x v="3"/>
    <n v="354"/>
    <s v="IN/000318"/>
    <s v="in Antwerpen : Driekoningenstraat, Grotesteenweg"/>
    <s v="Nog concreet te bepalen: Rode slem fietspaden, zichtbaarheid linksaf?, lichtenregeling linksaf, dambordmarkering, knipperlicht tramoversteek"/>
    <s v="Kleine Ingreep"/>
    <s v="WA/INV/N1/13"/>
    <b v="0"/>
    <s v="Ingreep wordt niet opgevolgd in BOD"/>
    <s v="&lt;null&gt;"/>
    <s v="&lt;null&gt;"/>
    <s v="STUDIE"/>
    <s v="&lt;null&gt;"/>
    <m/>
    <n v="18750"/>
    <m/>
  </r>
  <r>
    <x v="18"/>
    <x v="18"/>
    <s v="&lt;null&gt;"/>
    <x v="3"/>
    <n v="354"/>
    <s v="IN/000318"/>
    <s v="in Antwerpen : Driekoningenstraat, Grotesteenweg"/>
    <s v="Nog concreet te bepalen: Rode slem fietspaden, zichtbaarheid linksaf?, lichtenregeling linksaf, dambordmarkering, knipperlicht tramoversteek"/>
    <s v="Kleine Ingreep"/>
    <s v="WA/INV/N1/13"/>
    <b v="0"/>
    <s v="Ingreep wordt niet opgevolgd in BOD"/>
    <n v="2021"/>
    <s v="&lt;null&gt;"/>
    <s v="WEGENIS"/>
    <s v="&lt;null&gt;"/>
    <m/>
    <n v="50000"/>
    <m/>
  </r>
  <r>
    <x v="318"/>
    <x v="318"/>
    <s v="Verkeersveiligheid"/>
    <x v="1"/>
    <n v="355"/>
    <s v="IN/000319"/>
    <s v="in Antwerpen : Groenendaallaan, Noorderlaan"/>
    <s v="Brabo 2"/>
    <s v="Structurele Ingreep"/>
    <s v="&lt;null&gt;"/>
    <b v="0"/>
    <s v="Ingreep wordt niet opgevolgd in BOD"/>
    <s v="&lt;null&gt;"/>
    <s v="&lt;null&gt;"/>
    <s v="&lt;null&gt;"/>
    <s v="&lt;null&gt;"/>
    <n v="100"/>
    <m/>
    <m/>
  </r>
  <r>
    <x v="319"/>
    <x v="319"/>
    <s v="Verkeersveiligheid"/>
    <x v="1"/>
    <n v="356"/>
    <s v="IN/000320"/>
    <s v="in Antwerpen : Carnotstraat, Provinciestraat"/>
    <s v="nog niet gedefinieerd"/>
    <s v="Kleine Ingreep"/>
    <s v="&lt;null&gt;"/>
    <b v="0"/>
    <s v="Ingreep wordt niet opgevolgd in BOD"/>
    <n v="2022"/>
    <s v="&lt;null&gt;"/>
    <s v="VRI"/>
    <s v="&lt;null&gt;"/>
    <n v="100"/>
    <n v="50000"/>
    <n v="50000"/>
  </r>
  <r>
    <x v="319"/>
    <x v="319"/>
    <s v="Verkeersveiligheid"/>
    <x v="1"/>
    <n v="356"/>
    <s v="IN/000320"/>
    <s v="in Antwerpen : Carnotstraat, Provinciestraat"/>
    <s v="nog niet gedefinieerd"/>
    <s v="Kleine Ingreep"/>
    <s v="&lt;null&gt;"/>
    <b v="0"/>
    <s v="Ingreep wordt niet opgevolgd in BOD"/>
    <s v="&lt;null&gt;"/>
    <s v="&lt;null&gt;"/>
    <s v="STUDIE"/>
    <s v="&lt;null&gt;"/>
    <n v="100"/>
    <n v="15000"/>
    <n v="15000"/>
  </r>
  <r>
    <x v="319"/>
    <x v="319"/>
    <s v="Verkeersveiligheid"/>
    <x v="1"/>
    <n v="356"/>
    <s v="IN/000320"/>
    <s v="in Antwerpen : Carnotstraat, Provinciestraat"/>
    <s v="nog niet gedefinieerd"/>
    <s v="Kleine Ingreep"/>
    <s v="&lt;null&gt;"/>
    <b v="0"/>
    <s v="Ingreep wordt niet opgevolgd in BOD"/>
    <n v="2022"/>
    <s v="&lt;null&gt;"/>
    <s v="WEGENIS"/>
    <s v="&lt;null&gt;"/>
    <n v="100"/>
    <n v="50000"/>
    <n v="50000"/>
  </r>
  <r>
    <x v="320"/>
    <x v="320"/>
    <s v="Verkeersveiligheid"/>
    <x v="1"/>
    <n v="357"/>
    <s v="IN/000321"/>
    <s v="in Antwerpen : Baron Joostensstraat, Plantin en Moretuslei, Van Immerseelstraat"/>
    <s v="wordt heraangelegd &gt; af rond zomer 2020"/>
    <s v="Structurele Ingreep"/>
    <s v="&lt;null&gt;"/>
    <b v="0"/>
    <s v="Ingreep wordt niet opgevolgd in BOD"/>
    <s v="&lt;null&gt;"/>
    <s v="&lt;null&gt;"/>
    <s v="&lt;null&gt;"/>
    <s v="&lt;null&gt;"/>
    <n v="100"/>
    <m/>
    <m/>
  </r>
  <r>
    <x v="321"/>
    <x v="321"/>
    <s v="Verkeersveiligheid"/>
    <x v="1"/>
    <n v="358"/>
    <s v="IN/000322"/>
    <s v="VRI: aanpassen lichtenregeling in Antwerpen, Wijnegem : August Van de Wielelei, Houtlaan, Krijgsbaan, Turnhoutsebaan RELANCE21"/>
    <s v="Aanpassen lichtenregeling + centrale aanleg fietspad op bypass (2021)"/>
    <s v="Kleine Ingreep"/>
    <s v="WA/INV/N12/11"/>
    <b v="1"/>
    <s v="Ingreep wordt opgevolgd in BOD"/>
    <n v="2021"/>
    <s v="&lt;null&gt;"/>
    <s v="VRI"/>
    <s v="&lt;null&gt;"/>
    <n v="100"/>
    <n v="300000"/>
    <n v="300000"/>
  </r>
  <r>
    <x v="321"/>
    <x v="321"/>
    <s v="Verkeersveiligheid"/>
    <x v="1"/>
    <n v="358"/>
    <s v="IN/000322"/>
    <s v="VRI: aanpassen lichtenregeling in Antwerpen, Wijnegem : August Van de Wielelei, Houtlaan, Krijgsbaan, Turnhoutsebaan RELANCE21"/>
    <s v="Aanpassen lichtenregeling + centrale aanleg fietspad op bypass (2021)"/>
    <s v="Kleine Ingreep"/>
    <s v="WA/INV/N12/11"/>
    <b v="1"/>
    <s v="Ingreep wordt opgevolgd in BOD"/>
    <n v="2021"/>
    <s v="&lt;null&gt;"/>
    <s v="WEGENIS"/>
    <s v="&lt;null&gt;"/>
    <n v="100"/>
    <n v="300000"/>
    <n v="300000"/>
  </r>
  <r>
    <x v="322"/>
    <x v="322"/>
    <s v="Verkeersveiligheid"/>
    <x v="1"/>
    <n v="359"/>
    <s v="IN/000323"/>
    <s v="in Ardooie : Izegemsestraat, N37 Richting Aalter, Oostlaan, Roeselaarsestraat"/>
    <s v="Aanpassing VRI (actieplan)"/>
    <s v="Kleine Ingreep"/>
    <s v="&lt;null&gt;"/>
    <b v="0"/>
    <s v="Ingreep wordt niet opgevolgd in BOD"/>
    <s v="&lt;null&gt;"/>
    <s v="&lt;null&gt;"/>
    <s v="&lt;null&gt;"/>
    <s v="&lt;null&gt;"/>
    <n v="100"/>
    <m/>
    <m/>
  </r>
  <r>
    <x v="323"/>
    <x v="323"/>
    <s v="Verkeersveiligheid"/>
    <x v="1"/>
    <n v="360"/>
    <s v="IN/000324"/>
    <s v="Horizontale signalisatie aanpassen in As : Europalaan, Lanklaarsesteenweg, N723 Genk - As (N75), Stationsstraat, Steenweg naar Maasmechelen"/>
    <s v="markeringen aangepast, SNC nog te plaatsen (historische lijst)"/>
    <s v="Kleine Ingreep"/>
    <s v="WL/INV/N75/9"/>
    <b v="0"/>
    <s v="Ingreep wordt niet opgevolgd in BOD"/>
    <s v="&lt;null&gt;"/>
    <s v="&lt;null&gt;"/>
    <s v="WEGENIS"/>
    <s v="&lt;null&gt;"/>
    <n v="100"/>
    <n v="100000"/>
    <n v="100000"/>
  </r>
  <r>
    <x v="324"/>
    <x v="324"/>
    <s v="Verkeersveiligheid"/>
    <x v="1"/>
    <n v="361"/>
    <s v="IN/000325"/>
    <s v="in Asse : R0 Binnenring, R0 Binnenring Uitrit 10 (Asse) (weefzone Zellik)"/>
    <s v="afrit naar Zellik wordt verglegd. Werd besproken in PCV april 2019, niet alle partijen waren akkoord. Oplossing wordt verder uitgewerkt"/>
    <s v="Kleine Ingreep"/>
    <s v="&lt;null&gt;"/>
    <b v="0"/>
    <s v="Ingreep wordt niet opgevolgd in BOD"/>
    <n v="2023"/>
    <s v="&lt;null&gt;"/>
    <s v="WEGENIS"/>
    <s v="&lt;null&gt;"/>
    <n v="100"/>
    <n v="600000"/>
    <n v="600000"/>
  </r>
  <r>
    <x v="324"/>
    <x v="324"/>
    <s v="Verkeersveiligheid"/>
    <x v="1"/>
    <n v="362"/>
    <s v="IN/000326"/>
    <s v="in Asse : R0 Binnenring, R0 Binnenring Uitrit 10 (Asse) (weefzone Zellik) (MAG WEG - DOOR DWV)"/>
    <s v="Herinrichting R0 door De Werkvennootschap"/>
    <s v="Structurele Ingreep"/>
    <s v="&lt;null&gt;"/>
    <b v="0"/>
    <s v="Ingreep wordt niet opgevolgd in BOD"/>
    <s v="&lt;null&gt;"/>
    <s v="&lt;null&gt;"/>
    <s v="&lt;null&gt;"/>
    <s v="&lt;null&gt;"/>
    <n v="100"/>
    <m/>
    <m/>
  </r>
  <r>
    <x v="325"/>
    <x v="325"/>
    <s v="Verkeersveiligheid"/>
    <x v="1"/>
    <n v="363"/>
    <s v="IN/000327"/>
    <s v="in Assenede : N49 met Stoepestraat"/>
    <s v="brug over E34. kruispunt wordt afgesloten"/>
    <s v="Structurele Ingreep"/>
    <s v="WOV/INV/A11/4"/>
    <b v="0"/>
    <s v="Ingreep wordt niet opgevolgd in BOD"/>
    <s v="&lt;null&gt;"/>
    <s v="&lt;null&gt;"/>
    <s v="&lt;null&gt;"/>
    <s v="&lt;null&gt;"/>
    <n v="100"/>
    <m/>
    <m/>
  </r>
  <r>
    <x v="326"/>
    <x v="326"/>
    <s v="Verkeersveiligheid"/>
    <x v="1"/>
    <n v="364"/>
    <s v="IN/000328"/>
    <s v="Gevaarlijk Punt: N49 Assenede: plaatsen RLC + verlengen linksafslagstroken"/>
    <s v="RLC plaatsen + verlengen linksafslagstroken;\nN49 met Oosthoek."/>
    <s v="Kleine Ingreep"/>
    <s v="WOV/INV/A11/3"/>
    <b v="0"/>
    <s v="Ingreep wordt niet opgevolgd in BOD"/>
    <n v="2021"/>
    <s v="Q4"/>
    <s v="WEGENIS"/>
    <s v="&lt;null&gt;"/>
    <n v="100"/>
    <n v="220000"/>
    <n v="220000"/>
  </r>
  <r>
    <x v="326"/>
    <x v="326"/>
    <s v="Verkeersveiligheid"/>
    <x v="1"/>
    <n v="364"/>
    <s v="IN/000328"/>
    <s v="Gevaarlijk Punt: N49 Assenede: plaatsen RLC + verlengen linksafslagstroken"/>
    <s v="RLC plaatsen + verlengen linksafslagstroken;\nN49 met Oosthoek."/>
    <s v="Kleine Ingreep"/>
    <s v="WOV/INV/A11/3"/>
    <b v="0"/>
    <s v="Ingreep wordt niet opgevolgd in BOD"/>
    <n v="2021"/>
    <s v="Q4"/>
    <s v="VRI"/>
    <s v="&lt;null&gt;"/>
    <n v="100"/>
    <n v="230200"/>
    <n v="230200"/>
  </r>
  <r>
    <x v="18"/>
    <x v="18"/>
    <s v="&lt;null&gt;"/>
    <x v="3"/>
    <n v="365"/>
    <s v="IN/000329"/>
    <s v="Handhaving in Assenede : N49 met Oosthoek"/>
    <s v="Brug over E34"/>
    <s v="Kleine Ingreep"/>
    <s v="&lt;null&gt;"/>
    <b v="0"/>
    <s v="Ingreep wordt niet opgevolgd in BOD"/>
    <s v="&lt;null&gt;"/>
    <s v="&lt;null&gt;"/>
    <s v="&lt;null&gt;"/>
    <s v="&lt;null&gt;"/>
    <m/>
    <m/>
    <m/>
  </r>
  <r>
    <x v="327"/>
    <x v="327"/>
    <s v="Verkeersveiligheid"/>
    <x v="1"/>
    <n v="366"/>
    <s v="IN/000330"/>
    <s v="GEEN E1 UITGEVOERD n Assenede : N49 met Stroomstraat"/>
    <s v="kruispunt afgesloten, brug geplaatst"/>
    <s v="Structurele Ingreep"/>
    <s v="&lt;null&gt;"/>
    <b v="0"/>
    <s v="Ingreep wordt niet opgevolgd in BOD"/>
    <s v="&lt;null&gt;"/>
    <s v="&lt;null&gt;"/>
    <s v="&lt;null&gt;"/>
    <s v="&lt;null&gt;"/>
    <n v="100"/>
    <m/>
    <m/>
  </r>
  <r>
    <x v="328"/>
    <x v="328"/>
    <s v="Verkeersveiligheid"/>
    <x v="1"/>
    <n v="367"/>
    <s v="IN/000331"/>
    <s v="in Beernem : Wingene Steenweg"/>
    <s v="parkeren onmogelijk gemaakt op strook tussen rijbaan en fietspad en daardoor ook op het fietspad zelf. \nZicht is daardoor verbeterd."/>
    <s v="Kleine Ingreep"/>
    <s v="&lt;null&gt;"/>
    <b v="0"/>
    <s v="Ingreep wordt niet opgevolgd in BOD"/>
    <s v="&lt;null&gt;"/>
    <s v="&lt;null&gt;"/>
    <s v="&lt;null&gt;"/>
    <s v="&lt;null&gt;"/>
    <n v="100"/>
    <m/>
    <m/>
  </r>
  <r>
    <x v="329"/>
    <x v="329"/>
    <s v="Verkeersveiligheid"/>
    <x v="1"/>
    <n v="368"/>
    <s v="IN/000332"/>
    <s v="in Beringen : Koolmijnlaan"/>
    <s v="veel kop-staart aanrijding in de wachtrij naar de verkeerslichten (4/12 zeker + 2/12 wellicht)\n- 1 overleden voetganger wat eerder een zelfdoding lijkt te zijn, de politie bevestigt dit.\n\nDe verkeerslichten die oorzaak zijn van de wachtrij worden omgev"/>
    <s v="Structurele Ingreep"/>
    <s v="&lt;null&gt;"/>
    <b v="0"/>
    <s v="Ingreep wordt niet opgevolgd in BOD"/>
    <s v="&lt;null&gt;"/>
    <s v="&lt;null&gt;"/>
    <s v="&lt;null&gt;"/>
    <s v="&lt;null&gt;"/>
    <n v="100"/>
    <m/>
    <m/>
  </r>
  <r>
    <x v="330"/>
    <x v="330"/>
    <s v="Verkeersveiligheid"/>
    <x v="1"/>
    <n v="369"/>
    <s v="IN/000333"/>
    <s v="in Beringen : Koolmijnlaan, Laardijkstraat, Twaalf Meilaan"/>
    <s v="nog niet gedefinieerd"/>
    <s v="Kleine Ingreep"/>
    <s v="&lt;null&gt;"/>
    <b v="0"/>
    <s v="Ingreep wordt niet opgevolgd in BOD"/>
    <n v="2023"/>
    <s v="Q4"/>
    <s v="WEGENIS"/>
    <s v="&lt;null&gt;"/>
    <n v="100"/>
    <n v="350000"/>
    <n v="350000"/>
  </r>
  <r>
    <x v="330"/>
    <x v="330"/>
    <s v="Verkeersveiligheid"/>
    <x v="1"/>
    <n v="369"/>
    <s v="IN/000333"/>
    <s v="in Beringen : Koolmijnlaan, Laardijkstraat, Twaalf Meilaan"/>
    <s v="nog niet gedefinieerd"/>
    <s v="Kleine Ingreep"/>
    <s v="&lt;null&gt;"/>
    <b v="0"/>
    <s v="Ingreep wordt niet opgevolgd in BOD"/>
    <n v="2023"/>
    <s v="Q4"/>
    <s v="STUDIE"/>
    <s v="&lt;null&gt;"/>
    <n v="100"/>
    <n v="60000"/>
    <n v="60000"/>
  </r>
  <r>
    <x v="331"/>
    <x v="331"/>
    <s v="Verkeersveiligheid"/>
    <x v="1"/>
    <n v="370"/>
    <s v="IN/000334"/>
    <s v="in Beveren : N70 Oude Zandstraat met Bosdamlaan en Diederik Van Beverenlaan"/>
    <s v="nog niet gedefinieerd"/>
    <s v="Kleine Ingreep"/>
    <s v="&lt;null&gt;"/>
    <b v="0"/>
    <s v="Ingreep wordt niet opgevolgd in BOD"/>
    <s v="&lt;null&gt;"/>
    <s v="&lt;null&gt;"/>
    <s v="STUDIE"/>
    <s v="&lt;null&gt;"/>
    <n v="100"/>
    <n v="60000"/>
    <n v="60000"/>
  </r>
  <r>
    <x v="331"/>
    <x v="331"/>
    <s v="Verkeersveiligheid"/>
    <x v="1"/>
    <n v="370"/>
    <s v="IN/000334"/>
    <s v="in Beveren : N70 Oude Zandstraat met Bosdamlaan en Diederik Van Beverenlaan"/>
    <s v="nog niet gedefinieerd"/>
    <s v="Kleine Ingreep"/>
    <s v="&lt;null&gt;"/>
    <b v="0"/>
    <s v="Ingreep wordt niet opgevolgd in BOD"/>
    <s v="&lt;null&gt;"/>
    <s v="&lt;null&gt;"/>
    <s v="OV"/>
    <s v="&lt;null&gt;"/>
    <n v="100"/>
    <n v="50000"/>
    <n v="50000"/>
  </r>
  <r>
    <x v="331"/>
    <x v="331"/>
    <s v="Verkeersveiligheid"/>
    <x v="1"/>
    <n v="370"/>
    <s v="IN/000334"/>
    <s v="in Beveren : N70 Oude Zandstraat met Bosdamlaan en Diederik Van Beverenlaan"/>
    <s v="nog niet gedefinieerd"/>
    <s v="Kleine Ingreep"/>
    <s v="&lt;null&gt;"/>
    <b v="0"/>
    <s v="Ingreep wordt niet opgevolgd in BOD"/>
    <n v="2022"/>
    <s v="&lt;null&gt;"/>
    <s v="VRI"/>
    <s v="&lt;null&gt;"/>
    <n v="100"/>
    <n v="200000"/>
    <n v="200000"/>
  </r>
  <r>
    <x v="331"/>
    <x v="331"/>
    <s v="Verkeersveiligheid"/>
    <x v="1"/>
    <n v="370"/>
    <s v="IN/000334"/>
    <s v="in Beveren : N70 Oude Zandstraat met Bosdamlaan en Diederik Van Beverenlaan"/>
    <s v="nog niet gedefinieerd"/>
    <s v="Kleine Ingreep"/>
    <s v="&lt;null&gt;"/>
    <b v="0"/>
    <s v="Ingreep wordt niet opgevolgd in BOD"/>
    <n v="2022"/>
    <s v="&lt;null&gt;"/>
    <s v="WEGENIS"/>
    <s v="&lt;null&gt;"/>
    <n v="100"/>
    <n v="150000"/>
    <n v="150000"/>
  </r>
  <r>
    <x v="332"/>
    <x v="332"/>
    <s v="Verkeersveiligheid"/>
    <x v="1"/>
    <n v="371"/>
    <s v="IN/000335"/>
    <s v="in Beveren : A11-E34 Ri Ant langswg complx 10 Vrasene aan oprit, A11-E34 Richting Antwerpen, Duikeldam, Hoge Watergangweg, Provinciale Baan"/>
    <s v="nog niet gedefinieerd"/>
    <s v="Kleine Ingreep"/>
    <s v="&lt;null&gt;"/>
    <b v="0"/>
    <s v="Ingreep wordt niet opgevolgd in BOD"/>
    <s v="&lt;null&gt;"/>
    <s v="&lt;null&gt;"/>
    <s v="OV"/>
    <s v="&lt;null&gt;"/>
    <n v="100"/>
    <n v="100000"/>
    <n v="100000"/>
  </r>
  <r>
    <x v="332"/>
    <x v="332"/>
    <s v="Verkeersveiligheid"/>
    <x v="1"/>
    <n v="371"/>
    <s v="IN/000335"/>
    <s v="in Beveren : A11-E34 Ri Ant langswg complx 10 Vrasene aan oprit, A11-E34 Richting Antwerpen, Duikeldam, Hoge Watergangweg, Provinciale Baan"/>
    <s v="nog niet gedefinieerd"/>
    <s v="Kleine Ingreep"/>
    <s v="&lt;null&gt;"/>
    <b v="0"/>
    <s v="Ingreep wordt niet opgevolgd in BOD"/>
    <n v="2022"/>
    <s v="&lt;null&gt;"/>
    <s v="WEGENIS"/>
    <s v="&lt;null&gt;"/>
    <n v="100"/>
    <n v="2150000"/>
    <n v="2150000"/>
  </r>
  <r>
    <x v="332"/>
    <x v="332"/>
    <s v="Verkeersveiligheid"/>
    <x v="1"/>
    <n v="371"/>
    <s v="IN/000335"/>
    <s v="in Beveren : A11-E34 Ri Ant langswg complx 10 Vrasene aan oprit, A11-E34 Richting Antwerpen, Duikeldam, Hoge Watergangweg, Provinciale Baan"/>
    <s v="nog niet gedefinieerd"/>
    <s v="Kleine Ingreep"/>
    <s v="&lt;null&gt;"/>
    <b v="0"/>
    <s v="Ingreep wordt niet opgevolgd in BOD"/>
    <n v="2022"/>
    <s v="&lt;null&gt;"/>
    <s v="VRI"/>
    <s v="&lt;null&gt;"/>
    <n v="100"/>
    <n v="250000"/>
    <n v="250000"/>
  </r>
  <r>
    <x v="332"/>
    <x v="332"/>
    <s v="Verkeersveiligheid"/>
    <x v="1"/>
    <n v="371"/>
    <s v="IN/000335"/>
    <s v="in Beveren : A11-E34 Ri Ant langswg complx 10 Vrasene aan oprit, A11-E34 Richting Antwerpen, Duikeldam, Hoge Watergangweg, Provinciale Baan"/>
    <s v="nog niet gedefinieerd"/>
    <s v="Kleine Ingreep"/>
    <s v="&lt;null&gt;"/>
    <b v="0"/>
    <s v="Ingreep wordt niet opgevolgd in BOD"/>
    <s v="&lt;null&gt;"/>
    <s v="&lt;null&gt;"/>
    <s v="STUDIE"/>
    <s v="&lt;null&gt;"/>
    <n v="100"/>
    <n v="375000"/>
    <n v="375000"/>
  </r>
  <r>
    <x v="333"/>
    <x v="333"/>
    <s v="Verkeersveiligheid"/>
    <x v="1"/>
    <n v="372"/>
    <s v="IN/000336"/>
    <s v="in Bierbeek : Pellenbergstraat, Stationsstraat, Tiensesteenweg"/>
    <s v="Aanpassen lichtenregeling Pellenbergstraat afgesloten in 2019 wegens werken, na openstelling zal de VRI aangepast worden ."/>
    <s v="Kleine Ingreep"/>
    <s v="&lt;null&gt;"/>
    <b v="0"/>
    <s v="Ingreep wordt niet opgevolgd in BOD"/>
    <s v="&lt;null&gt;"/>
    <s v="&lt;null&gt;"/>
    <s v="&lt;null&gt;"/>
    <s v="&lt;null&gt;"/>
    <n v="100"/>
    <m/>
    <m/>
  </r>
  <r>
    <x v="334"/>
    <x v="334"/>
    <s v="Verkeersveiligheid"/>
    <x v="1"/>
    <n v="373"/>
    <s v="IN/000337"/>
    <s v="in Blankenberge : IJzerstraat, Oudstrijdersstraat, Vredelaan"/>
    <m/>
    <s v="Kleine Ingreep"/>
    <s v="WWV/INV/N34/14"/>
    <b v="1"/>
    <s v="Ingreep wordt opgevolgd in BOD"/>
    <n v="2022"/>
    <s v="&lt;null&gt;"/>
    <s v="WEGENIS"/>
    <s v="&lt;null&gt;"/>
    <n v="100"/>
    <n v="30000"/>
    <n v="30000"/>
  </r>
  <r>
    <x v="335"/>
    <x v="335"/>
    <s v="Verkeersveiligheid"/>
    <x v="1"/>
    <n v="374"/>
    <s v="IN/000338"/>
    <s v="VRI: aanpassen lichtenregeling in Blankenberge : B. Vandammestraat, Kerkstraat, Zeebruggelaan"/>
    <s v="Aanpassen lichtenregeling"/>
    <s v="Kleine Ingreep"/>
    <s v="WWV/INV/N371/3"/>
    <b v="1"/>
    <s v="Ingreep wordt opgevolgd in BOD"/>
    <n v="2021"/>
    <s v="Q4"/>
    <s v="VRI"/>
    <s v="V-plan V08149v18"/>
    <n v="100"/>
    <n v="150000"/>
    <n v="150000"/>
  </r>
  <r>
    <x v="336"/>
    <x v="336"/>
    <s v="Verkeersveiligheid"/>
    <x v="1"/>
    <n v="375"/>
    <s v="IN/000339"/>
    <s v="in Boechout : Borsbeeksesteenweg, Provinciesteenweg (Capenberg)"/>
    <s v="Aanpassen lichtenregeling \nokt 2020: tellingen besteld"/>
    <s v="Kleine Ingreep"/>
    <s v="&lt;null&gt;"/>
    <b v="0"/>
    <s v="Ingreep wordt niet opgevolgd in BOD"/>
    <s v="&lt;null&gt;"/>
    <s v="&lt;null&gt;"/>
    <s v="&lt;null&gt;"/>
    <s v="&lt;null&gt;"/>
    <n v="100"/>
    <m/>
    <m/>
  </r>
  <r>
    <x v="152"/>
    <x v="152"/>
    <s v="Verkeersveiligheid"/>
    <x v="1"/>
    <n v="376"/>
    <s v="IN/000340"/>
    <s v="VRI: aanpassen lichtenregeling in Boechout : Heuvelstraat, Provinciesteenweg, Vremdesesteenweg RELANCE21"/>
    <s v="aanpassen VRI"/>
    <s v="Kleine Ingreep"/>
    <s v="WA/INV/N10/10"/>
    <b v="0"/>
    <s v="Ingreep wordt niet opgevolgd in BOD"/>
    <n v="2022"/>
    <s v="Q3"/>
    <s v="VRI"/>
    <s v="&lt;null&gt;"/>
    <n v="100"/>
    <n v="200000"/>
    <n v="200000"/>
  </r>
  <r>
    <x v="152"/>
    <x v="152"/>
    <s v="Verkeersveiligheid"/>
    <x v="1"/>
    <n v="376"/>
    <s v="IN/000340"/>
    <s v="VRI: aanpassen lichtenregeling in Boechout : Heuvelstraat, Provinciesteenweg, Vremdesesteenweg RELANCE21"/>
    <s v="aanpassen VRI"/>
    <s v="Kleine Ingreep"/>
    <s v="WA/INV/N10/10"/>
    <b v="0"/>
    <s v="Ingreep wordt niet opgevolgd in BOD"/>
    <n v="2022"/>
    <s v="Q3"/>
    <s v="WEGENIS"/>
    <s v="&lt;null&gt;"/>
    <n v="100"/>
    <n v="150000"/>
    <n v="150000"/>
  </r>
  <r>
    <x v="152"/>
    <x v="152"/>
    <s v="Verkeersveiligheid"/>
    <x v="1"/>
    <n v="376"/>
    <s v="IN/000340"/>
    <s v="VRI: aanpassen lichtenregeling in Boechout : Heuvelstraat, Provinciesteenweg, Vremdesesteenweg RELANCE21"/>
    <s v="aanpassen VRI"/>
    <s v="Kleine Ingreep"/>
    <s v="WA/INV/N10/10"/>
    <b v="0"/>
    <s v="Ingreep wordt niet opgevolgd in BOD"/>
    <n v="2022"/>
    <s v="Q3"/>
    <s v="STUDIE"/>
    <s v="&lt;null&gt;"/>
    <n v="100"/>
    <n v="52500"/>
    <n v="52500"/>
  </r>
  <r>
    <x v="337"/>
    <x v="337"/>
    <s v="Verkeersveiligheid"/>
    <x v="1"/>
    <n v="377"/>
    <s v="IN/000341"/>
    <s v="in Boortmeerbeek : Leuvense steenweg, N26 Richting Leuven, Trianonlaan"/>
    <s v="nog niet gedefinieerd"/>
    <s v="Kleine Ingreep"/>
    <s v="&lt;null&gt;"/>
    <b v="0"/>
    <s v="Ingreep wordt niet opgevolgd in BOD"/>
    <n v="2022"/>
    <s v="Q3"/>
    <s v="VRI"/>
    <s v="EW- regelaar"/>
    <n v="100"/>
    <n v="20000"/>
    <n v="20000"/>
  </r>
  <r>
    <x v="337"/>
    <x v="337"/>
    <s v="Verkeersveiligheid"/>
    <x v="1"/>
    <n v="377"/>
    <s v="IN/000341"/>
    <s v="in Boortmeerbeek : Leuvense steenweg, N26 Richting Leuven, Trianonlaan"/>
    <s v="nog niet gedefinieerd"/>
    <s v="Kleine Ingreep"/>
    <s v="&lt;null&gt;"/>
    <b v="0"/>
    <s v="Ingreep wordt niet opgevolgd in BOD"/>
    <n v="2022"/>
    <s v="Q3"/>
    <s v="VRI"/>
    <s v="EW - buiteninstallatie"/>
    <n v="100"/>
    <n v="150000"/>
    <n v="150000"/>
  </r>
  <r>
    <x v="337"/>
    <x v="337"/>
    <s v="Verkeersveiligheid"/>
    <x v="1"/>
    <n v="377"/>
    <s v="IN/000341"/>
    <s v="in Boortmeerbeek : Leuvense steenweg, N26 Richting Leuven, Trianonlaan"/>
    <s v="nog niet gedefinieerd"/>
    <s v="Kleine Ingreep"/>
    <s v="&lt;null&gt;"/>
    <b v="0"/>
    <s v="Ingreep wordt niet opgevolgd in BOD"/>
    <n v="2022"/>
    <s v="Q3"/>
    <s v="WEGENIS"/>
    <s v="&lt;null&gt;"/>
    <n v="100"/>
    <n v="600000"/>
    <n v="600000"/>
  </r>
  <r>
    <x v="18"/>
    <x v="18"/>
    <s v="&lt;null&gt;"/>
    <x v="3"/>
    <n v="378"/>
    <s v="IN/000342"/>
    <s v="in Boortmeerbeek : Leuvense steenweg, N26 Richting Leuven, Trianonlaan (SCHRAPPEN - MAAKT DEEL UIT VAN WVB/INV/N26/7)"/>
    <s v="Volledige heraanleg (oa fietspaden, (fietsrelance)"/>
    <s v="Structurele Ingreep"/>
    <s v="&lt;null&gt;"/>
    <b v="0"/>
    <s v="Ingreep wordt niet opgevolgd in BOD"/>
    <s v="&lt;null&gt;"/>
    <s v="&lt;null&gt;"/>
    <s v="&lt;null&gt;"/>
    <s v="&lt;null&gt;"/>
    <m/>
    <m/>
    <m/>
  </r>
  <r>
    <x v="338"/>
    <x v="338"/>
    <s v="Verkeersveiligheid"/>
    <x v="1"/>
    <n v="379"/>
    <s v="IN/000343"/>
    <s v="in Bornem : Cesar Van Kerckhovenstraat, Klein-Mechelen, N16 Richting Mechelen, N16 Richting Sint-Niklaas"/>
    <s v="Actieplan VRI"/>
    <s v="Kleine Ingreep"/>
    <s v="WA/INV/N16/5"/>
    <b v="0"/>
    <s v="Ingreep wordt niet opgevolgd in BOD"/>
    <n v="2022"/>
    <s v="&lt;null&gt;"/>
    <s v="VRI"/>
    <s v="&lt;null&gt;"/>
    <n v="100"/>
    <n v="200000"/>
    <n v="200000"/>
  </r>
  <r>
    <x v="339"/>
    <x v="339"/>
    <s v="Verkeersveiligheid"/>
    <x v="1"/>
    <n v="380"/>
    <s v="IN/000344"/>
    <s v="Horizontale signalisatie aanpassen in Borsbeek : Herentalsebaan, Laarstraat, Reinaert, Singel, Tibert"/>
    <s v="Middeneiland oversteek"/>
    <s v="Kleine Ingreep"/>
    <s v="&lt;null&gt;"/>
    <b v="0"/>
    <s v="Ingreep wordt niet opgevolgd in BOD"/>
    <n v="2022"/>
    <s v="&lt;null&gt;"/>
    <s v="WEGENIS"/>
    <s v="&lt;null&gt;"/>
    <n v="100"/>
    <n v="150000"/>
    <n v="150000"/>
  </r>
  <r>
    <x v="339"/>
    <x v="339"/>
    <s v="Verkeersveiligheid"/>
    <x v="1"/>
    <n v="380"/>
    <s v="IN/000344"/>
    <s v="Horizontale signalisatie aanpassen in Borsbeek : Herentalsebaan, Laarstraat, Reinaert, Singel, Tibert"/>
    <s v="Middeneiland oversteek"/>
    <s v="Kleine Ingreep"/>
    <s v="&lt;null&gt;"/>
    <b v="0"/>
    <s v="Ingreep wordt niet opgevolgd in BOD"/>
    <s v="&lt;null&gt;"/>
    <s v="&lt;null&gt;"/>
    <s v="STUDIE"/>
    <s v="&lt;null&gt;"/>
    <n v="100"/>
    <n v="26250"/>
    <n v="26250"/>
  </r>
  <r>
    <x v="339"/>
    <x v="339"/>
    <s v="Verkeersveiligheid"/>
    <x v="1"/>
    <n v="380"/>
    <s v="IN/000344"/>
    <s v="Horizontale signalisatie aanpassen in Borsbeek : Herentalsebaan, Laarstraat, Reinaert, Singel, Tibert"/>
    <s v="Middeneiland oversteek"/>
    <s v="Kleine Ingreep"/>
    <s v="&lt;null&gt;"/>
    <b v="0"/>
    <s v="Ingreep wordt niet opgevolgd in BOD"/>
    <s v="&lt;null&gt;"/>
    <s v="&lt;null&gt;"/>
    <s v="OV"/>
    <s v="&lt;null&gt;"/>
    <n v="100"/>
    <n v="25000"/>
    <n v="25000"/>
  </r>
  <r>
    <x v="340"/>
    <x v="340"/>
    <s v="Verkeersveiligheid"/>
    <x v="4"/>
    <n v="380"/>
    <s v="IN/000344"/>
    <s v="Horizontale signalisatie aanpassen in Borsbeek : Herentalsebaan, Laarstraat, Reinaert, Singel, Tibert"/>
    <s v="Middeneiland oversteek"/>
    <s v="Kleine Ingreep"/>
    <s v="&lt;null&gt;"/>
    <b v="0"/>
    <s v="Ingreep wordt niet opgevolgd in BOD"/>
    <n v="2022"/>
    <s v="&lt;null&gt;"/>
    <s v="WEGENIS"/>
    <s v="&lt;null&gt;"/>
    <n v="0"/>
    <n v="150000"/>
    <n v="0"/>
  </r>
  <r>
    <x v="340"/>
    <x v="340"/>
    <s v="Verkeersveiligheid"/>
    <x v="4"/>
    <n v="380"/>
    <s v="IN/000344"/>
    <s v="Horizontale signalisatie aanpassen in Borsbeek : Herentalsebaan, Laarstraat, Reinaert, Singel, Tibert"/>
    <s v="Middeneiland oversteek"/>
    <s v="Kleine Ingreep"/>
    <s v="&lt;null&gt;"/>
    <b v="0"/>
    <s v="Ingreep wordt niet opgevolgd in BOD"/>
    <s v="&lt;null&gt;"/>
    <s v="&lt;null&gt;"/>
    <s v="STUDIE"/>
    <s v="&lt;null&gt;"/>
    <n v="0"/>
    <n v="26250"/>
    <n v="0"/>
  </r>
  <r>
    <x v="340"/>
    <x v="340"/>
    <s v="Verkeersveiligheid"/>
    <x v="4"/>
    <n v="380"/>
    <s v="IN/000344"/>
    <s v="Horizontale signalisatie aanpassen in Borsbeek : Herentalsebaan, Laarstraat, Reinaert, Singel, Tibert"/>
    <s v="Middeneiland oversteek"/>
    <s v="Kleine Ingreep"/>
    <s v="&lt;null&gt;"/>
    <b v="0"/>
    <s v="Ingreep wordt niet opgevolgd in BOD"/>
    <s v="&lt;null&gt;"/>
    <s v="&lt;null&gt;"/>
    <s v="OV"/>
    <s v="&lt;null&gt;"/>
    <n v="0"/>
    <n v="25000"/>
    <n v="0"/>
  </r>
  <r>
    <x v="341"/>
    <x v="341"/>
    <s v="Verkeersveiligheid"/>
    <x v="1"/>
    <n v="381"/>
    <s v="IN/000345"/>
    <s v="in Borsbeek : de Robianostraat, Frans Beirenslaan"/>
    <s v="Aanpassing VRI"/>
    <s v="Kleine Ingreep"/>
    <s v="&lt;null&gt;"/>
    <b v="0"/>
    <s v="Ingreep wordt niet opgevolgd in BOD"/>
    <s v="&lt;null&gt;"/>
    <s v="&lt;null&gt;"/>
    <s v="&lt;null&gt;"/>
    <s v="&lt;null&gt;"/>
    <n v="100"/>
    <m/>
    <m/>
  </r>
  <r>
    <x v="342"/>
    <x v="342"/>
    <s v="Verkeersveiligheid"/>
    <x v="1"/>
    <n v="382"/>
    <s v="IN/000346"/>
    <s v="in Brasschaat : Bredabaan, Van Hemelrijcklei"/>
    <s v="Aanpassen lichtenregeling"/>
    <s v="Kleine Ingreep"/>
    <s v="&lt;null&gt;"/>
    <b v="0"/>
    <s v="Ingreep wordt niet opgevolgd in BOD"/>
    <s v="&lt;null&gt;"/>
    <s v="&lt;null&gt;"/>
    <s v="&lt;null&gt;"/>
    <s v="&lt;null&gt;"/>
    <n v="100"/>
    <m/>
    <m/>
  </r>
  <r>
    <x v="343"/>
    <x v="343"/>
    <s v="Verkeersveiligheid"/>
    <x v="1"/>
    <n v="383"/>
    <s v="IN/000347"/>
    <s v="in Brasschaat : Bredabaan, Voshollei"/>
    <s v="VRI aanpassen (niet-conflictvrije linksaf)"/>
    <s v="Kleine Ingreep"/>
    <s v="&lt;null&gt;"/>
    <b v="0"/>
    <s v="Ingreep wordt niet opgevolgd in BOD"/>
    <s v="&lt;null&gt;"/>
    <s v="&lt;null&gt;"/>
    <s v="OV"/>
    <s v="&lt;null&gt;"/>
    <n v="100"/>
    <n v="50000"/>
    <n v="50000"/>
  </r>
  <r>
    <x v="343"/>
    <x v="343"/>
    <s v="Verkeersveiligheid"/>
    <x v="1"/>
    <n v="383"/>
    <s v="IN/000347"/>
    <s v="in Brasschaat : Bredabaan, Voshollei"/>
    <s v="VRI aanpassen (niet-conflictvrije linksaf)"/>
    <s v="Kleine Ingreep"/>
    <s v="&lt;null&gt;"/>
    <b v="0"/>
    <s v="Ingreep wordt niet opgevolgd in BOD"/>
    <n v="2023"/>
    <s v="&lt;null&gt;"/>
    <s v="VRI"/>
    <s v="&lt;null&gt;"/>
    <n v="100"/>
    <n v="250000"/>
    <n v="250000"/>
  </r>
  <r>
    <x v="344"/>
    <x v="344"/>
    <s v="Verkeersveiligheid"/>
    <x v="1"/>
    <n v="384"/>
    <s v="IN/000348"/>
    <s v="VRI: aanpassen lichtenregeling in Brasschaat : Armand Reusensplein, Augustijnslei, Bredabaan, Miksebaan RELANCE21"/>
    <s v="VLCC"/>
    <s v="Kleine Ingreep"/>
    <s v="WA/INV/N121/6"/>
    <b v="1"/>
    <s v="Ingreep wordt opgevolgd in BOD"/>
    <s v="&lt;null&gt;"/>
    <s v="&lt;null&gt;"/>
    <s v="WEGENIS"/>
    <s v="&lt;null&gt;"/>
    <n v="100"/>
    <n v="300000"/>
    <n v="300000"/>
  </r>
  <r>
    <x v="344"/>
    <x v="344"/>
    <s v="Verkeersveiligheid"/>
    <x v="1"/>
    <n v="384"/>
    <s v="IN/000348"/>
    <s v="VRI: aanpassen lichtenregeling in Brasschaat : Armand Reusensplein, Augustijnslei, Bredabaan, Miksebaan RELANCE21"/>
    <s v="VLCC"/>
    <s v="Kleine Ingreep"/>
    <s v="WA/INV/N121/6"/>
    <b v="1"/>
    <s v="Ingreep wordt opgevolgd in BOD"/>
    <s v="&lt;null&gt;"/>
    <s v="&lt;null&gt;"/>
    <s v="STUDIE"/>
    <s v="&lt;null&gt;"/>
    <n v="100"/>
    <n v="100000"/>
    <n v="100000"/>
  </r>
  <r>
    <x v="345"/>
    <x v="345"/>
    <s v="Verkeersveiligheid"/>
    <x v="1"/>
    <n v="385"/>
    <s v="IN/000349"/>
    <s v="in Brasschaat : Bredabaan, Essensteenweg, Sint Jobsesteenweg"/>
    <s v="Het kruispunt wordt compacter en we gaan van een 5-taks kruispunt naar een 4-taks kruispunt wat een positief effect zal hebben op de leesbaarheid en de veiligheid. Er zullen conform het actieplan van EVT ook zo veel mogelijk conflicten weggewerkt worden. "/>
    <s v="Structurele Ingreep"/>
    <s v="WA/INV/N001/2"/>
    <b v="0"/>
    <s v="Ingreep wordt niet opgevolgd in BOD"/>
    <s v="&lt;null&gt;"/>
    <s v="&lt;null&gt;"/>
    <s v="VRI"/>
    <s v="&lt;null&gt;"/>
    <n v="100"/>
    <n v="200000"/>
    <n v="200000"/>
  </r>
  <r>
    <x v="345"/>
    <x v="345"/>
    <s v="Verkeersveiligheid"/>
    <x v="1"/>
    <n v="385"/>
    <s v="IN/000349"/>
    <s v="in Brasschaat : Bredabaan, Essensteenweg, Sint Jobsesteenweg"/>
    <s v="Het kruispunt wordt compacter en we gaan van een 5-taks kruispunt naar een 4-taks kruispunt wat een positief effect zal hebben op de leesbaarheid en de veiligheid. Er zullen conform het actieplan van EVT ook zo veel mogelijk conflicten weggewerkt worden. "/>
    <s v="Structurele Ingreep"/>
    <s v="WA/INV/N001/2"/>
    <b v="0"/>
    <s v="Ingreep wordt niet opgevolgd in BOD"/>
    <s v="&lt;null&gt;"/>
    <s v="&lt;null&gt;"/>
    <s v="WEGENIS"/>
    <s v="&lt;null&gt;"/>
    <n v="100"/>
    <n v="380000"/>
    <n v="380000"/>
  </r>
  <r>
    <x v="346"/>
    <x v="346"/>
    <s v="Verkeersveiligheid"/>
    <x v="1"/>
    <n v="386"/>
    <s v="IN/000350"/>
    <s v="VRI: aanpassen lichtenregeling in Bree : Gruitroderkiezel, Kloosterpoort, Rode Kruislaan"/>
    <s v="Aanpassen lichtenregeling"/>
    <s v="Kleine Ingreep"/>
    <s v="WL/INV/N73/18"/>
    <b v="0"/>
    <s v="Ingreep wordt niet opgevolgd in BOD"/>
    <s v="&lt;null&gt;"/>
    <s v="&lt;null&gt;"/>
    <s v="VRI"/>
    <s v="&lt;null&gt;"/>
    <n v="100"/>
    <n v="150000"/>
    <n v="150000"/>
  </r>
  <r>
    <x v="346"/>
    <x v="346"/>
    <s v="Verkeersveiligheid"/>
    <x v="1"/>
    <n v="386"/>
    <s v="IN/000350"/>
    <s v="VRI: aanpassen lichtenregeling in Bree : Gruitroderkiezel, Kloosterpoort, Rode Kruislaan"/>
    <s v="Aanpassen lichtenregeling"/>
    <s v="Kleine Ingreep"/>
    <s v="WL/INV/N73/18"/>
    <b v="0"/>
    <s v="Ingreep wordt niet opgevolgd in BOD"/>
    <n v="2022"/>
    <s v="&lt;null&gt;"/>
    <s v="WEGENIS"/>
    <s v="&lt;null&gt;"/>
    <n v="100"/>
    <n v="150000"/>
    <n v="150000"/>
  </r>
  <r>
    <x v="347"/>
    <x v="347"/>
    <s v="Verkeersveiligheid"/>
    <x v="1"/>
    <n v="387"/>
    <s v="IN/000351"/>
    <s v="Horizontale signalisatie aanpassen in Bree : Hamonterweg, Sportlaan"/>
    <s v="Aanpassing markeringen, signalisatie en zichtbaarheid (reeds uitgevoerd in 2020).  SNC's (historische lijst)"/>
    <s v="Kleine Ingreep"/>
    <s v="WL/INV/NX/2"/>
    <b v="0"/>
    <s v="Ingreep wordt niet opgevolgd in BOD"/>
    <n v="2021"/>
    <s v="&lt;null&gt;"/>
    <s v="WEGENIS"/>
    <s v="&lt;null&gt;"/>
    <n v="100"/>
    <n v="100000"/>
    <n v="100000"/>
  </r>
  <r>
    <x v="347"/>
    <x v="347"/>
    <s v="Verkeersveiligheid"/>
    <x v="1"/>
    <n v="387"/>
    <s v="IN/000351"/>
    <s v="Horizontale signalisatie aanpassen in Bree : Hamonterweg, Sportlaan"/>
    <s v="Aanpassing markeringen, signalisatie en zichtbaarheid (reeds uitgevoerd in 2020).  SNC's (historische lijst)"/>
    <s v="Kleine Ingreep"/>
    <s v="WL/INV/NX/2"/>
    <b v="0"/>
    <s v="Ingreep wordt niet opgevolgd in BOD"/>
    <s v="&lt;null&gt;"/>
    <s v="&lt;null&gt;"/>
    <s v="STUDIE"/>
    <s v="&lt;null&gt;"/>
    <n v="100"/>
    <n v="20000"/>
    <n v="20000"/>
  </r>
  <r>
    <x v="348"/>
    <x v="348"/>
    <s v="Verkeersveiligheid"/>
    <x v="1"/>
    <n v="388"/>
    <s v="IN/000352"/>
    <s v="in Bree : Maalbosstraat, Rode Kruislaan"/>
    <s v="niet gedefinieerd"/>
    <s v="Kleine Ingreep"/>
    <s v="WL/INV/N73/26"/>
    <b v="0"/>
    <s v="Ingreep wordt niet opgevolgd in BOD"/>
    <n v="2021"/>
    <s v="Q1"/>
    <s v="WEGENIS"/>
    <s v="&lt;null&gt;"/>
    <n v="100"/>
    <n v="1"/>
    <n v="1"/>
  </r>
  <r>
    <x v="349"/>
    <x v="349"/>
    <s v="Verkeersveiligheid"/>
    <x v="1"/>
    <n v="389"/>
    <s v="IN/000353"/>
    <s v="VRI: nieuwe installatie plaatsen in Brugge : Ten Briele, Spoorwegstraat, Leisellestraat, Gasenbrootlaan, Spoorwegstraat"/>
    <s v="Rotonde weg en lichten plaatsen"/>
    <s v="Kleine Ingreep"/>
    <s v="WWV/INV/N342/5"/>
    <b v="1"/>
    <s v="Ingreep wordt opgevolgd in BOD"/>
    <n v="2022"/>
    <s v="Q4"/>
    <s v="VRI"/>
    <s v="&lt;null&gt;"/>
    <n v="100"/>
    <n v="200000"/>
    <n v="200000"/>
  </r>
  <r>
    <x v="349"/>
    <x v="349"/>
    <s v="Verkeersveiligheid"/>
    <x v="1"/>
    <n v="389"/>
    <s v="IN/000353"/>
    <s v="VRI: nieuwe installatie plaatsen in Brugge : Ten Briele, Spoorwegstraat, Leisellestraat, Gasenbrootlaan, Spoorwegstraat"/>
    <s v="Rotonde weg en lichten plaatsen"/>
    <s v="Kleine Ingreep"/>
    <s v="WWV/INV/N342/5"/>
    <b v="1"/>
    <s v="Ingreep wordt opgevolgd in BOD"/>
    <n v="2022"/>
    <s v="Q4"/>
    <s v="WEGENIS"/>
    <s v="&lt;null&gt;"/>
    <n v="100"/>
    <n v="600000"/>
    <n v="600000"/>
  </r>
  <r>
    <x v="349"/>
    <x v="349"/>
    <s v="Verkeersveiligheid"/>
    <x v="1"/>
    <n v="389"/>
    <s v="IN/000353"/>
    <s v="VRI: nieuwe installatie plaatsen in Brugge : Ten Briele, Spoorwegstraat, Leisellestraat, Gasenbrootlaan, Spoorwegstraat"/>
    <s v="Rotonde weg en lichten plaatsen"/>
    <s v="Kleine Ingreep"/>
    <s v="WWV/INV/N342/5"/>
    <b v="1"/>
    <s v="Ingreep wordt opgevolgd in BOD"/>
    <n v="2022"/>
    <s v="Q3"/>
    <s v="STUDIE"/>
    <s v="&lt;null&gt;"/>
    <n v="100"/>
    <n v="85000"/>
    <n v="85000"/>
  </r>
  <r>
    <x v="350"/>
    <x v="350"/>
    <s v="Verkeersveiligheid"/>
    <x v="1"/>
    <n v="390"/>
    <s v="IN/000354"/>
    <s v="REEDS UITGEVOERD Brugge : Bevrijdingslaan, N31 Richting Oostkamp (A10), N31 Richting Zeebrugge"/>
    <s v="Ongelijkgrondse kruising -"/>
    <s v="Structurele Ingreep"/>
    <s v="&lt;null&gt;"/>
    <b v="0"/>
    <s v="Ingreep wordt niet opgevolgd in BOD"/>
    <s v="&lt;null&gt;"/>
    <s v="&lt;null&gt;"/>
    <s v="&lt;null&gt;"/>
    <s v="&lt;null&gt;"/>
    <n v="100"/>
    <m/>
    <m/>
  </r>
  <r>
    <x v="351"/>
    <x v="351"/>
    <s v="Verkeersveiligheid"/>
    <x v="1"/>
    <n v="391"/>
    <s v="IN/000355"/>
    <s v="R30 - brugge STudie kruispunt Gentpoort"/>
    <s v="simulatie uitgevoerd. Invoeren éénrichting stuk Generaal Lemanlaan, uitrusten VRI krpt Nijverheidsstraat, aparte fietsfase dwars op R30, ... zie ook 33866\nAanpassen kruisingen nav onderzoek door Buro Move - Suunta en toegelicht aan stad Brugge op 16/01/1"/>
    <s v="Structurele Ingreep"/>
    <s v="WWV/INV/R30/4"/>
    <b v="0"/>
    <s v="Ingreep wordt niet opgevolgd in BOD"/>
    <n v="2023"/>
    <s v="&lt;null&gt;"/>
    <s v="OVERIGE"/>
    <s v="&lt;null&gt;"/>
    <n v="50"/>
    <n v="2000000"/>
    <n v="1000000"/>
  </r>
  <r>
    <x v="352"/>
    <x v="352"/>
    <s v="Verkeersveiligheid"/>
    <x v="1"/>
    <n v="391"/>
    <s v="IN/000355"/>
    <s v="R30 - brugge STudie kruispunt Gentpoort"/>
    <s v="simulatie uitgevoerd. Invoeren éénrichting stuk Generaal Lemanlaan, uitrusten VRI krpt Nijverheidsstraat, aparte fietsfase dwars op R30, ... zie ook 33866\nAanpassen kruisingen nav onderzoek door Buro Move - Suunta en toegelicht aan stad Brugge op 16/01/1"/>
    <s v="Structurele Ingreep"/>
    <s v="WWV/INV/R30/4"/>
    <b v="0"/>
    <s v="Ingreep wordt niet opgevolgd in BOD"/>
    <n v="2023"/>
    <s v="&lt;null&gt;"/>
    <s v="OVERIGE"/>
    <s v="&lt;null&gt;"/>
    <n v="50"/>
    <n v="2000000"/>
    <n v="1000000"/>
  </r>
  <r>
    <x v="353"/>
    <x v="353"/>
    <s v="Verkeersveiligheid"/>
    <x v="1"/>
    <n v="392"/>
    <s v="IN/000356"/>
    <s v="in Brugge : Leopold II-laan, Leopold I-laan, Scheepsdalelaan"/>
    <s v="Aanpassen lichtenregeling. omleggen fietspaden en voorzien van een aparte fietsfase voor het fietsverkeer langs de N9. Zodra mogelijk invoeren vierkant groen.\nJan 21: uitvoering bezig, afgerond rond april\nAug 21: rode coating + laatste markeringswerken "/>
    <s v="Kleine Ingreep"/>
    <s v="WWV/INV/N9/3"/>
    <b v="0"/>
    <s v="Ingreep wordt niet opgevolgd in BOD"/>
    <n v="2021"/>
    <s v="Q3"/>
    <s v="WEGENIS"/>
    <s v="Aanleg fietspaden ifv vierkant groen"/>
    <n v="100"/>
    <n v="120000"/>
    <n v="120000"/>
  </r>
  <r>
    <x v="353"/>
    <x v="353"/>
    <s v="Verkeersveiligheid"/>
    <x v="1"/>
    <n v="392"/>
    <s v="IN/000356"/>
    <s v="in Brugge : Leopold II-laan, Leopold I-laan, Scheepsdalelaan"/>
    <s v="Aanpassen lichtenregeling. omleggen fietspaden en voorzien van een aparte fietsfase voor het fietsverkeer langs de N9. Zodra mogelijk invoeren vierkant groen.\nJan 21: uitvoering bezig, afgerond rond april\nAug 21: rode coating + laatste markeringswerken "/>
    <s v="Kleine Ingreep"/>
    <s v="WWV/INV/N9/3"/>
    <b v="0"/>
    <s v="Ingreep wordt niet opgevolgd in BOD"/>
    <n v="2021"/>
    <s v="Q3"/>
    <s v="VRI"/>
    <s v="V-plan V16778v08 indienstname 23/09/2021"/>
    <n v="100"/>
    <n v="50000"/>
    <n v="50000"/>
  </r>
  <r>
    <x v="354"/>
    <x v="354"/>
    <s v="Verkeersveiligheid"/>
    <x v="1"/>
    <n v="393"/>
    <s v="IN/000357"/>
    <s v="in Brugge : Expresweg, Gistelse Steenweg, N31 Richting Zeebrugge"/>
    <s v="aanpassing hoeken kruispunt (oa extra afslagstrook en opstelruimte creeëren voor fietsers en voetgangers), wijziging VRI (deels conflictvrij voor fietsers). aansluitend op werken geluidsmuren, mogelijks 2022"/>
    <s v="Kleine Ingreep"/>
    <s v="WWV/INV/N31/6"/>
    <b v="1"/>
    <s v="Ingreep wordt opgevolgd in BOD"/>
    <n v="2023"/>
    <s v="Q1"/>
    <s v="WEGENIS"/>
    <s v="onteigening in procedure"/>
    <n v="100"/>
    <n v="375000"/>
    <n v="375000"/>
  </r>
  <r>
    <x v="354"/>
    <x v="354"/>
    <s v="Verkeersveiligheid"/>
    <x v="1"/>
    <n v="393"/>
    <s v="IN/000357"/>
    <s v="in Brugge : Expresweg, Gistelse Steenweg, N31 Richting Zeebrugge"/>
    <s v="aanpassing hoeken kruispunt (oa extra afslagstrook en opstelruimte creeëren voor fietsers en voetgangers), wijziging VRI (deels conflictvrij voor fietsers). aansluitend op werken geluidsmuren, mogelijks 2022"/>
    <s v="Kleine Ingreep"/>
    <s v="WWV/INV/N31/6"/>
    <b v="1"/>
    <s v="Ingreep wordt opgevolgd in BOD"/>
    <n v="2022"/>
    <s v="Q4"/>
    <s v="VRI"/>
    <s v="&lt;null&gt;"/>
    <n v="100"/>
    <n v="150000"/>
    <n v="150000"/>
  </r>
  <r>
    <x v="18"/>
    <x v="18"/>
    <s v="&lt;null&gt;"/>
    <x v="3"/>
    <n v="394"/>
    <s v="IN/000358"/>
    <s v="in Brugge : Expresweg, Gistelse Steenweg, N31 Richting Zeebrugge"/>
    <s v="aanpassing hoeken kruispunt (oa extra afslagstrook en opstelruimte creeëren voor fietsers en voetgangers), wijziging VRI (deels conflictvrij voor fietsers). aansluitend op werken geluidsmuren, mogelijks 2022"/>
    <s v="Kleine Ingreep"/>
    <s v="&lt;null&gt;"/>
    <b v="0"/>
    <s v="Ingreep wordt niet opgevolgd in BOD"/>
    <s v="&lt;null&gt;"/>
    <s v="&lt;null&gt;"/>
    <s v="&lt;null&gt;"/>
    <s v="&lt;null&gt;"/>
    <m/>
    <m/>
    <m/>
  </r>
  <r>
    <x v="355"/>
    <x v="355"/>
    <s v="Verkeersveiligheid"/>
    <x v="1"/>
    <n v="395"/>
    <s v="IN/000359"/>
    <s v="GEEN E1 KLEINE INGREEP in Brugge : Gistelse Steenweg, Jan Britostraat, Robr. van Vlaanderenlaan"/>
    <s v="studie N367 Sint-Andries is lopende"/>
    <s v="Structurele Ingreep"/>
    <s v="&lt;null&gt;"/>
    <b v="0"/>
    <s v="Ingreep wordt niet opgevolgd in BOD"/>
    <s v="&lt;null&gt;"/>
    <s v="&lt;null&gt;"/>
    <s v="&lt;null&gt;"/>
    <s v="&lt;null&gt;"/>
    <n v="100"/>
    <m/>
    <m/>
  </r>
  <r>
    <x v="356"/>
    <x v="356"/>
    <s v="Verkeersveiligheid"/>
    <x v="1"/>
    <n v="396"/>
    <s v="IN/000360"/>
    <s v="in Brugge : Buiten Kruisvest, Dampoortstraat, Potterierei"/>
    <s v="uitvoering pcv, aanpassing cyclus, aanpassen fietsvoorzieningen (stuk nieuw fietspad, accentueren FP, ...)"/>
    <s v="Kleine Ingreep"/>
    <s v="&lt;null&gt;"/>
    <b v="0"/>
    <s v="Ingreep wordt niet opgevolgd in BOD"/>
    <s v="&lt;null&gt;"/>
    <s v="&lt;null&gt;"/>
    <s v="&lt;null&gt;"/>
    <s v="&lt;null&gt;"/>
    <n v="100"/>
    <m/>
    <m/>
  </r>
  <r>
    <x v="357"/>
    <x v="357"/>
    <s v="Verkeersveiligheid"/>
    <x v="1"/>
    <n v="397"/>
    <s v="IN/000361"/>
    <s v="in Brugge : Buiten Begijnenvest, Oostmeers, Stationsplein"/>
    <s v="VRI aangepast (maar beperkt effect op de gebeurde ongevallen)"/>
    <s v="Kleine Ingreep"/>
    <s v="WWV/INV/R30/12"/>
    <b v="0"/>
    <s v="Ingreep wordt niet opgevolgd in BOD"/>
    <s v="&lt;null&gt;"/>
    <s v="&lt;null&gt;"/>
    <s v="VRI"/>
    <s v="&lt;null&gt;"/>
    <n v="100"/>
    <n v="1"/>
    <n v="1"/>
  </r>
  <r>
    <x v="357"/>
    <x v="357"/>
    <s v="Verkeersveiligheid"/>
    <x v="1"/>
    <n v="398"/>
    <s v="IN/000362"/>
    <s v="in Brugge : Buiten Begijnenvest, Oostmeers, Stationsplein"/>
    <s v="Simulaties voor invoering actieplan afgerond (KT), waaruit mogelijkheid voor conflictvrije fietsfase langs R30 moet blijken. Parallel studie fiets-voetgangersbrug over R30 wordt opgestart (dd juni 2020) (MLT)"/>
    <s v="Structurele Ingreep"/>
    <s v="WWV/INV/R30/2"/>
    <b v="0"/>
    <s v="Ingreep wordt niet opgevolgd in BOD"/>
    <n v="2024"/>
    <s v="&lt;null&gt;"/>
    <s v="OVERIGE"/>
    <s v="&lt;null&gt;"/>
    <n v="100"/>
    <n v="6500000"/>
    <n v="6500000"/>
  </r>
  <r>
    <x v="358"/>
    <x v="358"/>
    <s v="Verkeersveiligheid"/>
    <x v="1"/>
    <n v="399"/>
    <s v="IN/000363"/>
    <s v="in Brugge : Blankenbergse Steenweg, Scheepsdalelaan, Sint-Pieterskaai, Steenkaai"/>
    <s v="Vierkant groen op kruispunt Scheepsdalebrug. \nInfrastructurele aanpassingen aan het kruispunt (VRI en wegenis) met de Houtkaai.\n\n"/>
    <s v="Kleine Ingreep"/>
    <s v="WWV/INV/N9/4"/>
    <b v="1"/>
    <s v="Ingreep wordt opgevolgd in BOD"/>
    <n v="2022"/>
    <s v="Q3"/>
    <s v="VRI"/>
    <s v="realisatie tegen 15/10/2022"/>
    <n v="100"/>
    <n v="200000"/>
    <n v="200000"/>
  </r>
  <r>
    <x v="358"/>
    <x v="358"/>
    <s v="Verkeersveiligheid"/>
    <x v="1"/>
    <n v="399"/>
    <s v="IN/000363"/>
    <s v="in Brugge : Blankenbergse Steenweg, Scheepsdalelaan, Sint-Pieterskaai, Steenkaai"/>
    <s v="Vierkant groen op kruispunt Scheepsdalebrug. \nInfrastructurele aanpassingen aan het kruispunt (VRI en wegenis) met de Houtkaai.\n\n"/>
    <s v="Kleine Ingreep"/>
    <s v="WWV/INV/N9/4"/>
    <b v="1"/>
    <s v="Ingreep wordt opgevolgd in BOD"/>
    <n v="2022"/>
    <s v="Q3"/>
    <s v="WEGENIS"/>
    <s v="realisatie tegen 15/10/2022"/>
    <n v="100"/>
    <n v="130000"/>
    <n v="130000"/>
  </r>
  <r>
    <x v="359"/>
    <x v="359"/>
    <s v="Verkeersveiligheid"/>
    <x v="1"/>
    <n v="400"/>
    <s v="IN/000364"/>
    <s v="VRI: aanpassen lichtenregeling in Brugge : Buiten De Kruispoort, Buiten Kazernevest, Buiten Kruisvest, Langestraat, Moerkerkse Steenweg"/>
    <s v="Aanpassen lichtenregeling"/>
    <s v="Kleine Ingreep"/>
    <s v="&lt;null&gt;"/>
    <b v="0"/>
    <s v="Ingreep wordt niet opgevolgd in BOD"/>
    <n v="2021"/>
    <s v="Q1"/>
    <s v="VRI"/>
    <s v="V-plan V015980v11 indienstname 05/02/2021"/>
    <n v="100"/>
    <n v="50000"/>
    <n v="50000"/>
  </r>
  <r>
    <x v="359"/>
    <x v="359"/>
    <s v="Verkeersveiligheid"/>
    <x v="1"/>
    <n v="401"/>
    <s v="IN/000365"/>
    <s v="VRI: aanpassen lichtenregeling in Brugge : Buiten De Kruispoort, Buiten Kazernevest, Buiten Kruisvest, Langestraat, Moerkerkse Steenweg"/>
    <s v="Infrastructurele wijzigingen. Aanleg tweede kruispoortbrug.\nOpdrachtgever studiefase: DVW (contactpersoon = Jonas Fahy)"/>
    <s v="Kleine Ingreep"/>
    <s v="&lt;null&gt;"/>
    <b v="0"/>
    <s v="Ingreep wordt niet opgevolgd in BOD"/>
    <s v="&lt;null&gt;"/>
    <s v="&lt;null&gt;"/>
    <s v="&lt;null&gt;"/>
    <s v="&lt;null&gt;"/>
    <n v="100"/>
    <m/>
    <m/>
  </r>
  <r>
    <x v="360"/>
    <x v="360"/>
    <s v="Verkeersveiligheid"/>
    <x v="1"/>
    <n v="402"/>
    <s v="IN/000366"/>
    <s v="Fietspad: coating in Brugge : Gistelse Steenweg, Korte Vesting"/>
    <s v="accentueren fietspaden"/>
    <s v="Kleine Ingreep"/>
    <s v="&lt;null&gt;"/>
    <b v="0"/>
    <s v="Ingreep wordt niet opgevolgd in BOD"/>
    <n v="2021"/>
    <s v="Q2"/>
    <s v="WEGENIS"/>
    <s v="&lt;null&gt;"/>
    <n v="100"/>
    <n v="2732"/>
    <n v="2732"/>
  </r>
  <r>
    <x v="18"/>
    <x v="18"/>
    <s v="&lt;null&gt;"/>
    <x v="3"/>
    <n v="403"/>
    <s v="IN/000367"/>
    <s v="Fietspad: coating in Brugge : Gistelse Steenweg, Korte Vesting"/>
    <s v="herinrichten wegvak Phare- Smedenpoort &gt; studie moet nog worden opgestart"/>
    <s v="Kleine Ingreep"/>
    <s v="&lt;null&gt;"/>
    <b v="0"/>
    <s v="Ingreep wordt niet opgevolgd in BOD"/>
    <s v="&lt;null&gt;"/>
    <s v="&lt;null&gt;"/>
    <s v="&lt;null&gt;"/>
    <s v="&lt;null&gt;"/>
    <m/>
    <m/>
    <m/>
  </r>
  <r>
    <x v="361"/>
    <x v="361"/>
    <s v="Verkeersveiligheid"/>
    <x v="1"/>
    <n v="404"/>
    <s v="IN/000368"/>
    <s v="in Brugge : Sint-Baafsstraat, Torhoutse Steenweg"/>
    <s v="accentueren fietspad"/>
    <s v="Kleine Ingreep"/>
    <s v="&lt;null&gt;"/>
    <b v="0"/>
    <s v="Ingreep wordt niet opgevolgd in BOD"/>
    <n v="2021"/>
    <s v="Q1"/>
    <s v="WEGENIS"/>
    <s v="Uitgevoerd voor 2020"/>
    <n v="100"/>
    <n v="1000"/>
    <n v="1000"/>
  </r>
  <r>
    <x v="362"/>
    <x v="362"/>
    <s v="Verkeersveiligheid"/>
    <x v="1"/>
    <n v="405"/>
    <s v="IN/000369"/>
    <s v="in Brugge : Krakeleweg, Sint-Pieterskaai"/>
    <s v="Afsluiten zijstraat"/>
    <s v="Kleine Ingreep"/>
    <s v="WWV/INV/R30/13"/>
    <b v="1"/>
    <s v="Ingreep wordt opgevolgd in BOD"/>
    <n v="2022"/>
    <s v="&lt;null&gt;"/>
    <s v="WEGENIS"/>
    <s v="&lt;null&gt;"/>
    <n v="100"/>
    <n v="5000"/>
    <n v="5000"/>
  </r>
  <r>
    <x v="362"/>
    <x v="362"/>
    <s v="Verkeersveiligheid"/>
    <x v="1"/>
    <n v="405"/>
    <s v="IN/000369"/>
    <s v="in Brugge : Krakeleweg, Sint-Pieterskaai"/>
    <s v="Afsluiten zijstraat"/>
    <s v="Kleine Ingreep"/>
    <s v="WWV/INV/R30/13"/>
    <b v="1"/>
    <s v="Ingreep wordt opgevolgd in BOD"/>
    <n v="2022"/>
    <s v="&lt;null&gt;"/>
    <s v="VRI"/>
    <s v="&lt;null&gt;"/>
    <n v="100"/>
    <n v="10000"/>
    <n v="10000"/>
  </r>
  <r>
    <x v="362"/>
    <x v="362"/>
    <s v="Verkeersveiligheid"/>
    <x v="1"/>
    <n v="406"/>
    <s v="IN/000370"/>
    <s v="in Brugge : Krakeleweg, Sint-Pieterskaai"/>
    <s v="Dubbelrichtingsfietspad zonder aanpassing lichtenregeling, zijstraat wordt enkelrichting."/>
    <s v="Kleine Ingreep"/>
    <s v="&lt;null&gt;"/>
    <b v="0"/>
    <s v="Ingreep wordt niet opgevolgd in BOD"/>
    <s v="&lt;null&gt;"/>
    <s v="&lt;null&gt;"/>
    <s v="&lt;null&gt;"/>
    <s v="&lt;null&gt;"/>
    <n v="100"/>
    <m/>
    <m/>
  </r>
  <r>
    <x v="363"/>
    <x v="363"/>
    <s v="Verkeersveiligheid"/>
    <x v="1"/>
    <n v="407"/>
    <s v="IN/000371"/>
    <s v="in Brugge : Doornhut, Maalse Steenweg, Vossensteert"/>
    <s v="Aanpassing VRI"/>
    <s v="Kleine Ingreep"/>
    <s v="&lt;null&gt;"/>
    <b v="0"/>
    <s v="Ingreep wordt niet opgevolgd in BOD"/>
    <s v="&lt;null&gt;"/>
    <s v="&lt;null&gt;"/>
    <s v="&lt;null&gt;"/>
    <s v="&lt;null&gt;"/>
    <n v="100"/>
    <m/>
    <m/>
  </r>
  <r>
    <x v="364"/>
    <x v="364"/>
    <s v="Verkeersveiligheid"/>
    <x v="1"/>
    <n v="408"/>
    <s v="IN/000372"/>
    <s v="in Brugge : Baron Ruzettelaan, Buiten Gentpoortvest, Buiten Katelijnevest, Katelijnestraat, R30 Buitenring"/>
    <s v="V-plan opgemaakt 20/12/18. Belangrijkste conflict voor fietsers weg"/>
    <s v="Kleine Ingreep"/>
    <s v="&lt;null&gt;"/>
    <b v="0"/>
    <s v="Ingreep wordt niet opgevolgd in BOD"/>
    <s v="&lt;null&gt;"/>
    <s v="&lt;null&gt;"/>
    <s v="&lt;null&gt;"/>
    <s v="&lt;null&gt;"/>
    <n v="100"/>
    <m/>
    <m/>
  </r>
  <r>
    <x v="352"/>
    <x v="352"/>
    <s v="Verkeersveiligheid"/>
    <x v="1"/>
    <n v="409"/>
    <s v="IN/000373"/>
    <s v="in Brugge : Generaal Lemanlaan, N337a Verbinding R30 - N337, Nijverheidsstraat"/>
    <s v="Stopstreep verbindingsweg x N337 + rode coating op fietspad over Nijverheidsstraat (14/08/2019)"/>
    <s v="Kleine Ingreep"/>
    <s v="WWV/INV/N337/5"/>
    <b v="0"/>
    <s v="Ingreep wordt niet opgevolgd in BOD"/>
    <s v="&lt;null&gt;"/>
    <s v="&lt;null&gt;"/>
    <s v="OVERIGE"/>
    <s v="&lt;null&gt;"/>
    <n v="100"/>
    <n v="10000"/>
    <n v="10000"/>
  </r>
  <r>
    <x v="18"/>
    <x v="18"/>
    <s v="&lt;null&gt;"/>
    <x v="3"/>
    <n v="410"/>
    <s v="IN/000374"/>
    <s v="in Brugge : Generaal Lemanlaan, N337a Verbinding R30 - N337, Nijverheidsstraat"/>
    <s v="Aanpassen kruisingen nav onderzoek door Buro Move - Suunta en toegelicht aan stad Brugge op 16/01/19. Simulaties Sweco uitgevoerd en goedgekeurd. Detailontwerp in opmaak (19/6/19). Ggk op PCV 29/4/2020."/>
    <s v="Kleine Ingreep"/>
    <s v="&lt;null&gt;"/>
    <b v="0"/>
    <s v="Ingreep wordt niet opgevolgd in BOD"/>
    <n v="2023"/>
    <s v="Q1"/>
    <s v="WEGENIS"/>
    <s v="&lt;null&gt;"/>
    <m/>
    <n v="2000000"/>
    <m/>
  </r>
  <r>
    <x v="18"/>
    <x v="18"/>
    <s v="&lt;null&gt;"/>
    <x v="3"/>
    <n v="410"/>
    <s v="IN/000374"/>
    <s v="in Brugge : Generaal Lemanlaan, N337a Verbinding R30 - N337, Nijverheidsstraat"/>
    <s v="Aanpassen kruisingen nav onderzoek door Buro Move - Suunta en toegelicht aan stad Brugge op 16/01/19. Simulaties Sweco uitgevoerd en goedgekeurd. Detailontwerp in opmaak (19/6/19). Ggk op PCV 29/4/2020."/>
    <s v="Kleine Ingreep"/>
    <s v="&lt;null&gt;"/>
    <b v="0"/>
    <s v="Ingreep wordt niet opgevolgd in BOD"/>
    <n v="2023"/>
    <s v="Q1"/>
    <s v="VRI"/>
    <s v="V-plan V012346"/>
    <m/>
    <n v="175000"/>
    <m/>
  </r>
  <r>
    <x v="365"/>
    <x v="365"/>
    <s v="Verkeersveiligheid"/>
    <x v="1"/>
    <n v="411"/>
    <s v="IN/000375"/>
    <s v="in Brugge : Gistelse Steenweg, burggraaf de Nieulantlaan"/>
    <s v="studie N367 Sint-Andries is lopende"/>
    <s v="Kleine Ingreep"/>
    <s v="&lt;null&gt;"/>
    <b v="0"/>
    <s v="Ingreep wordt niet opgevolgd in BOD"/>
    <n v="2024"/>
    <s v="&lt;null&gt;"/>
    <s v="OVERIGE"/>
    <s v="&lt;null&gt;"/>
    <n v="100"/>
    <n v="5000000"/>
    <n v="5000000"/>
  </r>
  <r>
    <x v="366"/>
    <x v="366"/>
    <s v="Verkeersveiligheid"/>
    <x v="1"/>
    <n v="412"/>
    <s v="IN/000376"/>
    <s v="in Brugge : Bevrijdingslaan, Guido Gezellelaan, Gulden-Vlieslaan, Hoefijzerlaan, Pater Damiaanstraat"/>
    <s v="oplossing voor fiets-fiets-ongevallen op de hoek met de Damiaanstraat. Verbeteren zichtbaarheid."/>
    <s v="Kleine Ingreep"/>
    <s v="&lt;null&gt;"/>
    <b v="0"/>
    <s v="Ingreep wordt niet opgevolgd in BOD"/>
    <n v="2019"/>
    <s v="Q4"/>
    <s v="VRI"/>
    <s v="V-plan  V14235/20 indienstname 30/10/2019"/>
    <n v="100"/>
    <n v="70000"/>
    <n v="70000"/>
  </r>
  <r>
    <x v="367"/>
    <x v="367"/>
    <s v="Verkeersveiligheid"/>
    <x v="1"/>
    <n v="413"/>
    <s v="IN/000377"/>
    <s v="in Brugge : Buiten Begijnenvest, Chantrellstraat, Hendrik Brugmansstraat"/>
    <s v="Simulaties voor invoering actieplan afgerond (KT), waaruit mogelijkheid voor conflictvrije fietsfase langs R30 moet blijken. Parallel studie fiets-voetgangersbrug over R30 wordt opgestart (dd juni 2020) (MLT)"/>
    <s v="Kleine Ingreep"/>
    <s v="&lt;null&gt;"/>
    <b v="0"/>
    <s v="Ingreep wordt niet opgevolgd in BOD"/>
    <n v="2024"/>
    <s v="&lt;null&gt;"/>
    <s v="OVERIGE"/>
    <s v="&lt;null&gt;"/>
    <n v="100"/>
    <n v="3350000"/>
    <n v="3350000"/>
  </r>
  <r>
    <x v="368"/>
    <x v="368"/>
    <s v="Verkeersveiligheid"/>
    <x v="1"/>
    <n v="414"/>
    <s v="IN/000378"/>
    <s v="in De Haan : Brugse Baan, Clemensheulestraat, Duiveketestraat"/>
    <s v="TC geplaatst \nEventueel: Uitvoerig PCV beslissing (middengeleiders, aanpassing bushaltes, accentueren fietspaden, ....)\nTiming afhankelijk van coronamaatregelen. Uitvoering voorzien in stockbestek dit jaar."/>
    <s v="Kleine Ingreep"/>
    <s v="&lt;null&gt;"/>
    <b v="0"/>
    <s v="Ingreep wordt niet opgevolgd in BOD"/>
    <s v="&lt;null&gt;"/>
    <s v="&lt;null&gt;"/>
    <s v="&lt;null&gt;"/>
    <s v="&lt;null&gt;"/>
    <n v="100"/>
    <m/>
    <m/>
  </r>
  <r>
    <x v="369"/>
    <x v="369"/>
    <s v="Verkeersveiligheid"/>
    <x v="1"/>
    <n v="415"/>
    <s v="IN/000379"/>
    <s v="in De Panne : N34 Richting De Panne"/>
    <s v="parkeren onmogelijk maken zijde Hoeve Noord om de zichtbaarheid bij het uitrijden te verbeteren."/>
    <s v="Kleine Ingreep"/>
    <s v="&lt;null&gt;"/>
    <b v="0"/>
    <s v="Ingreep wordt niet opgevolgd in BOD"/>
    <s v="&lt;null&gt;"/>
    <s v="&lt;null&gt;"/>
    <s v="&lt;null&gt;"/>
    <s v="&lt;null&gt;"/>
    <n v="100"/>
    <m/>
    <m/>
  </r>
  <r>
    <x v="369"/>
    <x v="369"/>
    <s v="Verkeersveiligheid"/>
    <x v="1"/>
    <n v="416"/>
    <s v="IN/000380"/>
    <s v="in De Panne : N34 Richting De Panne"/>
    <s v="omleidingsweg Adinkerke (uitgebreide werken)"/>
    <s v="Structurele Ingreep"/>
    <s v="WWV/INV/N34/1"/>
    <b v="0"/>
    <s v="Ingreep wordt niet opgevolgd in BOD"/>
    <n v="2025"/>
    <s v="&lt;null&gt;"/>
    <s v="OVERIGE"/>
    <s v="&lt;null&gt;"/>
    <n v="100"/>
    <n v="35000000"/>
    <n v="35000000"/>
  </r>
  <r>
    <x v="370"/>
    <x v="370"/>
    <s v="Verkeersveiligheid"/>
    <x v="1"/>
    <n v="417"/>
    <s v="IN/000381"/>
    <s v="VERWIJDEREN SAMEN MET ANDERE INGREEP in De Pinte : A14-E17 Richting Frankrijk Uitrit 8, N60 Richting Gent, N60 Richting Valenciennes (Fr)"/>
    <s v="wordt een driekwart klaverblad, + aanleg rotonde + fietser gescheiden"/>
    <s v="Structurele Ingreep"/>
    <s v="&lt;null&gt;"/>
    <b v="0"/>
    <s v="Ingreep wordt niet opgevolgd in BOD"/>
    <s v="&lt;null&gt;"/>
    <s v="&lt;null&gt;"/>
    <s v="&lt;null&gt;"/>
    <s v="&lt;null&gt;"/>
    <n v="100"/>
    <m/>
    <m/>
  </r>
  <r>
    <x v="370"/>
    <x v="370"/>
    <s v="Verkeersveiligheid"/>
    <x v="1"/>
    <n v="418"/>
    <s v="IN/000382"/>
    <s v="in De Pinte : A14-E17 Richting Antwerpen Uitrit 8, N60 Richting Gent, N60 Richting Valenciennes (Fr)"/>
    <s v="wordt een driekwart klaverblad, + aanleg rotonde + fietser gescheiden"/>
    <s v="Structurele Ingreep"/>
    <s v="WOV/INV/N60/8"/>
    <b v="0"/>
    <s v="Ingreep wordt niet opgevolgd in BOD"/>
    <s v="&lt;null&gt;"/>
    <s v="&lt;null&gt;"/>
    <s v="&lt;null&gt;"/>
    <s v="&lt;null&gt;"/>
    <n v="20"/>
    <m/>
    <m/>
  </r>
  <r>
    <x v="371"/>
    <x v="371"/>
    <s v="Verkeersveiligheid"/>
    <x v="1"/>
    <n v="418"/>
    <s v="IN/000382"/>
    <s v="in De Pinte : A14-E17 Richting Antwerpen Uitrit 8, N60 Richting Gent, N60 Richting Valenciennes (Fr)"/>
    <s v="wordt een driekwart klaverblad, + aanleg rotonde + fietser gescheiden"/>
    <s v="Structurele Ingreep"/>
    <s v="WOV/INV/N60/8"/>
    <b v="0"/>
    <s v="Ingreep wordt niet opgevolgd in BOD"/>
    <s v="&lt;null&gt;"/>
    <s v="&lt;null&gt;"/>
    <s v="&lt;null&gt;"/>
    <s v="&lt;null&gt;"/>
    <n v="80"/>
    <m/>
    <m/>
  </r>
  <r>
    <x v="372"/>
    <x v="372"/>
    <s v="Verkeersveiligheid"/>
    <x v="1"/>
    <n v="419"/>
    <s v="IN/000383"/>
    <s v="in Deerlijk : A14-E17 Richting Frankrijk Oprit 4, Vichtesteenweg"/>
    <s v="Aanpassing VRI"/>
    <s v="Kleine Ingreep"/>
    <s v="&lt;null&gt;"/>
    <b v="0"/>
    <s v="Ingreep wordt niet opgevolgd in BOD"/>
    <s v="&lt;null&gt;"/>
    <s v="&lt;null&gt;"/>
    <s v="&lt;null&gt;"/>
    <s v="&lt;null&gt;"/>
    <n v="100"/>
    <m/>
    <m/>
  </r>
  <r>
    <x v="373"/>
    <x v="373"/>
    <s v="Verkeersveiligheid"/>
    <x v="1"/>
    <n v="420"/>
    <s v="IN/000384"/>
    <s v="in Denderleeuw : N45 met Hoogstraat"/>
    <s v="stopstreep verplaatst (september 2019), trajectcontrole geplaatst (2018, maar werkt nog niet) op 2 locaties N45 2.1-4.7 en 6&gt;N28) allebei geplaatst in 2018, RLC functie (DO afwachten)"/>
    <s v="Kleine Ingreep"/>
    <s v="&lt;null&gt;"/>
    <b v="0"/>
    <s v="Ingreep wordt niet opgevolgd in BOD"/>
    <s v="&lt;null&gt;"/>
    <s v="&lt;null&gt;"/>
    <s v="&lt;null&gt;"/>
    <s v="&lt;null&gt;"/>
    <n v="100"/>
    <m/>
    <m/>
  </r>
  <r>
    <x v="18"/>
    <x v="18"/>
    <s v="&lt;null&gt;"/>
    <x v="3"/>
    <n v="421"/>
    <s v="IN/000385"/>
    <s v="VERWIJDEREN in Dendermonde : N17 Mechelsesteenweg, N41 Richting Aalst, N41 Richting Hulst (Nl)"/>
    <s v="Volledig conflictvrije maken, waardoor er een extra vak moet bijgelegd worden"/>
    <s v="Structurele Ingreep"/>
    <s v="&lt;null&gt;"/>
    <b v="0"/>
    <s v="Ingreep wordt niet opgevolgd in BOD"/>
    <n v="2021"/>
    <s v="&lt;null&gt;"/>
    <s v="OVERIGE"/>
    <s v="&lt;null&gt;"/>
    <m/>
    <n v="673800"/>
    <m/>
  </r>
  <r>
    <x v="374"/>
    <x v="374"/>
    <s v="Verkeersveiligheid"/>
    <x v="1"/>
    <n v="422"/>
    <s v="IN/000386"/>
    <s v="VERWIJDEREN in Dendermonde : N47 Leopold II-laan, Martelarenlaan, N17 Mechelsesteenweg, N406 Noordlaan"/>
    <s v="complete heraanleg (TV3V project)"/>
    <s v="Structurele Ingreep"/>
    <s v="&lt;null&gt;"/>
    <b v="0"/>
    <s v="Ingreep wordt niet opgevolgd in BOD"/>
    <s v="&lt;null&gt;"/>
    <s v="&lt;null&gt;"/>
    <s v="&lt;null&gt;"/>
    <s v="&lt;null&gt;"/>
    <n v="100"/>
    <m/>
    <m/>
  </r>
  <r>
    <x v="375"/>
    <x v="375"/>
    <s v="Verkeersveiligheid"/>
    <x v="1"/>
    <n v="423"/>
    <s v="IN/000387"/>
    <s v="in Dendermonde : N406 Noordlaan met De Bruynlaan en Veerstraat"/>
    <s v="GIP2020; aanbesteding in 2020, start uitvoering ten vroegste najaar 2021 (samen met Mechelsepoort)"/>
    <s v="Structurele Ingreep"/>
    <s v="WOV/INV/N17/1"/>
    <b v="0"/>
    <s v="Ingreep wordt niet opgevolgd in BOD"/>
    <n v="2022"/>
    <s v="&lt;null&gt;"/>
    <s v="OVERIGE"/>
    <s v="VR op dossier X40/N17/1"/>
    <n v="10"/>
    <n v="645621"/>
    <n v="64562.1"/>
  </r>
  <r>
    <x v="374"/>
    <x v="374"/>
    <s v="Verkeersveiligheid"/>
    <x v="1"/>
    <n v="423"/>
    <s v="IN/000387"/>
    <s v="in Dendermonde : N406 Noordlaan met De Bruynlaan en Veerstraat"/>
    <s v="GIP2020; aanbesteding in 2020, start uitvoering ten vroegste najaar 2021 (samen met Mechelsepoort)"/>
    <s v="Structurele Ingreep"/>
    <s v="WOV/INV/N17/1"/>
    <b v="0"/>
    <s v="Ingreep wordt niet opgevolgd in BOD"/>
    <n v="2022"/>
    <s v="&lt;null&gt;"/>
    <s v="OVERIGE"/>
    <s v="VR op dossier X40/N17/1"/>
    <n v="75"/>
    <n v="645621"/>
    <n v="484215.75"/>
  </r>
  <r>
    <x v="376"/>
    <x v="376"/>
    <s v="Verkeersveiligheid"/>
    <x v="1"/>
    <n v="423"/>
    <s v="IN/000387"/>
    <s v="in Dendermonde : N406 Noordlaan met De Bruynlaan en Veerstraat"/>
    <s v="GIP2020; aanbesteding in 2020, start uitvoering ten vroegste najaar 2021 (samen met Mechelsepoort)"/>
    <s v="Structurele Ingreep"/>
    <s v="WOV/INV/N17/1"/>
    <b v="0"/>
    <s v="Ingreep wordt niet opgevolgd in BOD"/>
    <n v="2022"/>
    <s v="&lt;null&gt;"/>
    <s v="OVERIGE"/>
    <s v="VR op dossier X40/N17/1"/>
    <n v="10"/>
    <n v="645621"/>
    <n v="64562.1"/>
  </r>
  <r>
    <x v="377"/>
    <x v="377"/>
    <s v="Verkeersveiligheid"/>
    <x v="1"/>
    <n v="423"/>
    <s v="IN/000387"/>
    <s v="in Dendermonde : N406 Noordlaan met De Bruynlaan en Veerstraat"/>
    <s v="GIP2020; aanbesteding in 2020, start uitvoering ten vroegste najaar 2021 (samen met Mechelsepoort)"/>
    <s v="Structurele Ingreep"/>
    <s v="WOV/INV/N17/1"/>
    <b v="0"/>
    <s v="Ingreep wordt niet opgevolgd in BOD"/>
    <n v="2022"/>
    <s v="&lt;null&gt;"/>
    <s v="OVERIGE"/>
    <s v="VR op dossier X40/N17/1"/>
    <n v="5"/>
    <n v="645621"/>
    <n v="32281.05"/>
  </r>
  <r>
    <x v="18"/>
    <x v="18"/>
    <s v="&lt;null&gt;"/>
    <x v="3"/>
    <n v="424"/>
    <s v="IN/000388"/>
    <s v="VRI: aanpassen lichtenregeling + bijkomende aanpassingen infra in Diepenbeek : Grendelbaan, Verbindingslaan"/>
    <s v="Conflictvrij maken van kruispunt (2T-kruispunten ipv 4 armen)"/>
    <s v="Kleine Ingreep"/>
    <s v="WL/INV/N76/21"/>
    <b v="0"/>
    <s v="Ingreep wordt niet opgevolgd in BOD"/>
    <s v="&lt;null&gt;"/>
    <s v="&lt;null&gt;"/>
    <s v="VRI"/>
    <s v="&lt;null&gt;"/>
    <m/>
    <n v="185000"/>
    <m/>
  </r>
  <r>
    <x v="378"/>
    <x v="378"/>
    <s v="Verkeersveiligheid"/>
    <x v="1"/>
    <n v="425"/>
    <s v="IN/000389"/>
    <s v="Diepenbeek N76 x N2"/>
    <s v="Het betreft in eerste fase een tijdelijke vernieuwde aansluiting van de Grendelbaan (N2) op de Verbindingslaan (N76) aan de zijde van Diepenbeek-centrum. Die aanpassing moet er komen om de aansluiting te kunnen maken op de nieuwe spoorwegbrug Molenstraat "/>
    <s v="Structurele Ingreep"/>
    <s v="WL/INV/N76/6"/>
    <b v="0"/>
    <s v="Ingreep wordt niet opgevolgd in BOD"/>
    <s v="&lt;null&gt;"/>
    <s v="&lt;null&gt;"/>
    <s v="&lt;null&gt;"/>
    <s v="&lt;null&gt;"/>
    <n v="100"/>
    <m/>
    <m/>
  </r>
  <r>
    <x v="379"/>
    <x v="379"/>
    <s v="Verkeersveiligheid"/>
    <x v="1"/>
    <n v="426"/>
    <s v="IN/000390"/>
    <s v="in Diepenbeek : Katteweidelaan, Verbindingslaan"/>
    <s v="Plaatsing VRI"/>
    <s v="Kleine Ingreep"/>
    <s v="&lt;null&gt;"/>
    <b v="0"/>
    <s v="Ingreep wordt niet opgevolgd in BOD"/>
    <s v="&lt;null&gt;"/>
    <s v="&lt;null&gt;"/>
    <s v="VRI"/>
    <s v="&lt;null&gt;"/>
    <n v="100"/>
    <n v="110000"/>
    <n v="110000"/>
  </r>
  <r>
    <x v="380"/>
    <x v="380"/>
    <s v="Verkeersveiligheid"/>
    <x v="1"/>
    <n v="427"/>
    <s v="IN/000391"/>
    <s v="in Diest : Koningin Astridlaan, Omer Vanaudenhovelaan, Sint-Janstraat, Sint-Jansveld, Vervoortstraat"/>
    <s v="busbaan van kan verleggen, bredere middenberm, punaise"/>
    <s v="Kleine Ingreep"/>
    <s v="&lt;null&gt;"/>
    <b v="0"/>
    <s v="Ingreep wordt niet opgevolgd in BOD"/>
    <n v="2022"/>
    <s v="Q4"/>
    <s v="WEGENIS"/>
    <s v="&lt;null&gt;"/>
    <n v="100"/>
    <n v="100000"/>
    <n v="100000"/>
  </r>
  <r>
    <x v="381"/>
    <x v="381"/>
    <s v="Verkeersveiligheid"/>
    <x v="1"/>
    <n v="428"/>
    <s v="IN/000392"/>
    <s v="in Dilbeek : E. Eylenboschstraat, Ninoofsesteenweg, Wijngaardstraat"/>
    <s v="nog niet gedefinieerd"/>
    <s v="Kleine Ingreep"/>
    <s v="&lt;null&gt;"/>
    <b v="0"/>
    <s v="Ingreep wordt niet opgevolgd in BOD"/>
    <n v="2022"/>
    <s v="Q4"/>
    <s v="VRI"/>
    <s v="&lt;null&gt;"/>
    <n v="100"/>
    <n v="150000"/>
    <n v="150000"/>
  </r>
  <r>
    <x v="381"/>
    <x v="381"/>
    <s v="Verkeersveiligheid"/>
    <x v="1"/>
    <n v="428"/>
    <s v="IN/000392"/>
    <s v="in Dilbeek : E. Eylenboschstraat, Ninoofsesteenweg, Wijngaardstraat"/>
    <s v="nog niet gedefinieerd"/>
    <s v="Kleine Ingreep"/>
    <s v="&lt;null&gt;"/>
    <b v="0"/>
    <s v="Ingreep wordt niet opgevolgd in BOD"/>
    <n v="2022"/>
    <s v="Q4"/>
    <s v="WEGENIS"/>
    <s v="&lt;null&gt;"/>
    <n v="100"/>
    <n v="65000"/>
    <n v="65000"/>
  </r>
  <r>
    <x v="382"/>
    <x v="382"/>
    <s v="Verkeersveiligheid"/>
    <x v="1"/>
    <n v="429"/>
    <s v="IN/000393"/>
    <s v="in Dilbeek : Ninoofsesteenweg, R0 Buitenring Oprit 13 (N8), Rozenlaan"/>
    <s v="aanpassen stopstreep"/>
    <s v="Kleine Ingreep"/>
    <s v="&lt;null&gt;"/>
    <b v="0"/>
    <s v="Ingreep wordt niet opgevolgd in BOD"/>
    <s v="&lt;null&gt;"/>
    <s v="&lt;null&gt;"/>
    <s v="&lt;null&gt;"/>
    <s v="&lt;null&gt;"/>
    <n v="100"/>
    <m/>
    <m/>
  </r>
  <r>
    <x v="382"/>
    <x v="382"/>
    <s v="Verkeersveiligheid"/>
    <x v="1"/>
    <n v="430"/>
    <s v="IN/000394"/>
    <s v="in Dilbeek : Ninoofsesteenweg, R0 Buitenring Oprit 13 (N8), Rozenlaan (MAG WEG - DOOR DWV)"/>
    <s v="aanpassing diamond cross. herinrichting R0"/>
    <s v="Structurele Ingreep"/>
    <s v="&lt;null&gt;"/>
    <b v="0"/>
    <s v="Ingreep wordt niet opgevolgd in BOD"/>
    <s v="&lt;null&gt;"/>
    <s v="&lt;null&gt;"/>
    <s v="&lt;null&gt;"/>
    <s v="&lt;null&gt;"/>
    <n v="100"/>
    <m/>
    <m/>
  </r>
  <r>
    <x v="383"/>
    <x v="383"/>
    <s v="Verkeersveiligheid"/>
    <x v="1"/>
    <n v="431"/>
    <s v="IN/000395"/>
    <s v="in Dilbeek : A10-E40 Richting Brussel (weefzone tussen nevenbedrijf en aansluiting R0)  (MAG WEG - DOOR DWV)"/>
    <s v="wordt heringericht door de werkvenootschap"/>
    <s v="Structurele Ingreep"/>
    <s v="&lt;null&gt;"/>
    <b v="0"/>
    <s v="Ingreep wordt niet opgevolgd in BOD"/>
    <s v="&lt;null&gt;"/>
    <s v="&lt;null&gt;"/>
    <s v="&lt;null&gt;"/>
    <s v="&lt;null&gt;"/>
    <n v="100"/>
    <m/>
    <m/>
  </r>
  <r>
    <x v="384"/>
    <x v="384"/>
    <s v="Verkeersveiligheid"/>
    <x v="1"/>
    <n v="432"/>
    <s v="IN/000396"/>
    <s v="Handhaving in Dilsen-Stokkem : Rachels, Rijksweg"/>
    <s v="2 RLC's (historische lijst)"/>
    <s v="Kleine Ingreep"/>
    <s v="WL/INV/N78/17"/>
    <b v="0"/>
    <s v="Ingreep wordt niet opgevolgd in BOD"/>
    <n v="2021"/>
    <s v="Q1"/>
    <s v="WEGENIS"/>
    <n v="41759"/>
    <n v="100"/>
    <n v="150000"/>
    <n v="150000"/>
  </r>
  <r>
    <x v="384"/>
    <x v="384"/>
    <s v="Verkeersveiligheid"/>
    <x v="1"/>
    <n v="432"/>
    <s v="IN/000396"/>
    <s v="Handhaving in Dilsen-Stokkem : Rachels, Rijksweg"/>
    <s v="2 RLC's (historische lijst)"/>
    <s v="Kleine Ingreep"/>
    <s v="WL/INV/N78/17"/>
    <b v="0"/>
    <s v="Ingreep wordt niet opgevolgd in BOD"/>
    <n v="2021"/>
    <s v="Q1"/>
    <s v="VRI"/>
    <n v="41641"/>
    <n v="100"/>
    <n v="100000"/>
    <n v="100000"/>
  </r>
  <r>
    <x v="385"/>
    <x v="385"/>
    <s v="Verkeersveiligheid"/>
    <x v="1"/>
    <n v="433"/>
    <s v="IN/000397"/>
    <s v="Verlagen toegelaten snelheid in Drogenbos : R0-A7 Binnenring Oprit 18 (Ruisbroek), R0 Binnenring"/>
    <s v="Verlagen toegelaten snelheid"/>
    <s v="Kleine Ingreep"/>
    <s v="&lt;null&gt;"/>
    <b v="0"/>
    <s v="Ingreep wordt niet opgevolgd in BOD"/>
    <s v="&lt;null&gt;"/>
    <s v="&lt;null&gt;"/>
    <s v="&lt;null&gt;"/>
    <s v="&lt;null&gt;"/>
    <n v="100"/>
    <m/>
    <m/>
  </r>
  <r>
    <x v="386"/>
    <x v="386"/>
    <s v="Verkeersveiligheid"/>
    <x v="1"/>
    <n v="434"/>
    <s v="IN/000398"/>
    <s v="in Edegem : de Burletlaan, De Burletlaan, Prins Boudewijnlaan"/>
    <s v="N173 (doorsteek + fietsoversteek) ter hoogte van verschillende kruispunten wordt aangepakt. Ter hoogte van oversteken zal het aantal rijstroken naar 1 gebracht worden, zodat de lengte van de oversteek beperkt wordt. Oversteek voor gemotoriseerd verkeer ni"/>
    <s v="Structurele Ingreep"/>
    <s v="&lt;null&gt;"/>
    <b v="0"/>
    <s v="Ingreep wordt niet opgevolgd in BOD"/>
    <s v="&lt;null&gt;"/>
    <s v="&lt;null&gt;"/>
    <s v="&lt;null&gt;"/>
    <s v="&lt;null&gt;"/>
    <n v="100"/>
    <m/>
    <m/>
  </r>
  <r>
    <x v="387"/>
    <x v="387"/>
    <s v="Verkeersveiligheid"/>
    <x v="1"/>
    <n v="435"/>
    <s v="IN/000399"/>
    <s v="in Edegem : Den Eeckhofstraat, Ingenieur Haesaertslaan, Kerkplein, Leroylaan, Prins Boudewijnlaan"/>
    <s v="VLCC"/>
    <s v="Kleine Ingreep"/>
    <s v="&lt;null&gt;"/>
    <b v="0"/>
    <s v="Ingreep wordt niet opgevolgd in BOD"/>
    <s v="&lt;null&gt;"/>
    <s v="&lt;null&gt;"/>
    <s v="&lt;null&gt;"/>
    <s v="&lt;null&gt;"/>
    <n v="100"/>
    <m/>
    <m/>
  </r>
  <r>
    <x v="388"/>
    <x v="388"/>
    <s v="Verkeersveiligheid"/>
    <x v="1"/>
    <n v="436"/>
    <s v="IN/000400"/>
    <s v="in Eeklo : N9 Stationsstraat met Oostveldstraat. (Relance Raamcontract)"/>
    <s v="nog niet gedefinieerd"/>
    <s v="Kleine Ingreep"/>
    <s v="&lt;null&gt;"/>
    <b v="0"/>
    <s v="Ingreep wordt niet opgevolgd in BOD"/>
    <n v="2024"/>
    <s v="Q4"/>
    <s v="WEGENIS"/>
    <s v="&lt;null&gt;"/>
    <n v="100"/>
    <n v="120700"/>
    <n v="120700"/>
  </r>
  <r>
    <x v="388"/>
    <x v="388"/>
    <s v="Verkeersveiligheid"/>
    <x v="1"/>
    <n v="436"/>
    <s v="IN/000400"/>
    <s v="in Eeklo : N9 Stationsstraat met Oostveldstraat. (Relance Raamcontract)"/>
    <s v="nog niet gedefinieerd"/>
    <s v="Kleine Ingreep"/>
    <s v="&lt;null&gt;"/>
    <b v="0"/>
    <s v="Ingreep wordt niet opgevolgd in BOD"/>
    <n v="2024"/>
    <s v="Q4"/>
    <s v="VRI"/>
    <s v="&lt;null&gt;"/>
    <n v="100"/>
    <n v="248600"/>
    <n v="248600"/>
  </r>
  <r>
    <x v="18"/>
    <x v="18"/>
    <s v="&lt;null&gt;"/>
    <x v="3"/>
    <n v="437"/>
    <s v="IN/000401"/>
    <s v="in Eeklo : N9 Stationsstraat met Oostveldstraat"/>
    <s v="Fietspad verleggen (budget vanuit Eeklo?) + VRI conflictvrij + bushalte aanpassen+ aanpassen overweg om fietspad te ontsluiten"/>
    <s v="Kleine Ingreep"/>
    <s v="&lt;null&gt;"/>
    <b v="0"/>
    <s v="Ingreep wordt niet opgevolgd in BOD"/>
    <s v="&lt;null&gt;"/>
    <s v="&lt;null&gt;"/>
    <s v="&lt;null&gt;"/>
    <s v="&lt;null&gt;"/>
    <m/>
    <m/>
    <m/>
  </r>
  <r>
    <x v="389"/>
    <x v="389"/>
    <s v="Verkeersveiligheid"/>
    <x v="1"/>
    <n v="438"/>
    <s v="IN/000402"/>
    <s v="Verticale signalisatie aanpassen in Eeklo : Boelare, Koning Albertstraat, Markt, Molenstraat"/>
    <s v="B9 verplaatst (augustus 2019) + RLC plaatsen (2022)"/>
    <s v="Kleine Ingreep"/>
    <s v="&lt;null&gt;"/>
    <b v="0"/>
    <s v="Ingreep wordt niet opgevolgd in BOD"/>
    <s v="&lt;null&gt;"/>
    <s v="&lt;null&gt;"/>
    <s v="&lt;null&gt;"/>
    <s v="&lt;null&gt;"/>
    <n v="100"/>
    <m/>
    <m/>
  </r>
  <r>
    <x v="390"/>
    <x v="390"/>
    <s v="Verkeersveiligheid"/>
    <x v="1"/>
    <n v="439"/>
    <s v="IN/000403"/>
    <s v="in Eeklo : Kaaistraat, Raamstraat, Stationsstraat"/>
    <s v="Gevleugelde zebrapad uitgevoerd (2020)"/>
    <s v="Kleine Ingreep"/>
    <s v="&lt;null&gt;"/>
    <b v="0"/>
    <s v="Ingreep wordt niet opgevolgd in BOD"/>
    <s v="&lt;null&gt;"/>
    <s v="&lt;null&gt;"/>
    <s v="&lt;null&gt;"/>
    <s v="&lt;null&gt;"/>
    <n v="100"/>
    <m/>
    <m/>
  </r>
  <r>
    <x v="391"/>
    <x v="391"/>
    <s v="Verkeersveiligheid"/>
    <x v="1"/>
    <n v="440"/>
    <s v="IN/000404"/>
    <s v="in Evergem : N456 Zwaantje met Wellingstraat en Putten"/>
    <s v="huis afgebroken (slechte zichtbaarheid door huis) (2019)"/>
    <s v="Kleine Ingreep"/>
    <s v="&lt;null&gt;"/>
    <b v="0"/>
    <s v="Ingreep wordt niet opgevolgd in BOD"/>
    <s v="&lt;null&gt;"/>
    <s v="&lt;null&gt;"/>
    <s v="&lt;null&gt;"/>
    <s v="&lt;null&gt;"/>
    <n v="100"/>
    <m/>
    <m/>
  </r>
  <r>
    <x v="392"/>
    <x v="392"/>
    <s v="Verkeersveiligheid"/>
    <x v="1"/>
    <n v="441"/>
    <s v="IN/000405"/>
    <s v="in Evergem : N456 Polenstraat met Wurmstraat"/>
    <s v="B5 + stopstreep geplaatst"/>
    <s v="Kleine Ingreep"/>
    <s v="WOV/INV/N456/15"/>
    <b v="0"/>
    <s v="Ingreep wordt niet opgevolgd in BOD"/>
    <n v="2021"/>
    <s v="Q3"/>
    <s v="OVERIGE"/>
    <s v="&lt;null&gt;"/>
    <n v="100"/>
    <n v="600"/>
    <n v="600"/>
  </r>
  <r>
    <x v="393"/>
    <x v="393"/>
    <s v="Verkeersveiligheid"/>
    <x v="1"/>
    <n v="442"/>
    <s v="IN/000406"/>
    <s v="PPS R4WO  in Evergem : R4 Jacques Paryslaan met Pastorijstraat en Riemesteenweg"/>
    <s v="tunnel (PPS R4WO)"/>
    <s v="Structurele Ingreep"/>
    <s v="&lt;null&gt;"/>
    <b v="0"/>
    <s v="Ingreep wordt niet opgevolgd in BOD"/>
    <s v="&lt;null&gt;"/>
    <s v="&lt;null&gt;"/>
    <s v="&lt;null&gt;"/>
    <s v="&lt;null&gt;"/>
    <n v="100"/>
    <m/>
    <m/>
  </r>
  <r>
    <x v="394"/>
    <x v="394"/>
    <s v="Verkeersveiligheid"/>
    <x v="1"/>
    <n v="443"/>
    <s v="IN/000407"/>
    <s v="PPS R4WO in Evergem : R4 Jacques Paryslaan met Elslo"/>
    <s v="complete heraanleg (PPS R4WO)"/>
    <s v="Structurele Ingreep"/>
    <s v="&lt;null&gt;"/>
    <b v="0"/>
    <s v="Ingreep wordt niet opgevolgd in BOD"/>
    <s v="&lt;null&gt;"/>
    <s v="&lt;null&gt;"/>
    <s v="&lt;null&gt;"/>
    <s v="&lt;null&gt;"/>
    <n v="100"/>
    <m/>
    <m/>
  </r>
  <r>
    <x v="395"/>
    <x v="395"/>
    <s v="Verkeersveiligheid"/>
    <x v="1"/>
    <n v="444"/>
    <s v="IN/000408"/>
    <s v="Gevaarlijk Punt: R4 Evergem: kruispunt aanpasse; linksaf van R4 is verboden"/>
    <s v="Linksaf van R4 is verboden (2020);\nR4 Jacques Paryslaan met Hoogstraat."/>
    <s v="Kleine Ingreep"/>
    <s v="&lt;null&gt;"/>
    <b v="0"/>
    <s v="Ingreep wordt niet opgevolgd in BOD"/>
    <n v="2021"/>
    <s v="Q1"/>
    <s v="WEGENIS"/>
    <s v="&lt;null&gt;"/>
    <n v="100"/>
    <n v="2000"/>
    <n v="2000"/>
  </r>
  <r>
    <x v="395"/>
    <x v="395"/>
    <s v="Verkeersveiligheid"/>
    <x v="1"/>
    <n v="445"/>
    <s v="IN/000409"/>
    <s v="PPS  R4WO    Evergem : R4 Jacques Paryslaan met Hoogstraat"/>
    <s v="fietsbrug (PPS R4WO)"/>
    <s v="Structurele Ingreep"/>
    <s v="&lt;null&gt;"/>
    <b v="0"/>
    <s v="Ingreep wordt niet opgevolgd in BOD"/>
    <s v="&lt;null&gt;"/>
    <s v="&lt;null&gt;"/>
    <s v="&lt;null&gt;"/>
    <s v="&lt;null&gt;"/>
    <n v="100"/>
    <m/>
    <m/>
  </r>
  <r>
    <x v="396"/>
    <x v="396"/>
    <s v="Verkeersveiligheid"/>
    <x v="1"/>
    <n v="446"/>
    <s v="IN/000410"/>
    <s v="in Evergem : N456 Christoffelweg met Brielken en Schoonstraat. (Relance Raamcontract)"/>
    <s v="nog niet gedefinieerd"/>
    <s v="Kleine Ingreep"/>
    <s v="&lt;null&gt;"/>
    <b v="0"/>
    <s v="Ingreep wordt niet opgevolgd in BOD"/>
    <n v="2024"/>
    <s v="Q4"/>
    <s v="VRI"/>
    <s v="&lt;null&gt;"/>
    <n v="100"/>
    <n v="63700"/>
    <n v="63700"/>
  </r>
  <r>
    <x v="396"/>
    <x v="396"/>
    <s v="Verkeersveiligheid"/>
    <x v="1"/>
    <n v="446"/>
    <s v="IN/000410"/>
    <s v="in Evergem : N456 Christoffelweg met Brielken en Schoonstraat. (Relance Raamcontract)"/>
    <s v="nog niet gedefinieerd"/>
    <s v="Kleine Ingreep"/>
    <s v="&lt;null&gt;"/>
    <b v="0"/>
    <s v="Ingreep wordt niet opgevolgd in BOD"/>
    <n v="2024"/>
    <s v="Q4"/>
    <s v="WEGENIS"/>
    <s v="&lt;null&gt;"/>
    <n v="100"/>
    <n v="30000"/>
    <n v="30000"/>
  </r>
  <r>
    <x v="396"/>
    <x v="396"/>
    <s v="Verkeersveiligheid"/>
    <x v="1"/>
    <n v="447"/>
    <s v="IN/000411"/>
    <s v="N456 Gent-Evergem doorstroming Brielken-R4"/>
    <s v="&lt;null&gt;"/>
    <s v="Structurele Ingreep"/>
    <s v="WOV/INV/N456/1"/>
    <b v="0"/>
    <s v="Ingreep wordt niet opgevolgd in BOD"/>
    <s v="&lt;null&gt;"/>
    <s v="&lt;null&gt;"/>
    <s v="&lt;null&gt;"/>
    <s v="&lt;null&gt;"/>
    <n v="100"/>
    <m/>
    <m/>
  </r>
  <r>
    <x v="397"/>
    <x v="397"/>
    <s v="Verkeersveiligheid"/>
    <x v="1"/>
    <n v="448"/>
    <s v="IN/000412"/>
    <s v="PPS R4WO   in Evergem : R4 Jacques Paryslaan met Langerbrugsestraat"/>
    <s v="complete heraanleg R4WO"/>
    <s v="Structurele Ingreep"/>
    <s v="&lt;null&gt;"/>
    <b v="0"/>
    <s v="Ingreep wordt niet opgevolgd in BOD"/>
    <s v="&lt;null&gt;"/>
    <s v="&lt;null&gt;"/>
    <s v="&lt;null&gt;"/>
    <s v="&lt;null&gt;"/>
    <n v="100"/>
    <m/>
    <m/>
  </r>
  <r>
    <x v="398"/>
    <x v="398"/>
    <s v="Verkeersveiligheid"/>
    <x v="1"/>
    <n v="449"/>
    <s v="IN/000413"/>
    <s v="VRI: aanpassen lichtenregeling in Genk : Camerlo, Oosterring"/>
    <s v="Aanpassen lichtenregeling (slimme VRI)"/>
    <s v="Kleine Ingreep"/>
    <s v="WL/INV/N75/11"/>
    <b v="0"/>
    <s v="Ingreep wordt niet opgevolgd in BOD"/>
    <s v="&lt;null&gt;"/>
    <s v="&lt;null&gt;"/>
    <s v="VRI"/>
    <s v="&lt;null&gt;"/>
    <n v="100"/>
    <n v="200000"/>
    <n v="200000"/>
  </r>
  <r>
    <x v="398"/>
    <x v="398"/>
    <s v="Verkeersveiligheid"/>
    <x v="1"/>
    <n v="449"/>
    <s v="IN/000413"/>
    <s v="VRI: aanpassen lichtenregeling in Genk : Camerlo, Oosterring"/>
    <s v="Aanpassen lichtenregeling (slimme VRI)"/>
    <s v="Kleine Ingreep"/>
    <s v="WL/INV/N75/11"/>
    <b v="0"/>
    <s v="Ingreep wordt niet opgevolgd in BOD"/>
    <s v="&lt;null&gt;"/>
    <s v="&lt;null&gt;"/>
    <s v="WEGENIS"/>
    <s v="&lt;null&gt;"/>
    <n v="100"/>
    <n v="200000"/>
    <n v="200000"/>
  </r>
  <r>
    <x v="399"/>
    <x v="399"/>
    <s v="Verkeersveiligheid"/>
    <x v="1"/>
    <n v="450"/>
    <s v="IN/000414"/>
    <s v="in Genk : Hoevenzavellaan, Weststraat"/>
    <s v="zebrapad weggehaald, FOP aangepast"/>
    <s v="Kleine Ingreep"/>
    <s v="&lt;null&gt;"/>
    <b v="0"/>
    <s v="Ingreep wordt niet opgevolgd in BOD"/>
    <s v="&lt;null&gt;"/>
    <s v="&lt;null&gt;"/>
    <s v="&lt;null&gt;"/>
    <s v="&lt;null&gt;"/>
    <n v="100"/>
    <m/>
    <m/>
  </r>
  <r>
    <x v="400"/>
    <x v="400"/>
    <s v="Verkeersveiligheid"/>
    <x v="1"/>
    <n v="451"/>
    <s v="IN/000415"/>
    <s v="in Genk : A2-E314 Richting Leuven"/>
    <s v="(toevalsfactor)"/>
    <s v="Kleine Ingreep"/>
    <s v="&lt;null&gt;"/>
    <b v="0"/>
    <s v="Ingreep wordt niet opgevolgd in BOD"/>
    <s v="&lt;null&gt;"/>
    <s v="&lt;null&gt;"/>
    <s v="&lt;null&gt;"/>
    <s v="&lt;null&gt;"/>
    <n v="100"/>
    <m/>
    <m/>
  </r>
  <r>
    <x v="401"/>
    <x v="401"/>
    <s v="Verkeersveiligheid"/>
    <x v="1"/>
    <n v="452"/>
    <s v="IN/000416"/>
    <s v="VRI: aanpassen lichtenregeling in Genk : Achterstraat, Hoevenzavellaan, Risstraat"/>
    <s v="Aanpassen lichtenregeling (volgens actieplan)"/>
    <s v="Kleine Ingreep"/>
    <s v="&lt;null&gt;"/>
    <b v="0"/>
    <s v="Ingreep wordt niet opgevolgd in BOD"/>
    <n v="2022"/>
    <s v="&lt;null&gt;"/>
    <s v="WEGENIS"/>
    <s v="&lt;null&gt;"/>
    <n v="100"/>
    <n v="200000"/>
    <n v="200000"/>
  </r>
  <r>
    <x v="401"/>
    <x v="401"/>
    <s v="Verkeersveiligheid"/>
    <x v="1"/>
    <n v="452"/>
    <s v="IN/000416"/>
    <s v="VRI: aanpassen lichtenregeling in Genk : Achterstraat, Hoevenzavellaan, Risstraat"/>
    <s v="Aanpassen lichtenregeling (volgens actieplan)"/>
    <s v="Kleine Ingreep"/>
    <s v="&lt;null&gt;"/>
    <b v="0"/>
    <s v="Ingreep wordt niet opgevolgd in BOD"/>
    <n v="2022"/>
    <s v="&lt;null&gt;"/>
    <s v="VRI"/>
    <s v="&lt;null&gt;"/>
    <n v="100"/>
    <n v="150000"/>
    <n v="150000"/>
  </r>
  <r>
    <x v="402"/>
    <x v="402"/>
    <s v="Verkeersveiligheid"/>
    <x v="1"/>
    <n v="453"/>
    <s v="IN/000417"/>
    <s v="Verlagen toegelaten snelheid in Genk : Boudewijnlaan, Henry Fordlaan, Nieuwstraat, Westerring"/>
    <s v="Snelheidsverlaging + 2 maatregelen mbt zichtbaarheid lichten"/>
    <s v="Kleine Ingreep"/>
    <s v="WL/INV/N702/4"/>
    <b v="0"/>
    <s v="Ingreep wordt niet opgevolgd in BOD"/>
    <s v="&lt;null&gt;"/>
    <s v="&lt;null&gt;"/>
    <s v="VRI"/>
    <s v="&lt;null&gt;"/>
    <n v="100"/>
    <n v="250000"/>
    <n v="250000"/>
  </r>
  <r>
    <x v="403"/>
    <x v="403"/>
    <s v="Verkeersveiligheid"/>
    <x v="1"/>
    <n v="454"/>
    <s v="IN/000418"/>
    <s v="in Genk : Europalaan, Westerring"/>
    <s v="VRI slim gemaakt"/>
    <s v="Kleine Ingreep"/>
    <s v="&lt;null&gt;"/>
    <b v="0"/>
    <s v="Ingreep wordt niet opgevolgd in BOD"/>
    <s v="&lt;null&gt;"/>
    <s v="&lt;null&gt;"/>
    <s v="&lt;null&gt;"/>
    <s v="&lt;null&gt;"/>
    <n v="100"/>
    <m/>
    <m/>
  </r>
  <r>
    <x v="404"/>
    <x v="404"/>
    <s v="Verkeersveiligheid"/>
    <x v="1"/>
    <n v="455"/>
    <s v="IN/000419"/>
    <s v="VRI: aanpassen lichtenregeling in Genk : Evence Coppéelaan, Westerring"/>
    <s v="Aanpassen lichtenregeling + markering aanpassen (reeds uitgevoerd)"/>
    <s v="Kleine Ingreep"/>
    <s v="&lt;null&gt;"/>
    <b v="0"/>
    <s v="Ingreep wordt niet opgevolgd in BOD"/>
    <s v="&lt;null&gt;"/>
    <s v="&lt;null&gt;"/>
    <s v="VRI"/>
    <s v="&lt;null&gt;"/>
    <n v="100"/>
    <n v="100000"/>
    <n v="100000"/>
  </r>
  <r>
    <x v="404"/>
    <x v="404"/>
    <s v="Verkeersveiligheid"/>
    <x v="1"/>
    <n v="455"/>
    <s v="IN/000419"/>
    <s v="VRI: aanpassen lichtenregeling in Genk : Evence Coppéelaan, Westerring"/>
    <s v="Aanpassen lichtenregeling + markering aanpassen (reeds uitgevoerd)"/>
    <s v="Kleine Ingreep"/>
    <s v="&lt;null&gt;"/>
    <b v="0"/>
    <s v="Ingreep wordt niet opgevolgd in BOD"/>
    <n v="2021"/>
    <s v="&lt;null&gt;"/>
    <s v="WEGENIS"/>
    <s v="&lt;null&gt;"/>
    <n v="100"/>
    <n v="25000"/>
    <n v="25000"/>
  </r>
  <r>
    <x v="405"/>
    <x v="405"/>
    <s v="Verkeersveiligheid"/>
    <x v="1"/>
    <n v="456"/>
    <s v="IN/000420"/>
    <s v="in Genk : Westerring"/>
    <s v="Aanpassen lichtenregeling"/>
    <s v="Kleine Ingreep"/>
    <s v="&lt;null&gt;"/>
    <b v="0"/>
    <s v="Ingreep wordt niet opgevolgd in BOD"/>
    <n v="2020"/>
    <s v="&lt;null&gt;"/>
    <s v="VRI"/>
    <s v="&lt;null&gt;"/>
    <n v="100"/>
    <n v="1"/>
    <n v="1"/>
  </r>
  <r>
    <x v="406"/>
    <x v="406"/>
    <s v="Verkeersveiligheid"/>
    <x v="1"/>
    <n v="457"/>
    <s v="IN/000421"/>
    <s v="VRI: aanpassen lichtenregeling in Genk : Fletersdel, Oosterring"/>
    <s v="Aanpassen lichtenregeling (slimme VRI)"/>
    <s v="Kleine Ingreep"/>
    <s v="WL/INV/N75/10"/>
    <b v="0"/>
    <s v="Ingreep wordt niet opgevolgd in BOD"/>
    <s v="&lt;null&gt;"/>
    <s v="&lt;null&gt;"/>
    <s v="STUDIE"/>
    <s v="&lt;null&gt;"/>
    <n v="100"/>
    <n v="50000"/>
    <n v="50000"/>
  </r>
  <r>
    <x v="406"/>
    <x v="406"/>
    <s v="Verkeersveiligheid"/>
    <x v="1"/>
    <n v="457"/>
    <s v="IN/000421"/>
    <s v="VRI: aanpassen lichtenregeling in Genk : Fletersdel, Oosterring"/>
    <s v="Aanpassen lichtenregeling (slimme VRI)"/>
    <s v="Kleine Ingreep"/>
    <s v="WL/INV/N75/10"/>
    <b v="0"/>
    <s v="Ingreep wordt niet opgevolgd in BOD"/>
    <n v="2021"/>
    <s v="&lt;null&gt;"/>
    <s v="VRI"/>
    <s v="&lt;null&gt;"/>
    <n v="100"/>
    <n v="200000"/>
    <n v="200000"/>
  </r>
  <r>
    <x v="406"/>
    <x v="406"/>
    <s v="Verkeersveiligheid"/>
    <x v="1"/>
    <n v="457"/>
    <s v="IN/000421"/>
    <s v="VRI: aanpassen lichtenregeling in Genk : Fletersdel, Oosterring"/>
    <s v="Aanpassen lichtenregeling (slimme VRI)"/>
    <s v="Kleine Ingreep"/>
    <s v="WL/INV/N75/10"/>
    <b v="0"/>
    <s v="Ingreep wordt niet opgevolgd in BOD"/>
    <n v="2021"/>
    <s v="&lt;null&gt;"/>
    <s v="WEGENIS"/>
    <s v="&lt;null&gt;"/>
    <n v="100"/>
    <n v="200000"/>
    <n v="200000"/>
  </r>
  <r>
    <x v="406"/>
    <x v="406"/>
    <s v="Verkeersveiligheid"/>
    <x v="1"/>
    <n v="458"/>
    <s v="IN/000422"/>
    <s v="VRI: aanpassen lichtenregeling in Genk : Fletersdel, Oosterring"/>
    <s v="uitgebreidere aanpassing"/>
    <s v="Structurele Ingreep"/>
    <s v="&lt;null&gt;"/>
    <b v="0"/>
    <s v="Ingreep wordt niet opgevolgd in BOD"/>
    <s v="&lt;null&gt;"/>
    <s v="&lt;null&gt;"/>
    <s v="&lt;null&gt;"/>
    <s v="&lt;null&gt;"/>
    <n v="100"/>
    <m/>
    <m/>
  </r>
  <r>
    <x v="407"/>
    <x v="407"/>
    <s v="Verkeersveiligheid"/>
    <x v="1"/>
    <n v="459"/>
    <s v="IN/000423"/>
    <s v="GEEN E1 UITGEVOERD in Gent : B401 Richting A14, Bellevue, Dierentuinlaan, Gustaaf Callierlaan, Keizervest, Sint-Lievenslaan, Zuidparklaan"/>
    <s v="Fietsonderdoorgang + aanpassingen infra (werken bezig) + aanpassing VRI"/>
    <s v="Structurele Ingreep"/>
    <s v="&lt;null&gt;"/>
    <b v="0"/>
    <s v="Ingreep wordt niet opgevolgd in BOD"/>
    <s v="&lt;null&gt;"/>
    <s v="&lt;null&gt;"/>
    <s v="&lt;null&gt;"/>
    <s v="&lt;null&gt;"/>
    <n v="100"/>
    <m/>
    <m/>
  </r>
  <r>
    <x v="408"/>
    <x v="408"/>
    <s v="Verkeersveiligheid"/>
    <x v="1"/>
    <n v="460"/>
    <s v="IN/000424"/>
    <s v="NIET IN E1, UITGEVOERD in Gent : Achilles Musschestraat, Kortrijksesteenweg, Sint-Denijslaan"/>
    <s v="Structureel onderhoud + aanpakken van fietsoversteek (2020)"/>
    <s v="Structurele Ingreep"/>
    <s v="&lt;null&gt;"/>
    <b v="0"/>
    <s v="Ingreep wordt niet opgevolgd in BOD"/>
    <s v="&lt;null&gt;"/>
    <s v="&lt;null&gt;"/>
    <s v="&lt;null&gt;"/>
    <s v="&lt;null&gt;"/>
    <n v="100"/>
    <m/>
    <m/>
  </r>
  <r>
    <x v="409"/>
    <x v="409"/>
    <s v="Verkeersveiligheid"/>
    <x v="1"/>
    <n v="461"/>
    <s v="IN/000425"/>
    <s v="in Gent : R40 Sint-Lievenslaan met Tentoonstellingslaan. (Relance Raamcontract)"/>
    <s v="nog niet gedefinieerd"/>
    <s v="Kleine Ingreep"/>
    <s v="&lt;null&gt;"/>
    <b v="0"/>
    <s v="Ingreep wordt niet opgevolgd in BOD"/>
    <n v="2022"/>
    <s v="&lt;null&gt;"/>
    <s v="WEGENIS"/>
    <s v="&lt;null&gt;"/>
    <n v="100"/>
    <n v="0"/>
    <n v="0"/>
  </r>
  <r>
    <x v="409"/>
    <x v="409"/>
    <s v="Verkeersveiligheid"/>
    <x v="1"/>
    <n v="461"/>
    <s v="IN/000425"/>
    <s v="in Gent : R40 Sint-Lievenslaan met Tentoonstellingslaan. (Relance Raamcontract)"/>
    <s v="nog niet gedefinieerd"/>
    <s v="Kleine Ingreep"/>
    <s v="&lt;null&gt;"/>
    <b v="0"/>
    <s v="Ingreep wordt niet opgevolgd in BOD"/>
    <n v="2022"/>
    <s v="&lt;null&gt;"/>
    <s v="VRI"/>
    <s v="&lt;null&gt;"/>
    <n v="100"/>
    <n v="97500"/>
    <n v="97500"/>
  </r>
  <r>
    <x v="410"/>
    <x v="410"/>
    <s v="Verkeersveiligheid"/>
    <x v="1"/>
    <n v="462"/>
    <s v="IN/000426"/>
    <s v="N458 Gent Wiedauwkaai doorstromingsmaatregelen"/>
    <s v="herinrichting (hoge kosten)"/>
    <s v="Structurele Ingreep"/>
    <s v="WOV/INV/N458/1"/>
    <b v="0"/>
    <s v="Ingreep wordt niet opgevolgd in BOD"/>
    <s v="&lt;null&gt;"/>
    <s v="&lt;null&gt;"/>
    <s v="&lt;null&gt;"/>
    <s v="&lt;null&gt;"/>
    <n v="100"/>
    <m/>
    <m/>
  </r>
  <r>
    <x v="411"/>
    <x v="411"/>
    <s v="Verkeersveiligheid"/>
    <x v="1"/>
    <n v="463"/>
    <s v="IN/000427"/>
    <s v="in Gent : R4 Industrieweg / Eversteinlaan met Evergemsesteenweg en Zeeschipstraat"/>
    <s v="Aanpassen VRI volgens actieplan (2018)"/>
    <s v="Kleine Ingreep"/>
    <s v="&lt;null&gt;"/>
    <b v="0"/>
    <s v="Ingreep wordt niet opgevolgd in BOD"/>
    <s v="&lt;null&gt;"/>
    <s v="&lt;null&gt;"/>
    <s v="&lt;null&gt;"/>
    <s v="&lt;null&gt;"/>
    <n v="100"/>
    <m/>
    <m/>
  </r>
  <r>
    <x v="412"/>
    <x v="412"/>
    <s v="Verkeersveiligheid"/>
    <x v="1"/>
    <n v="464"/>
    <s v="IN/000428"/>
    <s v="in Gent : N70 Land van Waaslaan met Engelbert van Arenbergstraat"/>
    <s v="Heraanleg deel N70 tussen Antwerpenplein en Alfons Braeckmanlaan"/>
    <s v="Structurele Ingreep"/>
    <s v="WOV/INV/N70/5"/>
    <b v="0"/>
    <s v="Ingreep wordt niet opgevolgd in BOD"/>
    <s v="&lt;null&gt;"/>
    <s v="&lt;null&gt;"/>
    <s v="&lt;null&gt;"/>
    <s v="&lt;null&gt;"/>
    <n v="100"/>
    <m/>
    <m/>
  </r>
  <r>
    <x v="413"/>
    <x v="413"/>
    <s v="Verkeersveiligheid"/>
    <x v="1"/>
    <n v="465"/>
    <s v="IN/000429"/>
    <s v="PPS R4WO  Gent : R4 John Kennedylaan met Energiestraat"/>
    <s v="brug (PPS R4WO)"/>
    <s v="Structurele Ingreep"/>
    <s v="&lt;null&gt;"/>
    <b v="0"/>
    <s v="Ingreep wordt niet opgevolgd in BOD"/>
    <s v="&lt;null&gt;"/>
    <s v="&lt;null&gt;"/>
    <s v="&lt;null&gt;"/>
    <s v="&lt;null&gt;"/>
    <n v="100"/>
    <m/>
    <m/>
  </r>
  <r>
    <x v="414"/>
    <x v="414"/>
    <s v="Verkeersveiligheid"/>
    <x v="1"/>
    <n v="466"/>
    <s v="IN/000430"/>
    <s v="in Gent : N456 Port Arthurlaan met Pauwstraat. (Relance Raamcontract)"/>
    <s v="Fietspaden vrijliggend maken"/>
    <s v="Kleine Ingreep"/>
    <s v="WOV/INV/N456/12"/>
    <b v="0"/>
    <s v="Ingreep wordt niet opgevolgd in BOD"/>
    <n v="2022"/>
    <s v="&lt;null&gt;"/>
    <s v="WEGENIS"/>
    <s v="&lt;null&gt;"/>
    <n v="100"/>
    <n v="301200"/>
    <n v="301200"/>
  </r>
  <r>
    <x v="18"/>
    <x v="18"/>
    <s v="&lt;null&gt;"/>
    <x v="3"/>
    <n v="467"/>
    <s v="IN/000431"/>
    <s v="in Gent : N456 Port Arthurlaan met Pauwstraat"/>
    <s v="Fietspaden vrijliggend maken"/>
    <s v="Kleine Ingreep"/>
    <s v="&lt;null&gt;"/>
    <b v="0"/>
    <s v="Ingreep wordt niet opgevolgd in BOD"/>
    <s v="&lt;null&gt;"/>
    <s v="&lt;null&gt;"/>
    <s v="&lt;null&gt;"/>
    <s v="&lt;null&gt;"/>
    <m/>
    <m/>
    <m/>
  </r>
  <r>
    <x v="415"/>
    <x v="415"/>
    <s v="Verkeersveiligheid"/>
    <x v="1"/>
    <n v="468"/>
    <s v="IN/000432"/>
    <s v="in Gent : N70 Antwerpsesteenweg met Kleine Schuurstraat"/>
    <s v="&lt;null&gt;"/>
    <s v="Structurele Ingreep"/>
    <s v="WOV/INV/N70/4"/>
    <b v="0"/>
    <s v="Ingreep wordt niet opgevolgd in BOD"/>
    <s v="&lt;null&gt;"/>
    <s v="&lt;null&gt;"/>
    <s v="&lt;null&gt;"/>
    <s v="&lt;null&gt;"/>
    <n v="10"/>
    <m/>
    <m/>
  </r>
  <r>
    <x v="416"/>
    <x v="416"/>
    <s v="Verkeersveiligheid"/>
    <x v="1"/>
    <n v="468"/>
    <s v="IN/000432"/>
    <s v="in Gent : N70 Antwerpsesteenweg met Kleine Schuurstraat"/>
    <s v="&lt;null&gt;"/>
    <s v="Structurele Ingreep"/>
    <s v="WOV/INV/N70/4"/>
    <b v="0"/>
    <s v="Ingreep wordt niet opgevolgd in BOD"/>
    <s v="&lt;null&gt;"/>
    <s v="&lt;null&gt;"/>
    <s v="&lt;null&gt;"/>
    <s v="&lt;null&gt;"/>
    <n v="90"/>
    <m/>
    <m/>
  </r>
  <r>
    <x v="417"/>
    <x v="417"/>
    <s v="Verkeersveiligheid"/>
    <x v="1"/>
    <n v="469"/>
    <s v="IN/000433"/>
    <s v="Gevaarlijk Punt: R40 Gent: aanpassen lichtenregeling"/>
    <s v="Aanpassen lichtenregeling (VRI) + markering aanpassen: 1 linksaf verboden en andere wordt conflictvrij  (2021);\nR40 Einde Were met N430 Nieuwewandeling en Overzet."/>
    <s v="Kleine Ingreep"/>
    <s v="WOV/INV/R40/9"/>
    <b v="0"/>
    <s v="Ingreep wordt niet opgevolgd in BOD"/>
    <n v="2021"/>
    <s v="Q4"/>
    <s v="VRI"/>
    <s v="&lt;null&gt;"/>
    <n v="100"/>
    <n v="3500"/>
    <n v="3500"/>
  </r>
  <r>
    <x v="418"/>
    <x v="418"/>
    <s v="Verkeersveiligheid"/>
    <x v="1"/>
    <n v="470"/>
    <s v="IN/000434"/>
    <s v="Gevaarlijk Punt: N60 Gent: VRI: aanpassen lichtenregeling + bijkomende aanpassingen infra"/>
    <s v="Aanpassen lichtenregeling + infra;\nin Gent : N60 Krijgslaan met Burggravenlaan. (Relance Raamcontract)"/>
    <s v="Kleine Ingreep"/>
    <s v="WOV/INV/N60/11"/>
    <b v="1"/>
    <s v="Ingreep wordt opgevolgd in BOD"/>
    <n v="2023"/>
    <s v="Q1"/>
    <s v="VRI"/>
    <s v="&lt;null&gt;"/>
    <n v="100"/>
    <n v="116000"/>
    <n v="116000"/>
  </r>
  <r>
    <x v="418"/>
    <x v="418"/>
    <s v="Verkeersveiligheid"/>
    <x v="1"/>
    <n v="470"/>
    <s v="IN/000434"/>
    <s v="Gevaarlijk Punt: N60 Gent: VRI: aanpassen lichtenregeling + bijkomende aanpassingen infra"/>
    <s v="Aanpassen lichtenregeling + infra;\nin Gent : N60 Krijgslaan met Burggravenlaan. (Relance Raamcontract)"/>
    <s v="Kleine Ingreep"/>
    <s v="WOV/INV/N60/11"/>
    <b v="1"/>
    <s v="Ingreep wordt opgevolgd in BOD"/>
    <n v="2023"/>
    <s v="Q1"/>
    <s v="WEGENIS"/>
    <s v="&lt;null&gt;"/>
    <n v="100"/>
    <n v="30800"/>
    <n v="30800"/>
  </r>
  <r>
    <x v="419"/>
    <x v="419"/>
    <s v="Verkeersveiligheid"/>
    <x v="1"/>
    <n v="471"/>
    <s v="IN/000435"/>
    <s v="Infra allerlei (oa brugvoegen vernieuwen, middenberm sluiten) in Gent : R40 Ijzerlaan met Eedverbondkaai en Holdaal. (Relance Raamcontract)"/>
    <s v="Middenberm sluiten (+ extra)"/>
    <s v="Kleine Ingreep"/>
    <s v="WOV/INV/R40/11"/>
    <b v="0"/>
    <s v="Ingreep wordt niet opgevolgd in BOD"/>
    <s v="&lt;null&gt;"/>
    <s v="&lt;null&gt;"/>
    <s v="WEGENIS"/>
    <s v="&lt;null&gt;"/>
    <n v="100"/>
    <n v="88600"/>
    <n v="88600"/>
  </r>
  <r>
    <x v="420"/>
    <x v="420"/>
    <s v="Verkeersveiligheid"/>
    <x v="1"/>
    <n v="472"/>
    <s v="IN/000436"/>
    <s v="Gevaarlijk Punt: N444 Gent : aanpassen lichtenregeling"/>
    <s v="nog niet gedefinieerd;\nAchilles Heyndrickxlaan, Hundelgemsesteenweg, Willem van Guliklaan"/>
    <s v="Kleine Ingreep"/>
    <s v="WOV/INV/N444/6"/>
    <b v="0"/>
    <s v="Ingreep wordt niet opgevolgd in BOD"/>
    <n v="2021"/>
    <s v="Q4"/>
    <s v="VRI"/>
    <s v="&lt;null&gt;"/>
    <n v="100"/>
    <n v="203700"/>
    <n v="203700"/>
  </r>
  <r>
    <x v="18"/>
    <x v="18"/>
    <s v="&lt;null&gt;"/>
    <x v="3"/>
    <n v="473"/>
    <s v="IN/000437"/>
    <s v="in Gent : Achilles Heyndrickxlaan, Hundelgemsesteenweg, Willem van Guliklaan"/>
    <s v="Gedeeltelijke herinrichting van kruispunt (oa conflictvrij) Weg wordt heraangelegd door Gent, VRI door AWV"/>
    <s v="Kleine Ingreep"/>
    <s v="&lt;null&gt;"/>
    <b v="0"/>
    <s v="Ingreep wordt niet opgevolgd in BOD"/>
    <s v="&lt;null&gt;"/>
    <s v="&lt;null&gt;"/>
    <s v="&lt;null&gt;"/>
    <s v="&lt;null&gt;"/>
    <m/>
    <m/>
    <m/>
  </r>
  <r>
    <x v="421"/>
    <x v="421"/>
    <s v="Verkeersveiligheid"/>
    <x v="1"/>
    <n v="474"/>
    <s v="IN/000438"/>
    <s v="in Gent : N70 Antwerpsesteenweg met Groenstraat en Orchideestraat - eerste fase"/>
    <s v="conflictvrij maken + fysieke voorstart fietsers (2020)"/>
    <s v="Kleine Ingreep"/>
    <s v="&lt;null&gt;"/>
    <b v="0"/>
    <s v="Ingreep wordt niet opgevolgd in BOD"/>
    <s v="&lt;null&gt;"/>
    <s v="&lt;null&gt;"/>
    <s v="&lt;null&gt;"/>
    <s v="&lt;null&gt;"/>
    <n v="100"/>
    <m/>
    <m/>
  </r>
  <r>
    <x v="421"/>
    <x v="421"/>
    <s v="Verkeersveiligheid"/>
    <x v="1"/>
    <n v="475"/>
    <s v="IN/000439"/>
    <s v="in Gent : N70 Antwerpsesteenweg met Groenstraat en Orchideestraat"/>
    <s v="complete heraanleg"/>
    <s v="Structurele Ingreep"/>
    <s v="WOV/INV/N70/2"/>
    <b v="0"/>
    <s v="Ingreep wordt niet opgevolgd in BOD"/>
    <s v="&lt;null&gt;"/>
    <s v="&lt;null&gt;"/>
    <s v="&lt;null&gt;"/>
    <s v="&lt;null&gt;"/>
    <n v="100"/>
    <m/>
    <m/>
  </r>
  <r>
    <x v="416"/>
    <x v="416"/>
    <s v="Verkeersveiligheid"/>
    <x v="1"/>
    <n v="476"/>
    <s v="IN/000440"/>
    <s v="VERWIJDEREN    in Gent : Achtenkouterstraat, Antwerpsesteenweg, Hollenaarstraat"/>
    <s v="heraanleg kruispunt."/>
    <s v="Structurele Ingreep"/>
    <s v="&lt;null&gt;"/>
    <b v="0"/>
    <s v="Ingreep wordt niet opgevolgd in BOD"/>
    <s v="&lt;null&gt;"/>
    <s v="&lt;null&gt;"/>
    <s v="&lt;null&gt;"/>
    <s v="&lt;null&gt;"/>
    <n v="100"/>
    <m/>
    <m/>
  </r>
  <r>
    <x v="422"/>
    <x v="422"/>
    <s v="Verkeersveiligheid"/>
    <x v="1"/>
    <n v="477"/>
    <s v="IN/000441"/>
    <s v="in Gent : N9 Brugsevaart met op- en afrit R4 Industrieweg en Speistraat"/>
    <s v="In kader van heraanleg N9 Brugsevaart"/>
    <s v="Structurele Ingreep"/>
    <s v="WOV/INV/N9/3"/>
    <b v="0"/>
    <s v="Ingreep wordt niet opgevolgd in BOD"/>
    <s v="&lt;null&gt;"/>
    <s v="&lt;null&gt;"/>
    <s v="&lt;null&gt;"/>
    <s v="&lt;null&gt;"/>
    <n v="100"/>
    <m/>
    <m/>
  </r>
  <r>
    <x v="423"/>
    <x v="423"/>
    <s v="Verkeersveiligheid"/>
    <x v="1"/>
    <n v="478"/>
    <s v="IN/000442"/>
    <s v="in Gent : R40 Rooigemlaan met N466 Drongensesteenweg. (Relance Raamcontract)"/>
    <s v="nog niet gedefinieerd"/>
    <s v="Kleine Ingreep"/>
    <s v="WOV/INV/R40/12"/>
    <b v="0"/>
    <s v="Ingreep wordt niet opgevolgd in BOD"/>
    <n v="2024"/>
    <s v="Q1"/>
    <s v="WEGENIS"/>
    <s v="&lt;null&gt;"/>
    <n v="100"/>
    <n v="93300"/>
    <n v="93300"/>
  </r>
  <r>
    <x v="423"/>
    <x v="423"/>
    <s v="Verkeersveiligheid"/>
    <x v="1"/>
    <n v="478"/>
    <s v="IN/000442"/>
    <s v="in Gent : R40 Rooigemlaan met N466 Drongensesteenweg. (Relance Raamcontract)"/>
    <s v="nog niet gedefinieerd"/>
    <s v="Kleine Ingreep"/>
    <s v="WOV/INV/R40/12"/>
    <b v="0"/>
    <s v="Ingreep wordt niet opgevolgd in BOD"/>
    <n v="2024"/>
    <s v="Q1"/>
    <s v="VRI"/>
    <s v="&lt;null&gt;"/>
    <n v="100"/>
    <n v="99700"/>
    <n v="99700"/>
  </r>
  <r>
    <x v="423"/>
    <x v="423"/>
    <s v="Verkeersveiligheid"/>
    <x v="1"/>
    <n v="479"/>
    <s v="IN/000443"/>
    <s v="in Gent : R40 Rooigemlaan met N466 Drongensesteenweg"/>
    <s v="heraanleg kruispunt."/>
    <s v="Kleine Ingreep"/>
    <s v="&lt;null&gt;"/>
    <b v="0"/>
    <s v="Ingreep wordt niet opgevolgd in BOD"/>
    <s v="&lt;null&gt;"/>
    <s v="&lt;null&gt;"/>
    <s v="&lt;null&gt;"/>
    <s v="&lt;null&gt;"/>
    <n v="100"/>
    <m/>
    <m/>
  </r>
  <r>
    <x v="424"/>
    <x v="424"/>
    <s v="Verkeersveiligheid"/>
    <x v="1"/>
    <n v="480"/>
    <s v="IN/000444"/>
    <s v="in Gent : R40 Vlaamsekaai met Snoekstraat"/>
    <s v="zebrapad werd weggehaald + jersey werd doorgetrokken (november 2019)"/>
    <s v="Kleine Ingreep"/>
    <s v="&lt;null&gt;"/>
    <b v="0"/>
    <s v="Ingreep wordt niet opgevolgd in BOD"/>
    <s v="&lt;null&gt;"/>
    <s v="&lt;null&gt;"/>
    <s v="&lt;null&gt;"/>
    <s v="&lt;null&gt;"/>
    <n v="100"/>
    <m/>
    <m/>
  </r>
  <r>
    <x v="425"/>
    <x v="425"/>
    <s v="Verkeersveiligheid"/>
    <x v="1"/>
    <n v="481"/>
    <s v="IN/000445"/>
    <s v="in Gent : wegvak kruispunt N43 Kortrijksesteenweg met Sint-Dionysiusstraat en Schoonzichtstraat tot rotonde Driesleutels. (Relance Raamcontract)"/>
    <s v="nog niet gedefinieerd"/>
    <s v="Kleine Ingreep"/>
    <s v="&lt;null&gt;"/>
    <b v="0"/>
    <s v="Ingreep wordt niet opgevolgd in BOD"/>
    <n v="2023"/>
    <s v="Q2"/>
    <s v="VRI"/>
    <s v="&lt;null&gt;"/>
    <n v="100"/>
    <n v="159800"/>
    <n v="159800"/>
  </r>
  <r>
    <x v="425"/>
    <x v="425"/>
    <s v="Verkeersveiligheid"/>
    <x v="1"/>
    <n v="481"/>
    <s v="IN/000445"/>
    <s v="in Gent : wegvak kruispunt N43 Kortrijksesteenweg met Sint-Dionysiusstraat en Schoonzichtstraat tot rotonde Driesleutels. (Relance Raamcontract)"/>
    <s v="nog niet gedefinieerd"/>
    <s v="Kleine Ingreep"/>
    <s v="&lt;null&gt;"/>
    <b v="0"/>
    <s v="Ingreep wordt niet opgevolgd in BOD"/>
    <n v="2023"/>
    <s v="Q2"/>
    <s v="WEGENIS"/>
    <s v="&lt;null&gt;"/>
    <n v="100"/>
    <n v="395600"/>
    <n v="395600"/>
  </r>
  <r>
    <x v="425"/>
    <x v="425"/>
    <s v="Verkeersveiligheid"/>
    <x v="1"/>
    <n v="482"/>
    <s v="IN/000446"/>
    <s v="PPS tram  Gent : wegvak kruispunt N43 Kortrijksesteenweg met Sint-Dionysiusstraat en Schoonzichtstraat tot rotonde Driesleutels"/>
    <s v="Fietspaden verbeteren en middengeleider aanleggen"/>
    <s v="Structurele Ingreep"/>
    <s v="&lt;null&gt;"/>
    <b v="0"/>
    <s v="Ingreep wordt niet opgevolgd in BOD"/>
    <s v="&lt;null&gt;"/>
    <s v="&lt;null&gt;"/>
    <s v="&lt;null&gt;"/>
    <s v="&lt;null&gt;"/>
    <n v="100"/>
    <m/>
    <m/>
  </r>
  <r>
    <x v="426"/>
    <x v="426"/>
    <s v="Verkeersveiligheid"/>
    <x v="1"/>
    <n v="483"/>
    <s v="IN/000447"/>
    <s v="PPS R4WO  Gent : R4 John Kennedylaan met Smishoekstraat"/>
    <s v="Project De Werkvennootschap. Kruispunt verdwijnt en wordt een fietstunnel"/>
    <s v="Structurele Ingreep"/>
    <s v="&lt;null&gt;"/>
    <b v="0"/>
    <s v="Ingreep wordt niet opgevolgd in BOD"/>
    <s v="&lt;null&gt;"/>
    <s v="&lt;null&gt;"/>
    <s v="&lt;null&gt;"/>
    <s v="&lt;null&gt;"/>
    <n v="100"/>
    <m/>
    <m/>
  </r>
  <r>
    <x v="427"/>
    <x v="427"/>
    <s v="Verkeersveiligheid"/>
    <x v="1"/>
    <n v="484"/>
    <s v="IN/000448"/>
    <s v="Gevaarlijk Punt: R40 Gent : verlengen linksafslagstrook, bushaltes aanpassen, vri semi-conflitvrij maken, VOP verschuiven, ..."/>
    <s v="Verlengen linksafslagstrook, bushaltes aanpassen, vri semi-conflitvrij maken, VOP verschuiven, ...;\nR40 Rooigemlaan met Bevrijdingslaan, Brugsesteenweg, Hamerstraat."/>
    <s v="Kleine Ingreep"/>
    <s v="&lt;null&gt;"/>
    <b v="0"/>
    <s v="Ingreep wordt niet opgevolgd in BOD"/>
    <n v="2021"/>
    <s v="Q4"/>
    <s v="WEGENIS"/>
    <s v="&lt;null&gt;"/>
    <n v="100"/>
    <n v="105000"/>
    <n v="105000"/>
  </r>
  <r>
    <x v="428"/>
    <x v="428"/>
    <s v="Verkeersveiligheid"/>
    <x v="1"/>
    <n v="485"/>
    <s v="IN/000449"/>
    <s v="in Gent : Blaisantvest, Muidelaan, Muidepoort, Neuseplein, Sint-Salvatorstraat, Voormuide"/>
    <s v="aanpassing aan Noord-Oost hoek van kruispunt: bypass aanpassen zodat deze veiliger wordt voor de fieters"/>
    <s v="Kleine Ingreep"/>
    <s v="&lt;null&gt;"/>
    <b v="0"/>
    <s v="Ingreep wordt niet opgevolgd in BOD"/>
    <s v="&lt;null&gt;"/>
    <s v="&lt;null&gt;"/>
    <s v="&lt;null&gt;"/>
    <s v="&lt;null&gt;"/>
    <n v="100"/>
    <m/>
    <m/>
  </r>
  <r>
    <x v="428"/>
    <x v="428"/>
    <s v="Verkeersveiligheid"/>
    <x v="1"/>
    <n v="486"/>
    <s v="IN/000450"/>
    <s v="PPS tram Gent  : Blaisantvest, Muidelaan, Muidepoort, Neuseplein, Sint-Salvatorstraat, Voormuide"/>
    <s v="Verkennende studie Neuseplein en omgeving lopende"/>
    <s v="Structurele Ingreep"/>
    <s v="&lt;null&gt;"/>
    <b v="0"/>
    <s v="Ingreep wordt niet opgevolgd in BOD"/>
    <s v="&lt;null&gt;"/>
    <s v="&lt;null&gt;"/>
    <s v="&lt;null&gt;"/>
    <s v="&lt;null&gt;"/>
    <n v="100"/>
    <m/>
    <m/>
  </r>
  <r>
    <x v="429"/>
    <x v="429"/>
    <s v="Verkeersveiligheid"/>
    <x v="1"/>
    <n v="487"/>
    <s v="IN/000451"/>
    <s v="Gent : Dampoortstraat, Dok-Zuid, Hagelandkaai, Kasteellaan, Oktrooiplein"/>
    <s v="Uitrusten van Dampoort met VRI (opgelet, in 2 fases)  (2018)\n Aanpassing signalisatie en kleine infra aanpassingen (fietspad)  (2018)"/>
    <s v="Kleine Ingreep"/>
    <s v="&lt;null&gt;"/>
    <b v="0"/>
    <s v="Ingreep wordt niet opgevolgd in BOD"/>
    <s v="&lt;null&gt;"/>
    <s v="&lt;null&gt;"/>
    <s v="&lt;null&gt;"/>
    <s v="&lt;null&gt;"/>
    <n v="100"/>
    <m/>
    <m/>
  </r>
  <r>
    <x v="430"/>
    <x v="430"/>
    <s v="Verkeersveiligheid"/>
    <x v="1"/>
    <n v="488"/>
    <s v="IN/000452"/>
    <s v="Gevaarlijk Punt: N60 Gent: plaatsen van verkeerslichten"/>
    <s v="Plaatsen van verkeerslichten;\nVRI: nieuwe installatie plaatsen in Gent : N60 Krijgslaan met Achilles Musschestraat. (Relance Raamcontract)"/>
    <s v="Kleine Ingreep"/>
    <s v="WOV/INV/N60/12"/>
    <b v="1"/>
    <s v="Ingreep wordt opgevolgd in BOD"/>
    <n v="2022"/>
    <s v="Q2"/>
    <s v="VRI"/>
    <s v="&lt;null&gt;"/>
    <n v="100"/>
    <n v="131800"/>
    <n v="131800"/>
  </r>
  <r>
    <x v="431"/>
    <x v="431"/>
    <s v="Verkeersveiligheid"/>
    <x v="1"/>
    <n v="489"/>
    <s v="IN/000453"/>
    <s v="in Gent : N70 Nieuwelaan met N70a Antwerpsesteenweg. (Relance Raamcontract)"/>
    <s v="Lichten plaatsen?"/>
    <s v="Kleine Ingreep"/>
    <s v="WOV/INV/N70/18"/>
    <b v="0"/>
    <s v="Ingreep wordt niet opgevolgd in BOD"/>
    <n v="2023"/>
    <s v="Q1"/>
    <s v="WEGENIS"/>
    <s v="&lt;null&gt;"/>
    <n v="100"/>
    <n v="95000"/>
    <n v="95000"/>
  </r>
  <r>
    <x v="431"/>
    <x v="431"/>
    <s v="Verkeersveiligheid"/>
    <x v="1"/>
    <n v="489"/>
    <s v="IN/000453"/>
    <s v="in Gent : N70 Nieuwelaan met N70a Antwerpsesteenweg. (Relance Raamcontract)"/>
    <s v="Lichten plaatsen?"/>
    <s v="Kleine Ingreep"/>
    <s v="WOV/INV/N70/18"/>
    <b v="0"/>
    <s v="Ingreep wordt niet opgevolgd in BOD"/>
    <n v="2023"/>
    <s v="Q1"/>
    <s v="VRI"/>
    <s v="&lt;null&gt;"/>
    <n v="100"/>
    <n v="142800"/>
    <n v="142800"/>
  </r>
  <r>
    <x v="432"/>
    <x v="432"/>
    <s v="Verkeersveiligheid"/>
    <x v="1"/>
    <n v="490"/>
    <s v="IN/000454"/>
    <s v="in Gent : N70a Antwerpsesteenweg - Pitta Can. (Relance Raamcontract)"/>
    <s v="nog niet gedefinieerd"/>
    <s v="Kleine Ingreep"/>
    <s v="&lt;null&gt;"/>
    <b v="0"/>
    <s v="Ingreep wordt niet opgevolgd in BOD"/>
    <s v="&lt;null&gt;"/>
    <s v="&lt;null&gt;"/>
    <s v="VRI"/>
    <s v="&lt;null&gt;"/>
    <n v="100"/>
    <n v="0"/>
    <n v="0"/>
  </r>
  <r>
    <x v="432"/>
    <x v="432"/>
    <s v="Verkeersveiligheid"/>
    <x v="1"/>
    <n v="490"/>
    <s v="IN/000454"/>
    <s v="in Gent : N70a Antwerpsesteenweg - Pitta Can. (Relance Raamcontract)"/>
    <s v="nog niet gedefinieerd"/>
    <s v="Kleine Ingreep"/>
    <s v="&lt;null&gt;"/>
    <b v="0"/>
    <s v="Ingreep wordt niet opgevolgd in BOD"/>
    <n v="2022"/>
    <s v="&lt;null&gt;"/>
    <s v="WEGENIS"/>
    <s v="&lt;null&gt;"/>
    <n v="100"/>
    <n v="9600"/>
    <n v="9600"/>
  </r>
  <r>
    <x v="433"/>
    <x v="433"/>
    <s v="Verkeersveiligheid"/>
    <x v="1"/>
    <n v="491"/>
    <s v="IN/000455"/>
    <s v="Gevaarlijk Punt: N466 Gent: verticale signalisatie aanpassen"/>
    <s v="Linksafbeweging verbieden;\nN466 Drongensesteenweg met Paddelstraat"/>
    <s v="Kleine Ingreep"/>
    <s v="WOV/INV/N466/6"/>
    <b v="0"/>
    <s v="Ingreep wordt niet opgevolgd in BOD"/>
    <n v="2021"/>
    <s v="Q4"/>
    <s v="OVERIGE"/>
    <s v="&lt;null&gt;"/>
    <n v="100"/>
    <n v="1000"/>
    <n v="1000"/>
  </r>
  <r>
    <x v="434"/>
    <x v="434"/>
    <s v="Verkeersveiligheid"/>
    <x v="1"/>
    <n v="492"/>
    <s v="IN/000456"/>
    <s v="Gevaarlijk Punt: N466xN461 Gent: aanpassen kruispunt VRI + Infra"/>
    <s v="N466 Deinsesteenweg met N461 Antoon Catriestraat. (Relance Raamcontract);\nAanpassen kruispunt VRI + Infra"/>
    <s v="Kleine Ingreep"/>
    <s v="WOV/INV/N466/7"/>
    <b v="1"/>
    <s v="Ingreep wordt opgevolgd in BOD"/>
    <n v="2022"/>
    <s v="Q3"/>
    <s v="VRI"/>
    <s v="&lt;null&gt;"/>
    <n v="100"/>
    <n v="145100"/>
    <n v="145100"/>
  </r>
  <r>
    <x v="434"/>
    <x v="434"/>
    <s v="Verkeersveiligheid"/>
    <x v="1"/>
    <n v="492"/>
    <s v="IN/000456"/>
    <s v="Gevaarlijk Punt: N466xN461 Gent: aanpassen kruispunt VRI + Infra"/>
    <s v="N466 Deinsesteenweg met N461 Antoon Catriestraat. (Relance Raamcontract);\nAanpassen kruispunt VRI + Infra"/>
    <s v="Kleine Ingreep"/>
    <s v="WOV/INV/N466/7"/>
    <b v="1"/>
    <s v="Ingreep wordt opgevolgd in BOD"/>
    <n v="2022"/>
    <s v="Q3"/>
    <s v="WEGENIS"/>
    <s v="&lt;null&gt;"/>
    <n v="100"/>
    <n v="220350"/>
    <n v="220350"/>
  </r>
  <r>
    <x v="18"/>
    <x v="18"/>
    <s v="&lt;null&gt;"/>
    <x v="3"/>
    <n v="493"/>
    <s v="IN/000457"/>
    <s v="in Gent : N466 Deinsesteenweg met N461 Antoon Catriestraat"/>
    <s v="Lichtenregeling conflictvrij maken met complete heraanleg"/>
    <s v="Kleine Ingreep"/>
    <s v="&lt;null&gt;"/>
    <b v="0"/>
    <s v="Ingreep wordt niet opgevolgd in BOD"/>
    <s v="&lt;null&gt;"/>
    <s v="&lt;null&gt;"/>
    <s v="&lt;null&gt;"/>
    <s v="&lt;null&gt;"/>
    <m/>
    <m/>
    <m/>
  </r>
  <r>
    <x v="435"/>
    <x v="435"/>
    <s v="Verkeersveiligheid"/>
    <x v="1"/>
    <n v="494"/>
    <s v="IN/000458"/>
    <s v="in Gent : N9 Brusselsesteenweg met Land van Rodelaan en op- en afrit E17"/>
    <s v="nog niet gedefinieerd"/>
    <s v="Kleine Ingreep"/>
    <s v="&lt;null&gt;"/>
    <b v="0"/>
    <s v="Ingreep wordt niet opgevolgd in BOD"/>
    <n v="2023"/>
    <s v="Q4"/>
    <s v="WEGENIS"/>
    <s v="&lt;null&gt;"/>
    <n v="100"/>
    <n v="42300"/>
    <n v="42300"/>
  </r>
  <r>
    <x v="435"/>
    <x v="435"/>
    <s v="Verkeersveiligheid"/>
    <x v="1"/>
    <n v="494"/>
    <s v="IN/000458"/>
    <s v="in Gent : N9 Brusselsesteenweg met Land van Rodelaan en op- en afrit E17"/>
    <s v="nog niet gedefinieerd"/>
    <s v="Kleine Ingreep"/>
    <s v="&lt;null&gt;"/>
    <b v="0"/>
    <s v="Ingreep wordt niet opgevolgd in BOD"/>
    <n v="2023"/>
    <s v="Q4"/>
    <s v="VRI"/>
    <s v="&lt;null&gt;"/>
    <n v="100"/>
    <n v="92900"/>
    <n v="92900"/>
  </r>
  <r>
    <x v="435"/>
    <x v="435"/>
    <s v="Verkeersveiligheid"/>
    <x v="1"/>
    <n v="495"/>
    <s v="IN/000459"/>
    <s v="in Gent : N9 Brusselsesteenweg met Land van Rodelaan en op- en afrit E1711"/>
    <s v="studie doorstroming tramlijn 2 (kruispunt zi hierbij)"/>
    <s v="Kleine Ingreep"/>
    <s v="&lt;null&gt;"/>
    <b v="0"/>
    <s v="Ingreep wordt niet opgevolgd in BOD"/>
    <s v="&lt;null&gt;"/>
    <s v="&lt;null&gt;"/>
    <s v="&lt;null&gt;"/>
    <s v="&lt;null&gt;"/>
    <n v="100"/>
    <m/>
    <m/>
  </r>
  <r>
    <x v="436"/>
    <x v="436"/>
    <s v="Verkeersveiligheid"/>
    <x v="1"/>
    <n v="496"/>
    <s v="IN/000460"/>
    <s v="in Gent : N70 Land van Waaslaan met Pilorijnstraat"/>
    <s v="De signalisatie duidelijker maken  (2018)"/>
    <s v="Kleine Ingreep"/>
    <s v="&lt;null&gt;"/>
    <b v="0"/>
    <s v="Ingreep wordt niet opgevolgd in BOD"/>
    <s v="&lt;null&gt;"/>
    <s v="&lt;null&gt;"/>
    <s v="&lt;null&gt;"/>
    <s v="&lt;null&gt;"/>
    <n v="100"/>
    <m/>
    <m/>
  </r>
  <r>
    <x v="437"/>
    <x v="437"/>
    <s v="Verkeersveiligheid"/>
    <x v="1"/>
    <n v="497"/>
    <s v="IN/000461"/>
    <s v="in Gent : Pantserschipstraat, N458 Wondelgemkaai, N456 Zeeschipstraat"/>
    <s v="heraanleg kruispunt in kader van herbouwen Meulestedebrug"/>
    <s v="Structurele Ingreep"/>
    <s v="WOV/INV/N456/2"/>
    <b v="0"/>
    <s v="Ingreep wordt niet opgevolgd in BOD"/>
    <s v="&lt;null&gt;"/>
    <s v="&lt;null&gt;"/>
    <s v="&lt;null&gt;"/>
    <s v="&lt;null&gt;"/>
    <n v="100"/>
    <m/>
    <m/>
  </r>
  <r>
    <x v="438"/>
    <x v="438"/>
    <s v="Verkeersveiligheid"/>
    <x v="1"/>
    <n v="498"/>
    <s v="IN/000462"/>
    <s v="Gevaarlijk punt: R40 Gent: aanpassen lichtenregeling"/>
    <s v="Conflictvrij maken;\nVRI: aanpassen lichtenregeling in Gent : R40 Charles de Kerchovelaan / Citadellaan met Hofbouwlaan, Normaalschoolstraat, Overpoortstraat. (Relance Raamcontract)"/>
    <s v="Kleine Ingreep"/>
    <s v="WOV/INV/R40/10"/>
    <b v="0"/>
    <s v="Ingreep wordt niet opgevolgd in BOD"/>
    <n v="2022"/>
    <s v="Q4"/>
    <s v="VRI"/>
    <s v="&lt;null&gt;"/>
    <n v="100"/>
    <n v="87000"/>
    <n v="87000"/>
  </r>
  <r>
    <x v="439"/>
    <x v="439"/>
    <s v="Verkeersveiligheid"/>
    <x v="1"/>
    <n v="499"/>
    <s v="IN/000463"/>
    <s v="Horizontale signalisatie aanpassen in Gent : R40 Ijzerlaan met Bijlokekaai en Henleykaai. (Relance Raamcontract)"/>
    <s v="VRI plaatsen"/>
    <s v="Kleine Ingreep"/>
    <s v="&lt;null&gt;"/>
    <b v="0"/>
    <s v="Ingreep wordt niet opgevolgd in BOD"/>
    <n v="2023"/>
    <s v="Q1"/>
    <s v="WEGENIS"/>
    <s v="&lt;null&gt;"/>
    <n v="100"/>
    <n v="131200"/>
    <n v="131200"/>
  </r>
  <r>
    <x v="439"/>
    <x v="439"/>
    <s v="Verkeersveiligheid"/>
    <x v="1"/>
    <n v="499"/>
    <s v="IN/000463"/>
    <s v="Horizontale signalisatie aanpassen in Gent : R40 Ijzerlaan met Bijlokekaai en Henleykaai. (Relance Raamcontract)"/>
    <s v="VRI plaatsen"/>
    <s v="Kleine Ingreep"/>
    <s v="&lt;null&gt;"/>
    <b v="0"/>
    <s v="Ingreep wordt niet opgevolgd in BOD"/>
    <n v="2023"/>
    <s v="Q1"/>
    <s v="VRI"/>
    <s v="&lt;null&gt;"/>
    <n v="100"/>
    <n v="140400"/>
    <n v="140400"/>
  </r>
  <r>
    <x v="440"/>
    <x v="440"/>
    <s v="Verkeersveiligheid"/>
    <x v="1"/>
    <n v="500"/>
    <s v="IN/000464"/>
    <s v="Gevaarlijk Punt: N9 Gent: markeringen aanpassen"/>
    <s v="Alexis Dallièrestraat, Brusselsesteenweg, Langestraat. (Relance Raamcontract);\nMarkeringen aanpassen"/>
    <s v="Kleine Ingreep"/>
    <s v="WOV/INV/N9/26"/>
    <b v="1"/>
    <s v="Ingreep wordt opgevolgd in BOD"/>
    <n v="2022"/>
    <s v="Q1"/>
    <s v="WEGENIS"/>
    <s v="&lt;null&gt;"/>
    <n v="100"/>
    <n v="2100"/>
    <n v="2100"/>
  </r>
  <r>
    <x v="441"/>
    <x v="441"/>
    <s v="Verkeersveiligheid"/>
    <x v="1"/>
    <n v="501"/>
    <s v="IN/000465"/>
    <s v="VRI: aanpassen lichtenregeling in Geraardsbergen : N42 Astridlaan met N493 Oudenaardsestraat. (Relance Raamcontract)"/>
    <s v="Ombouw actieplan"/>
    <s v="Kleine Ingreep"/>
    <s v="WOV/INV/N42/13"/>
    <b v="0"/>
    <s v="Ingreep wordt niet opgevolgd in BOD"/>
    <n v="2022"/>
    <s v="Q4"/>
    <s v="WEGENIS"/>
    <s v="&lt;null&gt;"/>
    <n v="100"/>
    <n v="12000"/>
    <n v="12000"/>
  </r>
  <r>
    <x v="441"/>
    <x v="441"/>
    <s v="Verkeersveiligheid"/>
    <x v="1"/>
    <n v="501"/>
    <s v="IN/000465"/>
    <s v="VRI: aanpassen lichtenregeling in Geraardsbergen : N42 Astridlaan met N493 Oudenaardsestraat. (Relance Raamcontract)"/>
    <s v="Ombouw actieplan"/>
    <s v="Kleine Ingreep"/>
    <s v="WOV/INV/N42/13"/>
    <b v="0"/>
    <s v="Ingreep wordt niet opgevolgd in BOD"/>
    <n v="2022"/>
    <s v="Q4"/>
    <s v="VRI"/>
    <s v="&lt;null&gt;"/>
    <n v="100"/>
    <n v="207700"/>
    <n v="207700"/>
  </r>
  <r>
    <x v="18"/>
    <x v="18"/>
    <s v="&lt;null&gt;"/>
    <x v="3"/>
    <n v="502"/>
    <s v="IN/000466"/>
    <s v="in Geraardsbergen : N42 Astridlaan met N493 Oudenaardsestraat"/>
    <s v="complete heraanleg"/>
    <s v="Kleine Ingreep"/>
    <s v="&lt;null&gt;"/>
    <b v="0"/>
    <s v="Ingreep wordt niet opgevolgd in BOD"/>
    <s v="&lt;null&gt;"/>
    <s v="&lt;null&gt;"/>
    <s v="&lt;null&gt;"/>
    <s v="&lt;null&gt;"/>
    <m/>
    <m/>
    <m/>
  </r>
  <r>
    <x v="442"/>
    <x v="442"/>
    <s v="Verkeersveiligheid"/>
    <x v="1"/>
    <n v="503"/>
    <s v="IN/000467"/>
    <s v="Gevaarlijk Punt: N8 Geraardsbergen: VRI en Infra aanpassen"/>
    <s v="VRI en Infra: aanpassen lichtenregeling in Geraardsbergen : Brambroek, N42 Richting Lessines, N42 Richting Wetteren, Brakel (N8), N8 Richting Brussel, N8 Richting Koksijde. (Relance raamcontract);\nOmbouw naar slimme verkeerslichten"/>
    <s v="Kleine Ingreep"/>
    <s v="WOV/INV/N8/10"/>
    <b v="1"/>
    <s v="Ingreep wordt opgevolgd in BOD"/>
    <n v="2023"/>
    <s v="Q2"/>
    <s v="WEGENIS"/>
    <s v="&lt;null&gt;"/>
    <n v="100"/>
    <n v="222700"/>
    <n v="222700"/>
  </r>
  <r>
    <x v="442"/>
    <x v="442"/>
    <s v="Verkeersveiligheid"/>
    <x v="1"/>
    <n v="503"/>
    <s v="IN/000467"/>
    <s v="Gevaarlijk Punt: N8 Geraardsbergen: VRI en Infra aanpassen"/>
    <s v="VRI en Infra: aanpassen lichtenregeling in Geraardsbergen : Brambroek, N42 Richting Lessines, N42 Richting Wetteren, Brakel (N8), N8 Richting Brussel, N8 Richting Koksijde. (Relance raamcontract);\nOmbouw naar slimme verkeerslichten"/>
    <s v="Kleine Ingreep"/>
    <s v="WOV/INV/N8/10"/>
    <b v="1"/>
    <s v="Ingreep wordt opgevolgd in BOD"/>
    <n v="2023"/>
    <s v="Q2"/>
    <s v="VRI"/>
    <s v="&lt;null&gt;"/>
    <n v="100"/>
    <n v="209300"/>
    <n v="209300"/>
  </r>
  <r>
    <x v="443"/>
    <x v="443"/>
    <s v="Verkeersveiligheid"/>
    <x v="1"/>
    <n v="504"/>
    <s v="IN/000468"/>
    <s v="in Gistel : Hoogstraat, Kerkstraat, Markt"/>
    <s v="in- en uitritconstructie aanpassen om verkeer uit Kerkstraat te remmen"/>
    <s v="Kleine Ingreep"/>
    <s v="&lt;null&gt;"/>
    <b v="0"/>
    <s v="Ingreep wordt niet opgevolgd in BOD"/>
    <s v="&lt;null&gt;"/>
    <s v="&lt;null&gt;"/>
    <s v="&lt;null&gt;"/>
    <s v="&lt;null&gt;"/>
    <n v="100"/>
    <m/>
    <m/>
  </r>
  <r>
    <x v="444"/>
    <x v="444"/>
    <s v="Verkeersveiligheid"/>
    <x v="1"/>
    <n v="505"/>
    <s v="IN/000469"/>
    <s v="in Grimbergen : R0 Binnenring (MAG WEG - DOOR DWV)"/>
    <s v="Herinrichting R0 door De Werkvennootschap"/>
    <s v="Structurele Ingreep"/>
    <s v="&lt;null&gt;"/>
    <b v="0"/>
    <s v="Ingreep wordt niet opgevolgd in BOD"/>
    <s v="&lt;null&gt;"/>
    <s v="&lt;null&gt;"/>
    <s v="&lt;null&gt;"/>
    <s v="&lt;null&gt;"/>
    <n v="100"/>
    <m/>
    <m/>
  </r>
  <r>
    <x v="445"/>
    <x v="445"/>
    <s v="Verkeersveiligheid"/>
    <x v="1"/>
    <n v="506"/>
    <s v="IN/000470"/>
    <s v="in Grimbergen : R0 Binnenring Oprit A12, R0 Rotonde - Verkeerswisselaar A12"/>
    <s v="Toegelaten snelheid verlaagd naar 70km/u"/>
    <s v="Kleine Ingreep"/>
    <s v="&lt;null&gt;"/>
    <b v="0"/>
    <s v="Ingreep wordt niet opgevolgd in BOD"/>
    <s v="&lt;null&gt;"/>
    <s v="&lt;null&gt;"/>
    <s v="&lt;null&gt;"/>
    <s v="&lt;null&gt;"/>
    <n v="100"/>
    <m/>
    <m/>
  </r>
  <r>
    <x v="445"/>
    <x v="445"/>
    <s v="Verkeersveiligheid"/>
    <x v="1"/>
    <n v="507"/>
    <s v="IN/000471"/>
    <s v="in Grimbergen : R0 Binnenring Oprit A12, R0 Rotonde - Verkeerswisselaar A12 (MAG WEG - DOOR DWV)"/>
    <s v="Herinrichting R0 door De Werkvennootschap"/>
    <s v="Structurele Ingreep"/>
    <s v="&lt;null&gt;"/>
    <b v="0"/>
    <s v="Ingreep wordt niet opgevolgd in BOD"/>
    <s v="&lt;null&gt;"/>
    <s v="&lt;null&gt;"/>
    <s v="&lt;null&gt;"/>
    <s v="&lt;null&gt;"/>
    <n v="100"/>
    <m/>
    <m/>
  </r>
  <r>
    <x v="446"/>
    <x v="446"/>
    <s v="Verkeersveiligheid"/>
    <x v="1"/>
    <n v="508"/>
    <s v="IN/000472"/>
    <s v="in Grobbendonk : A13-E313 Richting Antwerpen (herentals-West Grobbendonk)"/>
    <s v="(toevalsfactor)"/>
    <s v="Kleine Ingreep"/>
    <s v="&lt;null&gt;"/>
    <b v="0"/>
    <s v="Ingreep wordt niet opgevolgd in BOD"/>
    <s v="&lt;null&gt;"/>
    <s v="&lt;null&gt;"/>
    <s v="&lt;null&gt;"/>
    <s v="&lt;null&gt;"/>
    <n v="100"/>
    <m/>
    <m/>
  </r>
  <r>
    <x v="447"/>
    <x v="447"/>
    <s v="Verkeersveiligheid"/>
    <x v="1"/>
    <n v="509"/>
    <s v="IN/000473"/>
    <s v="in Halle : A8-E429 Richting Brussel, A8-E429 Richting Lille (Fr), N203a Verbinding A7 - A8 te Halle, Nijvelsesteenweg"/>
    <s v="Fiets- en voetgangersbrug"/>
    <s v="Kleine Ingreep"/>
    <s v="&lt;null&gt;"/>
    <b v="0"/>
    <s v="Ingreep wordt niet opgevolgd in BOD"/>
    <n v="2023"/>
    <s v="&lt;null&gt;"/>
    <s v="WEGENIS"/>
    <s v="&lt;null&gt;"/>
    <n v="100"/>
    <n v="500000"/>
    <n v="500000"/>
  </r>
  <r>
    <x v="18"/>
    <x v="18"/>
    <s v="&lt;null&gt;"/>
    <x v="3"/>
    <n v="510"/>
    <s v="IN/000474"/>
    <s v="in Halle : A8-E429 Richting Brussel, A8-E429 Richting Lille (Fr), N203a Verbinding A7 - A8 te Halle, Nijvelsesteenweg (SCHRAPPEN - MAAKT DEEL UIT VAN WVB/INV/A8/1)"/>
    <s v="er komt een voetgangers- en fietsersbrug"/>
    <s v="Structurele Ingreep"/>
    <s v="&lt;null&gt;"/>
    <b v="0"/>
    <s v="Ingreep wordt niet opgevolgd in BOD"/>
    <s v="&lt;null&gt;"/>
    <s v="&lt;null&gt;"/>
    <s v="&lt;null&gt;"/>
    <s v="&lt;null&gt;"/>
    <m/>
    <m/>
    <m/>
  </r>
  <r>
    <x v="448"/>
    <x v="448"/>
    <s v="Verkeersveiligheid"/>
    <x v="1"/>
    <n v="511"/>
    <s v="IN/000475"/>
    <s v="Horizontale signalisatie aanpassen in Halle : Auguste Demaeghtlaan, Bergensesteenweg, Bevrijdingsplein, Edingensesteenweg"/>
    <s v="zichtbaarheid wordt verbeterd door het weghalen van een cabine stroomvoorziening. Rotonde wordt teruggebracht naar 1 vak (nu veel breder) waardoor fietser beter in zicht komt"/>
    <s v="Kleine Ingreep"/>
    <s v="&lt;null&gt;"/>
    <b v="0"/>
    <s v="Ingreep wordt niet opgevolgd in BOD"/>
    <s v="&lt;null&gt;"/>
    <s v="&lt;null&gt;"/>
    <s v="WEGENIS"/>
    <s v="&lt;null&gt;"/>
    <n v="100"/>
    <n v="100000"/>
    <n v="100000"/>
  </r>
  <r>
    <x v="449"/>
    <x v="449"/>
    <s v="Verkeersveiligheid"/>
    <x v="1"/>
    <n v="512"/>
    <s v="IN/000476"/>
    <s v="in Halle : Auguste Demaeghtlaan (N28 Nijvelsestwg)"/>
    <s v="Vrijliggende fietspaden, bushaltes aanpassen"/>
    <s v="Kleine Ingreep"/>
    <s v="WVB/INV/N6/5"/>
    <b v="1"/>
    <s v="Ingreep wordt opgevolgd in BOD"/>
    <n v="2023"/>
    <s v="Q3"/>
    <s v="WEGENIS"/>
    <s v="&lt;null&gt;"/>
    <n v="100"/>
    <n v="600000"/>
    <n v="600000"/>
  </r>
  <r>
    <x v="449"/>
    <x v="449"/>
    <s v="Verkeersveiligheid"/>
    <x v="1"/>
    <n v="512"/>
    <s v="IN/000476"/>
    <s v="in Halle : Auguste Demaeghtlaan (N28 Nijvelsestwg)"/>
    <s v="Vrijliggende fietspaden, bushaltes aanpassen"/>
    <s v="Kleine Ingreep"/>
    <s v="WVB/INV/N6/5"/>
    <b v="1"/>
    <s v="Ingreep wordt opgevolgd in BOD"/>
    <n v="2023"/>
    <s v="Q3"/>
    <s v="VRI"/>
    <s v="&lt;null&gt;"/>
    <n v="100"/>
    <n v="200000"/>
    <n v="200000"/>
  </r>
  <r>
    <x v="450"/>
    <x v="450"/>
    <s v="Verkeersveiligheid"/>
    <x v="1"/>
    <n v="513"/>
    <s v="IN/000477"/>
    <s v="in Harelbeke : Kortrijksesteenweg, Peter Benoitlaan, Vlasstraat"/>
    <s v="conflictvrije fase voor voetgangers dwars over de N43"/>
    <s v="Kleine Ingreep"/>
    <s v="WWV/INV/N43/3"/>
    <b v="1"/>
    <s v="Ingreep wordt opgevolgd in BOD"/>
    <n v="2021"/>
    <s v="Q4"/>
    <s v="VRI"/>
    <s v="V-plan V014596v11 indienstname 20/10/2021"/>
    <n v="100"/>
    <n v="85000"/>
    <n v="85000"/>
  </r>
  <r>
    <x v="18"/>
    <x v="18"/>
    <s v="&lt;null&gt;"/>
    <x v="3"/>
    <n v="514"/>
    <s v="IN/000478"/>
    <s v="in Harelbeke : Gentsesteenweg, Kortrijksesteenweg, N395a Parallelweg R8 Noord, N43 Richting Gent, N43 Richting Moeskroen, R8 Buitenring, R8 Buitenring Oprit 5 (Harelbeke)"/>
    <s v="2022: circulatiemaatregelen:  conflictvrije linksaffasen (in combinatie met 2 andere kruispunten)\nLange termijn: realisatie R8 - MLT"/>
    <s v="Kleine Ingreep"/>
    <s v="&lt;null&gt;"/>
    <b v="0"/>
    <s v="Ingreep wordt niet opgevolgd in BOD"/>
    <s v="&lt;null&gt;"/>
    <s v="&lt;null&gt;"/>
    <s v="&lt;null&gt;"/>
    <s v="&lt;null&gt;"/>
    <m/>
    <m/>
    <m/>
  </r>
  <r>
    <x v="451"/>
    <x v="451"/>
    <s v="Verkeersveiligheid"/>
    <x v="1"/>
    <n v="515"/>
    <s v="IN/000479"/>
    <s v="in Harelbeke : Groeningestraat, Kortrijksesteenweg"/>
    <s v="Op- en afrit tankstation gestroomlijnd"/>
    <s v="Kleine Ingreep"/>
    <s v="&lt;null&gt;"/>
    <b v="0"/>
    <s v="Ingreep wordt niet opgevolgd in BOD"/>
    <s v="&lt;null&gt;"/>
    <s v="&lt;null&gt;"/>
    <s v="&lt;null&gt;"/>
    <s v="&lt;null&gt;"/>
    <n v="100"/>
    <m/>
    <m/>
  </r>
  <r>
    <x v="452"/>
    <x v="452"/>
    <s v="Verkeersveiligheid"/>
    <x v="1"/>
    <n v="516"/>
    <s v="IN/000480"/>
    <s v="in Hasselt : Hendrik van Veldekesingel, Herkenrodesingel, Kuringersteenweg"/>
    <s v="Aanpassen lichtenregeling (reeds uitgevoerd)  + markering wordt nog aangepast + signalisatie plaatsen (snelheidsverlaging naar 70 km/u)"/>
    <s v="Kleine Ingreep"/>
    <s v="&lt;null&gt;"/>
    <b v="0"/>
    <s v="Ingreep wordt niet opgevolgd in BOD"/>
    <s v="&lt;null&gt;"/>
    <s v="&lt;null&gt;"/>
    <s v="VRI"/>
    <s v="&lt;null&gt;"/>
    <n v="100"/>
    <n v="200000"/>
    <n v="200000"/>
  </r>
  <r>
    <x v="453"/>
    <x v="453"/>
    <s v="Verkeersveiligheid"/>
    <x v="1"/>
    <n v="517"/>
    <s v="IN/000481"/>
    <s v="in Hasselt : de Gerlachestraat, Guffenslaan"/>
    <s v="fietspad in tegenrichting aanglegd op promenade (middenberm)"/>
    <s v="Structurele Ingreep"/>
    <s v="&lt;null&gt;"/>
    <b v="0"/>
    <s v="Ingreep wordt niet opgevolgd in BOD"/>
    <s v="&lt;null&gt;"/>
    <s v="&lt;null&gt;"/>
    <s v="&lt;null&gt;"/>
    <s v="&lt;null&gt;"/>
    <n v="100"/>
    <m/>
    <m/>
  </r>
  <r>
    <x v="454"/>
    <x v="454"/>
    <s v="Verkeersveiligheid"/>
    <x v="1"/>
    <n v="518"/>
    <s v="IN/000482"/>
    <s v="VRI: aanpassen lichtenregeling in Hasselt : Biezenstraat, Boerenkrijgsingel"/>
    <s v="Aanpassen lichtenregeling (slimme VRI)"/>
    <s v="Kleine Ingreep"/>
    <s v="WL/INV/R71/20"/>
    <b v="0"/>
    <s v="Ingreep wordt niet opgevolgd in BOD"/>
    <s v="&lt;null&gt;"/>
    <s v="&lt;null&gt;"/>
    <s v="VRI"/>
    <s v="&lt;null&gt;"/>
    <n v="100"/>
    <n v="200000"/>
    <n v="200000"/>
  </r>
  <r>
    <x v="454"/>
    <x v="454"/>
    <s v="Verkeersveiligheid"/>
    <x v="1"/>
    <n v="518"/>
    <s v="IN/000482"/>
    <s v="VRI: aanpassen lichtenregeling in Hasselt : Biezenstraat, Boerenkrijgsingel"/>
    <s v="Aanpassen lichtenregeling (slimme VRI)"/>
    <s v="Kleine Ingreep"/>
    <s v="WL/INV/R71/20"/>
    <b v="0"/>
    <s v="Ingreep wordt niet opgevolgd in BOD"/>
    <n v="2022"/>
    <s v="&lt;null&gt;"/>
    <s v="WEGENIS"/>
    <s v="&lt;null&gt;"/>
    <n v="100"/>
    <n v="200000"/>
    <n v="200000"/>
  </r>
  <r>
    <x v="18"/>
    <x v="18"/>
    <s v="&lt;null&gt;"/>
    <x v="3"/>
    <n v="519"/>
    <s v="IN/000483"/>
    <s v="in Hasselt : Genkersteenweg, Kempische steenweg"/>
    <s v="nog niet gedefinieerd"/>
    <s v="Kleine Ingreep"/>
    <s v="&lt;null&gt;"/>
    <b v="0"/>
    <s v="Ingreep wordt niet opgevolgd in BOD"/>
    <s v="&lt;null&gt;"/>
    <s v="&lt;null&gt;"/>
    <s v="VRI"/>
    <s v="&lt;null&gt;"/>
    <m/>
    <n v="250000"/>
    <m/>
  </r>
  <r>
    <x v="455"/>
    <x v="455"/>
    <s v="Verkeersveiligheid"/>
    <x v="1"/>
    <n v="520"/>
    <s v="IN/000484"/>
    <s v="in Hasselt : Genkersteenweg, Kempische steenweg"/>
    <s v="Combi met 8137\nHerinrichting kruispunt tijdens verhogen Kanaalbrug"/>
    <s v="Structurele Ingreep"/>
    <s v="&lt;null&gt;"/>
    <b v="0"/>
    <s v="Ingreep wordt niet opgevolgd in BOD"/>
    <s v="&lt;null&gt;"/>
    <s v="&lt;null&gt;"/>
    <s v="&lt;null&gt;"/>
    <s v="&lt;null&gt;"/>
    <n v="100"/>
    <m/>
    <m/>
  </r>
  <r>
    <x v="456"/>
    <x v="456"/>
    <s v="Verkeersveiligheid"/>
    <x v="1"/>
    <n v="521"/>
    <s v="IN/000485"/>
    <s v="in Hasselt : Gouverneur Roppesingel, Luikersteenweg, Prins-Bisschopssingel"/>
    <s v="Ombouw volgens actieplan"/>
    <s v="Kleine Ingreep"/>
    <s v="WL/INV/N20/9"/>
    <b v="0"/>
    <s v="Ingreep wordt niet opgevolgd in BOD"/>
    <s v="&lt;null&gt;"/>
    <s v="&lt;null&gt;"/>
    <s v="VRI"/>
    <s v="&lt;null&gt;"/>
    <n v="100"/>
    <n v="185000"/>
    <n v="185000"/>
  </r>
  <r>
    <x v="457"/>
    <x v="457"/>
    <s v="Verkeersveiligheid"/>
    <x v="1"/>
    <n v="522"/>
    <s v="IN/000486"/>
    <s v="in Hasselt : Gouverneur Verwilghensingel, Hendrik van Veldekesingel, Herkenrodesingel, Kempische steenweg"/>
    <s v="Kruispunt wordt herbekeken samen met verhoging brug over Albertkanaal door de Vlaamse Waterweg maar er was reeds een zeer sterke daling van de priorwaarde (van 88 naar 37) dankzij installatie RLC's"/>
    <s v="Structurele Ingreep"/>
    <s v="WL/INV/N74/2"/>
    <b v="0"/>
    <s v="Ingreep wordt niet opgevolgd in BOD"/>
    <n v="2021"/>
    <s v="&lt;null&gt;"/>
    <s v="OVERIGE"/>
    <s v="&lt;null&gt;"/>
    <n v="100"/>
    <n v="2500000"/>
    <n v="2500000"/>
  </r>
  <r>
    <x v="458"/>
    <x v="458"/>
    <s v="Verkeersveiligheid"/>
    <x v="1"/>
    <n v="523"/>
    <s v="IN/000487"/>
    <s v="in Hasselt : Gouverneur Roppesingel, Gouverneur Verwilghensingel, Koning Boudewijnlaan, Universiteitslaan"/>
    <s v="Aanleg bustunnel"/>
    <s v="Structurele Ingreep"/>
    <s v="&lt;null&gt;"/>
    <b v="0"/>
    <s v="Ingreep wordt niet opgevolgd in BOD"/>
    <s v="&lt;null&gt;"/>
    <s v="&lt;null&gt;"/>
    <s v="&lt;null&gt;"/>
    <s v="&lt;null&gt;"/>
    <n v="100"/>
    <m/>
    <m/>
  </r>
  <r>
    <x v="459"/>
    <x v="459"/>
    <s v="Verkeersveiligheid"/>
    <x v="1"/>
    <n v="524"/>
    <s v="IN/000488"/>
    <s v="in Hasselt : Gouverneur Roppesingel, Kroonwinningstraat"/>
    <s v="Herinrichting kruispunt"/>
    <s v="Structurele Ingreep"/>
    <s v="&lt;null&gt;"/>
    <b v="0"/>
    <s v="Ingreep wordt niet opgevolgd in BOD"/>
    <s v="&lt;null&gt;"/>
    <s v="&lt;null&gt;"/>
    <s v="&lt;null&gt;"/>
    <s v="&lt;null&gt;"/>
    <n v="100"/>
    <m/>
    <m/>
  </r>
  <r>
    <x v="460"/>
    <x v="460"/>
    <s v="Verkeersveiligheid"/>
    <x v="1"/>
    <n v="525"/>
    <s v="IN/000489"/>
    <s v="Aanpassen lichtenregeling (slimme VRI)"/>
    <m/>
    <s v="Kleine Ingreep"/>
    <s v="WL/INV/NX/3"/>
    <b v="0"/>
    <s v="Ingreep wordt niet opgevolgd in BOD"/>
    <s v="&lt;null&gt;"/>
    <s v="&lt;null&gt;"/>
    <s v="VRI"/>
    <s v="&lt;null&gt;"/>
    <n v="100"/>
    <n v="200000"/>
    <n v="200000"/>
  </r>
  <r>
    <x v="460"/>
    <x v="460"/>
    <s v="Verkeersveiligheid"/>
    <x v="1"/>
    <n v="525"/>
    <s v="IN/000489"/>
    <s v="Aanpassen lichtenregeling (slimme VRI)"/>
    <m/>
    <s v="Kleine Ingreep"/>
    <s v="WL/INV/NX/3"/>
    <b v="0"/>
    <s v="Ingreep wordt niet opgevolgd in BOD"/>
    <n v="2022"/>
    <s v="&lt;null&gt;"/>
    <s v="WEGENIS"/>
    <s v="&lt;null&gt;"/>
    <n v="100"/>
    <n v="100000"/>
    <n v="100000"/>
  </r>
  <r>
    <x v="460"/>
    <x v="460"/>
    <s v="Verkeersveiligheid"/>
    <x v="1"/>
    <n v="525"/>
    <s v="IN/000489"/>
    <s v="Aanpassen lichtenregeling (slimme VRI)"/>
    <m/>
    <s v="Kleine Ingreep"/>
    <s v="WL/INV/NX/3"/>
    <b v="0"/>
    <s v="Ingreep wordt niet opgevolgd in BOD"/>
    <s v="&lt;null&gt;"/>
    <s v="&lt;null&gt;"/>
    <s v="STUDIE"/>
    <s v="&lt;null&gt;"/>
    <n v="100"/>
    <n v="35000"/>
    <n v="35000"/>
  </r>
  <r>
    <x v="461"/>
    <x v="461"/>
    <s v="Verkeersveiligheid"/>
    <x v="1"/>
    <n v="526"/>
    <s v="IN/000490"/>
    <s v="in Hasselt : de Geloesplein, Gouverneur Roppesingel, Kliniekstraat, Prins-Bisschopssingel"/>
    <s v="aanbesteding lopende. uitvoering 2020"/>
    <s v="Structurele Ingreep"/>
    <s v="&lt;null&gt;"/>
    <b v="0"/>
    <s v="Ingreep wordt niet opgevolgd in BOD"/>
    <s v="&lt;null&gt;"/>
    <s v="&lt;null&gt;"/>
    <s v="&lt;null&gt;"/>
    <s v="&lt;null&gt;"/>
    <n v="100"/>
    <m/>
    <m/>
  </r>
  <r>
    <x v="462"/>
    <x v="462"/>
    <s v="Verkeersveiligheid"/>
    <x v="1"/>
    <n v="527"/>
    <s v="IN/000491"/>
    <s v="Aanpassing naar i-VRI"/>
    <m/>
    <s v="Kleine Ingreep"/>
    <s v="WL/INV/N80/3"/>
    <b v="0"/>
    <s v="Ingreep wordt niet opgevolgd in BOD"/>
    <s v="&lt;null&gt;"/>
    <s v="&lt;null&gt;"/>
    <s v="VRI"/>
    <s v="&lt;null&gt;"/>
    <n v="100"/>
    <n v="150000"/>
    <n v="150000"/>
  </r>
  <r>
    <x v="463"/>
    <x v="463"/>
    <s v="Verkeersveiligheid"/>
    <x v="1"/>
    <n v="528"/>
    <s v="IN/000492"/>
    <s v="in Hasselt : Thonissenlaan (thv kmpt 0,3)"/>
    <s v="uitgebreide aanpassing in uitvoering:  stuk van thonissenlaan is in herinrichting + manteliusstraat is éénrichting gemaakt"/>
    <s v="Structurele Ingreep"/>
    <s v="&lt;null&gt;"/>
    <b v="0"/>
    <s v="Ingreep wordt niet opgevolgd in BOD"/>
    <s v="&lt;null&gt;"/>
    <s v="&lt;null&gt;"/>
    <s v="&lt;null&gt;"/>
    <s v="&lt;null&gt;"/>
    <n v="100"/>
    <m/>
    <m/>
  </r>
  <r>
    <x v="464"/>
    <x v="464"/>
    <s v="Verkeersveiligheid"/>
    <x v="1"/>
    <n v="529"/>
    <s v="IN/000493"/>
    <s v="in Hasselt : Trichterheideweg, Universiteitslaan, Via Media"/>
    <s v="kruispunt in herinrichting"/>
    <s v="Structurele Ingreep"/>
    <s v="&lt;null&gt;"/>
    <b v="0"/>
    <s v="Ingreep wordt niet opgevolgd in BOD"/>
    <s v="&lt;null&gt;"/>
    <s v="&lt;null&gt;"/>
    <s v="&lt;null&gt;"/>
    <s v="&lt;null&gt;"/>
    <n v="100"/>
    <m/>
    <m/>
  </r>
  <r>
    <x v="465"/>
    <x v="465"/>
    <s v="Verkeersveiligheid"/>
    <x v="1"/>
    <n v="530"/>
    <s v="IN/000494"/>
    <s v="Fietspad: aanpassen van ligging in Hasselt : Kempische steenweg, N74 Richting Eindhoven (Nl), Putvennestraat"/>
    <s v="Fietspaden verleggen + aanpassen aansluiting putvennestraat ((nog asfalteren en markeren)"/>
    <s v="Kleine Ingreep"/>
    <s v="&lt;null&gt;"/>
    <b v="0"/>
    <s v="Ingreep wordt niet opgevolgd in BOD"/>
    <s v="&lt;null&gt;"/>
    <s v="&lt;null&gt;"/>
    <s v="&lt;null&gt;"/>
    <s v="&lt;null&gt;"/>
    <n v="100"/>
    <m/>
    <m/>
  </r>
  <r>
    <x v="466"/>
    <x v="466"/>
    <s v="Verkeersveiligheid"/>
    <x v="1"/>
    <n v="531"/>
    <s v="IN/000495"/>
    <s v="in Hechtel-Eksel : Hasseltsebaan, N74 (NOORD-ZUID VERBINDING), N74 Richting Hasselt"/>
    <s v="Noord-zuidverbinding: uitvoering binnen compelx project van DWV"/>
    <s v="Structurele Ingreep"/>
    <s v="&lt;null&gt;"/>
    <b v="0"/>
    <s v="Ingreep wordt niet opgevolgd in BOD"/>
    <s v="&lt;null&gt;"/>
    <s v="&lt;null&gt;"/>
    <s v="&lt;null&gt;"/>
    <s v="&lt;null&gt;"/>
    <n v="100"/>
    <m/>
    <m/>
  </r>
  <r>
    <x v="467"/>
    <x v="467"/>
    <s v="Verkeersveiligheid"/>
    <x v="1"/>
    <n v="532"/>
    <s v="IN/000496"/>
    <s v="in Heist-op-den-Berg : Liersesteenweg, Schoorstraat"/>
    <s v="nog niet gedefinieerd"/>
    <s v="Kleine Ingreep"/>
    <s v="&lt;null&gt;"/>
    <b v="0"/>
    <s v="Ingreep wordt niet opgevolgd in BOD"/>
    <s v="&lt;null&gt;"/>
    <s v="&lt;null&gt;"/>
    <s v="OV"/>
    <s v="&lt;null&gt;"/>
    <n v="100"/>
    <n v="50000"/>
    <n v="50000"/>
  </r>
  <r>
    <x v="467"/>
    <x v="467"/>
    <s v="Verkeersveiligheid"/>
    <x v="1"/>
    <n v="532"/>
    <s v="IN/000496"/>
    <s v="in Heist-op-den-Berg : Liersesteenweg, Schoorstraat"/>
    <s v="nog niet gedefinieerd"/>
    <s v="Kleine Ingreep"/>
    <s v="&lt;null&gt;"/>
    <b v="0"/>
    <s v="Ingreep wordt niet opgevolgd in BOD"/>
    <n v="2022"/>
    <s v="&lt;null&gt;"/>
    <s v="WEGENIS"/>
    <s v="&lt;null&gt;"/>
    <n v="100"/>
    <n v="500000"/>
    <n v="500000"/>
  </r>
  <r>
    <x v="467"/>
    <x v="467"/>
    <s v="Verkeersveiligheid"/>
    <x v="1"/>
    <n v="532"/>
    <s v="IN/000496"/>
    <s v="in Heist-op-den-Berg : Liersesteenweg, Schoorstraat"/>
    <s v="nog niet gedefinieerd"/>
    <s v="Kleine Ingreep"/>
    <s v="&lt;null&gt;"/>
    <b v="0"/>
    <s v="Ingreep wordt niet opgevolgd in BOD"/>
    <n v="2022"/>
    <s v="&lt;null&gt;"/>
    <s v="VRI"/>
    <s v="&lt;null&gt;"/>
    <n v="100"/>
    <n v="250000"/>
    <n v="250000"/>
  </r>
  <r>
    <x v="467"/>
    <x v="467"/>
    <s v="Verkeersveiligheid"/>
    <x v="1"/>
    <n v="532"/>
    <s v="IN/000496"/>
    <s v="in Heist-op-den-Berg : Liersesteenweg, Schoorstraat"/>
    <s v="nog niet gedefinieerd"/>
    <s v="Kleine Ingreep"/>
    <s v="&lt;null&gt;"/>
    <b v="0"/>
    <s v="Ingreep wordt niet opgevolgd in BOD"/>
    <s v="&lt;null&gt;"/>
    <s v="&lt;null&gt;"/>
    <s v="STUDIE"/>
    <s v="&lt;null&gt;"/>
    <n v="100"/>
    <n v="120000"/>
    <n v="120000"/>
  </r>
  <r>
    <x v="468"/>
    <x v="468"/>
    <s v="Verkeersveiligheid"/>
    <x v="1"/>
    <n v="533"/>
    <s v="IN/000497"/>
    <s v="Verlagen toegelaten snelheid in Heusden-Zolder : Meylandtlaan"/>
    <s v="Snelheidsverlaging"/>
    <s v="Kleine Ingreep"/>
    <s v="WL/INV/N72/14"/>
    <b v="0"/>
    <s v="Ingreep wordt niet opgevolgd in BOD"/>
    <n v="2022"/>
    <s v="&lt;null&gt;"/>
    <s v="WEGENIS"/>
    <s v="&lt;null&gt;"/>
    <n v="100"/>
    <n v="100000"/>
    <n v="100000"/>
  </r>
  <r>
    <x v="469"/>
    <x v="469"/>
    <s v="Verkeersveiligheid"/>
    <x v="1"/>
    <n v="534"/>
    <s v="IN/000498"/>
    <s v="VRI: aanpassen lichtenregeling in Heusden-Zolder : Bieststraat, Meylandtlaan, O.L. Vrouwstraat"/>
    <s v="snelheidsverlaging + slimme VRI"/>
    <s v="Kleine Ingreep"/>
    <s v="WL/INV/N72/15"/>
    <b v="0"/>
    <s v="Ingreep wordt niet opgevolgd in BOD"/>
    <s v="&lt;null&gt;"/>
    <s v="&lt;null&gt;"/>
    <s v="VRI"/>
    <s v="&lt;null&gt;"/>
    <n v="100"/>
    <n v="150000"/>
    <n v="150000"/>
  </r>
  <r>
    <x v="469"/>
    <x v="469"/>
    <s v="Verkeersveiligheid"/>
    <x v="1"/>
    <n v="534"/>
    <s v="IN/000498"/>
    <s v="VRI: aanpassen lichtenregeling in Heusden-Zolder : Bieststraat, Meylandtlaan, O.L. Vrouwstraat"/>
    <s v="snelheidsverlaging + slimme VRI"/>
    <s v="Kleine Ingreep"/>
    <s v="WL/INV/N72/15"/>
    <b v="0"/>
    <s v="Ingreep wordt niet opgevolgd in BOD"/>
    <n v="2022"/>
    <s v="&lt;null&gt;"/>
    <s v="WEGENIS"/>
    <s v="&lt;null&gt;"/>
    <n v="100"/>
    <n v="100000"/>
    <n v="100000"/>
  </r>
  <r>
    <x v="470"/>
    <x v="470"/>
    <s v="Verkeersveiligheid"/>
    <x v="1"/>
    <n v="535"/>
    <s v="IN/000499"/>
    <s v="VRI: aanpassen lichtenregeling in Hoeilaart : Groenendaalsesteenweg, Leopold II laan, R0 Binnenring Uitrit N275, Terhulpsesteenweg"/>
    <s v="aanpassen lichtenregeling, zebrapaden worden weggehaald (zie punt 24889)"/>
    <s v="Kleine Ingreep"/>
    <s v="WVB/INV/N275/3"/>
    <b v="0"/>
    <s v="Ingreep wordt niet opgevolgd in BOD"/>
    <s v="&lt;null&gt;"/>
    <s v="&lt;null&gt;"/>
    <s v="&lt;null&gt;"/>
    <s v="&lt;null&gt;"/>
    <n v="100"/>
    <m/>
    <m/>
  </r>
  <r>
    <x v="470"/>
    <x v="470"/>
    <s v="Verkeersveiligheid"/>
    <x v="1"/>
    <n v="536"/>
    <s v="IN/000500"/>
    <s v="PROJECT VAN DWV DUS GEEN AID NR // VRI: aanpassen lichtenregeling in Hoeilaart : Groenendaalsesteenweg, Leopold II laan, R0 Binnenring Uitrit N275, Terhulpsesteenweg"/>
    <s v="Herinrichting R0 door De Werkvennootschap"/>
    <s v="Structurele Ingreep"/>
    <s v="&lt;null&gt;"/>
    <b v="0"/>
    <s v="Ingreep wordt niet opgevolgd in BOD"/>
    <s v="&lt;null&gt;"/>
    <s v="&lt;null&gt;"/>
    <s v="&lt;null&gt;"/>
    <s v="&lt;null&gt;"/>
    <n v="100"/>
    <m/>
    <m/>
  </r>
  <r>
    <x v="471"/>
    <x v="471"/>
    <s v="Verkeersveiligheid"/>
    <x v="1"/>
    <n v="537"/>
    <s v="IN/000501"/>
    <s v="VRI: aanpassen lichtenregeling in Hoeilaart : Duboislaan, Leopold II laan, R0 Buitenring Uitrit N275, Terhulpsesteenweg"/>
    <s v="aanpassing lichtenregeling volgens actieplan"/>
    <s v="Kleine Ingreep"/>
    <s v="WVB/INV/N275/4"/>
    <b v="0"/>
    <s v="Ingreep wordt niet opgevolgd in BOD"/>
    <n v="2023"/>
    <s v="&lt;null&gt;"/>
    <s v="VRI"/>
    <s v="&lt;null&gt;"/>
    <n v="100"/>
    <n v="400000"/>
    <n v="400000"/>
  </r>
  <r>
    <x v="471"/>
    <x v="471"/>
    <s v="Verkeersveiligheid"/>
    <x v="1"/>
    <n v="537"/>
    <s v="IN/000501"/>
    <s v="VRI: aanpassen lichtenregeling in Hoeilaart : Duboislaan, Leopold II laan, R0 Buitenring Uitrit N275, Terhulpsesteenweg"/>
    <s v="aanpassing lichtenregeling volgens actieplan"/>
    <s v="Kleine Ingreep"/>
    <s v="WVB/INV/N275/4"/>
    <b v="0"/>
    <s v="Ingreep wordt niet opgevolgd in BOD"/>
    <s v="&lt;null&gt;"/>
    <s v="&lt;null&gt;"/>
    <s v="WEGENIS"/>
    <s v="&lt;null&gt;"/>
    <n v="100"/>
    <n v="75000"/>
    <n v="75000"/>
  </r>
  <r>
    <x v="472"/>
    <x v="472"/>
    <s v="Verkeersveiligheid"/>
    <x v="1"/>
    <n v="538"/>
    <s v="IN/000502"/>
    <s v="VRI: aanpassen lichtenregeling in Houthalen-Helchteren : Grote Baan, Helzoldstraat, Kazernelaan, Sint-Trudoplein"/>
    <s v="Plaatsen van knipperlicht (Q1 2021 uitgevoerd)"/>
    <s v="Kleine Ingreep"/>
    <s v="&lt;null&gt;"/>
    <b v="0"/>
    <s v="Ingreep wordt niet opgevolgd in BOD"/>
    <n v="2022"/>
    <s v="&lt;null&gt;"/>
    <s v="WEGENIS"/>
    <s v="&lt;null&gt;"/>
    <n v="100"/>
    <n v="200000"/>
    <n v="200000"/>
  </r>
  <r>
    <x v="472"/>
    <x v="472"/>
    <s v="Verkeersveiligheid"/>
    <x v="1"/>
    <n v="538"/>
    <s v="IN/000502"/>
    <s v="VRI: aanpassen lichtenregeling in Houthalen-Helchteren : Grote Baan, Helzoldstraat, Kazernelaan, Sint-Trudoplein"/>
    <s v="Plaatsen van knipperlicht (Q1 2021 uitgevoerd)"/>
    <s v="Kleine Ingreep"/>
    <s v="&lt;null&gt;"/>
    <b v="0"/>
    <s v="Ingreep wordt niet opgevolgd in BOD"/>
    <s v="&lt;null&gt;"/>
    <s v="&lt;null&gt;"/>
    <s v="STUDIE"/>
    <s v="&lt;null&gt;"/>
    <n v="100"/>
    <n v="30000"/>
    <n v="30000"/>
  </r>
  <r>
    <x v="472"/>
    <x v="472"/>
    <s v="Verkeersveiligheid"/>
    <x v="1"/>
    <n v="538"/>
    <s v="IN/000502"/>
    <s v="VRI: aanpassen lichtenregeling in Houthalen-Helchteren : Grote Baan, Helzoldstraat, Kazernelaan, Sint-Trudoplein"/>
    <s v="Plaatsen van knipperlicht (Q1 2021 uitgevoerd)"/>
    <s v="Kleine Ingreep"/>
    <s v="&lt;null&gt;"/>
    <b v="0"/>
    <s v="Ingreep wordt niet opgevolgd in BOD"/>
    <n v="2022"/>
    <s v="&lt;null&gt;"/>
    <s v="VRI"/>
    <s v="&lt;null&gt;"/>
    <n v="100"/>
    <n v="150000"/>
    <n v="150000"/>
  </r>
  <r>
    <x v="472"/>
    <x v="472"/>
    <s v="Verkeersveiligheid"/>
    <x v="1"/>
    <n v="539"/>
    <s v="IN/000503"/>
    <s v="Dubbelrichtingsfietspaden, lichtenregeling 4 kruispunten (de Werkvennootschap)"/>
    <s v="\n"/>
    <s v="Structurele Ingreep"/>
    <s v="&lt;null&gt;"/>
    <b v="0"/>
    <s v="Ingreep wordt niet opgevolgd in BOD"/>
    <s v="&lt;null&gt;"/>
    <s v="&lt;null&gt;"/>
    <s v="&lt;null&gt;"/>
    <s v="&lt;null&gt;"/>
    <n v="100"/>
    <m/>
    <m/>
  </r>
  <r>
    <x v="473"/>
    <x v="473"/>
    <s v="Verkeersveiligheid"/>
    <x v="1"/>
    <n v="540"/>
    <s v="IN/000504"/>
    <s v="Uitvoering complex project NZ (door de Werkvennootschap)"/>
    <m/>
    <s v="Structurele Ingreep"/>
    <s v="&lt;null&gt;"/>
    <b v="0"/>
    <s v="Ingreep wordt niet opgevolgd in BOD"/>
    <s v="&lt;null&gt;"/>
    <s v="&lt;null&gt;"/>
    <s v="&lt;null&gt;"/>
    <s v="&lt;null&gt;"/>
    <n v="100"/>
    <m/>
    <m/>
  </r>
  <r>
    <x v="474"/>
    <x v="474"/>
    <s v="Verkeersveiligheid"/>
    <x v="1"/>
    <n v="541"/>
    <s v="IN/000505"/>
    <s v="in Houthulst : Klerkenstraat, Torhoutstraat"/>
    <s v="aanpassing asmarkering en voorzien stopstreep en B5 in zijtak"/>
    <s v="Kleine Ingreep"/>
    <s v="&lt;null&gt;"/>
    <b v="0"/>
    <s v="Ingreep wordt niet opgevolgd in BOD"/>
    <s v="&lt;null&gt;"/>
    <s v="&lt;null&gt;"/>
    <s v="&lt;null&gt;"/>
    <s v="&lt;null&gt;"/>
    <n v="100"/>
    <m/>
    <m/>
  </r>
  <r>
    <x v="474"/>
    <x v="474"/>
    <s v="Verkeersveiligheid"/>
    <x v="1"/>
    <n v="542"/>
    <s v="IN/000506"/>
    <s v="in Houthulst : Klerkenstraat, Torhoutstraat"/>
    <s v="Projectnota goedgekeurd, wacht op studie DT Klerken. Eventueel los te koppelen omwille van gevaarlijk punt. In fietspadenproject wordt zicht gecreëerd voor en op verkeer uit de Torhoutstraat"/>
    <s v="Structurele Ingreep"/>
    <s v="WWV/INV/N301/1"/>
    <b v="0"/>
    <s v="Ingreep wordt niet opgevolgd in BOD"/>
    <s v="&lt;null&gt;"/>
    <s v="&lt;null&gt;"/>
    <s v="&lt;null&gt;"/>
    <s v="&lt;null&gt;"/>
    <n v="100"/>
    <m/>
    <m/>
  </r>
  <r>
    <x v="475"/>
    <x v="475"/>
    <s v="Verkeersveiligheid"/>
    <x v="1"/>
    <n v="543"/>
    <s v="IN/000507"/>
    <s v="in Ingelmunster : De Ring, Meulebekestraat, N50 Richting Brugge"/>
    <s v="bypass afschaffen en vrijliggende fietspaden op rotonde"/>
    <s v="Kleine Ingreep"/>
    <s v="WWV/INV/N399/1"/>
    <b v="1"/>
    <s v="Ingreep wordt opgevolgd in BOD"/>
    <n v="2021"/>
    <s v="Q2"/>
    <s v="WEGENIS"/>
    <s v="&lt;null&gt;"/>
    <n v="100"/>
    <n v="500000"/>
    <n v="500000"/>
  </r>
  <r>
    <x v="475"/>
    <x v="475"/>
    <s v="Verkeersveiligheid"/>
    <x v="1"/>
    <n v="543"/>
    <s v="IN/000507"/>
    <s v="in Ingelmunster : De Ring, Meulebekestraat, N50 Richting Brugge"/>
    <s v="bypass afschaffen en vrijliggende fietspaden op rotonde"/>
    <s v="Kleine Ingreep"/>
    <s v="WWV/INV/N399/1"/>
    <b v="1"/>
    <s v="Ingreep wordt opgevolgd in BOD"/>
    <n v="2021"/>
    <s v="Q3"/>
    <s v="OV"/>
    <s v="&lt;null&gt;"/>
    <n v="100"/>
    <n v="75000"/>
    <n v="75000"/>
  </r>
  <r>
    <x v="18"/>
    <x v="18"/>
    <s v="&lt;null&gt;"/>
    <x v="3"/>
    <n v="544"/>
    <s v="IN/000508"/>
    <s v="in Ingelmunster : De Ring, Meulebekestraat, N50 Richting Brugge"/>
    <s v="bypass afschaffen en vrijliggende fietspaden op rotonde"/>
    <s v="Kleine Ingreep"/>
    <s v="&lt;null&gt;"/>
    <b v="0"/>
    <s v="Ingreep wordt niet opgevolgd in BOD"/>
    <s v="&lt;null&gt;"/>
    <s v="&lt;null&gt;"/>
    <s v="&lt;null&gt;"/>
    <s v="&lt;null&gt;"/>
    <m/>
    <m/>
    <m/>
  </r>
  <r>
    <x v="476"/>
    <x v="476"/>
    <s v="Verkeersveiligheid"/>
    <x v="1"/>
    <n v="545"/>
    <s v="IN/000509"/>
    <s v="in Jabbeke : Gistelsteenweg, Kerkeweg, N367 Brugge (N32) - Nieuwpoort (N380)"/>
    <s v="- rijbaan versmallen"/>
    <s v="Kleine Ingreep"/>
    <s v="&lt;null&gt;"/>
    <b v="0"/>
    <s v="Ingreep wordt niet opgevolgd in BOD"/>
    <s v="&lt;null&gt;"/>
    <s v="&lt;null&gt;"/>
    <s v="&lt;null&gt;"/>
    <s v="&lt;null&gt;"/>
    <n v="100"/>
    <m/>
    <m/>
  </r>
  <r>
    <x v="477"/>
    <x v="477"/>
    <s v="Verkeersveiligheid"/>
    <x v="1"/>
    <n v="546"/>
    <s v="IN/000510"/>
    <s v="in Kampenhout : Haachtsesteenweg, Kerkstraat, Tiendeschuurstraat"/>
    <s v="extra zebra Kerkstraat + fietslgeleidingsmarkering+B1s"/>
    <s v="Kleine Ingreep"/>
    <s v="&lt;null&gt;"/>
    <b v="0"/>
    <s v="Ingreep wordt niet opgevolgd in BOD"/>
    <s v="&lt;null&gt;"/>
    <s v="&lt;null&gt;"/>
    <s v="&lt;null&gt;"/>
    <s v="&lt;null&gt;"/>
    <n v="100"/>
    <m/>
    <m/>
  </r>
  <r>
    <x v="478"/>
    <x v="478"/>
    <s v="Verkeersveiligheid"/>
    <x v="1"/>
    <n v="547"/>
    <s v="IN/000511"/>
    <s v="in Kampenhout : Haachtsesteenweg, Oudestraat"/>
    <s v="Middenberm wordt aangelegd met oversteek in 2 delen"/>
    <s v="Kleine Ingreep"/>
    <s v="&lt;null&gt;"/>
    <b v="0"/>
    <s v="Ingreep wordt niet opgevolgd in BOD"/>
    <s v="&lt;null&gt;"/>
    <s v="&lt;null&gt;"/>
    <s v="WEGENIS"/>
    <s v="&lt;null&gt;"/>
    <n v="100"/>
    <n v="75000"/>
    <n v="75000"/>
  </r>
  <r>
    <x v="478"/>
    <x v="478"/>
    <s v="Verkeersveiligheid"/>
    <x v="1"/>
    <n v="548"/>
    <s v="IN/000512"/>
    <s v="in Kampenhout : Haachtsesteenweg, Oudestraat"/>
    <s v="Kruispunt wordt uitgerust met VRI"/>
    <s v="Kleine Ingreep"/>
    <s v="&lt;null&gt;"/>
    <b v="0"/>
    <s v="Ingreep wordt niet opgevolgd in BOD"/>
    <s v="&lt;null&gt;"/>
    <s v="&lt;null&gt;"/>
    <s v="&lt;null&gt;"/>
    <s v="&lt;null&gt;"/>
    <n v="100"/>
    <m/>
    <m/>
  </r>
  <r>
    <x v="479"/>
    <x v="479"/>
    <s v="Verkeersveiligheid"/>
    <x v="1"/>
    <n v="549"/>
    <s v="IN/000513"/>
    <s v="in Kaprijke : A11-E34 Richting Antwerpen, A11-E34 Richting Knokke-Heist, N49, Vaartstraat"/>
    <s v="werd conflictvrijer gemaakt (2020)"/>
    <s v="Kleine Ingreep"/>
    <s v="&lt;null&gt;"/>
    <b v="0"/>
    <s v="Ingreep wordt niet opgevolgd in BOD"/>
    <s v="&lt;null&gt;"/>
    <s v="&lt;null&gt;"/>
    <s v="&lt;null&gt;"/>
    <s v="&lt;null&gt;"/>
    <n v="100"/>
    <m/>
    <m/>
  </r>
  <r>
    <x v="480"/>
    <x v="480"/>
    <s v="Verkeersveiligheid"/>
    <x v="1"/>
    <n v="550"/>
    <s v="IN/000514"/>
    <s v="Fietspad: aanpassen van ligging in Kinrooi : Breeërsteenweg, Dorpsplein, Weertersteenweg"/>
    <s v="Fietspaden vrijliggend aanleggen"/>
    <s v="Kleine Ingreep"/>
    <s v="WL/INV/N762/2"/>
    <b v="0"/>
    <s v="Ingreep wordt niet opgevolgd in BOD"/>
    <n v="2021"/>
    <s v="&lt;null&gt;"/>
    <s v="WEGENIS"/>
    <s v="&lt;null&gt;"/>
    <n v="100"/>
    <n v="220000"/>
    <n v="220000"/>
  </r>
  <r>
    <x v="480"/>
    <x v="480"/>
    <s v="Verkeersveiligheid"/>
    <x v="1"/>
    <n v="550"/>
    <s v="IN/000514"/>
    <s v="Fietspad: aanpassen van ligging in Kinrooi : Breeërsteenweg, Dorpsplein, Weertersteenweg"/>
    <s v="Fietspaden vrijliggend aanleggen"/>
    <s v="Kleine Ingreep"/>
    <s v="WL/INV/N762/2"/>
    <b v="0"/>
    <s v="Ingreep wordt niet opgevolgd in BOD"/>
    <s v="&lt;null&gt;"/>
    <s v="&lt;null&gt;"/>
    <s v="STUDIE"/>
    <s v="&lt;null&gt;"/>
    <n v="100"/>
    <n v="25000"/>
    <n v="25000"/>
  </r>
  <r>
    <x v="481"/>
    <x v="481"/>
    <s v="Verkeersveiligheid"/>
    <x v="1"/>
    <n v="551"/>
    <s v="IN/000515"/>
    <s v="in Knokke-Heist : Elizabetlaan, Krommedijk"/>
    <s v="herinrichting Elisabethlaan door gemeente.VRI buiten werking vanaf 1/1/2020"/>
    <s v="Kleine Ingreep"/>
    <s v="&lt;null&gt;"/>
    <b v="0"/>
    <s v="Ingreep wordt niet opgevolgd in BOD"/>
    <n v="2021"/>
    <s v="Q2"/>
    <s v="VRI"/>
    <s v="&lt;null&gt;"/>
    <n v="100"/>
    <n v="100000"/>
    <n v="100000"/>
  </r>
  <r>
    <x v="482"/>
    <x v="482"/>
    <s v="Verkeersveiligheid"/>
    <x v="1"/>
    <n v="552"/>
    <s v="IN/000516"/>
    <s v="in Knokke-Heist : Kalvekeetdijk, Natiënlaan"/>
    <s v="Rotonde met ongelijkgrondse kruising voor zwakke weggebruikers (TV3V)"/>
    <s v="Structurele Ingreep"/>
    <s v="WWV/INV/N49/1"/>
    <b v="0"/>
    <s v="Ingreep wordt niet opgevolgd in BOD"/>
    <s v="&lt;null&gt;"/>
    <s v="&lt;null&gt;"/>
    <s v="&lt;null&gt;"/>
    <s v="&lt;null&gt;"/>
    <n v="100"/>
    <m/>
    <m/>
  </r>
  <r>
    <x v="483"/>
    <x v="483"/>
    <s v="Verkeersveiligheid"/>
    <x v="1"/>
    <n v="553"/>
    <s v="IN/000517"/>
    <s v="in Knokke-Heist : Elizabetlaan, Kardinaal Mercierstraat"/>
    <s v="Volledige herinrichting (gefinancierd door Knokke)."/>
    <s v="Kleine Ingreep"/>
    <s v="&lt;null&gt;"/>
    <b v="0"/>
    <s v="Ingreep wordt niet opgevolgd in BOD"/>
    <n v="2021"/>
    <s v="Q2"/>
    <s v="WEGENIS"/>
    <s v="betaald door gemeente in doortochtdossier"/>
    <n v="100"/>
    <n v="0"/>
    <n v="0"/>
  </r>
  <r>
    <x v="484"/>
    <x v="484"/>
    <s v="Verkeersveiligheid"/>
    <x v="1"/>
    <n v="554"/>
    <s v="IN/000518"/>
    <s v="in Kontich : Drabstraat, N171 Edegem (N1) - Krekelenberg (Niel), Pierstraat"/>
    <s v="Herhalingslichten opnieuw geplaatst (werden weggehaald rond 2017)"/>
    <s v="Kleine Ingreep"/>
    <s v="&lt;null&gt;"/>
    <b v="0"/>
    <s v="Ingreep wordt niet opgevolgd in BOD"/>
    <s v="&lt;null&gt;"/>
    <s v="&lt;null&gt;"/>
    <s v="&lt;null&gt;"/>
    <s v="&lt;null&gt;"/>
    <n v="100"/>
    <m/>
    <m/>
  </r>
  <r>
    <x v="484"/>
    <x v="484"/>
    <s v="Verkeersveiligheid"/>
    <x v="1"/>
    <n v="555"/>
    <s v="IN/000519"/>
    <s v="in Kontich : Drabstraat, N171 Edegem (N1) - Krekelenberg (Niel), Pierstraat"/>
    <s v="Uitgebreide werken gepland: fietstunnel"/>
    <s v="Structurele Ingreep"/>
    <s v="&lt;null&gt;"/>
    <b v="0"/>
    <s v="Ingreep wordt niet opgevolgd in BOD"/>
    <s v="&lt;null&gt;"/>
    <s v="&lt;null&gt;"/>
    <s v="&lt;null&gt;"/>
    <s v="&lt;null&gt;"/>
    <n v="100"/>
    <m/>
    <m/>
  </r>
  <r>
    <x v="485"/>
    <x v="485"/>
    <s v="Verkeersveiligheid"/>
    <x v="1"/>
    <n v="556"/>
    <s v="IN/000520"/>
    <s v="Ombouw naar lichtengeregeld kruispunt"/>
    <s v="Ombouw naar lichtengeregeld kruispunt"/>
    <s v="Kleine Ingreep"/>
    <s v="WA/INV/N173/4"/>
    <b v="0"/>
    <s v="Ingreep wordt niet opgevolgd in BOD"/>
    <s v="&lt;null&gt;"/>
    <s v="&lt;null&gt;"/>
    <s v="OV"/>
    <s v="&lt;null&gt;"/>
    <n v="100"/>
    <n v="20000"/>
    <n v="20000"/>
  </r>
  <r>
    <x v="485"/>
    <x v="485"/>
    <s v="Verkeersveiligheid"/>
    <x v="1"/>
    <n v="556"/>
    <s v="IN/000520"/>
    <s v="Ombouw naar lichtengeregeld kruispunt"/>
    <s v="Ombouw naar lichtengeregeld kruispunt"/>
    <s v="Kleine Ingreep"/>
    <s v="WA/INV/N173/4"/>
    <b v="0"/>
    <s v="Ingreep wordt niet opgevolgd in BOD"/>
    <n v="2022"/>
    <s v="&lt;null&gt;"/>
    <s v="VRI"/>
    <s v="&lt;null&gt;"/>
    <n v="100"/>
    <n v="250000"/>
    <n v="250000"/>
  </r>
  <r>
    <x v="485"/>
    <x v="485"/>
    <s v="Verkeersveiligheid"/>
    <x v="1"/>
    <n v="556"/>
    <s v="IN/000520"/>
    <s v="Ombouw naar lichtengeregeld kruispunt"/>
    <s v="Ombouw naar lichtengeregeld kruispunt"/>
    <s v="Kleine Ingreep"/>
    <s v="WA/INV/N173/4"/>
    <b v="0"/>
    <s v="Ingreep wordt niet opgevolgd in BOD"/>
    <s v="&lt;null&gt;"/>
    <s v="&lt;null&gt;"/>
    <s v="WEGENIS"/>
    <s v="&lt;null&gt;"/>
    <n v="100"/>
    <n v="350000"/>
    <n v="350000"/>
  </r>
  <r>
    <x v="18"/>
    <x v="18"/>
    <s v="&lt;null&gt;"/>
    <x v="3"/>
    <n v="557"/>
    <s v="IN/000521"/>
    <s v="in Kontich : De Villermontstraat, Prins Boudewijnlaan VIA PCV  BESTEK"/>
    <s v="wordt een lichtengeregeld kruispunt"/>
    <s v="Structurele Ingreep"/>
    <s v="&lt;null&gt;"/>
    <b v="0"/>
    <s v="Ingreep wordt niet opgevolgd in BOD"/>
    <s v="&lt;null&gt;"/>
    <s v="&lt;null&gt;"/>
    <s v="&lt;null&gt;"/>
    <s v="&lt;null&gt;"/>
    <m/>
    <m/>
    <m/>
  </r>
  <r>
    <x v="486"/>
    <x v="486"/>
    <s v="Verkeersveiligheid"/>
    <x v="1"/>
    <n v="558"/>
    <s v="IN/000522"/>
    <s v="Aanpassen/vernieuwing van verharding in Kontich : A1-E19 Richting Brussel Uitrit 7, N171 Edegem (N1) - Krekelenberg (Niel)"/>
    <s v="QW, haaks aansluiten van de uitrit, maken intern plan op en bereiden PCV dossier voor (samen met aanpassingen van P&amp;R)"/>
    <s v="Kleine Ingreep"/>
    <s v="WA/INV/N171/9"/>
    <b v="0"/>
    <s v="Ingreep wordt niet opgevolgd in BOD"/>
    <s v="&lt;null&gt;"/>
    <s v="&lt;null&gt;"/>
    <s v="OV"/>
    <s v="&lt;null&gt;"/>
    <n v="100"/>
    <n v="50000"/>
    <n v="50000"/>
  </r>
  <r>
    <x v="486"/>
    <x v="486"/>
    <s v="Verkeersveiligheid"/>
    <x v="1"/>
    <n v="558"/>
    <s v="IN/000522"/>
    <s v="Aanpassen/vernieuwing van verharding in Kontich : A1-E19 Richting Brussel Uitrit 7, N171 Edegem (N1) - Krekelenberg (Niel)"/>
    <s v="QW, haaks aansluiten van de uitrit, maken intern plan op en bereiden PCV dossier voor (samen met aanpassingen van P&amp;R)"/>
    <s v="Kleine Ingreep"/>
    <s v="WA/INV/N171/9"/>
    <b v="0"/>
    <s v="Ingreep wordt niet opgevolgd in BOD"/>
    <s v="&lt;null&gt;"/>
    <s v="&lt;null&gt;"/>
    <s v="STUDIE"/>
    <s v="&lt;null&gt;"/>
    <n v="100"/>
    <n v="52500"/>
    <n v="52500"/>
  </r>
  <r>
    <x v="486"/>
    <x v="486"/>
    <s v="Verkeersveiligheid"/>
    <x v="1"/>
    <n v="558"/>
    <s v="IN/000522"/>
    <s v="Aanpassen/vernieuwing van verharding in Kontich : A1-E19 Richting Brussel Uitrit 7, N171 Edegem (N1) - Krekelenberg (Niel)"/>
    <s v="QW, haaks aansluiten van de uitrit, maken intern plan op en bereiden PCV dossier voor (samen met aanpassingen van P&amp;R)"/>
    <s v="Kleine Ingreep"/>
    <s v="WA/INV/N171/9"/>
    <b v="0"/>
    <s v="Ingreep wordt niet opgevolgd in BOD"/>
    <s v="&lt;null&gt;"/>
    <s v="&lt;null&gt;"/>
    <s v="WEGENIS"/>
    <s v="&lt;null&gt;"/>
    <n v="100"/>
    <n v="300000"/>
    <n v="300000"/>
  </r>
  <r>
    <x v="487"/>
    <x v="487"/>
    <s v="Verkeersveiligheid"/>
    <x v="1"/>
    <n v="559"/>
    <s v="IN/000523"/>
    <s v="Circulatiemaatregelen in Kortrijk : Monseigneur De Haernelaan, N43 Richting Gent, N43 Richting Moeskroen"/>
    <s v="Wegvak van 400 m: parkeerstrook weghalen en fietspaden + versmalde rijweg, 1 van de takken (westelijke tak) wordt éénrichting (175.000)"/>
    <s v="Kleine Ingreep"/>
    <s v="WWV/INV/N43/2"/>
    <b v="1"/>
    <s v="Ingreep wordt opgevolgd in BOD"/>
    <n v="2021"/>
    <s v="Q2"/>
    <s v="VRI"/>
    <s v="&lt;null&gt;"/>
    <n v="100"/>
    <n v="25000"/>
    <n v="25000"/>
  </r>
  <r>
    <x v="487"/>
    <x v="487"/>
    <s v="Verkeersveiligheid"/>
    <x v="1"/>
    <n v="559"/>
    <s v="IN/000523"/>
    <s v="Circulatiemaatregelen in Kortrijk : Monseigneur De Haernelaan, N43 Richting Gent, N43 Richting Moeskroen"/>
    <s v="Wegvak van 400 m: parkeerstrook weghalen en fietspaden + versmalde rijweg, 1 van de takken (westelijke tak) wordt éénrichting (175.000)"/>
    <s v="Kleine Ingreep"/>
    <s v="WWV/INV/N43/2"/>
    <b v="1"/>
    <s v="Ingreep wordt opgevolgd in BOD"/>
    <n v="2021"/>
    <s v="Q2"/>
    <s v="WEGENIS"/>
    <s v="&lt;null&gt;"/>
    <n v="100"/>
    <n v="175000"/>
    <n v="175000"/>
  </r>
  <r>
    <x v="488"/>
    <x v="488"/>
    <s v="Verkeersveiligheid"/>
    <x v="1"/>
    <n v="560"/>
    <s v="IN/000524"/>
    <s v="Fietspad: coating in Kortrijk : Minister Tacklaan, N50h Tacklaan-Wandelweg, N50 Richting Mons, R36 Buitenring, Wandelweg"/>
    <s v="Dubbelrichtingsfietspad zal geaccentueerd worden. (20.000)"/>
    <s v="Kleine Ingreep"/>
    <s v="WWV/INV/N50/6"/>
    <b v="1"/>
    <s v="Ingreep wordt opgevolgd in BOD"/>
    <n v="2022"/>
    <s v="Q2"/>
    <s v="WEGENIS"/>
    <s v="&lt;null&gt;"/>
    <n v="100"/>
    <n v="20000"/>
    <n v="20000"/>
  </r>
  <r>
    <x v="488"/>
    <x v="488"/>
    <s v="Verkeersveiligheid"/>
    <x v="1"/>
    <n v="560"/>
    <s v="IN/000524"/>
    <s v="Fietspad: coating in Kortrijk : Minister Tacklaan, N50h Tacklaan-Wandelweg, N50 Richting Mons, R36 Buitenring, Wandelweg"/>
    <s v="Dubbelrichtingsfietspad zal geaccentueerd worden. (20.000)"/>
    <s v="Kleine Ingreep"/>
    <s v="WWV/INV/N50/6"/>
    <b v="1"/>
    <s v="Ingreep wordt opgevolgd in BOD"/>
    <n v="2022"/>
    <s v="Q2"/>
    <s v="VRI"/>
    <s v="&lt;null&gt;"/>
    <n v="100"/>
    <n v="150000"/>
    <n v="150000"/>
  </r>
  <r>
    <x v="489"/>
    <x v="489"/>
    <s v="Verkeersveiligheid"/>
    <x v="1"/>
    <n v="561"/>
    <s v="IN/000525"/>
    <s v="in Kortrijk : Minister Vanden Peereboomlaan, N43 Richting Moeskroen, R36 Binnenring, R36 Buitenring"/>
    <s v="Herinrichting stationsomgeving Kortrijk. Afsluiten Minister VAnden Peereboomlaan voor auto's. Weghalen conflict fietsers met verkeer komende uit de tunnels onder de sporen."/>
    <s v="Kleine Ingreep"/>
    <s v="&lt;null&gt;"/>
    <b v="0"/>
    <s v="Ingreep wordt niet opgevolgd in BOD"/>
    <s v="&lt;null&gt;"/>
    <s v="&lt;null&gt;"/>
    <s v="&lt;null&gt;"/>
    <s v="&lt;null&gt;"/>
    <n v="100"/>
    <m/>
    <m/>
  </r>
  <r>
    <x v="490"/>
    <x v="490"/>
    <s v="Verkeersveiligheid"/>
    <x v="1"/>
    <n v="562"/>
    <s v="IN/000526"/>
    <s v="in Kortrijk : R36 Binnenring, R36 Buitenring, Sint-Sebastiaanslaan"/>
    <s v="inkorten BOB, rustpunt voor overstekende fietsers en voertuigen (mei 2019)"/>
    <s v="Kleine Ingreep"/>
    <s v="&lt;null&gt;"/>
    <b v="0"/>
    <s v="Ingreep wordt niet opgevolgd in BOD"/>
    <s v="&lt;null&gt;"/>
    <s v="&lt;null&gt;"/>
    <s v="WEGENIS"/>
    <s v="&lt;null&gt;"/>
    <n v="100"/>
    <n v="2500"/>
    <n v="2500"/>
  </r>
  <r>
    <x v="491"/>
    <x v="491"/>
    <s v="Verkeersveiligheid"/>
    <x v="1"/>
    <n v="563"/>
    <s v="IN/000527"/>
    <s v="Aanpassen/vernieuwing van verharding in Kortrijk : A14-E17 Richting Frankrijk Oprit 3 N8 Brussel, A14-E17 Richting Frankrijk Uitrit 3, N8 Richting Brussel"/>
    <s v="Fietspaden accentueren en conform uitvoeren (2019) Proefproject"/>
    <s v="Kleine Ingreep"/>
    <s v="WWV/INV/N8/16"/>
    <b v="1"/>
    <s v="Ingreep wordt opgevolgd in BOD"/>
    <s v="&lt;null&gt;"/>
    <s v="&lt;null&gt;"/>
    <s v="WEGENIS"/>
    <s v="&lt;null&gt;"/>
    <n v="100"/>
    <n v="10000"/>
    <n v="10000"/>
  </r>
  <r>
    <x v="491"/>
    <x v="491"/>
    <s v="Verkeersveiligheid"/>
    <x v="1"/>
    <n v="564"/>
    <s v="IN/000528"/>
    <s v="Aanpassen/vernieuwing van verharding in Kortrijk : A14-E17 Richting Frankrijk Oprit 3 N8 Brussel, A14-E17 Richting Frankrijk Uitrit 3, N8 Richting Brussel"/>
    <s v="langetermijnsoplossing in kader van KR8"/>
    <s v="Kleine Ingreep"/>
    <s v="&lt;null&gt;"/>
    <b v="0"/>
    <s v="Ingreep wordt niet opgevolgd in BOD"/>
    <s v="&lt;null&gt;"/>
    <s v="&lt;null&gt;"/>
    <s v="&lt;null&gt;"/>
    <s v="&lt;null&gt;"/>
    <n v="100"/>
    <m/>
    <m/>
  </r>
  <r>
    <x v="492"/>
    <x v="492"/>
    <s v="Verkeersveiligheid"/>
    <x v="1"/>
    <n v="565"/>
    <s v="IN/000529"/>
    <s v="in Kortrijk : N395b Parallelweg R8 Zuid, R8 Binnenring, Zandbergstraat"/>
    <s v="dichten middengeleider voor voertuigen van Hippodroomstraat en Zandbergstraat\naanpassen VRI naar maximaal conflictvrij\naanpassen afslagstroken N43\nrenovatie fietspaden N43 Gentsesteenweg"/>
    <s v="Kleine Ingreep"/>
    <s v="WWV/INV/N395B/1"/>
    <b v="1"/>
    <s v="Ingreep wordt opgevolgd in BOD"/>
    <n v="2023"/>
    <s v="Q1"/>
    <s v="VRI"/>
    <s v="&lt;null&gt;"/>
    <n v="40"/>
    <n v="300000"/>
    <n v="120000"/>
  </r>
  <r>
    <x v="492"/>
    <x v="492"/>
    <s v="Verkeersveiligheid"/>
    <x v="1"/>
    <n v="565"/>
    <s v="IN/000529"/>
    <s v="in Kortrijk : N395b Parallelweg R8 Zuid, R8 Binnenring, Zandbergstraat"/>
    <s v="dichten middengeleider voor voertuigen van Hippodroomstraat en Zandbergstraat\naanpassen VRI naar maximaal conflictvrij\naanpassen afslagstroken N43\nrenovatie fietspaden N43 Gentsesteenweg"/>
    <s v="Kleine Ingreep"/>
    <s v="WWV/INV/N395B/1"/>
    <b v="1"/>
    <s v="Ingreep wordt opgevolgd in BOD"/>
    <n v="2023"/>
    <s v="Q2"/>
    <s v="WEGENIS"/>
    <s v="&lt;null&gt;"/>
    <n v="40"/>
    <n v="1500000"/>
    <n v="600000"/>
  </r>
  <r>
    <x v="493"/>
    <x v="493"/>
    <s v="Verkeersveiligheid"/>
    <x v="1"/>
    <n v="565"/>
    <s v="IN/000529"/>
    <s v="in Kortrijk : N395b Parallelweg R8 Zuid, R8 Binnenring, Zandbergstraat"/>
    <s v="dichten middengeleider voor voertuigen van Hippodroomstraat en Zandbergstraat\naanpassen VRI naar maximaal conflictvrij\naanpassen afslagstroken N43\nrenovatie fietspaden N43 Gentsesteenweg"/>
    <s v="Kleine Ingreep"/>
    <s v="WWV/INV/N395B/1"/>
    <b v="1"/>
    <s v="Ingreep wordt opgevolgd in BOD"/>
    <n v="2023"/>
    <s v="Q2"/>
    <s v="WEGENIS"/>
    <s v="&lt;null&gt;"/>
    <n v="40"/>
    <n v="1500000"/>
    <n v="600000"/>
  </r>
  <r>
    <x v="493"/>
    <x v="493"/>
    <s v="Verkeersveiligheid"/>
    <x v="1"/>
    <n v="565"/>
    <s v="IN/000529"/>
    <s v="in Kortrijk : N395b Parallelweg R8 Zuid, R8 Binnenring, Zandbergstraat"/>
    <s v="dichten middengeleider voor voertuigen van Hippodroomstraat en Zandbergstraat\naanpassen VRI naar maximaal conflictvrij\naanpassen afslagstroken N43\nrenovatie fietspaden N43 Gentsesteenweg"/>
    <s v="Kleine Ingreep"/>
    <s v="WWV/INV/N395B/1"/>
    <b v="1"/>
    <s v="Ingreep wordt opgevolgd in BOD"/>
    <n v="2023"/>
    <s v="Q1"/>
    <s v="VRI"/>
    <s v="&lt;null&gt;"/>
    <n v="40"/>
    <n v="300000"/>
    <n v="120000"/>
  </r>
  <r>
    <x v="494"/>
    <x v="494"/>
    <s v="Verkeersveiligheid"/>
    <x v="4"/>
    <n v="565"/>
    <s v="IN/000529"/>
    <s v="in Kortrijk : N395b Parallelweg R8 Zuid, R8 Binnenring, Zandbergstraat"/>
    <s v="dichten middengeleider voor voertuigen van Hippodroomstraat en Zandbergstraat\naanpassen VRI naar maximaal conflictvrij\naanpassen afslagstroken N43\nrenovatie fietspaden N43 Gentsesteenweg"/>
    <s v="Kleine Ingreep"/>
    <s v="WWV/INV/N395B/1"/>
    <b v="1"/>
    <s v="Ingreep wordt opgevolgd in BOD"/>
    <n v="2023"/>
    <s v="Q2"/>
    <s v="WEGENIS"/>
    <s v="&lt;null&gt;"/>
    <n v="20"/>
    <n v="1500000"/>
    <n v="300000"/>
  </r>
  <r>
    <x v="494"/>
    <x v="494"/>
    <s v="Verkeersveiligheid"/>
    <x v="4"/>
    <n v="565"/>
    <s v="IN/000529"/>
    <s v="in Kortrijk : N395b Parallelweg R8 Zuid, R8 Binnenring, Zandbergstraat"/>
    <s v="dichten middengeleider voor voertuigen van Hippodroomstraat en Zandbergstraat\naanpassen VRI naar maximaal conflictvrij\naanpassen afslagstroken N43\nrenovatie fietspaden N43 Gentsesteenweg"/>
    <s v="Kleine Ingreep"/>
    <s v="WWV/INV/N395B/1"/>
    <b v="1"/>
    <s v="Ingreep wordt opgevolgd in BOD"/>
    <n v="2023"/>
    <s v="Q1"/>
    <s v="VRI"/>
    <s v="&lt;null&gt;"/>
    <n v="20"/>
    <n v="300000"/>
    <n v="60000"/>
  </r>
  <r>
    <x v="493"/>
    <x v="493"/>
    <s v="Verkeersveiligheid"/>
    <x v="1"/>
    <n v="566"/>
    <s v="IN/000530"/>
    <s v="in Kortrijk : N395b Parallelweg R8 Zuid, R8 Binnenring, Zandbergstraat"/>
    <s v="2022: circulatiemaatregelen. Hier gaat middenberm dicht. in combinatie met 2 andere kruispunten\nLange termijn: realisatie R8 (Kanaal Bossuyt-Kortrijk)"/>
    <s v="Kleine Ingreep"/>
    <s v="&lt;null&gt;"/>
    <b v="0"/>
    <s v="Ingreep wordt niet opgevolgd in BOD"/>
    <n v="2022"/>
    <s v="&lt;null&gt;"/>
    <s v="OVERIGE"/>
    <s v="&lt;null&gt;"/>
    <n v="100"/>
    <n v="2000000"/>
    <n v="2000000"/>
  </r>
  <r>
    <x v="493"/>
    <x v="493"/>
    <s v="Verkeersveiligheid"/>
    <x v="1"/>
    <n v="566"/>
    <s v="IN/000530"/>
    <s v="in Kortrijk : N395b Parallelweg R8 Zuid, R8 Binnenring, Zandbergstraat"/>
    <s v="2022: circulatiemaatregelen. Hier gaat middenberm dicht. in combinatie met 2 andere kruispunten\nLange termijn: realisatie R8 (Kanaal Bossuyt-Kortrijk)"/>
    <s v="Kleine Ingreep"/>
    <s v="&lt;null&gt;"/>
    <b v="0"/>
    <s v="Ingreep wordt niet opgevolgd in BOD"/>
    <n v="2025"/>
    <s v="&lt;null&gt;"/>
    <s v="OVERIGE"/>
    <s v="&lt;null&gt;"/>
    <n v="100"/>
    <n v="26000000"/>
    <n v="26000000"/>
  </r>
  <r>
    <x v="495"/>
    <x v="495"/>
    <s v="Verkeersveiligheid"/>
    <x v="1"/>
    <n v="567"/>
    <s v="IN/000531"/>
    <s v="Handhaving in Kortrijk : A14-E17 Richting Frankrijk"/>
    <s v="dynamische signalisatie (snelheid) + extra ANPRcamera + toplaag vernieuwen"/>
    <s v="Kleine Ingreep"/>
    <s v="WWV/INV/A14/2"/>
    <b v="0"/>
    <s v="Ingreep wordt niet opgevolgd in BOD"/>
    <s v="&lt;null&gt;"/>
    <s v="&lt;null&gt;"/>
    <s v="WEGENIS"/>
    <s v="&lt;null&gt;"/>
    <n v="100"/>
    <n v="0"/>
    <n v="0"/>
  </r>
  <r>
    <x v="496"/>
    <x v="496"/>
    <s v="Verkeersveiligheid"/>
    <x v="1"/>
    <n v="568"/>
    <s v="IN/000532"/>
    <s v="in Kortrijk : Beekstraat, Hugo Verriestlaan, N8 Richting Brussel, Oudenaardsesteenweg"/>
    <s v="V-plan volgens actieplan, aanpassingen aan fietsinfrastructuur, fietspad, ...(mei 2020 uitgevoerd)"/>
    <s v="Kleine Ingreep"/>
    <s v="&lt;null&gt;"/>
    <b v="0"/>
    <s v="Ingreep wordt niet opgevolgd in BOD"/>
    <n v="2020"/>
    <s v="Q4"/>
    <s v="VRI"/>
    <s v="V-plan V09185v15 indienstname 20/10/2020"/>
    <n v="100"/>
    <n v="60000"/>
    <n v="60000"/>
  </r>
  <r>
    <x v="497"/>
    <x v="497"/>
    <s v="Verkeersveiligheid"/>
    <x v="1"/>
    <n v="569"/>
    <s v="IN/000533"/>
    <s v="VRI: aanpassen lichtenregeling in Kortrijk, Kuurne : Heirweg, N395b Parallelweg R8 Zuid, R8 Binnenring, R8 Buitenring, Ringlaan"/>
    <s v="uitvoering conform actieplan"/>
    <s v="Kleine Ingreep"/>
    <s v="WWV/INV/N395B/2"/>
    <b v="1"/>
    <s v="Ingreep wordt opgevolgd in BOD"/>
    <n v="2021"/>
    <s v="Q3"/>
    <s v="VRI"/>
    <s v="V-plan V012758v11 indienstname 16/09/2021"/>
    <n v="100"/>
    <n v="200000"/>
    <n v="200000"/>
  </r>
  <r>
    <x v="497"/>
    <x v="497"/>
    <s v="Verkeersveiligheid"/>
    <x v="1"/>
    <n v="569"/>
    <s v="IN/000533"/>
    <s v="VRI: aanpassen lichtenregeling in Kortrijk, Kuurne : Heirweg, N395b Parallelweg R8 Zuid, R8 Binnenring, R8 Buitenring, Ringlaan"/>
    <s v="uitvoering conform actieplan"/>
    <s v="Kleine Ingreep"/>
    <s v="WWV/INV/N395B/2"/>
    <b v="1"/>
    <s v="Ingreep wordt opgevolgd in BOD"/>
    <s v="&lt;null&gt;"/>
    <s v="&lt;null&gt;"/>
    <s v="WEGENIS"/>
    <s v="&lt;null&gt;"/>
    <n v="100"/>
    <n v="0"/>
    <n v="0"/>
  </r>
  <r>
    <x v="498"/>
    <x v="498"/>
    <s v="Verkeersveiligheid"/>
    <x v="1"/>
    <n v="570"/>
    <s v="IN/000534"/>
    <s v="in Kraainem : R0 Binnenring"/>
    <s v="nazicht stroefheid  (bleek ok)+ verticale signalisatie"/>
    <s v="Kleine Ingreep"/>
    <s v="&lt;null&gt;"/>
    <b v="0"/>
    <s v="Ingreep wordt niet opgevolgd in BOD"/>
    <s v="&lt;null&gt;"/>
    <s v="&lt;null&gt;"/>
    <s v="&lt;null&gt;"/>
    <s v="&lt;null&gt;"/>
    <n v="100"/>
    <m/>
    <m/>
  </r>
  <r>
    <x v="499"/>
    <x v="499"/>
    <s v="Verkeersveiligheid"/>
    <x v="1"/>
    <n v="571"/>
    <s v="IN/000535"/>
    <s v="in Kuurne : Kleine Ringlaan, Kortrijksestraat, Kuurnsesteenweg, N395a Parallelweg R8 Noord, R8 Buitenring, R8 Buitenring Uitrit 6 (Kuurne)"/>
    <s v="Aanpassen markeringen (fietspaden en voorsorteerpijlen)"/>
    <s v="Kleine Ingreep"/>
    <s v="&lt;null&gt;"/>
    <b v="0"/>
    <s v="Ingreep wordt niet opgevolgd in BOD"/>
    <s v="&lt;null&gt;"/>
    <s v="&lt;null&gt;"/>
    <s v="&lt;null&gt;"/>
    <s v="&lt;null&gt;"/>
    <n v="100"/>
    <m/>
    <m/>
  </r>
  <r>
    <x v="500"/>
    <x v="500"/>
    <s v="Verkeersveiligheid"/>
    <x v="1"/>
    <n v="572"/>
    <s v="IN/000536"/>
    <s v="in Kuurne : Brugsesteenweg, N395a Parallelweg R8 Noord, N50 Richting Brugge, R8 Buitenring"/>
    <s v="conflictvrije fietsfase langsheen de N50."/>
    <s v="Kleine Ingreep"/>
    <s v="&lt;null&gt;"/>
    <b v="0"/>
    <s v="Ingreep wordt niet opgevolgd in BOD"/>
    <s v="&lt;null&gt;"/>
    <s v="&lt;null&gt;"/>
    <s v="VRI"/>
    <s v="V-plan V09916/16 - installatie WW0455"/>
    <n v="100"/>
    <n v="106499"/>
    <n v="106499"/>
  </r>
  <r>
    <x v="501"/>
    <x v="501"/>
    <s v="Verkeersveiligheid"/>
    <x v="1"/>
    <n v="573"/>
    <s v="IN/000537"/>
    <s v="in Laakdal : Geelsebaan, Meerhoutstraat"/>
    <s v="Zie struct ingreep"/>
    <s v="Kleine Ingreep"/>
    <s v="&lt;null&gt;"/>
    <b v="0"/>
    <s v="Ingreep wordt niet opgevolgd in BOD"/>
    <s v="&lt;null&gt;"/>
    <s v="&lt;null&gt;"/>
    <s v="&lt;null&gt;"/>
    <s v="&lt;null&gt;"/>
    <n v="100"/>
    <m/>
    <m/>
  </r>
  <r>
    <x v="501"/>
    <x v="501"/>
    <s v="Verkeersveiligheid"/>
    <x v="1"/>
    <n v="574"/>
    <s v="IN/000538"/>
    <s v="Heraanleg kruispunt N126 x Meerhoutstraat VIA PCV BESTEK"/>
    <s v="Studie: klaar (2021)\nUitvoering: 2022 (2023) via PCV"/>
    <s v="Kleine Ingreep"/>
    <s v="&lt;null&gt;"/>
    <b v="0"/>
    <s v="Ingreep wordt niet opgevolgd in BOD"/>
    <s v="&lt;null&gt;"/>
    <s v="&lt;null&gt;"/>
    <s v="&lt;null&gt;"/>
    <s v="&lt;null&gt;"/>
    <n v="100"/>
    <m/>
    <m/>
  </r>
  <r>
    <x v="502"/>
    <x v="502"/>
    <s v="Verkeersveiligheid"/>
    <x v="1"/>
    <n v="575"/>
    <s v="IN/000539"/>
    <s v="in Lebbeke : N47 Dendermondsesteenweg met Flor Hofmanslaan en Lindelaan"/>
    <s v="Fietspaden vrijliggend? Rotonde groter? Onteigeningen nodig"/>
    <s v="Structurele Ingreep"/>
    <s v="&lt;null&gt;"/>
    <b v="0"/>
    <s v="Ingreep wordt niet opgevolgd in BOD"/>
    <s v="&lt;null&gt;"/>
    <s v="&lt;null&gt;"/>
    <s v="&lt;null&gt;"/>
    <s v="&lt;null&gt;"/>
    <n v="100"/>
    <m/>
    <m/>
  </r>
  <r>
    <x v="503"/>
    <x v="503"/>
    <s v="Verkeersveiligheid"/>
    <x v="1"/>
    <n v="576"/>
    <s v="IN/000540"/>
    <s v="Verlagen toegelaten snelheid in Lennik : Assesteenweg, Ninoofsesteenweg"/>
    <s v="snelheid verlagen naar 50 km/u"/>
    <s v="Kleine Ingreep"/>
    <s v="&lt;null&gt;"/>
    <b v="0"/>
    <s v="Ingreep wordt niet opgevolgd in BOD"/>
    <s v="&lt;null&gt;"/>
    <s v="&lt;null&gt;"/>
    <s v="VRI"/>
    <s v="&lt;null&gt;"/>
    <n v="100"/>
    <n v="150000"/>
    <n v="150000"/>
  </r>
  <r>
    <x v="504"/>
    <x v="504"/>
    <s v="Verkeersveiligheid"/>
    <x v="1"/>
    <n v="577"/>
    <s v="IN/000541"/>
    <s v="VRI: aanpassen lichtenregeling + bijkomende aanpassingen infra in Leuven : Erasme Ruelensvest, Naamsesteenweg, Naamsestraat, Naamsevest, Tervuursevest"/>
    <s v="Aanpassen lichtenregeling (maximaal conflictvrij), bypasses weghalen, asverschuiving"/>
    <s v="Kleine Ingreep"/>
    <s v="WVB/INV/R23/8"/>
    <b v="1"/>
    <s v="Ingreep wordt opgevolgd in BOD"/>
    <n v="2021"/>
    <s v="Q2"/>
    <s v="VRI"/>
    <s v="&lt;null&gt;"/>
    <n v="100"/>
    <n v="300000"/>
    <n v="300000"/>
  </r>
  <r>
    <x v="505"/>
    <x v="505"/>
    <s v="Verkeersveiligheid"/>
    <x v="1"/>
    <n v="578"/>
    <s v="IN/000542"/>
    <s v="Horizontale signalisatie aanpassen in Leuven : Dekenstraat, Geldenaaksevest"/>
    <s v="Gevleugeld zebrapad"/>
    <s v="Kleine Ingreep"/>
    <s v="WVB/INV/R23/10"/>
    <b v="0"/>
    <s v="Ingreep wordt niet opgevolgd in BOD"/>
    <s v="&lt;null&gt;"/>
    <s v="&lt;null&gt;"/>
    <s v="WEGENIS"/>
    <s v="&lt;null&gt;"/>
    <n v="100"/>
    <n v="50000"/>
    <n v="50000"/>
  </r>
  <r>
    <x v="506"/>
    <x v="506"/>
    <s v="Verkeersveiligheid"/>
    <x v="1"/>
    <n v="579"/>
    <s v="IN/000543"/>
    <s v="Martelarenlaan, Tiensesteenweg"/>
    <s v="fietstunnel + aanpassing lichtenregeling"/>
    <s v="Structurele Ingreep"/>
    <s v="&lt;null&gt;"/>
    <b v="0"/>
    <s v="Ingreep wordt niet opgevolgd in BOD"/>
    <s v="&lt;null&gt;"/>
    <s v="&lt;null&gt;"/>
    <s v="&lt;null&gt;"/>
    <s v="&lt;null&gt;"/>
    <n v="100"/>
    <m/>
    <m/>
  </r>
  <r>
    <x v="507"/>
    <x v="507"/>
    <s v="Verkeersveiligheid"/>
    <x v="1"/>
    <n v="580"/>
    <s v="IN/000544"/>
    <s v="in Leuven : Bierbeekstraat, Blijde-Inkomststraat, Geldenaaksevest, Léon Schreursvest, Tiensesteenweg, Tiensestraat, Tiensevest"/>
    <s v="FOP conform DO maken, B1s, stopstrepen, meer geleidingsmarkering LA uit Tiensestwg+RD uit centrum, fietslijnen bypass Bierbeekstraat,"/>
    <s v="Kleine Ingreep"/>
    <s v="&lt;null&gt;"/>
    <b v="0"/>
    <s v="Ingreep wordt niet opgevolgd in BOD"/>
    <s v="&lt;null&gt;"/>
    <s v="&lt;null&gt;"/>
    <s v="WEGENIS"/>
    <s v="&lt;null&gt;"/>
    <n v="100"/>
    <n v="300000"/>
    <n v="300000"/>
  </r>
  <r>
    <x v="508"/>
    <x v="508"/>
    <s v="Verkeersveiligheid"/>
    <x v="1"/>
    <n v="581"/>
    <s v="IN/000545"/>
    <s v="in Leuven : Diestsepoort, Martelarenplein"/>
    <s v="Nieuwe lichtenregeling in 2019 uitgevoerd"/>
    <s v="Kleine Ingreep"/>
    <s v="&lt;null&gt;"/>
    <b v="0"/>
    <s v="Ingreep wordt niet opgevolgd in BOD"/>
    <s v="&lt;null&gt;"/>
    <s v="&lt;null&gt;"/>
    <s v="&lt;null&gt;"/>
    <s v="&lt;null&gt;"/>
    <n v="100"/>
    <m/>
    <m/>
  </r>
  <r>
    <x v="509"/>
    <x v="509"/>
    <s v="Verkeersveiligheid"/>
    <x v="1"/>
    <n v="582"/>
    <s v="IN/000546"/>
    <s v="in Leuven : Kapucijnenvoer, Koning Boudewijnlaan, Tervuursevest"/>
    <s v="FOP conform DO maken, B1s, stopstrepen, langere geleidingsmarkering +struiken verwijderen rechterhoek komende van E314"/>
    <s v="Kleine Ingreep"/>
    <s v="&lt;null&gt;"/>
    <b v="0"/>
    <s v="Ingreep wordt niet opgevolgd in BOD"/>
    <s v="&lt;null&gt;"/>
    <s v="&lt;null&gt;"/>
    <s v="&lt;null&gt;"/>
    <s v="&lt;null&gt;"/>
    <n v="100"/>
    <m/>
    <m/>
  </r>
  <r>
    <x v="510"/>
    <x v="510"/>
    <s v="Verkeersveiligheid"/>
    <x v="1"/>
    <n v="583"/>
    <s v="IN/000547"/>
    <s v="in Lier : Antwerpsesteenweg, R16 Binnenring, R16 Buitenring"/>
    <s v="nog niet gedefinieerd"/>
    <s v="Kleine Ingreep"/>
    <s v="&lt;null&gt;"/>
    <b v="0"/>
    <s v="Ingreep wordt niet opgevolgd in BOD"/>
    <s v="&lt;null&gt;"/>
    <s v="&lt;null&gt;"/>
    <s v="OV"/>
    <s v="&lt;null&gt;"/>
    <n v="100"/>
    <n v="50000"/>
    <n v="50000"/>
  </r>
  <r>
    <x v="510"/>
    <x v="510"/>
    <s v="Verkeersveiligheid"/>
    <x v="1"/>
    <n v="583"/>
    <s v="IN/000547"/>
    <s v="in Lier : Antwerpsesteenweg, R16 Binnenring, R16 Buitenring"/>
    <s v="nog niet gedefinieerd"/>
    <s v="Kleine Ingreep"/>
    <s v="&lt;null&gt;"/>
    <b v="0"/>
    <s v="Ingreep wordt niet opgevolgd in BOD"/>
    <s v="&lt;null&gt;"/>
    <s v="&lt;null&gt;"/>
    <s v="STUDIE"/>
    <s v="&lt;null&gt;"/>
    <n v="100"/>
    <n v="97500"/>
    <n v="97500"/>
  </r>
  <r>
    <x v="510"/>
    <x v="510"/>
    <s v="Verkeersveiligheid"/>
    <x v="1"/>
    <n v="583"/>
    <s v="IN/000547"/>
    <s v="in Lier : Antwerpsesteenweg, R16 Binnenring, R16 Buitenring"/>
    <s v="nog niet gedefinieerd"/>
    <s v="Kleine Ingreep"/>
    <s v="&lt;null&gt;"/>
    <b v="0"/>
    <s v="Ingreep wordt niet opgevolgd in BOD"/>
    <n v="2022"/>
    <s v="&lt;null&gt;"/>
    <s v="VRI"/>
    <s v="&lt;null&gt;"/>
    <n v="100"/>
    <n v="250000"/>
    <n v="250000"/>
  </r>
  <r>
    <x v="510"/>
    <x v="510"/>
    <s v="Verkeersveiligheid"/>
    <x v="1"/>
    <n v="583"/>
    <s v="IN/000547"/>
    <s v="in Lier : Antwerpsesteenweg, R16 Binnenring, R16 Buitenring"/>
    <s v="nog niet gedefinieerd"/>
    <s v="Kleine Ingreep"/>
    <s v="&lt;null&gt;"/>
    <b v="0"/>
    <s v="Ingreep wordt niet opgevolgd in BOD"/>
    <n v="2022"/>
    <s v="&lt;null&gt;"/>
    <s v="WEGENIS"/>
    <s v="&lt;null&gt;"/>
    <n v="100"/>
    <n v="350000"/>
    <n v="350000"/>
  </r>
  <r>
    <x v="511"/>
    <x v="511"/>
    <s v="Verkeersveiligheid"/>
    <x v="1"/>
    <n v="584"/>
    <s v="IN/000548"/>
    <s v="in Lochristi : N70 Antwerpse Steenweg met Palingstraat"/>
    <s v="Herinrichting kruispunt"/>
    <s v="Structurele Ingreep"/>
    <s v="WOV/INV/N70/1"/>
    <b v="0"/>
    <s v="Ingreep wordt niet opgevolgd in BOD"/>
    <s v="&lt;null&gt;"/>
    <s v="&lt;null&gt;"/>
    <s v="&lt;null&gt;"/>
    <s v="&lt;null&gt;"/>
    <n v="100"/>
    <m/>
    <m/>
  </r>
  <r>
    <x v="18"/>
    <x v="18"/>
    <s v="&lt;null&gt;"/>
    <x v="3"/>
    <n v="585"/>
    <s v="IN/000549"/>
    <s v="in Lommel : N71 Richting Geel, N71 Richting Hamont - Maarheeze (Nl), N746 Leopoldsburg (N73) - Luyksgestel (Nl), Stationsstraat"/>
    <s v="Ongelijkvloerse kruising R71 Stationsstraat Hollands complex aanbesteed maar door procedure tegen bouwvergunning vertraging. aanbesteed,  starten met werken in 2024"/>
    <s v="Structurele Ingreep"/>
    <s v="&lt;null&gt;"/>
    <b v="0"/>
    <s v="Ingreep wordt niet opgevolgd in BOD"/>
    <s v="&lt;null&gt;"/>
    <s v="&lt;null&gt;"/>
    <s v="&lt;null&gt;"/>
    <s v="&lt;null&gt;"/>
    <m/>
    <m/>
    <m/>
  </r>
  <r>
    <x v="512"/>
    <x v="512"/>
    <s v="Verkeersveiligheid"/>
    <x v="1"/>
    <n v="586"/>
    <s v="IN/000550"/>
    <s v="in Lommel : Karrestraat, Loberg, Norbert Neeckxlaan"/>
    <s v="Snelheidsverlaging"/>
    <s v="Kleine Ingreep"/>
    <s v="&lt;null&gt;"/>
    <b v="0"/>
    <s v="Ingreep wordt niet opgevolgd in BOD"/>
    <s v="&lt;null&gt;"/>
    <s v="&lt;null&gt;"/>
    <s v="STUDIE"/>
    <s v="&lt;null&gt;"/>
    <n v="100"/>
    <n v="100000"/>
    <n v="100000"/>
  </r>
  <r>
    <x v="512"/>
    <x v="512"/>
    <s v="Verkeersveiligheid"/>
    <x v="1"/>
    <n v="586"/>
    <s v="IN/000550"/>
    <s v="in Lommel : Karrestraat, Loberg, Norbert Neeckxlaan"/>
    <s v="Snelheidsverlaging"/>
    <s v="Kleine Ingreep"/>
    <s v="&lt;null&gt;"/>
    <b v="0"/>
    <s v="Ingreep wordt niet opgevolgd in BOD"/>
    <n v="2022"/>
    <s v="&lt;null&gt;"/>
    <s v="WEGENIS"/>
    <s v="&lt;null&gt;"/>
    <n v="100"/>
    <n v="300000"/>
    <n v="300000"/>
  </r>
  <r>
    <x v="513"/>
    <x v="513"/>
    <s v="Verkeersveiligheid"/>
    <x v="1"/>
    <n v="587"/>
    <s v="IN/000551"/>
    <s v="VRI: aanpassen lichtenregeling in Lommel : Balendijk, N71 Richting Geel, N71 Richting Hamont - Maarheeze (Nl)"/>
    <s v="Aanpassen lichtenregeling (aangepast in 2020) + aan markeringen (deels uitgevoerdin 2020)"/>
    <s v="Kleine Ingreep"/>
    <s v="WL/INV/N71/5"/>
    <b v="0"/>
    <s v="Ingreep wordt niet opgevolgd in BOD"/>
    <n v="2022"/>
    <s v="&lt;null&gt;"/>
    <s v="WEGENIS"/>
    <s v="&lt;null&gt;"/>
    <n v="100"/>
    <n v="250000"/>
    <n v="250000"/>
  </r>
  <r>
    <x v="513"/>
    <x v="513"/>
    <s v="Verkeersveiligheid"/>
    <x v="1"/>
    <n v="587"/>
    <s v="IN/000551"/>
    <s v="VRI: aanpassen lichtenregeling in Lommel : Balendijk, N71 Richting Geel, N71 Richting Hamont - Maarheeze (Nl)"/>
    <s v="Aanpassen lichtenregeling (aangepast in 2020) + aan markeringen (deels uitgevoerdin 2020)"/>
    <s v="Kleine Ingreep"/>
    <s v="WL/INV/N71/5"/>
    <b v="0"/>
    <s v="Ingreep wordt niet opgevolgd in BOD"/>
    <s v="&lt;null&gt;"/>
    <s v="&lt;null&gt;"/>
    <s v="STUDIE"/>
    <s v="&lt;null&gt;"/>
    <n v="100"/>
    <n v="50000"/>
    <n v="50000"/>
  </r>
  <r>
    <x v="513"/>
    <x v="513"/>
    <s v="Verkeersveiligheid"/>
    <x v="1"/>
    <n v="587"/>
    <s v="IN/000551"/>
    <s v="VRI: aanpassen lichtenregeling in Lommel : Balendijk, N71 Richting Geel, N71 Richting Hamont - Maarheeze (Nl)"/>
    <s v="Aanpassen lichtenregeling (aangepast in 2020) + aan markeringen (deels uitgevoerdin 2020)"/>
    <s v="Kleine Ingreep"/>
    <s v="WL/INV/N71/5"/>
    <b v="0"/>
    <s v="Ingreep wordt niet opgevolgd in BOD"/>
    <s v="&lt;null&gt;"/>
    <s v="&lt;null&gt;"/>
    <s v="VRI"/>
    <s v="&lt;null&gt;"/>
    <n v="100"/>
    <n v="150000"/>
    <n v="150000"/>
  </r>
  <r>
    <x v="514"/>
    <x v="514"/>
    <s v="Verkeersveiligheid"/>
    <x v="1"/>
    <n v="588"/>
    <s v="IN/000552"/>
    <s v="in Lummen : Blanklaarstraat, Grote Baan, Meldertsebaan"/>
    <s v="Aanleg rotonde, overblijvend gevaarlijk punt van de originele lijst van 800. 21/01/2019: onteigeninen zijn lopende\nokt 2020: lopende. start werken juli 2021"/>
    <s v="Structurele Ingreep"/>
    <s v="&lt;null&gt;"/>
    <b v="0"/>
    <s v="Ingreep wordt niet opgevolgd in BOD"/>
    <s v="&lt;null&gt;"/>
    <s v="&lt;null&gt;"/>
    <s v="&lt;null&gt;"/>
    <s v="&lt;null&gt;"/>
    <n v="100"/>
    <m/>
    <m/>
  </r>
  <r>
    <x v="18"/>
    <x v="18"/>
    <s v="&lt;null&gt;"/>
    <x v="3"/>
    <n v="589"/>
    <s v="IN/000553"/>
    <s v="in Maasmechelen : Koninginnelaan, Rijksweg"/>
    <s v="nog niet gedefinieerd"/>
    <s v="Kleine Ingreep"/>
    <s v="&lt;null&gt;"/>
    <b v="0"/>
    <s v="Ingreep wordt niet opgevolgd in BOD"/>
    <s v="&lt;null&gt;"/>
    <s v="&lt;null&gt;"/>
    <s v="VRI"/>
    <s v="&lt;null&gt;"/>
    <m/>
    <n v="100000"/>
    <m/>
  </r>
  <r>
    <x v="18"/>
    <x v="18"/>
    <s v="&lt;null&gt;"/>
    <x v="3"/>
    <n v="590"/>
    <s v="IN/000554"/>
    <s v="in Maasmechelen : Koninginnelaan, Rijksweg"/>
    <s v="plannen om rotonde aan te leggen. staat op het programma, onteigeningen lopende."/>
    <s v="Structurele Ingreep"/>
    <s v="&lt;null&gt;"/>
    <b v="0"/>
    <s v="Ingreep wordt niet opgevolgd in BOD"/>
    <n v="2022"/>
    <s v="&lt;null&gt;"/>
    <s v="OVERIGE"/>
    <s v="&lt;null&gt;"/>
    <m/>
    <n v="2000000"/>
    <m/>
  </r>
  <r>
    <x v="515"/>
    <x v="515"/>
    <s v="Verkeersveiligheid"/>
    <x v="1"/>
    <n v="591"/>
    <s v="IN/000555"/>
    <s v="Ombouw volgens actieplan en herinrichting kruispunt"/>
    <s v="Actieplan VRI"/>
    <s v="Kleine Ingreep"/>
    <s v="WL/INV/N78/18"/>
    <b v="0"/>
    <s v="Ingreep wordt niet opgevolgd in BOD"/>
    <s v="&lt;null&gt;"/>
    <s v="&lt;null&gt;"/>
    <s v="STUDIE"/>
    <s v="&lt;null&gt;"/>
    <n v="100"/>
    <n v="50000"/>
    <n v="50000"/>
  </r>
  <r>
    <x v="515"/>
    <x v="515"/>
    <s v="Verkeersveiligheid"/>
    <x v="1"/>
    <n v="591"/>
    <s v="IN/000555"/>
    <s v="Ombouw volgens actieplan en herinrichting kruispunt"/>
    <s v="Actieplan VRI"/>
    <s v="Kleine Ingreep"/>
    <s v="WL/INV/N78/18"/>
    <b v="0"/>
    <s v="Ingreep wordt niet opgevolgd in BOD"/>
    <n v="2022"/>
    <s v="&lt;null&gt;"/>
    <s v="VRI"/>
    <s v="&lt;null&gt;"/>
    <n v="100"/>
    <n v="201800"/>
    <n v="201800"/>
  </r>
  <r>
    <x v="515"/>
    <x v="515"/>
    <s v="Verkeersveiligheid"/>
    <x v="1"/>
    <n v="591"/>
    <s v="IN/000555"/>
    <s v="Ombouw volgens actieplan en herinrichting kruispunt"/>
    <s v="Actieplan VRI"/>
    <s v="Kleine Ingreep"/>
    <s v="WL/INV/N78/18"/>
    <b v="0"/>
    <s v="Ingreep wordt niet opgevolgd in BOD"/>
    <n v="2022"/>
    <s v="&lt;null&gt;"/>
    <s v="WEGENIS"/>
    <s v="&lt;null&gt;"/>
    <n v="100"/>
    <n v="250000"/>
    <n v="250000"/>
  </r>
  <r>
    <x v="18"/>
    <x v="18"/>
    <s v="&lt;null&gt;"/>
    <x v="3"/>
    <n v="592"/>
    <s v="IN/000556"/>
    <s v="in Maasmechelen : Dokter Haubenlaan, Joseph Smeetslaan, Rijksweg"/>
    <s v="Omgebouwd volgens actieplan. Fietspaden bijgelegd"/>
    <s v="Structurele Ingreep"/>
    <s v="&lt;null&gt;"/>
    <b v="0"/>
    <s v="Ingreep wordt niet opgevolgd in BOD"/>
    <s v="&lt;null&gt;"/>
    <s v="&lt;null&gt;"/>
    <s v="&lt;null&gt;"/>
    <s v="&lt;null&gt;"/>
    <m/>
    <m/>
    <m/>
  </r>
  <r>
    <x v="516"/>
    <x v="516"/>
    <s v="Verkeersveiligheid"/>
    <x v="1"/>
    <n v="593"/>
    <s v="IN/000557"/>
    <s v="Quick win oplossing; aanpassing VRI"/>
    <s v="nog niet gedefinieerd"/>
    <s v="Kleine Ingreep"/>
    <s v="WL/INV/N78/31"/>
    <b v="0"/>
    <s v="Ingreep wordt niet opgevolgd in BOD"/>
    <s v="&lt;null&gt;"/>
    <s v="&lt;null&gt;"/>
    <s v="VRI"/>
    <s v="&lt;null&gt;"/>
    <n v="100"/>
    <n v="175000"/>
    <n v="175000"/>
  </r>
  <r>
    <x v="517"/>
    <x v="517"/>
    <s v="Verkeersveiligheid"/>
    <x v="1"/>
    <n v="594"/>
    <s v="IN/000558"/>
    <s v="in Machelen : Haachtsesteenweg, Woluwelaan"/>
    <s v="nog niet gedefinieerd"/>
    <s v="Kleine Ingreep"/>
    <s v="&lt;null&gt;"/>
    <b v="0"/>
    <s v="Ingreep wordt niet opgevolgd in BOD"/>
    <n v="2023"/>
    <s v="&lt;null&gt;"/>
    <s v="VRI"/>
    <s v="&lt;null&gt;"/>
    <n v="100"/>
    <n v="250000"/>
    <n v="250000"/>
  </r>
  <r>
    <x v="517"/>
    <x v="517"/>
    <s v="Verkeersveiligheid"/>
    <x v="1"/>
    <n v="595"/>
    <s v="IN/000559"/>
    <s v="in Machelen : Haachtsesteenweg, Woluwelaan (SCHRAPPEN - MAAKT DEEL UIT VAN WVB/INV/R22/1)"/>
    <s v="volledige heraanleg (oa met busbanen)"/>
    <s v="Structurele Ingreep"/>
    <s v="&lt;null&gt;"/>
    <b v="0"/>
    <s v="Ingreep wordt niet opgevolgd in BOD"/>
    <s v="&lt;null&gt;"/>
    <s v="&lt;null&gt;"/>
    <s v="&lt;null&gt;"/>
    <s v="&lt;null&gt;"/>
    <n v="100"/>
    <m/>
    <m/>
  </r>
  <r>
    <x v="518"/>
    <x v="518"/>
    <s v="Verkeersveiligheid"/>
    <x v="1"/>
    <n v="596"/>
    <s v="IN/000560"/>
    <s v="in Machelen : Beaulieustraat, R0 Binnenring Uitrit 5 (Machelen), Woluwelaan"/>
    <s v="Afrit wordt opgeheven"/>
    <s v="Kleine Ingreep"/>
    <s v="&lt;null&gt;"/>
    <b v="0"/>
    <s v="Ingreep wordt niet opgevolgd in BOD"/>
    <s v="&lt;null&gt;"/>
    <s v="&lt;null&gt;"/>
    <s v="WEGENIS"/>
    <s v="&lt;null&gt;"/>
    <n v="100"/>
    <n v="100000"/>
    <n v="100000"/>
  </r>
  <r>
    <x v="518"/>
    <x v="518"/>
    <s v="Verkeersveiligheid"/>
    <x v="1"/>
    <n v="597"/>
    <s v="IN/000561"/>
    <s v="in Machelen : Beaulieustraat, R0 Binnenring Uitrit 5 (Machelen), Woluwelaan (SCHRAPPEN - MAAKT DEEL UIT VAN WVB/INV/R22/1)"/>
    <s v="Afrit wordt opgeheven bij heraanleg Woluwelaan"/>
    <s v="Structurele Ingreep"/>
    <s v="&lt;null&gt;"/>
    <b v="0"/>
    <s v="Ingreep wordt niet opgevolgd in BOD"/>
    <s v="&lt;null&gt;"/>
    <s v="&lt;null&gt;"/>
    <s v="&lt;null&gt;"/>
    <s v="&lt;null&gt;"/>
    <n v="100"/>
    <m/>
    <m/>
  </r>
  <r>
    <x v="519"/>
    <x v="519"/>
    <s v="Verkeersveiligheid"/>
    <x v="1"/>
    <n v="598"/>
    <s v="IN/000562"/>
    <s v="in Maldegem : wegvak N9 Koning Leopoldlaan van kruispunt met Kattewegel tot rotonde met N44a Aalterbaan"/>
    <s v="Tijdens structureel onderhoud werd in- en uitgang winkelcentrum aangepast (2019)"/>
    <s v="Kleine Ingreep"/>
    <s v="&lt;null&gt;"/>
    <b v="0"/>
    <s v="Ingreep wordt niet opgevolgd in BOD"/>
    <s v="&lt;null&gt;"/>
    <s v="&lt;null&gt;"/>
    <s v="&lt;null&gt;"/>
    <s v="&lt;null&gt;"/>
    <n v="100"/>
    <m/>
    <m/>
  </r>
  <r>
    <x v="520"/>
    <x v="520"/>
    <s v="Verkeersveiligheid"/>
    <x v="1"/>
    <n v="599"/>
    <s v="IN/000563"/>
    <s v="in Maldegem : N49 met Celieplas"/>
    <s v="afsluiting (2020)"/>
    <s v="Kleine Ingreep"/>
    <s v="&lt;null&gt;"/>
    <b v="0"/>
    <s v="Ingreep wordt niet opgevolgd in BOD"/>
    <s v="&lt;null&gt;"/>
    <s v="&lt;null&gt;"/>
    <s v="&lt;null&gt;"/>
    <s v="&lt;null&gt;"/>
    <n v="100"/>
    <m/>
    <m/>
  </r>
  <r>
    <x v="521"/>
    <x v="521"/>
    <s v="Verkeersveiligheid"/>
    <x v="1"/>
    <n v="600"/>
    <s v="IN/000564"/>
    <s v="in Maldegem : N49 met N410 Aardenburgkalseide"/>
    <s v="Aanpassen VRI volgens actieplan (2018)"/>
    <s v="Kleine Ingreep"/>
    <s v="&lt;null&gt;"/>
    <b v="0"/>
    <s v="Ingreep wordt niet opgevolgd in BOD"/>
    <s v="&lt;null&gt;"/>
    <s v="&lt;null&gt;"/>
    <s v="&lt;null&gt;"/>
    <s v="&lt;null&gt;"/>
    <n v="100"/>
    <m/>
    <m/>
  </r>
  <r>
    <x v="522"/>
    <x v="522"/>
    <s v="Verkeersveiligheid"/>
    <x v="1"/>
    <n v="601"/>
    <s v="IN/000565"/>
    <s v="VRI: aanpassen lichtenregeling in Malle : Antwerpsesteenweg, Nijverheidsstraat, Steenovenstraat RELANCE21"/>
    <s v="Aanpassen lichtenregeling: conflictvrij regelen. Momenteel geen hoge prioriteit. er wordt bekeken of dit hoger op de lijst kan geplaatst worden"/>
    <s v="Kleine Ingreep"/>
    <s v="WA/INV/N12/17"/>
    <b v="1"/>
    <s v="Ingreep wordt opgevolgd in BOD"/>
    <n v="2022"/>
    <s v="Q2"/>
    <s v="WEGENIS"/>
    <s v="&lt;null&gt;"/>
    <n v="100"/>
    <n v="100000"/>
    <n v="100000"/>
  </r>
  <r>
    <x v="522"/>
    <x v="522"/>
    <s v="Verkeersveiligheid"/>
    <x v="1"/>
    <n v="601"/>
    <s v="IN/000565"/>
    <s v="VRI: aanpassen lichtenregeling in Malle : Antwerpsesteenweg, Nijverheidsstraat, Steenovenstraat RELANCE21"/>
    <s v="Aanpassen lichtenregeling: conflictvrij regelen. Momenteel geen hoge prioriteit. er wordt bekeken of dit hoger op de lijst kan geplaatst worden"/>
    <s v="Kleine Ingreep"/>
    <s v="WA/INV/N12/17"/>
    <b v="1"/>
    <s v="Ingreep wordt opgevolgd in BOD"/>
    <n v="2022"/>
    <s v="Q2"/>
    <s v="STUDIE"/>
    <s v="&lt;null&gt;"/>
    <n v="100"/>
    <n v="45000"/>
    <n v="45000"/>
  </r>
  <r>
    <x v="522"/>
    <x v="522"/>
    <s v="Verkeersveiligheid"/>
    <x v="1"/>
    <n v="601"/>
    <s v="IN/000565"/>
    <s v="VRI: aanpassen lichtenregeling in Malle : Antwerpsesteenweg, Nijverheidsstraat, Steenovenstraat RELANCE21"/>
    <s v="Aanpassen lichtenregeling: conflictvrij regelen. Momenteel geen hoge prioriteit. er wordt bekeken of dit hoger op de lijst kan geplaatst worden"/>
    <s v="Kleine Ingreep"/>
    <s v="WA/INV/N12/17"/>
    <b v="1"/>
    <s v="Ingreep wordt opgevolgd in BOD"/>
    <n v="2022"/>
    <s v="Q2"/>
    <s v="VRI"/>
    <s v="&lt;null&gt;"/>
    <n v="100"/>
    <n v="200000"/>
    <n v="200000"/>
  </r>
  <r>
    <x v="523"/>
    <x v="523"/>
    <s v="Verkeersveiligheid"/>
    <x v="1"/>
    <n v="602"/>
    <s v="IN/000566"/>
    <s v="in Mechelen : Guido Gezellelaan, Rode-Kruisplein"/>
    <s v="middenberm afgesloten + lichtengeregelde oversteek (geannuleerd)"/>
    <s v="Kleine Ingreep"/>
    <s v="&lt;null&gt;"/>
    <b v="0"/>
    <s v="Ingreep wordt niet opgevolgd in BOD"/>
    <s v="&lt;null&gt;"/>
    <s v="&lt;null&gt;"/>
    <s v="WEGENIS"/>
    <s v="&lt;null&gt;"/>
    <n v="100"/>
    <n v="100000"/>
    <n v="100000"/>
  </r>
  <r>
    <x v="523"/>
    <x v="523"/>
    <s v="Verkeersveiligheid"/>
    <x v="1"/>
    <n v="602"/>
    <s v="IN/000566"/>
    <s v="in Mechelen : Guido Gezellelaan, Rode-Kruisplein"/>
    <s v="middenberm afgesloten + lichtengeregelde oversteek (geannuleerd)"/>
    <s v="Kleine Ingreep"/>
    <s v="&lt;null&gt;"/>
    <b v="0"/>
    <s v="Ingreep wordt niet opgevolgd in BOD"/>
    <s v="&lt;null&gt;"/>
    <s v="&lt;null&gt;"/>
    <s v="OV"/>
    <s v="&lt;null&gt;"/>
    <n v="100"/>
    <n v="25000"/>
    <n v="25000"/>
  </r>
  <r>
    <x v="523"/>
    <x v="523"/>
    <s v="Verkeersveiligheid"/>
    <x v="1"/>
    <n v="602"/>
    <s v="IN/000566"/>
    <s v="in Mechelen : Guido Gezellelaan, Rode-Kruisplein"/>
    <s v="middenberm afgesloten + lichtengeregelde oversteek (geannuleerd)"/>
    <s v="Kleine Ingreep"/>
    <s v="&lt;null&gt;"/>
    <b v="0"/>
    <s v="Ingreep wordt niet opgevolgd in BOD"/>
    <s v="&lt;null&gt;"/>
    <s v="&lt;null&gt;"/>
    <s v="STUDIE"/>
    <s v="&lt;null&gt;"/>
    <n v="100"/>
    <n v="56250"/>
    <n v="56250"/>
  </r>
  <r>
    <x v="523"/>
    <x v="523"/>
    <s v="Verkeersveiligheid"/>
    <x v="1"/>
    <n v="602"/>
    <s v="IN/000566"/>
    <s v="in Mechelen : Guido Gezellelaan, Rode-Kruisplein"/>
    <s v="middenberm afgesloten + lichtengeregelde oversteek (geannuleerd)"/>
    <s v="Kleine Ingreep"/>
    <s v="&lt;null&gt;"/>
    <b v="0"/>
    <s v="Ingreep wordt niet opgevolgd in BOD"/>
    <n v="2022"/>
    <s v="&lt;null&gt;"/>
    <s v="VRI"/>
    <s v="&lt;null&gt;"/>
    <n v="100"/>
    <n v="250000"/>
    <n v="250000"/>
  </r>
  <r>
    <x v="523"/>
    <x v="523"/>
    <s v="Verkeersveiligheid"/>
    <x v="1"/>
    <n v="603"/>
    <s v="IN/000567"/>
    <s v="in Mechelen : Guido Gezellelaan, Rode-Kruisplein"/>
    <s v="Tijdelijke herinrichting tegen maart 2022. vanaf dan komende 7 a 8 jaar volledige herinrichting;"/>
    <s v="Structurele Ingreep"/>
    <s v="&lt;null&gt;"/>
    <b v="0"/>
    <s v="Ingreep wordt niet opgevolgd in BOD"/>
    <s v="&lt;null&gt;"/>
    <s v="&lt;null&gt;"/>
    <s v="&lt;null&gt;"/>
    <s v="&lt;null&gt;"/>
    <n v="100"/>
    <m/>
    <m/>
  </r>
  <r>
    <x v="524"/>
    <x v="524"/>
    <s v="Verkeersveiligheid"/>
    <x v="1"/>
    <n v="604"/>
    <s v="IN/000568"/>
    <s v="in Mechelen : Hanswijkstraat, Hendrik Speecqvest, Leuvensesteenweg, Raghenoplein, Zandpoortvest"/>
    <s v="Heraanleg (oa betere fietsinfrastructuur, heraanleg speecqvest)"/>
    <s v="Kleine Ingreep"/>
    <s v="WA/INV/N26/5"/>
    <b v="0"/>
    <s v="Ingreep wordt niet opgevolgd in BOD"/>
    <s v="&lt;null&gt;"/>
    <s v="&lt;null&gt;"/>
    <s v="WEGENIS"/>
    <s v="&lt;null&gt;"/>
    <n v="100"/>
    <n v="1"/>
    <n v="1"/>
  </r>
  <r>
    <x v="525"/>
    <x v="525"/>
    <s v="Verkeersveiligheid"/>
    <x v="1"/>
    <n v="605"/>
    <s v="IN/000569"/>
    <s v="in Mechelen : Antwerpsesteenweg, R6 Binnenring (Richting N15), R6 Buitenring (Richting A1)"/>
    <s v="Aanleg flyover"/>
    <s v="Structurele Ingreep"/>
    <s v="&lt;null&gt;"/>
    <b v="0"/>
    <s v="Ingreep wordt niet opgevolgd in BOD"/>
    <s v="&lt;null&gt;"/>
    <s v="&lt;null&gt;"/>
    <s v="&lt;null&gt;"/>
    <s v="&lt;null&gt;"/>
    <n v="100"/>
    <m/>
    <m/>
  </r>
  <r>
    <x v="526"/>
    <x v="526"/>
    <s v="Verkeersveiligheid"/>
    <x v="1"/>
    <n v="606"/>
    <s v="IN/000570"/>
    <s v="in Mechelen : Edgard Tinellaan, Guido Gezellelaan, Maurits Sabbestraat, Sint-Katelijnestraat"/>
    <s v="nog niet gedefinieerd"/>
    <s v="Kleine Ingreep"/>
    <s v="&lt;null&gt;"/>
    <b v="0"/>
    <s v="Ingreep wordt niet opgevolgd in BOD"/>
    <n v="2022"/>
    <s v="&lt;null&gt;"/>
    <s v="VRI"/>
    <s v="&lt;null&gt;"/>
    <n v="100"/>
    <n v="250000"/>
    <n v="250000"/>
  </r>
  <r>
    <x v="526"/>
    <x v="526"/>
    <s v="Verkeersveiligheid"/>
    <x v="1"/>
    <n v="606"/>
    <s v="IN/000570"/>
    <s v="in Mechelen : Edgard Tinellaan, Guido Gezellelaan, Maurits Sabbestraat, Sint-Katelijnestraat"/>
    <s v="nog niet gedefinieerd"/>
    <s v="Kleine Ingreep"/>
    <s v="&lt;null&gt;"/>
    <b v="0"/>
    <s v="Ingreep wordt niet opgevolgd in BOD"/>
    <s v="&lt;null&gt;"/>
    <s v="&lt;null&gt;"/>
    <s v="STUDIE"/>
    <s v="&lt;null&gt;"/>
    <n v="100"/>
    <n v="63750"/>
    <n v="63750"/>
  </r>
  <r>
    <x v="526"/>
    <x v="526"/>
    <s v="Verkeersveiligheid"/>
    <x v="1"/>
    <n v="606"/>
    <s v="IN/000570"/>
    <s v="in Mechelen : Edgard Tinellaan, Guido Gezellelaan, Maurits Sabbestraat, Sint-Katelijnestraat"/>
    <s v="nog niet gedefinieerd"/>
    <s v="Kleine Ingreep"/>
    <s v="&lt;null&gt;"/>
    <b v="0"/>
    <s v="Ingreep wordt niet opgevolgd in BOD"/>
    <s v="&lt;null&gt;"/>
    <s v="&lt;null&gt;"/>
    <s v="OV"/>
    <s v="&lt;null&gt;"/>
    <n v="100"/>
    <n v="25000"/>
    <n v="25000"/>
  </r>
  <r>
    <x v="526"/>
    <x v="526"/>
    <s v="Verkeersveiligheid"/>
    <x v="1"/>
    <n v="606"/>
    <s v="IN/000570"/>
    <s v="in Mechelen : Edgard Tinellaan, Guido Gezellelaan, Maurits Sabbestraat, Sint-Katelijnestraat"/>
    <s v="nog niet gedefinieerd"/>
    <s v="Kleine Ingreep"/>
    <s v="&lt;null&gt;"/>
    <b v="0"/>
    <s v="Ingreep wordt niet opgevolgd in BOD"/>
    <n v="2022"/>
    <s v="&lt;null&gt;"/>
    <s v="WEGENIS"/>
    <s v="&lt;null&gt;"/>
    <n v="100"/>
    <n v="150000"/>
    <n v="150000"/>
  </r>
  <r>
    <x v="526"/>
    <x v="526"/>
    <s v="Verkeersveiligheid"/>
    <x v="1"/>
    <n v="607"/>
    <s v="IN/000571"/>
    <s v="in Mechelen : Edgard Tinellaan, Guido Gezellelaan, Maurits Sabbestraat, Sint-Katelijnestraat"/>
    <s v="Herinrichting ring &gt; enkelrichting maken"/>
    <s v="Structurele Ingreep"/>
    <s v="&lt;null&gt;"/>
    <b v="0"/>
    <s v="Ingreep wordt niet opgevolgd in BOD"/>
    <s v="&lt;null&gt;"/>
    <s v="&lt;null&gt;"/>
    <s v="&lt;null&gt;"/>
    <s v="&lt;null&gt;"/>
    <n v="100"/>
    <m/>
    <m/>
  </r>
  <r>
    <x v="527"/>
    <x v="527"/>
    <s v="Verkeersveiligheid"/>
    <x v="1"/>
    <n v="608"/>
    <s v="IN/000572"/>
    <s v="in Mechelen : Edgard Tinellaan, Frederik de Merodestraat, Liersesteenweg, Zwartzustersvest"/>
    <s v="nog niet gedefinieerd"/>
    <s v="Kleine Ingreep"/>
    <s v="&lt;null&gt;"/>
    <b v="0"/>
    <s v="Ingreep wordt niet opgevolgd in BOD"/>
    <n v="2022"/>
    <s v="&lt;null&gt;"/>
    <s v="WEGENIS"/>
    <s v="&lt;null&gt;"/>
    <n v="100"/>
    <n v="100000"/>
    <n v="100000"/>
  </r>
  <r>
    <x v="527"/>
    <x v="527"/>
    <s v="Verkeersveiligheid"/>
    <x v="1"/>
    <n v="608"/>
    <s v="IN/000572"/>
    <s v="in Mechelen : Edgard Tinellaan, Frederik de Merodestraat, Liersesteenweg, Zwartzustersvest"/>
    <s v="nog niet gedefinieerd"/>
    <s v="Kleine Ingreep"/>
    <s v="&lt;null&gt;"/>
    <b v="0"/>
    <s v="Ingreep wordt niet opgevolgd in BOD"/>
    <n v="2022"/>
    <s v="&lt;null&gt;"/>
    <s v="VRI"/>
    <s v="&lt;null&gt;"/>
    <n v="100"/>
    <n v="150000"/>
    <n v="150000"/>
  </r>
  <r>
    <x v="527"/>
    <x v="527"/>
    <s v="Verkeersveiligheid"/>
    <x v="1"/>
    <n v="608"/>
    <s v="IN/000572"/>
    <s v="in Mechelen : Edgard Tinellaan, Frederik de Merodestraat, Liersesteenweg, Zwartzustersvest"/>
    <s v="nog niet gedefinieerd"/>
    <s v="Kleine Ingreep"/>
    <s v="&lt;null&gt;"/>
    <b v="0"/>
    <s v="Ingreep wordt niet opgevolgd in BOD"/>
    <s v="&lt;null&gt;"/>
    <s v="&lt;null&gt;"/>
    <s v="OV"/>
    <s v="&lt;null&gt;"/>
    <n v="100"/>
    <n v="25000"/>
    <n v="25000"/>
  </r>
  <r>
    <x v="527"/>
    <x v="527"/>
    <s v="Verkeersveiligheid"/>
    <x v="1"/>
    <n v="608"/>
    <s v="IN/000572"/>
    <s v="in Mechelen : Edgard Tinellaan, Frederik de Merodestraat, Liersesteenweg, Zwartzustersvest"/>
    <s v="nog niet gedefinieerd"/>
    <s v="Kleine Ingreep"/>
    <s v="&lt;null&gt;"/>
    <b v="0"/>
    <s v="Ingreep wordt niet opgevolgd in BOD"/>
    <s v="&lt;null&gt;"/>
    <s v="&lt;null&gt;"/>
    <s v="STUDIE"/>
    <s v="&lt;null&gt;"/>
    <n v="100"/>
    <n v="41250"/>
    <n v="41250"/>
  </r>
  <r>
    <x v="527"/>
    <x v="527"/>
    <s v="Verkeersveiligheid"/>
    <x v="1"/>
    <n v="609"/>
    <s v="IN/000573"/>
    <s v="in Mechelen : Edgard Tinellaan, Frederik de Merodestraat, Liersesteenweg, Zwartzustersvest"/>
    <s v="Herinrichting ring &gt; enkelrichting maken"/>
    <s v="Structurele Ingreep"/>
    <s v="&lt;null&gt;"/>
    <b v="0"/>
    <s v="Ingreep wordt niet opgevolgd in BOD"/>
    <s v="&lt;null&gt;"/>
    <s v="&lt;null&gt;"/>
    <s v="&lt;null&gt;"/>
    <s v="&lt;null&gt;"/>
    <n v="100"/>
    <m/>
    <m/>
  </r>
  <r>
    <x v="528"/>
    <x v="528"/>
    <s v="Verkeersveiligheid"/>
    <x v="1"/>
    <n v="610"/>
    <s v="IN/000574"/>
    <s v="in Mechelen : Hoogstratenplein, Keizerstraat, N15 Richting Mechelen, N15 Richting Westerlo, Zandpoortvest, Zwartzustersvest"/>
    <s v="nog niet gedefinieerd"/>
    <s v="Kleine Ingreep"/>
    <s v="&lt;null&gt;"/>
    <b v="0"/>
    <s v="Ingreep wordt niet opgevolgd in BOD"/>
    <s v="&lt;null&gt;"/>
    <s v="&lt;null&gt;"/>
    <s v="OV"/>
    <s v="&lt;null&gt;"/>
    <n v="100"/>
    <n v="25000"/>
    <n v="25000"/>
  </r>
  <r>
    <x v="528"/>
    <x v="528"/>
    <s v="Verkeersveiligheid"/>
    <x v="1"/>
    <n v="610"/>
    <s v="IN/000574"/>
    <s v="in Mechelen : Hoogstratenplein, Keizerstraat, N15 Richting Mechelen, N15 Richting Westerlo, Zandpoortvest, Zwartzustersvest"/>
    <s v="nog niet gedefinieerd"/>
    <s v="Kleine Ingreep"/>
    <s v="&lt;null&gt;"/>
    <b v="0"/>
    <s v="Ingreep wordt niet opgevolgd in BOD"/>
    <n v="2022"/>
    <s v="&lt;null&gt;"/>
    <s v="WEGENIS"/>
    <s v="&lt;null&gt;"/>
    <n v="100"/>
    <n v="100000"/>
    <n v="100000"/>
  </r>
  <r>
    <x v="528"/>
    <x v="528"/>
    <s v="Verkeersveiligheid"/>
    <x v="1"/>
    <n v="610"/>
    <s v="IN/000574"/>
    <s v="in Mechelen : Hoogstratenplein, Keizerstraat, N15 Richting Mechelen, N15 Richting Westerlo, Zandpoortvest, Zwartzustersvest"/>
    <s v="nog niet gedefinieerd"/>
    <s v="Kleine Ingreep"/>
    <s v="&lt;null&gt;"/>
    <b v="0"/>
    <s v="Ingreep wordt niet opgevolgd in BOD"/>
    <n v="2022"/>
    <s v="&lt;null&gt;"/>
    <s v="VRI"/>
    <s v="&lt;null&gt;"/>
    <n v="100"/>
    <n v="250000"/>
    <n v="250000"/>
  </r>
  <r>
    <x v="528"/>
    <x v="528"/>
    <s v="Verkeersveiligheid"/>
    <x v="1"/>
    <n v="610"/>
    <s v="IN/000574"/>
    <s v="in Mechelen : Hoogstratenplein, Keizerstraat, N15 Richting Mechelen, N15 Richting Westerlo, Zandpoortvest, Zwartzustersvest"/>
    <s v="nog niet gedefinieerd"/>
    <s v="Kleine Ingreep"/>
    <s v="&lt;null&gt;"/>
    <b v="0"/>
    <s v="Ingreep wordt niet opgevolgd in BOD"/>
    <s v="&lt;null&gt;"/>
    <s v="&lt;null&gt;"/>
    <s v="STUDIE"/>
    <s v="&lt;null&gt;"/>
    <n v="100"/>
    <n v="56250"/>
    <n v="56250"/>
  </r>
  <r>
    <x v="528"/>
    <x v="528"/>
    <s v="Verkeersveiligheid"/>
    <x v="1"/>
    <n v="611"/>
    <s v="IN/000575"/>
    <s v="in Mechelen : Hoogstratenplein, Keizerstraat, N15 Richting Mechelen, N15 Richting Westerlo, Zandpoortvest, Zwartzustersvest"/>
    <s v="Herinrichting ring &gt; enkelrichting maken"/>
    <s v="Structurele Ingreep"/>
    <s v="&lt;null&gt;"/>
    <b v="0"/>
    <s v="Ingreep wordt niet opgevolgd in BOD"/>
    <s v="&lt;null&gt;"/>
    <s v="&lt;null&gt;"/>
    <s v="&lt;null&gt;"/>
    <s v="&lt;null&gt;"/>
    <n v="100"/>
    <m/>
    <m/>
  </r>
  <r>
    <x v="529"/>
    <x v="529"/>
    <s v="Verkeersveiligheid"/>
    <x v="1"/>
    <n v="612"/>
    <s v="IN/000576"/>
    <s v="in Meeuwen-Gruitrode : Genitsstraat, Genkerbaan, Hoogstraat, Kruisstraat"/>
    <s v="reeds een snelheidsverlaging doorgevoerd nav GP 2018."/>
    <s v="Kleine Ingreep"/>
    <s v="&lt;null&gt;"/>
    <b v="0"/>
    <s v="Ingreep wordt niet opgevolgd in BOD"/>
    <s v="&lt;null&gt;"/>
    <s v="&lt;null&gt;"/>
    <s v="OVERIGE"/>
    <s v="&lt;null&gt;"/>
    <n v="100"/>
    <n v="1"/>
    <n v="1"/>
  </r>
  <r>
    <x v="530"/>
    <x v="530"/>
    <s v="Verkeersveiligheid"/>
    <x v="1"/>
    <n v="613"/>
    <s v="IN/000577"/>
    <s v="in Meise : Kerkhofstraat, Londerzeelsesteenweg, A12 (SCHRAPPEN - MAAKT DEEL UIT VAN WVB/INV/A12/1)"/>
    <s v="Volledige herinrichting van kruispunt. wordt ongelijkgronds kruispunt"/>
    <s v="Structurele Ingreep"/>
    <s v="&lt;null&gt;"/>
    <b v="0"/>
    <s v="Ingreep wordt niet opgevolgd in BOD"/>
    <s v="&lt;null&gt;"/>
    <s v="&lt;null&gt;"/>
    <s v="&lt;null&gt;"/>
    <s v="&lt;null&gt;"/>
    <n v="100"/>
    <m/>
    <m/>
  </r>
  <r>
    <x v="531"/>
    <x v="531"/>
    <s v="Verkeersveiligheid"/>
    <x v="1"/>
    <n v="614"/>
    <s v="IN/000578"/>
    <s v="Handhaving in Meise : A12 Richting Brussel"/>
    <s v="Aanpassen geleiding in bocht (geplaatst in najaar 2020) + trajectcontrole"/>
    <s v="Kleine Ingreep"/>
    <s v="WVB/INV/A12/7"/>
    <b v="0"/>
    <s v="Ingreep wordt niet opgevolgd in BOD"/>
    <s v="&lt;null&gt;"/>
    <s v="&lt;null&gt;"/>
    <s v="WEGENIS"/>
    <s v="&lt;null&gt;"/>
    <n v="100"/>
    <n v="180000"/>
    <n v="180000"/>
  </r>
  <r>
    <x v="532"/>
    <x v="532"/>
    <s v="Verkeersveiligheid"/>
    <x v="1"/>
    <n v="615"/>
    <s v="IN/000579"/>
    <s v="in Merelbeke : N444 Hundelgemsesteenweg met Sallemeulekouter"/>
    <s v="plaatsen trajectcontrole (lijst 2018) (2020)"/>
    <s v="Kleine Ingreep"/>
    <s v="&lt;null&gt;"/>
    <b v="0"/>
    <s v="Ingreep wordt niet opgevolgd in BOD"/>
    <s v="&lt;null&gt;"/>
    <s v="&lt;null&gt;"/>
    <s v="&lt;null&gt;"/>
    <s v="&lt;null&gt;"/>
    <n v="100"/>
    <m/>
    <m/>
  </r>
  <r>
    <x v="532"/>
    <x v="532"/>
    <s v="Verkeersveiligheid"/>
    <x v="1"/>
    <n v="616"/>
    <s v="IN/000580"/>
    <s v="in Merelbeke : N444 Hundelgemsesteenweg met Sallemeulekouter"/>
    <s v="Maakt deel uit van fietspadenproject N444"/>
    <s v="Structurele Ingreep"/>
    <s v="WOV/INV/N444/1"/>
    <b v="0"/>
    <s v="Ingreep wordt niet opgevolgd in BOD"/>
    <s v="&lt;null&gt;"/>
    <s v="&lt;null&gt;"/>
    <s v="&lt;null&gt;"/>
    <s v="&lt;null&gt;"/>
    <n v="100"/>
    <m/>
    <m/>
  </r>
  <r>
    <x v="533"/>
    <x v="533"/>
    <s v="Verkeersveiligheid"/>
    <x v="1"/>
    <n v="617"/>
    <s v="IN/000581"/>
    <s v="in Merelbeke : Guldensporenlaan / Heidestraat met op- en afrit R4 Buitenring"/>
    <s v="verlenging linksafslagstrook. Onderdeel van herbouwen Bergwijkbrug + conflictvrije lichten"/>
    <s v="Structurele Ingreep"/>
    <s v="WOV/INV/R4/1"/>
    <b v="0"/>
    <s v="Ingreep wordt niet opgevolgd in BOD"/>
    <s v="&lt;null&gt;"/>
    <s v="&lt;null&gt;"/>
    <s v="&lt;null&gt;"/>
    <s v="&lt;null&gt;"/>
    <n v="100"/>
    <m/>
    <m/>
  </r>
  <r>
    <x v="534"/>
    <x v="534"/>
    <s v="Verkeersveiligheid"/>
    <x v="1"/>
    <n v="618"/>
    <s v="IN/000582"/>
    <s v="Plaatsen TC"/>
    <s v="plaatsing TC"/>
    <s v="Kleine Ingreep"/>
    <s v="&lt;null&gt;"/>
    <b v="0"/>
    <s v="Ingreep wordt niet opgevolgd in BOD"/>
    <s v="&lt;null&gt;"/>
    <s v="&lt;null&gt;"/>
    <s v="WEGENIS"/>
    <s v="&lt;null&gt;"/>
    <n v="100"/>
    <n v="350000"/>
    <n v="350000"/>
  </r>
  <r>
    <x v="534"/>
    <x v="534"/>
    <s v="Verkeersveiligheid"/>
    <x v="1"/>
    <n v="619"/>
    <s v="IN/000583"/>
    <s v="N132 - Merksplas &amp; Turnhout - Module 13"/>
    <s v="Vrijliggende fietspaden"/>
    <s v="Structurele Ingreep"/>
    <s v="WA/INV/N132/1"/>
    <b v="0"/>
    <s v="Ingreep wordt niet opgevolgd in BOD"/>
    <s v="&lt;null&gt;"/>
    <s v="&lt;null&gt;"/>
    <s v="WEGENIS"/>
    <s v="Reservebedrag"/>
    <n v="100"/>
    <n v="600000"/>
    <n v="600000"/>
  </r>
  <r>
    <x v="534"/>
    <x v="534"/>
    <s v="Verkeersveiligheid"/>
    <x v="1"/>
    <n v="619"/>
    <s v="IN/000583"/>
    <s v="N132 - Merksplas &amp; Turnhout - Module 13"/>
    <s v="Vrijliggende fietspaden"/>
    <s v="Structurele Ingreep"/>
    <s v="WA/INV/N132/1"/>
    <b v="0"/>
    <s v="Ingreep wordt niet opgevolgd in BOD"/>
    <s v="&lt;null&gt;"/>
    <s v="&lt;null&gt;"/>
    <s v="OVERIGE"/>
    <s v="&lt;null&gt;"/>
    <n v="100"/>
    <n v="500000"/>
    <n v="500000"/>
  </r>
  <r>
    <x v="535"/>
    <x v="535"/>
    <s v="Verkeersveiligheid"/>
    <x v="1"/>
    <n v="620"/>
    <s v="IN/000584"/>
    <s v="in Middelkerke : Spermaliestraat"/>
    <s v="uitbreiden signalisatie bocht en voorzien van ribbelstroken in nadering van de bocht."/>
    <s v="Kleine Ingreep"/>
    <s v="&lt;null&gt;"/>
    <b v="0"/>
    <s v="Ingreep wordt niet opgevolgd in BOD"/>
    <s v="&lt;null&gt;"/>
    <s v="&lt;null&gt;"/>
    <s v="&lt;null&gt;"/>
    <s v="&lt;null&gt;"/>
    <n v="100"/>
    <m/>
    <m/>
  </r>
  <r>
    <x v="536"/>
    <x v="536"/>
    <s v="Verkeersveiligheid"/>
    <x v="1"/>
    <n v="621"/>
    <s v="IN/000585"/>
    <s v="VRI: aanpassen lichtenregeling in Mol : Achterbos, N18 Richting Turnhout, Sluis, Turnhoutsebaan RELANCE21"/>
    <s v="Volgens actieplan"/>
    <s v="Kleine Ingreep"/>
    <s v="WA/INV/N18/8"/>
    <b v="0"/>
    <s v="Ingreep wordt niet opgevolgd in BOD"/>
    <n v="2022"/>
    <s v="&lt;null&gt;"/>
    <s v="VRI"/>
    <s v="&lt;null&gt;"/>
    <n v="100"/>
    <n v="250000"/>
    <n v="250000"/>
  </r>
  <r>
    <x v="536"/>
    <x v="536"/>
    <s v="Verkeersveiligheid"/>
    <x v="1"/>
    <n v="621"/>
    <s v="IN/000585"/>
    <s v="VRI: aanpassen lichtenregeling in Mol : Achterbos, N18 Richting Turnhout, Sluis, Turnhoutsebaan RELANCE21"/>
    <s v="Volgens actieplan"/>
    <s v="Kleine Ingreep"/>
    <s v="WA/INV/N18/8"/>
    <b v="0"/>
    <s v="Ingreep wordt niet opgevolgd in BOD"/>
    <n v="2022"/>
    <s v="&lt;null&gt;"/>
    <s v="WEGENIS"/>
    <s v="&lt;null&gt;"/>
    <n v="100"/>
    <n v="50000"/>
    <n v="50000"/>
  </r>
  <r>
    <x v="537"/>
    <x v="537"/>
    <s v="Verkeersveiligheid"/>
    <x v="1"/>
    <n v="622"/>
    <s v="IN/000586"/>
    <s v="in Mortsel : Antwerpsestraat, Grotesteenweg, Hendrik Kuijpersstraat, Jozef Hermanslei"/>
    <s v="het conflict tussen de linksaf en de tram wordt weggewerkt. Hiervoor moet de links afslagstrook verlengd worden. Uitvoering in 2018. Ook opgenomen in VLCC, uitrol in 2019"/>
    <s v="Kleine Ingreep"/>
    <s v="&lt;null&gt;"/>
    <b v="0"/>
    <s v="Ingreep wordt niet opgevolgd in BOD"/>
    <s v="&lt;null&gt;"/>
    <s v="&lt;null&gt;"/>
    <s v="&lt;null&gt;"/>
    <s v="&lt;null&gt;"/>
    <n v="100"/>
    <m/>
    <m/>
  </r>
  <r>
    <x v="538"/>
    <x v="538"/>
    <s v="Verkeersveiligheid"/>
    <x v="1"/>
    <n v="623"/>
    <s v="IN/000587"/>
    <s v="in Mortsel : Antwerpsestraat, Edegemsestraat, Mechelsesteenweg, Statielei"/>
    <s v="quick win reeds uitgevoerd: statielei heel filegevoelig + breed kruispunt &gt; met 4 of 5 naast elkaar tijdens spits. Ingekort met markering en paaltjes (uitgevoerd in maart 2020) + nog quick win gepland: oneigenlijk gebruik van busstrook &gt; daarom komt busst"/>
    <s v="Kleine Ingreep"/>
    <s v="&lt;null&gt;"/>
    <b v="0"/>
    <s v="Ingreep wordt niet opgevolgd in BOD"/>
    <s v="&lt;null&gt;"/>
    <s v="&lt;null&gt;"/>
    <s v="&lt;null&gt;"/>
    <s v="&lt;null&gt;"/>
    <n v="100"/>
    <m/>
    <m/>
  </r>
  <r>
    <x v="539"/>
    <x v="539"/>
    <s v="Verkeersveiligheid"/>
    <x v="1"/>
    <n v="624"/>
    <s v="IN/000588"/>
    <s v="VRI: aanpassen lichtenregeling + bijkomende aanpassingen infra in Mortsel : Antwerpsestraat, Krijgsbaan, Vredebaan"/>
    <s v="Fietspaden zie plan Mortsel. ism Aannemer Mortsel.\n\nVLCC + infra"/>
    <s v="Kleine Ingreep"/>
    <s v="WA/INV/N1/14"/>
    <b v="0"/>
    <s v="Ingreep wordt niet opgevolgd in BOD"/>
    <s v="&lt;null&gt;"/>
    <s v="&lt;null&gt;"/>
    <s v="STUDIE"/>
    <s v="&lt;null&gt;"/>
    <n v="100"/>
    <n v="157500"/>
    <n v="157500"/>
  </r>
  <r>
    <x v="539"/>
    <x v="539"/>
    <s v="Verkeersveiligheid"/>
    <x v="1"/>
    <n v="624"/>
    <s v="IN/000588"/>
    <s v="VRI: aanpassen lichtenregeling + bijkomende aanpassingen infra in Mortsel : Antwerpsestraat, Krijgsbaan, Vredebaan"/>
    <s v="Fietspaden zie plan Mortsel. ism Aannemer Mortsel.\n\nVLCC + infra"/>
    <s v="Kleine Ingreep"/>
    <s v="WA/INV/N1/14"/>
    <b v="0"/>
    <s v="Ingreep wordt niet opgevolgd in BOD"/>
    <n v="2022"/>
    <s v="&lt;null&gt;"/>
    <s v="WEGENIS"/>
    <s v="&lt;null&gt;"/>
    <n v="100"/>
    <n v="750000"/>
    <n v="750000"/>
  </r>
  <r>
    <x v="539"/>
    <x v="539"/>
    <s v="Verkeersveiligheid"/>
    <x v="1"/>
    <n v="624"/>
    <s v="IN/000588"/>
    <s v="VRI: aanpassen lichtenregeling + bijkomende aanpassingen infra in Mortsel : Antwerpsestraat, Krijgsbaan, Vredebaan"/>
    <s v="Fietspaden zie plan Mortsel. ism Aannemer Mortsel.\n\nVLCC + infra"/>
    <s v="Kleine Ingreep"/>
    <s v="WA/INV/N1/14"/>
    <b v="0"/>
    <s v="Ingreep wordt niet opgevolgd in BOD"/>
    <s v="&lt;null&gt;"/>
    <s v="&lt;null&gt;"/>
    <s v="OV"/>
    <s v="&lt;null&gt;"/>
    <n v="100"/>
    <n v="50000"/>
    <n v="50000"/>
  </r>
  <r>
    <x v="539"/>
    <x v="539"/>
    <s v="Verkeersveiligheid"/>
    <x v="1"/>
    <n v="624"/>
    <s v="IN/000588"/>
    <s v="VRI: aanpassen lichtenregeling + bijkomende aanpassingen infra in Mortsel : Antwerpsestraat, Krijgsbaan, Vredebaan"/>
    <s v="Fietspaden zie plan Mortsel. ism Aannemer Mortsel.\n\nVLCC + infra"/>
    <s v="Kleine Ingreep"/>
    <s v="WA/INV/N1/14"/>
    <b v="0"/>
    <s v="Ingreep wordt niet opgevolgd in BOD"/>
    <n v="2022"/>
    <s v="&lt;null&gt;"/>
    <s v="VRI"/>
    <s v="&lt;null&gt;"/>
    <n v="100"/>
    <n v="250000"/>
    <n v="250000"/>
  </r>
  <r>
    <x v="540"/>
    <x v="540"/>
    <s v="Verkeersveiligheid"/>
    <x v="1"/>
    <n v="625"/>
    <s v="IN/000589"/>
    <s v="VRI: aanpassen lichtenregeling in Mortsel : Drabstraat, Kerkstraat, Liersesteenweg RELANCE21"/>
    <s v="Aanpassen lichtenregeling. VLCC:conflict met tram wordt er uitgehaald (tram wordt conflictvrij geregeld). onderzoek is lopende &gt; uitvoering is voor dit jaar (momenteel is dit een omleidingsroute). dd juni 2020: plan wordt opnieuw bekeken met Mortsel"/>
    <s v="Kleine Ingreep"/>
    <s v="WA/INV/N10/15"/>
    <b v="0"/>
    <s v="Ingreep wordt niet opgevolgd in BOD"/>
    <n v="2022"/>
    <s v="Q1"/>
    <s v="WEGENIS"/>
    <s v="&lt;null&gt;"/>
    <n v="100"/>
    <n v="200000"/>
    <n v="200000"/>
  </r>
  <r>
    <x v="540"/>
    <x v="540"/>
    <s v="Verkeersveiligheid"/>
    <x v="1"/>
    <n v="625"/>
    <s v="IN/000589"/>
    <s v="VRI: aanpassen lichtenregeling in Mortsel : Drabstraat, Kerkstraat, Liersesteenweg RELANCE21"/>
    <s v="Aanpassen lichtenregeling. VLCC:conflict met tram wordt er uitgehaald (tram wordt conflictvrij geregeld). onderzoek is lopende &gt; uitvoering is voor dit jaar (momenteel is dit een omleidingsroute). dd juni 2020: plan wordt opnieuw bekeken met Mortsel"/>
    <s v="Kleine Ingreep"/>
    <s v="WA/INV/N10/15"/>
    <b v="0"/>
    <s v="Ingreep wordt niet opgevolgd in BOD"/>
    <n v="2022"/>
    <s v="Q1"/>
    <s v="VRI"/>
    <s v="&lt;null&gt;"/>
    <n v="100"/>
    <n v="250000"/>
    <n v="250000"/>
  </r>
  <r>
    <x v="18"/>
    <x v="18"/>
    <s v="&lt;null&gt;"/>
    <x v="3"/>
    <n v="626"/>
    <s v="IN/000590"/>
    <s v="in Nazareth : Grenadierslaan, N60 Richting Gent, N60 Richting Valenciennes (Fr), Nieuwe Steenweg, Stationsstraat. (Relance Raamcontract)"/>
    <s v="nog niet gedefinieerd"/>
    <s v="Kleine Ingreep"/>
    <s v="&lt;null&gt;"/>
    <b v="0"/>
    <s v="Ingreep wordt niet opgevolgd in BOD"/>
    <s v="&lt;null&gt;"/>
    <s v="&lt;null&gt;"/>
    <s v="&lt;null&gt;"/>
    <s v="&lt;null&gt;"/>
    <m/>
    <m/>
    <m/>
  </r>
  <r>
    <x v="541"/>
    <x v="541"/>
    <s v="Verkeersveiligheid"/>
    <x v="1"/>
    <n v="627"/>
    <s v="IN/000591"/>
    <s v="in Nazareth : Gentsebaan, N35 Richting Gavere (N60), N60 Richting Gent, N60 Richting Valenciennes (Fr), Stationsstraat"/>
    <s v="invoeren indonesisch kruisen is meestal beter voor de doorstroming, de invloed op verkeersveiligheid is mij niet bekend"/>
    <s v="Kleine Ingreep"/>
    <s v="&lt;null&gt;"/>
    <b v="0"/>
    <s v="Ingreep wordt niet opgevolgd in BOD"/>
    <s v="&lt;null&gt;"/>
    <s v="&lt;null&gt;"/>
    <s v="OVERIGE"/>
    <s v="&lt;null&gt;"/>
    <n v="100"/>
    <n v="1000"/>
    <n v="1000"/>
  </r>
  <r>
    <x v="542"/>
    <x v="542"/>
    <s v="Verkeersveiligheid"/>
    <x v="1"/>
    <n v="628"/>
    <s v="IN/000592"/>
    <s v="Horizontale signalisatie aanpassen in Neerpelt : Kolisbos, Peerderbaan, Torenstraat"/>
    <s v="TC (historische lijst) + aanpassing markering + zichtafstanden bekijken (reeds uitgevoerd in 2020)\n&gt; enkel trajectcontrole nog uit te voeren"/>
    <s v="Kleine Ingreep"/>
    <s v="&lt;null&gt;"/>
    <b v="0"/>
    <s v="Ingreep wordt niet opgevolgd in BOD"/>
    <n v="2022"/>
    <s v="Q4"/>
    <s v="WEGENIS"/>
    <s v="&lt;null&gt;"/>
    <n v="100"/>
    <n v="200000"/>
    <n v="200000"/>
  </r>
  <r>
    <x v="543"/>
    <x v="543"/>
    <s v="Verkeersveiligheid"/>
    <x v="1"/>
    <n v="629"/>
    <s v="IN/000593"/>
    <s v="in Ninove : Aalstersesteenweg, Expresweg, Koning Boudewijnlaan. (Relance Raamcontract)"/>
    <s v="linksafslagstrook verdubbelen"/>
    <s v="Kleine Ingreep"/>
    <s v="WOV/INV/N405/6"/>
    <b v="0"/>
    <s v="Ingreep wordt niet opgevolgd in BOD"/>
    <n v="2022"/>
    <s v="Q4"/>
    <s v="VRI"/>
    <s v="&lt;null&gt;"/>
    <n v="100"/>
    <n v="214200"/>
    <n v="214200"/>
  </r>
  <r>
    <x v="543"/>
    <x v="543"/>
    <s v="Verkeersveiligheid"/>
    <x v="1"/>
    <n v="629"/>
    <s v="IN/000593"/>
    <s v="in Ninove : Aalstersesteenweg, Expresweg, Koning Boudewijnlaan. (Relance Raamcontract)"/>
    <s v="linksafslagstrook verdubbelen"/>
    <s v="Kleine Ingreep"/>
    <s v="WOV/INV/N405/6"/>
    <b v="0"/>
    <s v="Ingreep wordt niet opgevolgd in BOD"/>
    <n v="2022"/>
    <s v="Q4"/>
    <s v="WEGENIS"/>
    <s v="&lt;null&gt;"/>
    <n v="100"/>
    <n v="400000"/>
    <n v="400000"/>
  </r>
  <r>
    <x v="543"/>
    <x v="543"/>
    <s v="Verkeersveiligheid"/>
    <x v="1"/>
    <n v="630"/>
    <s v="IN/000594"/>
    <s v="in Ninove : Aalstersesteenweg, Expresweg, Koning Boudewijnlaan"/>
    <s v="volledig conflictvrij &gt; grondige infrawerken nodig"/>
    <s v="Structurele Ingreep"/>
    <s v="WOV/INV/N405/1"/>
    <b v="0"/>
    <s v="Ingreep wordt niet opgevolgd in BOD"/>
    <n v="2023"/>
    <s v="Q3"/>
    <s v="WEGENIS"/>
    <s v="studie nog op te maken"/>
    <n v="100"/>
    <n v="600000"/>
    <n v="600000"/>
  </r>
  <r>
    <x v="544"/>
    <x v="544"/>
    <s v="Verkeersveiligheid"/>
    <x v="1"/>
    <n v="631"/>
    <s v="IN/000595"/>
    <s v="VRI: andere installatie (oa boogpalen, opschuiven drukknop, lichtengeregelde oversteek) in Oostende : Elisabethlaan, Gistelsesteenweg"/>
    <s v="opschuiven drukknop en stopstreep fietsers op N346 (2/7/2018). Plaatsen RLC  in 2021 (historische lijst)"/>
    <s v="Kleine Ingreep"/>
    <s v="&lt;null&gt;"/>
    <b v="0"/>
    <s v="Ingreep wordt niet opgevolgd in BOD"/>
    <n v="2021"/>
    <s v="Q2"/>
    <s v="VRI"/>
    <s v="RLC"/>
    <n v="100"/>
    <n v="40000"/>
    <n v="40000"/>
  </r>
  <r>
    <x v="544"/>
    <x v="544"/>
    <s v="Verkeersveiligheid"/>
    <x v="1"/>
    <n v="632"/>
    <s v="IN/000596"/>
    <s v="VRI: andere installatie (oa boogpalen, opschuiven drukknop, lichtengeregelde oversteek) in Oostende : Elisabethlaan, Gistelsesteenweg"/>
    <s v="ontsluitingsstudie Oostende. Finalisering eind 2021"/>
    <s v="Kleine Ingreep"/>
    <s v="&lt;null&gt;"/>
    <b v="0"/>
    <s v="Ingreep wordt niet opgevolgd in BOD"/>
    <s v="&lt;null&gt;"/>
    <s v="&lt;null&gt;"/>
    <s v="&lt;null&gt;"/>
    <s v="&lt;null&gt;"/>
    <n v="100"/>
    <m/>
    <m/>
  </r>
  <r>
    <x v="545"/>
    <x v="545"/>
    <s v="Verkeersveiligheid"/>
    <x v="1"/>
    <n v="633"/>
    <s v="IN/000597"/>
    <s v="in Oostkamp : Gaston Roelandtsstraat, Sint-Michielsestraat"/>
    <s v="Vervangen brug + herinrichten omgeving. Drietakskruispunt wordt viertakskruispunt"/>
    <s v="Kleine Ingreep"/>
    <s v="&lt;null&gt;"/>
    <b v="0"/>
    <s v="Ingreep wordt niet opgevolgd in BOD"/>
    <s v="&lt;null&gt;"/>
    <s v="&lt;null&gt;"/>
    <s v="&lt;null&gt;"/>
    <s v="&lt;null&gt;"/>
    <n v="100"/>
    <m/>
    <m/>
  </r>
  <r>
    <x v="546"/>
    <x v="546"/>
    <s v="Verkeersveiligheid"/>
    <x v="1"/>
    <n v="634"/>
    <s v="IN/000598"/>
    <s v="in Oostkamp : Albrecht Rodenbachstraat, Gruuthuselaan, Stationsstraat"/>
    <s v="SB N50 + opmaak PCVnota voor dit krpt\nokt 2020: streefbeeldstudie moet nog opgestart worden\n2022: streefbeeldstudie is lopende"/>
    <s v="Kleine Ingreep"/>
    <s v="&lt;null&gt;"/>
    <b v="0"/>
    <s v="Ingreep wordt niet opgevolgd in BOD"/>
    <n v="2024"/>
    <s v="&lt;null&gt;"/>
    <s v="OVERIGE"/>
    <s v="&lt;null&gt;"/>
    <n v="100"/>
    <n v="1200000"/>
    <n v="1200000"/>
  </r>
  <r>
    <x v="18"/>
    <x v="18"/>
    <s v="&lt;null&gt;"/>
    <x v="3"/>
    <n v="635"/>
    <s v="IN/000599"/>
    <s v="in Oostkamp : Gaston Roelandtsstraat, Kanaalstraat"/>
    <s v="snelheidsverlaging - middengeleider als rustpunt voetgangers en verbetering oversteekbaarheid oprijdende voertuigen, markeringen (mei 2019)"/>
    <s v="Kleine Ingreep"/>
    <s v="&lt;null&gt;"/>
    <b v="0"/>
    <s v="Ingreep wordt niet opgevolgd in BOD"/>
    <s v="&lt;null&gt;"/>
    <s v="&lt;null&gt;"/>
    <s v="&lt;null&gt;"/>
    <s v="&lt;null&gt;"/>
    <m/>
    <m/>
    <m/>
  </r>
  <r>
    <x v="547"/>
    <x v="547"/>
    <s v="Verkeersveiligheid"/>
    <x v="1"/>
    <n v="636"/>
    <s v="IN/000600"/>
    <s v="-"/>
    <m/>
    <s v="Kleine Ingreep"/>
    <s v="&lt;null&gt;"/>
    <b v="0"/>
    <s v="Ingreep wordt niet opgevolgd in BOD"/>
    <n v="2021"/>
    <s v="&lt;null&gt;"/>
    <s v="VRI"/>
    <s v="&lt;null&gt;"/>
    <n v="100"/>
    <n v="125000"/>
    <n v="125000"/>
  </r>
  <r>
    <x v="547"/>
    <x v="547"/>
    <s v="Verkeersveiligheid"/>
    <x v="1"/>
    <n v="636"/>
    <s v="IN/000600"/>
    <s v="-"/>
    <m/>
    <s v="Kleine Ingreep"/>
    <s v="&lt;null&gt;"/>
    <b v="0"/>
    <s v="Ingreep wordt niet opgevolgd in BOD"/>
    <s v="&lt;null&gt;"/>
    <s v="&lt;null&gt;"/>
    <s v="OV"/>
    <s v="&lt;null&gt;"/>
    <n v="100"/>
    <n v="100000"/>
    <n v="100000"/>
  </r>
  <r>
    <x v="547"/>
    <x v="547"/>
    <s v="Verkeersveiligheid"/>
    <x v="1"/>
    <n v="636"/>
    <s v="IN/000600"/>
    <s v="-"/>
    <m/>
    <s v="Kleine Ingreep"/>
    <s v="&lt;null&gt;"/>
    <b v="0"/>
    <s v="Ingreep wordt niet opgevolgd in BOD"/>
    <n v="2021"/>
    <s v="&lt;null&gt;"/>
    <s v="WEGENIS"/>
    <s v="&lt;null&gt;"/>
    <n v="100"/>
    <n v="0"/>
    <n v="0"/>
  </r>
  <r>
    <x v="547"/>
    <x v="547"/>
    <s v="Verkeersveiligheid"/>
    <x v="1"/>
    <n v="637"/>
    <s v="IN/000601"/>
    <s v="in Oostrozebeke : Gentstraat, Wakkensteenweg"/>
    <s v="aanleg rotonde en fietspaden - is een infrastructuurwerk"/>
    <s v="Structurele Ingreep"/>
    <s v="WWV/INV/N305/1"/>
    <b v="0"/>
    <s v="Ingreep wordt niet opgevolgd in BOD"/>
    <s v="&lt;null&gt;"/>
    <s v="&lt;null&gt;"/>
    <s v="&lt;null&gt;"/>
    <s v="&lt;null&gt;"/>
    <n v="100"/>
    <m/>
    <m/>
  </r>
  <r>
    <x v="548"/>
    <x v="548"/>
    <s v="Verkeersveiligheid"/>
    <x v="1"/>
    <n v="638"/>
    <s v="IN/000602"/>
    <s v="in Opwijk : Steenweg op Vilvoorde, Stwg. op Brussel"/>
    <s v="aanpassen middengeleider, toeleidende fietspaden, aanpassen bushalte ri Asse\naanleg linksafstrook naar Merchtem"/>
    <s v="Kleine Ingreep"/>
    <s v="WVB/INV/N47/4"/>
    <b v="1"/>
    <s v="Ingreep wordt opgevolgd in BOD"/>
    <n v="2022"/>
    <s v="Q3"/>
    <s v="WEGENIS"/>
    <s v="&lt;null&gt;"/>
    <n v="100"/>
    <n v="250000"/>
    <n v="250000"/>
  </r>
  <r>
    <x v="548"/>
    <x v="548"/>
    <s v="Verkeersveiligheid"/>
    <x v="1"/>
    <n v="638"/>
    <s v="IN/000602"/>
    <s v="in Opwijk : Steenweg op Vilvoorde, Stwg. op Brussel"/>
    <s v="aanpassen middengeleider, toeleidende fietspaden, aanpassen bushalte ri Asse\naanleg linksafstrook naar Merchtem"/>
    <s v="Kleine Ingreep"/>
    <s v="WVB/INV/N47/4"/>
    <b v="1"/>
    <s v="Ingreep wordt opgevolgd in BOD"/>
    <n v="2022"/>
    <s v="Q2"/>
    <s v="VRI"/>
    <s v="&lt;null&gt;"/>
    <n v="100"/>
    <n v="70000"/>
    <n v="70000"/>
  </r>
  <r>
    <x v="549"/>
    <x v="549"/>
    <s v="Verkeersveiligheid"/>
    <x v="1"/>
    <n v="639"/>
    <s v="IN/000603"/>
    <s v="zzzzzz X21/N251/4 Doortocht Blanden"/>
    <s v="snoeien volgens aanbeveling rapport"/>
    <s v="Kleine Ingreep"/>
    <s v="WVB/INV/N251/1"/>
    <b v="0"/>
    <s v="Ingreep wordt niet opgevolgd in BOD"/>
    <s v="&lt;null&gt;"/>
    <s v="&lt;null&gt;"/>
    <s v="WEGENIS"/>
    <s v="&lt;null&gt;"/>
    <n v="100"/>
    <n v="75000"/>
    <n v="75000"/>
  </r>
  <r>
    <x v="550"/>
    <x v="550"/>
    <s v="Verkeersveiligheid"/>
    <x v="1"/>
    <n v="640"/>
    <s v="IN/000604"/>
    <s v="in Oud-Turnhout : Staatsbaan, Steenweg op Mol"/>
    <s v="TC geplaatst (opgeleverd: 5/12/2018)"/>
    <s v="Kleine Ingreep"/>
    <s v="&lt;null&gt;"/>
    <b v="0"/>
    <s v="Ingreep wordt niet opgevolgd in BOD"/>
    <s v="&lt;null&gt;"/>
    <s v="&lt;null&gt;"/>
    <s v="&lt;null&gt;"/>
    <s v="&lt;null&gt;"/>
    <n v="100"/>
    <m/>
    <m/>
  </r>
  <r>
    <x v="551"/>
    <x v="551"/>
    <s v="Verkeersveiligheid"/>
    <x v="1"/>
    <n v="641"/>
    <s v="IN/000605"/>
    <s v="Gevaarlijk Punt: N8 Oudenaarde: markeringen aanpassen"/>
    <s v="Kruispunt beter accentueren (stroefheid reeds aangepast);\nN8 Edelareberg (krpt met Hogeweg)."/>
    <s v="Kleine Ingreep"/>
    <s v="&lt;null&gt;"/>
    <b v="0"/>
    <s v="Ingreep wordt niet opgevolgd in BOD"/>
    <n v="2021"/>
    <s v="Q1"/>
    <s v="OVERIGE"/>
    <s v="op pcv-bestek"/>
    <n v="100"/>
    <n v="1400"/>
    <n v="1400"/>
  </r>
  <r>
    <x v="552"/>
    <x v="552"/>
    <s v="Verkeersveiligheid"/>
    <x v="1"/>
    <n v="642"/>
    <s v="IN/000606"/>
    <s v="in Overijse : IJseweg, Waversesteenweg"/>
    <s v="nog niet gedefinieerd"/>
    <s v="Kleine Ingreep"/>
    <s v="&lt;null&gt;"/>
    <b v="0"/>
    <s v="Ingreep wordt niet opgevolgd in BOD"/>
    <s v="&lt;null&gt;"/>
    <s v="&lt;null&gt;"/>
    <s v="WEGENIS"/>
    <s v="&lt;null&gt;"/>
    <n v="100"/>
    <n v="75000"/>
    <n v="75000"/>
  </r>
  <r>
    <x v="553"/>
    <x v="553"/>
    <s v="Verkeersveiligheid"/>
    <x v="1"/>
    <n v="643"/>
    <s v="IN/000607"/>
    <s v="Fietspad: coating in Overpelt : Hofweg, Leopoldlaan, Sellekaertsstraat"/>
    <s v="Kruising fietspad in rode slem (slemlaag werd aangebracht in 2020 , maar signalisatie nog niet aangepast)"/>
    <s v="Kleine Ingreep"/>
    <s v="WL/INV/N712/7"/>
    <b v="0"/>
    <s v="Ingreep wordt niet opgevolgd in BOD"/>
    <n v="2022"/>
    <s v="&lt;null&gt;"/>
    <s v="WEGENIS"/>
    <s v="&lt;null&gt;"/>
    <n v="100"/>
    <n v="200000"/>
    <n v="200000"/>
  </r>
  <r>
    <x v="554"/>
    <x v="554"/>
    <s v="Verkeersveiligheid"/>
    <x v="1"/>
    <n v="644"/>
    <s v="IN/000608"/>
    <s v="Middeneiland aanleggen in Peer : Baan naar Bree, Erpekommerweg, Smeetshofweg"/>
    <s v="2 FOP's met middeneiland + uitvlakken Smeetshofweg"/>
    <s v="Kleine Ingreep"/>
    <s v="WL/INV/N73/19"/>
    <b v="0"/>
    <s v="Ingreep wordt niet opgevolgd in BOD"/>
    <n v="2022"/>
    <s v="Q3"/>
    <s v="WEGENIS"/>
    <s v="&lt;null&gt;"/>
    <n v="100"/>
    <n v="250000"/>
    <n v="250000"/>
  </r>
  <r>
    <x v="555"/>
    <x v="555"/>
    <s v="Verkeersveiligheid"/>
    <x v="1"/>
    <n v="645"/>
    <s v="IN/000609"/>
    <s v="in Putte : Dokter Cornilstraat, Mechelbaan, N15 Richting Mechelen, N15 Richting Westerlo, Scherpstuklei"/>
    <s v="Volledige heraanleg"/>
    <s v="Structurele Ingreep"/>
    <s v="&lt;null&gt;"/>
    <b v="0"/>
    <s v="Ingreep wordt niet opgevolgd in BOD"/>
    <s v="&lt;null&gt;"/>
    <s v="&lt;null&gt;"/>
    <s v="&lt;null&gt;"/>
    <s v="&lt;null&gt;"/>
    <n v="100"/>
    <m/>
    <m/>
  </r>
  <r>
    <x v="556"/>
    <x v="556"/>
    <s v="Verkeersveiligheid"/>
    <x v="1"/>
    <n v="646"/>
    <s v="IN/000610"/>
    <s v="in Puurs : Dendermondsesteenweg, N16 Richting Mechelen, N16 Richting Sint-Niklaas, N17 Richting Dendermonde, N17 Richting Puurs"/>
    <s v="conflict met linksaf (komende van Willebroek) uitgehaald"/>
    <s v="Kleine Ingreep"/>
    <s v="&lt;null&gt;"/>
    <b v="0"/>
    <s v="Ingreep wordt niet opgevolgd in BOD"/>
    <s v="&lt;null&gt;"/>
    <s v="&lt;null&gt;"/>
    <s v="&lt;null&gt;"/>
    <s v="&lt;null&gt;"/>
    <n v="100"/>
    <m/>
    <m/>
  </r>
  <r>
    <x v="556"/>
    <x v="556"/>
    <s v="Verkeersveiligheid"/>
    <x v="1"/>
    <n v="647"/>
    <s v="IN/000611"/>
    <s v="A12.DP08 &amp; DP09 - Omvorming knooppunten N16 / N17"/>
    <s v="Vervolgstudie is voorzien op 2019 (150), werken zullen later voorzien worden."/>
    <s v="Structurele Ingreep"/>
    <s v="WA/INV/A12/6"/>
    <b v="0"/>
    <s v="Ingreep wordt niet opgevolgd in BOD"/>
    <s v="&lt;null&gt;"/>
    <s v="&lt;null&gt;"/>
    <s v="&lt;null&gt;"/>
    <s v="&lt;null&gt;"/>
    <n v="100"/>
    <m/>
    <m/>
  </r>
  <r>
    <x v="557"/>
    <x v="557"/>
    <s v="Verkeersveiligheid"/>
    <x v="1"/>
    <n v="648"/>
    <s v="IN/000612"/>
    <s v="in Puurs : Kleine Amer, N16 Richting Mechelen, N16 Richting Sint-Niklaas, Rijksweg"/>
    <s v="is geanalyseerd maar voorgestelde quick wins zullen weinig doeltreffend zijn. Voorlopig blijven monitoren"/>
    <s v="Kleine Ingreep"/>
    <s v="&lt;null&gt;"/>
    <b v="0"/>
    <s v="Ingreep wordt niet opgevolgd in BOD"/>
    <s v="&lt;null&gt;"/>
    <s v="&lt;null&gt;"/>
    <s v="&lt;null&gt;"/>
    <s v="&lt;null&gt;"/>
    <n v="100"/>
    <m/>
    <m/>
  </r>
  <r>
    <x v="558"/>
    <x v="558"/>
    <s v="Verkeersveiligheid"/>
    <x v="1"/>
    <n v="649"/>
    <s v="IN/000613"/>
    <s v="in Puurs, Willebroek : A12 Richting Antwerpen, A12 Richting Brussel, Breendonkstraat, Veurtstraat RELANCE21"/>
    <s v="Aanpassen lichtenregeling :dilemmazonebewaking: 100 m voor de zone rijdt nog 90 km/u kan dan nog net door groen (om probleem te voorkomen dat bestuurders stoppen voor oranje terwijl anderen doorrijden)"/>
    <s v="Kleine Ingreep"/>
    <s v="WA/INV/A12/12"/>
    <b v="1"/>
    <s v="Ingreep wordt opgevolgd in BOD"/>
    <n v="2022"/>
    <s v="&lt;null&gt;"/>
    <s v="VRI"/>
    <s v="&lt;null&gt;"/>
    <n v="100"/>
    <n v="180000"/>
    <n v="180000"/>
  </r>
  <r>
    <x v="559"/>
    <x v="559"/>
    <s v="Verkeersveiligheid"/>
    <x v="1"/>
    <n v="650"/>
    <s v="IN/000614"/>
    <s v="in Ranst : Liersesteenweg, N14 Richting Breda (Nl), N14 Richting Mechelen, Ranstsesteenweg"/>
    <s v="Markering aanpassen, lichtvisie toepassen"/>
    <s v="Kleine Ingreep"/>
    <s v="&lt;null&gt;"/>
    <b v="0"/>
    <s v="Ingreep wordt niet opgevolgd in BOD"/>
    <n v="2022"/>
    <s v="&lt;null&gt;"/>
    <s v="WEGENIS"/>
    <s v="&lt;null&gt;"/>
    <n v="100"/>
    <n v="50000"/>
    <n v="50000"/>
  </r>
  <r>
    <x v="559"/>
    <x v="559"/>
    <s v="Verkeersveiligheid"/>
    <x v="1"/>
    <n v="650"/>
    <s v="IN/000614"/>
    <s v="in Ranst : Liersesteenweg, N14 Richting Breda (Nl), N14 Richting Mechelen, Ranstsesteenweg"/>
    <s v="Markering aanpassen, lichtvisie toepassen"/>
    <s v="Kleine Ingreep"/>
    <s v="&lt;null&gt;"/>
    <b v="0"/>
    <s v="Ingreep wordt niet opgevolgd in BOD"/>
    <s v="&lt;null&gt;"/>
    <s v="&lt;null&gt;"/>
    <s v="OV"/>
    <s v="&lt;null&gt;"/>
    <n v="100"/>
    <n v="25000"/>
    <n v="25000"/>
  </r>
  <r>
    <x v="559"/>
    <x v="559"/>
    <s v="Verkeersveiligheid"/>
    <x v="1"/>
    <n v="650"/>
    <s v="IN/000614"/>
    <s v="in Ranst : Liersesteenweg, N14 Richting Breda (Nl), N14 Richting Mechelen, Ranstsesteenweg"/>
    <s v="Markering aanpassen, lichtvisie toepassen"/>
    <s v="Kleine Ingreep"/>
    <s v="&lt;null&gt;"/>
    <b v="0"/>
    <s v="Ingreep wordt niet opgevolgd in BOD"/>
    <s v="&lt;null&gt;"/>
    <s v="&lt;null&gt;"/>
    <s v="STUDIE"/>
    <s v="&lt;null&gt;"/>
    <n v="100"/>
    <n v="11250"/>
    <n v="11250"/>
  </r>
  <r>
    <x v="559"/>
    <x v="559"/>
    <s v="Verkeersveiligheid"/>
    <x v="1"/>
    <n v="651"/>
    <s v="IN/000615"/>
    <s v="in Ranst : Liersesteenweg, N14 Richting Breda (Nl), N14 Richting Mechelen, Ranstsesteenweg"/>
    <s v="Volledige herinrichting"/>
    <s v="Structurele Ingreep"/>
    <s v="&lt;null&gt;"/>
    <b v="0"/>
    <s v="Ingreep wordt niet opgevolgd in BOD"/>
    <s v="&lt;null&gt;"/>
    <s v="&lt;null&gt;"/>
    <s v="&lt;null&gt;"/>
    <s v="&lt;null&gt;"/>
    <n v="100"/>
    <m/>
    <m/>
  </r>
  <r>
    <x v="560"/>
    <x v="560"/>
    <s v="Verkeersveiligheid"/>
    <x v="1"/>
    <n v="652"/>
    <s v="IN/000616"/>
    <s v="in Ranst : Kempenlaan, Kromstraat, Schawijkstraat"/>
    <s v="heraanleg N116, inclusief dit kruispunt (wordt aanbesteed in juli 2020)"/>
    <s v="Structurele Ingreep"/>
    <s v="WA/INV/N116/1"/>
    <b v="0"/>
    <s v="Ingreep wordt niet opgevolgd in BOD"/>
    <s v="&lt;null&gt;"/>
    <s v="&lt;null&gt;"/>
    <s v="&lt;null&gt;"/>
    <s v="&lt;null&gt;"/>
    <n v="100"/>
    <m/>
    <m/>
  </r>
  <r>
    <x v="561"/>
    <x v="561"/>
    <s v="Verkeersveiligheid"/>
    <x v="1"/>
    <n v="653"/>
    <s v="IN/000617"/>
    <s v="in Ranst : Mollentstraat, N14 Richting Breda (Nl), N14 Richting Mechelen, Nijlensesteenweg, Oostmalsesteenweg"/>
    <s v="afsluiting Mollentstraat"/>
    <s v="Kleine Ingreep"/>
    <s v="&lt;null&gt;"/>
    <b v="0"/>
    <s v="Ingreep wordt niet opgevolgd in BOD"/>
    <s v="&lt;null&gt;"/>
    <s v="&lt;null&gt;"/>
    <s v="&lt;null&gt;"/>
    <s v="&lt;null&gt;"/>
    <n v="100"/>
    <m/>
    <m/>
  </r>
  <r>
    <x v="561"/>
    <x v="561"/>
    <s v="Verkeersveiligheid"/>
    <x v="1"/>
    <n v="654"/>
    <s v="IN/000618"/>
    <s v="MAG WEG in Ranst : Mollentstraat, N14 Richting Breda (Nl), N14 Richting Mechelen, Nijlensesteenweg, Oostmalsesteenweg"/>
    <s v="Heraanleg N14 en aanpassen alignement N14. Zit mee in het project aanleg fietspaden N14."/>
    <s v="Structurele Ingreep"/>
    <s v="&lt;null&gt;"/>
    <b v="0"/>
    <s v="Ingreep wordt niet opgevolgd in BOD"/>
    <s v="&lt;null&gt;"/>
    <s v="&lt;null&gt;"/>
    <s v="&lt;null&gt;"/>
    <s v="&lt;null&gt;"/>
    <n v="100"/>
    <m/>
    <m/>
  </r>
  <r>
    <x v="562"/>
    <x v="562"/>
    <s v="Verkeersveiligheid"/>
    <x v="1"/>
    <n v="655"/>
    <s v="IN/000619"/>
    <s v="in Roeselare : Hippoliet Spilleboutdreef, Meensesteenweg, Meiboomlaan, Westlaan"/>
    <s v="versmallen rijbaan op de rotonde en vergroten van de afstand tussen rijbaan en fietspad dmv markeringen en paaltjes."/>
    <s v="Kleine Ingreep"/>
    <s v="&lt;null&gt;"/>
    <b v="0"/>
    <s v="Ingreep wordt niet opgevolgd in BOD"/>
    <s v="&lt;null&gt;"/>
    <s v="&lt;null&gt;"/>
    <s v="&lt;null&gt;"/>
    <s v="&lt;null&gt;"/>
    <n v="100"/>
    <m/>
    <m/>
  </r>
  <r>
    <x v="562"/>
    <x v="562"/>
    <s v="Verkeersveiligheid"/>
    <x v="1"/>
    <n v="656"/>
    <s v="IN/000620"/>
    <s v="in Roeselare : Hippoliet Spilleboutdreef, Meensesteenweg, Meiboomlaan, Westlaan"/>
    <s v="opstarten simulatiestudie en PCV\n(te schrappen eens opgenomen als grote ingreep in projectcenter)"/>
    <s v="Kleine Ingreep"/>
    <s v="&lt;null&gt;"/>
    <b v="0"/>
    <s v="Ingreep wordt niet opgevolgd in BOD"/>
    <n v="2024"/>
    <s v="&lt;null&gt;"/>
    <s v="OVERIGE"/>
    <s v="&lt;null&gt;"/>
    <n v="100"/>
    <n v="2500000"/>
    <n v="2500000"/>
  </r>
  <r>
    <x v="563"/>
    <x v="563"/>
    <s v="Verkeersveiligheid"/>
    <x v="1"/>
    <n v="657"/>
    <s v="IN/000621"/>
    <s v="N32 Roeselare : Structureel onderhoud met schoolomgeving"/>
    <s v="Herinrichting van weg, met heraanleg kruispunten"/>
    <s v="Structurele Ingreep"/>
    <s v="WWV/INV/N32/5"/>
    <b v="0"/>
    <s v="Ingreep wordt niet opgevolgd in BOD"/>
    <n v="2023"/>
    <s v="&lt;null&gt;"/>
    <s v="OVERIGE"/>
    <s v="&lt;null&gt;"/>
    <n v="100"/>
    <n v="4698000"/>
    <n v="4698000"/>
  </r>
  <r>
    <x v="563"/>
    <x v="563"/>
    <s v="Verkeersveiligheid"/>
    <x v="1"/>
    <n v="657"/>
    <s v="IN/000621"/>
    <s v="N32 Roeselare : Structureel onderhoud met schoolomgeving"/>
    <s v="Herinrichting van weg, met heraanleg kruispunten"/>
    <s v="Structurele Ingreep"/>
    <s v="WWV/INV/N32/5"/>
    <b v="0"/>
    <s v="Ingreep wordt niet opgevolgd in BOD"/>
    <n v="2024"/>
    <s v="&lt;null&gt;"/>
    <s v="OVERIGE"/>
    <s v="&lt;null&gt;"/>
    <n v="100"/>
    <n v="5000000"/>
    <n v="5000000"/>
  </r>
  <r>
    <x v="564"/>
    <x v="564"/>
    <s v="Verkeersveiligheid"/>
    <x v="1"/>
    <n v="658"/>
    <s v="IN/000622"/>
    <s v="in Roeselare : Meensesteenweg, Meiboomlaan, N32 Richting Menen-Halluin(F), Westlaan"/>
    <s v="zelfde rotonde als punt 24946. zelfde maatregel. versmallen rijbaan rotonde, vergroten veiligheidsafstand naar fietsers"/>
    <s v="Kleine Ingreep"/>
    <s v="&lt;null&gt;"/>
    <b v="0"/>
    <s v="Ingreep wordt niet opgevolgd in BOD"/>
    <s v="&lt;null&gt;"/>
    <s v="&lt;null&gt;"/>
    <s v="&lt;null&gt;"/>
    <s v="&lt;null&gt;"/>
    <n v="100"/>
    <m/>
    <m/>
  </r>
  <r>
    <x v="564"/>
    <x v="564"/>
    <s v="Verkeersveiligheid"/>
    <x v="1"/>
    <n v="659"/>
    <s v="IN/000623"/>
    <s v="in Roeselare : Meensesteenweg, Meiboomlaan, N32 Richting Menen-Halluin(F), Westlaan"/>
    <s v="opstarten studie N32 tussen R32 en N37 inclusief dit gevaarlijk punt\n(te schrappen eens opgenomen als grote ingreep in projectcenter)"/>
    <s v="Kleine Ingreep"/>
    <s v="&lt;null&gt;"/>
    <b v="0"/>
    <s v="Ingreep wordt niet opgevolgd in BOD"/>
    <n v="2024"/>
    <s v="&lt;null&gt;"/>
    <s v="OVERIGE"/>
    <s v="&lt;null&gt;"/>
    <n v="100"/>
    <n v="2500000"/>
    <n v="2500000"/>
  </r>
  <r>
    <x v="565"/>
    <x v="565"/>
    <s v="Verkeersveiligheid"/>
    <x v="1"/>
    <n v="660"/>
    <s v="IN/000624"/>
    <s v="N60 César Snoecklaan met N36 Zonnestraat"/>
    <s v="aanpassing rotonde"/>
    <s v="Structurele Ingreep"/>
    <s v="WOV/INV/N36/2"/>
    <b v="0"/>
    <s v="Ingreep wordt niet opgevolgd in BOD"/>
    <s v="&lt;null&gt;"/>
    <s v="&lt;null&gt;"/>
    <s v="&lt;null&gt;"/>
    <s v="&lt;null&gt;"/>
    <n v="100"/>
    <m/>
    <m/>
  </r>
  <r>
    <x v="566"/>
    <x v="566"/>
    <s v="Verkeersveiligheid"/>
    <x v="1"/>
    <n v="661"/>
    <s v="IN/000625"/>
    <s v="in Rumst : A1-E19 Richting Breda (Nl) Oprit 8, A1-E19 Richting Breda (Nl) Uitrit 8, Autosnelweg E19, Bussestraat, Tiburstraat"/>
    <m/>
    <s v="Kleine Ingreep"/>
    <s v="&lt;null&gt;"/>
    <b v="0"/>
    <s v="Ingreep wordt niet opgevolgd in BOD"/>
    <s v="&lt;null&gt;"/>
    <s v="&lt;null&gt;"/>
    <s v="WEGENIS"/>
    <s v="&lt;null&gt;"/>
    <n v="100"/>
    <n v="1"/>
    <n v="1"/>
  </r>
  <r>
    <x v="567"/>
    <x v="567"/>
    <s v="Verkeersveiligheid"/>
    <x v="1"/>
    <n v="662"/>
    <s v="IN/000626"/>
    <s v="in Rumst : Antwerpsestraat, Boomsesteenweg, N177 Antwerpen - Breendonk (Puurs), Pierstraat"/>
    <s v="nog niet gedefinieerd"/>
    <s v="Kleine Ingreep"/>
    <s v="&lt;null&gt;"/>
    <b v="0"/>
    <s v="Ingreep wordt niet opgevolgd in BOD"/>
    <s v="&lt;null&gt;"/>
    <s v="&lt;null&gt;"/>
    <s v="OV"/>
    <s v="&lt;null&gt;"/>
    <n v="100"/>
    <n v="25000"/>
    <n v="25000"/>
  </r>
  <r>
    <x v="567"/>
    <x v="567"/>
    <s v="Verkeersveiligheid"/>
    <x v="1"/>
    <n v="662"/>
    <s v="IN/000626"/>
    <s v="in Rumst : Antwerpsestraat, Boomsesteenweg, N177 Antwerpen - Breendonk (Puurs), Pierstraat"/>
    <s v="nog niet gedefinieerd"/>
    <s v="Kleine Ingreep"/>
    <s v="&lt;null&gt;"/>
    <b v="0"/>
    <s v="Ingreep wordt niet opgevolgd in BOD"/>
    <n v="2022"/>
    <s v="&lt;null&gt;"/>
    <s v="VRI"/>
    <s v="&lt;null&gt;"/>
    <n v="100"/>
    <n v="250000"/>
    <n v="250000"/>
  </r>
  <r>
    <x v="568"/>
    <x v="568"/>
    <s v="Verkeersveiligheid"/>
    <x v="1"/>
    <n v="663"/>
    <s v="IN/000627"/>
    <s v="in Scherpenheuvel-Zichem : Abdijstraat, Testeltsesteenweg, Westelsebaan"/>
    <s v="aanpassen toeleidende fietspaden en VRI"/>
    <s v="Kleine Ingreep"/>
    <s v="WVB/INV/N212/2"/>
    <b v="1"/>
    <s v="Ingreep wordt opgevolgd in BOD"/>
    <n v="2023"/>
    <s v="Q1"/>
    <s v="VRI"/>
    <s v="&lt;null&gt;"/>
    <n v="100"/>
    <n v="50000"/>
    <n v="50000"/>
  </r>
  <r>
    <x v="568"/>
    <x v="568"/>
    <s v="Verkeersveiligheid"/>
    <x v="1"/>
    <n v="663"/>
    <s v="IN/000627"/>
    <s v="in Scherpenheuvel-Zichem : Abdijstraat, Testeltsesteenweg, Westelsebaan"/>
    <s v="aanpassen toeleidende fietspaden en VRI"/>
    <s v="Kleine Ingreep"/>
    <s v="WVB/INV/N212/2"/>
    <b v="1"/>
    <s v="Ingreep wordt opgevolgd in BOD"/>
    <n v="2023"/>
    <s v="Q1"/>
    <s v="WEGENIS"/>
    <s v="&lt;null&gt;"/>
    <n v="100"/>
    <n v="150000"/>
    <n v="150000"/>
  </r>
  <r>
    <x v="569"/>
    <x v="569"/>
    <s v="Verkeersveiligheid"/>
    <x v="1"/>
    <n v="664"/>
    <s v="IN/000628"/>
    <s v="VRI: aanpassen lichtenregeling in Schoten : Bredabaan, Fortsteenweg, Horstebaan RELANCE21"/>
    <s v="VLCC in 22, aanpassen markering in 21"/>
    <s v="Kleine Ingreep"/>
    <s v="WA/INV/N1/15"/>
    <b v="1"/>
    <s v="Ingreep wordt opgevolgd in BOD"/>
    <n v="2022"/>
    <s v="Q3"/>
    <s v="WEGENIS"/>
    <s v="&lt;null&gt;"/>
    <n v="100"/>
    <n v="350000"/>
    <n v="350000"/>
  </r>
  <r>
    <x v="569"/>
    <x v="569"/>
    <s v="Verkeersveiligheid"/>
    <x v="1"/>
    <n v="664"/>
    <s v="IN/000628"/>
    <s v="VRI: aanpassen lichtenregeling in Schoten : Bredabaan, Fortsteenweg, Horstebaan RELANCE21"/>
    <s v="VLCC in 22, aanpassen markering in 21"/>
    <s v="Kleine Ingreep"/>
    <s v="WA/INV/N1/15"/>
    <b v="1"/>
    <s v="Ingreep wordt opgevolgd in BOD"/>
    <n v="2022"/>
    <s v="Q3"/>
    <s v="STUDIE"/>
    <s v="&lt;null&gt;"/>
    <n v="100"/>
    <n v="93750"/>
    <n v="93750"/>
  </r>
  <r>
    <x v="569"/>
    <x v="569"/>
    <s v="Verkeersveiligheid"/>
    <x v="1"/>
    <n v="664"/>
    <s v="IN/000628"/>
    <s v="VRI: aanpassen lichtenregeling in Schoten : Bredabaan, Fortsteenweg, Horstebaan RELANCE21"/>
    <s v="VLCC in 22, aanpassen markering in 21"/>
    <s v="Kleine Ingreep"/>
    <s v="WA/INV/N1/15"/>
    <b v="1"/>
    <s v="Ingreep wordt opgevolgd in BOD"/>
    <n v="2022"/>
    <s v="Q3"/>
    <s v="OV"/>
    <s v="&lt;null&gt;"/>
    <n v="100"/>
    <n v="25000"/>
    <n v="25000"/>
  </r>
  <r>
    <x v="569"/>
    <x v="569"/>
    <s v="Verkeersveiligheid"/>
    <x v="1"/>
    <n v="664"/>
    <s v="IN/000628"/>
    <s v="VRI: aanpassen lichtenregeling in Schoten : Bredabaan, Fortsteenweg, Horstebaan RELANCE21"/>
    <s v="VLCC in 22, aanpassen markering in 21"/>
    <s v="Kleine Ingreep"/>
    <s v="WA/INV/N1/15"/>
    <b v="1"/>
    <s v="Ingreep wordt opgevolgd in BOD"/>
    <n v="2022"/>
    <s v="Q3"/>
    <s v="VRI"/>
    <s v="&lt;null&gt;"/>
    <n v="100"/>
    <n v="250000"/>
    <n v="250000"/>
  </r>
  <r>
    <x v="570"/>
    <x v="570"/>
    <s v="Verkeersveiligheid"/>
    <x v="1"/>
    <n v="665"/>
    <s v="IN/000629"/>
    <s v="Gevaarlijk Punt: N456 Sint-Laureins: markeringen aanpassen Ketterijstraat met Mariapolderdijk"/>
    <s v="Markering aanpassen, paaltjes plaatsen;\nKetterijstraat met Mariapolderdijk. (Relance Raamcontract)"/>
    <s v="Kleine Ingreep"/>
    <s v="WOV/INV/N456/11"/>
    <b v="0"/>
    <s v="Ingreep wordt niet opgevolgd in BOD"/>
    <n v="2021"/>
    <s v="Q4"/>
    <s v="WEGENIS"/>
    <s v="&lt;null&gt;"/>
    <n v="100"/>
    <n v="7800"/>
    <n v="7800"/>
  </r>
  <r>
    <x v="571"/>
    <x v="571"/>
    <s v="Verkeersveiligheid"/>
    <x v="1"/>
    <n v="666"/>
    <s v="IN/000630"/>
    <s v="in Sint-Niklaas : R42 Singel met Raapstraat"/>
    <s v="semi-conflictvrij gemaakt (2019)"/>
    <s v="Kleine Ingreep"/>
    <s v="&lt;null&gt;"/>
    <b v="0"/>
    <s v="Ingreep wordt niet opgevolgd in BOD"/>
    <s v="&lt;null&gt;"/>
    <s v="&lt;null&gt;"/>
    <s v="&lt;null&gt;"/>
    <s v="&lt;null&gt;"/>
    <n v="100"/>
    <m/>
    <m/>
  </r>
  <r>
    <x v="572"/>
    <x v="572"/>
    <s v="Verkeersveiligheid"/>
    <x v="1"/>
    <n v="667"/>
    <s v="IN/000631"/>
    <s v="Gevaarlijk Punt: R42 Sint-Niklaas: aanpassen lichtenregeling"/>
    <s v="Aanpassen lichtenregeling: Conflictvrije regeling;\nIn Sint-Niklaas : R42 Singel met N451 Vijfstraten. (Relance Raamcontract)"/>
    <s v="Kleine Ingreep"/>
    <s v="WOV/INV/R42/2"/>
    <b v="1"/>
    <s v="Ingreep wordt opgevolgd in BOD"/>
    <n v="2022"/>
    <s v="Q2"/>
    <s v="VRI"/>
    <s v="&lt;null&gt;"/>
    <n v="100"/>
    <n v="124200"/>
    <n v="124200"/>
  </r>
  <r>
    <x v="573"/>
    <x v="573"/>
    <s v="Verkeersveiligheid"/>
    <x v="1"/>
    <n v="668"/>
    <s v="IN/000632"/>
    <s v="Gevaarlijk Punt: R42 Sint-Niklaas : VRI aanpassen"/>
    <s v="VRI aangepast (conflictvrij);\nR42 Guido Gezellelaan / Spoorweglaan met N403 Plezantstraat"/>
    <s v="Kleine Ingreep"/>
    <s v="WOV/INV/R42/3"/>
    <b v="0"/>
    <s v="Ingreep wordt niet opgevolgd in BOD"/>
    <n v="2021"/>
    <s v="Q3"/>
    <s v="VRI"/>
    <s v="&lt;null&gt;"/>
    <n v="100"/>
    <n v="56000"/>
    <n v="56000"/>
  </r>
  <r>
    <x v="574"/>
    <x v="574"/>
    <s v="Verkeersveiligheid"/>
    <x v="1"/>
    <n v="669"/>
    <s v="IN/000633"/>
    <s v="in Sint-Niklaas : N70 Koningin Astridlaan met N16 Parklaan. (Relance Raamcontract)"/>
    <s v="nog niet gedefinieerd"/>
    <s v="Kleine Ingreep"/>
    <s v="&lt;null&gt;"/>
    <b v="0"/>
    <s v="Ingreep wordt niet opgevolgd in BOD"/>
    <n v="2023"/>
    <s v="Q4"/>
    <s v="WEGENIS"/>
    <s v="&lt;null&gt;"/>
    <n v="100"/>
    <n v="103000"/>
    <n v="103000"/>
  </r>
  <r>
    <x v="575"/>
    <x v="575"/>
    <s v="Verkeersveiligheid"/>
    <x v="1"/>
    <n v="670"/>
    <s v="IN/000634"/>
    <s v="VRI en Infra: aanpassen lichtenregeling + bijkomende aanpassingen infra in Sint-Niklaas, Waasmunster : N70 Grote Baan met N446 Schrijberg. (Relance raamcontract)"/>
    <s v="Aanpassen lichtenregeling + voorsorteerstrook verlengen"/>
    <s v="Kleine Ingreep"/>
    <s v="&lt;null&gt;"/>
    <b v="0"/>
    <s v="Ingreep wordt niet opgevolgd in BOD"/>
    <n v="2022"/>
    <s v="Q4"/>
    <s v="WEGENIS"/>
    <s v="&lt;null&gt;"/>
    <n v="100"/>
    <n v="101700"/>
    <n v="101700"/>
  </r>
  <r>
    <x v="575"/>
    <x v="575"/>
    <s v="Verkeersveiligheid"/>
    <x v="1"/>
    <n v="670"/>
    <s v="IN/000634"/>
    <s v="VRI en Infra: aanpassen lichtenregeling + bijkomende aanpassingen infra in Sint-Niklaas, Waasmunster : N70 Grote Baan met N446 Schrijberg. (Relance raamcontract)"/>
    <s v="Aanpassen lichtenregeling + voorsorteerstrook verlengen"/>
    <s v="Kleine Ingreep"/>
    <s v="&lt;null&gt;"/>
    <b v="0"/>
    <s v="Ingreep wordt niet opgevolgd in BOD"/>
    <n v="2022"/>
    <s v="Q4"/>
    <s v="VRI"/>
    <s v="&lt;null&gt;"/>
    <n v="100"/>
    <n v="85300"/>
    <n v="85300"/>
  </r>
  <r>
    <x v="576"/>
    <x v="576"/>
    <s v="Verkeersveiligheid"/>
    <x v="1"/>
    <n v="671"/>
    <s v="IN/000635"/>
    <s v="in Sint-Pieters-Leeuw : Albert Van Cotthemstraat, Bergensesteenweg, Eugène Ghijsstraat (N6) (SCHRAPPEN - MAAKT DEEL UIT VAN WVB/INV/N6/1)"/>
    <s v="TV3V plan uitvoeren samen met doortocht"/>
    <s v="Structurele Ingreep"/>
    <s v="&lt;null&gt;"/>
    <b v="0"/>
    <s v="Ingreep wordt niet opgevolgd in BOD"/>
    <s v="&lt;null&gt;"/>
    <s v="&lt;null&gt;"/>
    <s v="&lt;null&gt;"/>
    <s v="&lt;null&gt;"/>
    <n v="100"/>
    <m/>
    <m/>
  </r>
  <r>
    <x v="577"/>
    <x v="577"/>
    <s v="Verkeersveiligheid"/>
    <x v="1"/>
    <n v="672"/>
    <s v="IN/000636"/>
    <s v="in Sint-Pieters-Leeuw : Bergensesteenweg, PARKING SHOPPING PAJOT (SCHRAPPEN - MAAKT DEEL UIT VAN WVB/INV/N6/1)"/>
    <s v="volledige heraanleg"/>
    <s v="Structurele Ingreep"/>
    <s v="&lt;null&gt;"/>
    <b v="0"/>
    <s v="Ingreep wordt niet opgevolgd in BOD"/>
    <n v="2021"/>
    <s v="&lt;null&gt;"/>
    <s v="OVERIGE"/>
    <s v="&lt;null&gt;"/>
    <n v="100"/>
    <n v="500000"/>
    <n v="500000"/>
  </r>
  <r>
    <x v="578"/>
    <x v="578"/>
    <s v="Verkeersveiligheid"/>
    <x v="1"/>
    <n v="673"/>
    <s v="IN/000637"/>
    <s v="in Sint-Pieters-Leeuw : Bergensesteenweg, Ruisbroeksesteenweg"/>
    <s v="nog niet gedefinieerd"/>
    <s v="Kleine Ingreep"/>
    <s v="&lt;null&gt;"/>
    <b v="0"/>
    <s v="Ingreep wordt niet opgevolgd in BOD"/>
    <n v="2022"/>
    <s v="&lt;null&gt;"/>
    <s v="VRI"/>
    <s v="&lt;null&gt;"/>
    <n v="100"/>
    <n v="175000"/>
    <n v="175000"/>
  </r>
  <r>
    <x v="578"/>
    <x v="578"/>
    <s v="Verkeersveiligheid"/>
    <x v="1"/>
    <n v="674"/>
    <s v="IN/000638"/>
    <s v="in Sint-Pieters-Leeuw : Bergensesteenweg, Ruisbroeksesteenweg (SCHRAPPEN - MAAKT DEEL UIT VAN WVB/INV/N6/1)"/>
    <s v="wegvak wordt volledig heringericht"/>
    <s v="Structurele Ingreep"/>
    <s v="&lt;null&gt;"/>
    <b v="0"/>
    <s v="Ingreep wordt niet opgevolgd in BOD"/>
    <s v="&lt;null&gt;"/>
    <s v="&lt;null&gt;"/>
    <s v="&lt;null&gt;"/>
    <s v="&lt;null&gt;"/>
    <n v="100"/>
    <m/>
    <m/>
  </r>
  <r>
    <x v="579"/>
    <x v="579"/>
    <s v="Verkeersveiligheid"/>
    <x v="1"/>
    <n v="675"/>
    <s v="IN/000639"/>
    <s v="in Sint-Truiden : Hasseltsesteenweg, Melveren-Centrum, Terbiest"/>
    <s v="nog niet gedefinieerd"/>
    <s v="Kleine Ingreep"/>
    <s v="&lt;null&gt;"/>
    <b v="0"/>
    <s v="Ingreep wordt niet opgevolgd in BOD"/>
    <s v="&lt;null&gt;"/>
    <s v="&lt;null&gt;"/>
    <s v="STUDIE"/>
    <s v="&lt;null&gt;"/>
    <n v="100"/>
    <n v="100000"/>
    <n v="100000"/>
  </r>
  <r>
    <x v="579"/>
    <x v="579"/>
    <s v="Verkeersveiligheid"/>
    <x v="1"/>
    <n v="675"/>
    <s v="IN/000639"/>
    <s v="in Sint-Truiden : Hasseltsesteenweg, Melveren-Centrum, Terbiest"/>
    <s v="nog niet gedefinieerd"/>
    <s v="Kleine Ingreep"/>
    <s v="&lt;null&gt;"/>
    <b v="0"/>
    <s v="Ingreep wordt niet opgevolgd in BOD"/>
    <n v="2023"/>
    <s v="&lt;null&gt;"/>
    <s v="WEGENIS"/>
    <s v="&lt;null&gt;"/>
    <n v="100"/>
    <n v="450000"/>
    <n v="450000"/>
  </r>
  <r>
    <x v="53"/>
    <x v="53"/>
    <s v="Fiets"/>
    <x v="0"/>
    <n v="676"/>
    <s v="IN/000640"/>
    <s v="N722 : St. Truiden : aanleg fietspaden"/>
    <s v="Fietspad in de voorrang op de rotonde. Studie fietspaden Sint-Truiden tot Hasselt. Er worden bepaalde delen in voorrang genomen. Reeds in projectnota voorzien: vrijliggende fietspaden voorzien. Zit in fase 1 van het project"/>
    <s v="Structurele Ingreep"/>
    <s v="WL/INV/N722/1"/>
    <b v="0"/>
    <s v="Ingreep wordt niet opgevolgd in BOD"/>
    <n v="2022"/>
    <s v="&lt;null&gt;"/>
    <s v="WEGENIS"/>
    <s v="&lt;null&gt;"/>
    <n v="100"/>
    <n v="1300000"/>
    <n v="1300000"/>
  </r>
  <r>
    <x v="579"/>
    <x v="579"/>
    <s v="Verkeersveiligheid"/>
    <x v="1"/>
    <n v="676"/>
    <s v="IN/000640"/>
    <s v="N722 : St. Truiden : aanleg fietspaden"/>
    <s v="Fietspad in de voorrang op de rotonde. Studie fietspaden Sint-Truiden tot Hasselt. Er worden bepaalde delen in voorrang genomen. Reeds in projectnota voorzien: vrijliggende fietspaden voorzien. Zit in fase 1 van het project"/>
    <s v="Structurele Ingreep"/>
    <s v="WL/INV/N722/1"/>
    <b v="0"/>
    <s v="Ingreep wordt niet opgevolgd in BOD"/>
    <n v="2022"/>
    <s v="&lt;null&gt;"/>
    <s v="WEGENIS"/>
    <s v="&lt;null&gt;"/>
    <n v="0"/>
    <n v="1300000"/>
    <n v="0"/>
  </r>
  <r>
    <x v="580"/>
    <x v="580"/>
    <s v="Verkeersveiligheid"/>
    <x v="1"/>
    <n v="677"/>
    <s v="IN/000641"/>
    <s v="in Stabroek : A12 Ri. Brussel oprit 13 Stabroek ri knp Ant-Haven, A12 Richting Brussel afrit 13 Stabroek, Laageind"/>
    <s v="midden 2019 werden aanpassingen uitgevoerd aan markering, zichtbaarheid borden verbeterd (audit uitgevoerd) volgens politie: vrachtwagenschauffeurs  vergissen zich tussen afrit Stabroek en afrit naar R2 en rijden gewoon kruispûnt over. Bewegwijzering norm"/>
    <s v="Kleine Ingreep"/>
    <s v="&lt;null&gt;"/>
    <b v="0"/>
    <s v="Ingreep wordt niet opgevolgd in BOD"/>
    <s v="&lt;null&gt;"/>
    <s v="&lt;null&gt;"/>
    <s v="&lt;null&gt;"/>
    <s v="&lt;null&gt;"/>
    <n v="100"/>
    <m/>
    <m/>
  </r>
  <r>
    <x v="581"/>
    <x v="581"/>
    <s v="Verkeersveiligheid"/>
    <x v="1"/>
    <n v="678"/>
    <s v="IN/000642"/>
    <s v="Handhaving in Staden : Provinciebaan, 's Gravenstraat, Westrozebekestraat"/>
    <s v="TC lijst 2019"/>
    <s v="Kleine Ingreep"/>
    <s v="WWV/INV/N313/2"/>
    <b v="0"/>
    <s v="Ingreep wordt niet opgevolgd in BOD"/>
    <s v="&lt;null&gt;"/>
    <s v="&lt;null&gt;"/>
    <s v="&lt;null&gt;"/>
    <s v="&lt;null&gt;"/>
    <n v="100"/>
    <m/>
    <m/>
  </r>
  <r>
    <x v="582"/>
    <x v="582"/>
    <s v="Verkeersveiligheid"/>
    <x v="1"/>
    <n v="679"/>
    <s v="IN/000643"/>
    <s v="in Steenokkerzeel : Haachtsesteenweg, Tervuursesteenweg"/>
    <s v="FP omleggen langsheen de gewestweg (westelijke tak)"/>
    <s v="Kleine Ingreep"/>
    <s v="&lt;null&gt;"/>
    <b v="0"/>
    <s v="Ingreep wordt niet opgevolgd in BOD"/>
    <s v="&lt;null&gt;"/>
    <s v="&lt;null&gt;"/>
    <s v="&lt;null&gt;"/>
    <s v="&lt;null&gt;"/>
    <n v="100"/>
    <m/>
    <m/>
  </r>
  <r>
    <x v="583"/>
    <x v="583"/>
    <s v="Verkeersveiligheid"/>
    <x v="1"/>
    <n v="680"/>
    <s v="IN/000644"/>
    <s v="N16 Temse aanpassingen kruispunt Hoogkamerstraat"/>
    <s v="Aanpassing van de aansluiting van Hoogkamerstraat op N16. Deel van budget gev ptn gaat naar dit project"/>
    <s v="Structurele Ingreep"/>
    <s v="WOV/INV/N16/1"/>
    <b v="1"/>
    <s v="Ingreep wordt opgevolgd in BOD"/>
    <n v="2022"/>
    <s v="&lt;null&gt;"/>
    <s v="WEGENIS"/>
    <s v="&lt;null&gt;"/>
    <n v="100"/>
    <n v="1904000"/>
    <n v="1904000"/>
  </r>
  <r>
    <x v="584"/>
    <x v="584"/>
    <s v="Verkeersveiligheid"/>
    <x v="1"/>
    <n v="681"/>
    <s v="IN/000645"/>
    <s v="in Temse : N16 met Doornstraat en Gasthuisstraat"/>
    <s v="lichtenregeling aangepast (nog 1 conflict) (2019)"/>
    <s v="Kleine Ingreep"/>
    <s v="&lt;null&gt;"/>
    <b v="0"/>
    <s v="Ingreep wordt niet opgevolgd in BOD"/>
    <s v="&lt;null&gt;"/>
    <s v="&lt;null&gt;"/>
    <s v="&lt;null&gt;"/>
    <s v="&lt;null&gt;"/>
    <n v="100"/>
    <m/>
    <m/>
  </r>
  <r>
    <x v="585"/>
    <x v="585"/>
    <s v="Verkeersveiligheid"/>
    <x v="1"/>
    <n v="682"/>
    <s v="IN/000646"/>
    <s v="Nieuw lichtengeregeld kruispunt ter vervanging van de aansluiting Galgeveldstraat."/>
    <s v="Uitbreiding aan industrieterrein gepland, gevraagd om bestaande in- en uitrit te sluiten, en een nieuwe ontsluiting te maken. wordt lichtengeregeld.\n- Aanleg nieuw kruispunt, met VRI\n-afsluiten Galgeveldstraat thv N37, voor gemotoriseerd verkeer"/>
    <s v="Kleine Ingreep"/>
    <s v="WWV/INV/N37/3"/>
    <b v="1"/>
    <s v="Ingreep wordt opgevolgd in BOD"/>
    <n v="2022"/>
    <s v="Q4"/>
    <s v="STUDIE"/>
    <s v="&lt;null&gt;"/>
    <n v="100"/>
    <n v="85000"/>
    <n v="85000"/>
  </r>
  <r>
    <x v="585"/>
    <x v="585"/>
    <s v="Verkeersveiligheid"/>
    <x v="1"/>
    <n v="682"/>
    <s v="IN/000646"/>
    <s v="Nieuw lichtengeregeld kruispunt ter vervanging van de aansluiting Galgeveldstraat."/>
    <s v="Uitbreiding aan industrieterrein gepland, gevraagd om bestaande in- en uitrit te sluiten, en een nieuwe ontsluiting te maken. wordt lichtengeregeld.\n- Aanleg nieuw kruispunt, met VRI\n-afsluiten Galgeveldstraat thv N37, voor gemotoriseerd verkeer"/>
    <s v="Kleine Ingreep"/>
    <s v="WWV/INV/N37/3"/>
    <b v="1"/>
    <s v="Ingreep wordt opgevolgd in BOD"/>
    <n v="2022"/>
    <s v="Q4"/>
    <s v="OV"/>
    <s v="&lt;null&gt;"/>
    <n v="100"/>
    <n v="60000"/>
    <n v="60000"/>
  </r>
  <r>
    <x v="585"/>
    <x v="585"/>
    <s v="Verkeersveiligheid"/>
    <x v="1"/>
    <n v="682"/>
    <s v="IN/000646"/>
    <s v="Nieuw lichtengeregeld kruispunt ter vervanging van de aansluiting Galgeveldstraat."/>
    <s v="Uitbreiding aan industrieterrein gepland, gevraagd om bestaande in- en uitrit te sluiten, en een nieuwe ontsluiting te maken. wordt lichtengeregeld.\n- Aanleg nieuw kruispunt, met VRI\n-afsluiten Galgeveldstraat thv N37, voor gemotoriseerd verkeer"/>
    <s v="Kleine Ingreep"/>
    <s v="WWV/INV/N37/3"/>
    <b v="1"/>
    <s v="Ingreep wordt opgevolgd in BOD"/>
    <n v="2022"/>
    <s v="Q4"/>
    <s v="VRI"/>
    <s v="&lt;null&gt;"/>
    <n v="100"/>
    <n v="125000"/>
    <n v="125000"/>
  </r>
  <r>
    <x v="585"/>
    <x v="585"/>
    <s v="Verkeersveiligheid"/>
    <x v="1"/>
    <n v="682"/>
    <s v="IN/000646"/>
    <s v="Nieuw lichtengeregeld kruispunt ter vervanging van de aansluiting Galgeveldstraat."/>
    <s v="Uitbreiding aan industrieterrein gepland, gevraagd om bestaande in- en uitrit te sluiten, en een nieuwe ontsluiting te maken. wordt lichtengeregeld.\n- Aanleg nieuw kruispunt, met VRI\n-afsluiten Galgeveldstraat thv N37, voor gemotoriseerd verkeer"/>
    <s v="Kleine Ingreep"/>
    <s v="WWV/INV/N37/3"/>
    <b v="1"/>
    <s v="Ingreep wordt opgevolgd in BOD"/>
    <n v="2022"/>
    <s v="Q4"/>
    <s v="WEGENIS"/>
    <s v="&lt;null&gt;"/>
    <n v="100"/>
    <n v="470000"/>
    <n v="470000"/>
  </r>
  <r>
    <x v="585"/>
    <x v="585"/>
    <s v="Verkeersveiligheid"/>
    <x v="1"/>
    <n v="683"/>
    <s v="IN/000647"/>
    <s v="Middeneiland aanleggen in Tielt : Galgenveldstraat, Ruiseleedsesteenweg"/>
    <s v="Uitbreiding aan industrieterrein gepland, gevraagd om bestaande in- en uitrit te sluiten, en een nieuwe ontsluiting te maken. wordt lichtengeregeld. Deze ingreep betreft de voorlopige QW ter hoogte van de te sluiten Galgeveldstraat.\n- rustpunt voor fiets"/>
    <s v="Kleine Ingreep"/>
    <s v="WWV/INV/N37/2"/>
    <b v="0"/>
    <s v="Ingreep wordt niet opgevolgd in BOD"/>
    <n v="2021"/>
    <s v="Q3"/>
    <s v="WEGENIS"/>
    <s v="&lt;null&gt;"/>
    <n v="100"/>
    <n v="7000"/>
    <n v="7000"/>
  </r>
  <r>
    <x v="586"/>
    <x v="586"/>
    <s v="Verkeersveiligheid"/>
    <x v="1"/>
    <n v="684"/>
    <s v="IN/000648"/>
    <s v="in Tielt : Wakkensesteenweg"/>
    <s v="uitbreiden signalisatie bocht en voorzien van ribbelstroken in nadering van de bocht. Eén van de 20 van 2018 trajectcontroles."/>
    <s v="Kleine Ingreep"/>
    <s v="&lt;null&gt;"/>
    <b v="0"/>
    <s v="Ingreep wordt niet opgevolgd in BOD"/>
    <s v="&lt;null&gt;"/>
    <s v="&lt;null&gt;"/>
    <s v="&lt;null&gt;"/>
    <s v="&lt;null&gt;"/>
    <n v="100"/>
    <m/>
    <m/>
  </r>
  <r>
    <x v="587"/>
    <x v="587"/>
    <s v="Verkeersveiligheid"/>
    <x v="1"/>
    <n v="685"/>
    <s v="IN/000649"/>
    <s v="in Tienen : Groot Overlaar, Westelijke Ring, Zuidelijke Ring"/>
    <s v="Aanpassen lichtenregeling (maximaal conflictvrij)"/>
    <s v="Kleine Ingreep"/>
    <s v="&lt;null&gt;"/>
    <b v="0"/>
    <s v="Ingreep wordt niet opgevolgd in BOD"/>
    <s v="&lt;null&gt;"/>
    <s v="&lt;null&gt;"/>
    <s v="&lt;null&gt;"/>
    <s v="&lt;null&gt;"/>
    <n v="100"/>
    <m/>
    <m/>
  </r>
  <r>
    <x v="588"/>
    <x v="588"/>
    <s v="Verkeersveiligheid"/>
    <x v="1"/>
    <n v="686"/>
    <s v="IN/000650"/>
    <s v="in Tongeren : Cottalaan, Koninksemsteenweg, Koninksemstraat, Sabinuslaan"/>
    <s v="nog niet gedefinieerd"/>
    <s v="Kleine Ingreep"/>
    <s v="&lt;null&gt;"/>
    <b v="0"/>
    <s v="Ingreep wordt niet opgevolgd in BOD"/>
    <n v="2022"/>
    <s v="&lt;null&gt;"/>
    <s v="WEGENIS"/>
    <s v="&lt;null&gt;"/>
    <n v="100"/>
    <n v="100000"/>
    <n v="100000"/>
  </r>
  <r>
    <x v="589"/>
    <x v="589"/>
    <s v="Verkeersveiligheid"/>
    <x v="1"/>
    <n v="687"/>
    <s v="IN/000651"/>
    <s v="VRI: aanpassen lichtenregeling in Tongeren : Eeuwfeestwal, Elisabethwal, Sint-Truidersteenweg"/>
    <s v="Aanpassen lichtenregeling + middeneilanden voor voetgangers zodat in 2 keer kan overgestoken worden  + voetgangersuitstulping"/>
    <s v="Kleine Ingreep"/>
    <s v="WL/INV/R72/2"/>
    <b v="0"/>
    <s v="Ingreep wordt niet opgevolgd in BOD"/>
    <n v="2021"/>
    <s v="&lt;null&gt;"/>
    <s v="WEGENIS"/>
    <s v="&lt;null&gt;"/>
    <n v="99"/>
    <n v="100000"/>
    <n v="99000"/>
  </r>
  <r>
    <x v="590"/>
    <x v="590"/>
    <s v="Verkeersveiligheid"/>
    <x v="4"/>
    <n v="687"/>
    <s v="IN/000651"/>
    <s v="VRI: aanpassen lichtenregeling in Tongeren : Eeuwfeestwal, Elisabethwal, Sint-Truidersteenweg"/>
    <s v="Aanpassen lichtenregeling + middeneilanden voor voetgangers zodat in 2 keer kan overgestoken worden  + voetgangersuitstulping"/>
    <s v="Kleine Ingreep"/>
    <s v="WL/INV/R72/2"/>
    <b v="0"/>
    <s v="Ingreep wordt niet opgevolgd in BOD"/>
    <n v="2021"/>
    <s v="&lt;null&gt;"/>
    <s v="WEGENIS"/>
    <s v="&lt;null&gt;"/>
    <n v="1"/>
    <n v="100000"/>
    <n v="1000"/>
  </r>
  <r>
    <x v="591"/>
    <x v="591"/>
    <s v="Verkeersveiligheid"/>
    <x v="1"/>
    <n v="688"/>
    <s v="IN/000652"/>
    <s v="in Tongeren : Achttiende - Oogstwal, Jaminéstraat, Leopoldwal, Maastrichterstraat, Stationslaan"/>
    <s v="Markeringen aanpassen"/>
    <s v="Kleine Ingreep"/>
    <s v="&lt;null&gt;"/>
    <b v="0"/>
    <s v="Ingreep wordt niet opgevolgd in BOD"/>
    <n v="2021"/>
    <s v="Q1"/>
    <s v="WEGENIS"/>
    <s v="&lt;null&gt;"/>
    <n v="100"/>
    <n v="100000"/>
    <n v="100000"/>
  </r>
  <r>
    <x v="592"/>
    <x v="592"/>
    <s v="Verkeersveiligheid"/>
    <x v="1"/>
    <n v="689"/>
    <s v="IN/000653"/>
    <s v="in Turnhout : Nassaulaan, Steenweg op Merksplas"/>
    <s v="nog niet gedefinieerd"/>
    <s v="Kleine Ingreep"/>
    <s v="&lt;null&gt;"/>
    <b v="0"/>
    <s v="Ingreep wordt niet opgevolgd in BOD"/>
    <s v="&lt;null&gt;"/>
    <s v="&lt;null&gt;"/>
    <s v="WEGENIS"/>
    <s v="&lt;null&gt;"/>
    <n v="100"/>
    <n v="650000"/>
    <n v="650000"/>
  </r>
  <r>
    <x v="592"/>
    <x v="592"/>
    <s v="Verkeersveiligheid"/>
    <x v="1"/>
    <n v="689"/>
    <s v="IN/000653"/>
    <s v="in Turnhout : Nassaulaan, Steenweg op Merksplas"/>
    <s v="nog niet gedefinieerd"/>
    <s v="Kleine Ingreep"/>
    <s v="&lt;null&gt;"/>
    <b v="0"/>
    <s v="Ingreep wordt niet opgevolgd in BOD"/>
    <n v="2022"/>
    <s v="&lt;null&gt;"/>
    <s v="VRI"/>
    <s v="&lt;null&gt;"/>
    <n v="100"/>
    <n v="250000"/>
    <n v="250000"/>
  </r>
  <r>
    <x v="592"/>
    <x v="592"/>
    <s v="Verkeersveiligheid"/>
    <x v="1"/>
    <n v="689"/>
    <s v="IN/000653"/>
    <s v="in Turnhout : Nassaulaan, Steenweg op Merksplas"/>
    <s v="nog niet gedefinieerd"/>
    <s v="Kleine Ingreep"/>
    <s v="&lt;null&gt;"/>
    <b v="0"/>
    <s v="Ingreep wordt niet opgevolgd in BOD"/>
    <s v="&lt;null&gt;"/>
    <s v="&lt;null&gt;"/>
    <s v="OV"/>
    <s v="&lt;null&gt;"/>
    <n v="100"/>
    <n v="50000"/>
    <n v="50000"/>
  </r>
  <r>
    <x v="593"/>
    <x v="593"/>
    <s v="Verkeersveiligheid"/>
    <x v="1"/>
    <n v="690"/>
    <s v="IN/000654"/>
    <s v="in Turnhout : Kempenlaan, Parklaan, Steenweg op Gierle"/>
    <s v="nog niet gedefinieerd"/>
    <s v="Kleine Ingreep"/>
    <s v="&lt;null&gt;"/>
    <b v="0"/>
    <s v="Ingreep wordt niet opgevolgd in BOD"/>
    <s v="&lt;null&gt;"/>
    <s v="&lt;null&gt;"/>
    <s v="STUDIE"/>
    <s v="&lt;null&gt;"/>
    <n v="100"/>
    <n v="131250"/>
    <n v="131250"/>
  </r>
  <r>
    <x v="593"/>
    <x v="593"/>
    <s v="Verkeersveiligheid"/>
    <x v="1"/>
    <n v="690"/>
    <s v="IN/000654"/>
    <s v="in Turnhout : Kempenlaan, Parklaan, Steenweg op Gierle"/>
    <s v="nog niet gedefinieerd"/>
    <s v="Kleine Ingreep"/>
    <s v="&lt;null&gt;"/>
    <b v="0"/>
    <s v="Ingreep wordt niet opgevolgd in BOD"/>
    <n v="2022"/>
    <s v="&lt;null&gt;"/>
    <s v="WEGENIS"/>
    <s v="&lt;null&gt;"/>
    <n v="100"/>
    <n v="500000"/>
    <n v="500000"/>
  </r>
  <r>
    <x v="593"/>
    <x v="593"/>
    <s v="Verkeersveiligheid"/>
    <x v="1"/>
    <n v="690"/>
    <s v="IN/000654"/>
    <s v="in Turnhout : Kempenlaan, Parklaan, Steenweg op Gierle"/>
    <s v="nog niet gedefinieerd"/>
    <s v="Kleine Ingreep"/>
    <s v="&lt;null&gt;"/>
    <b v="0"/>
    <s v="Ingreep wordt niet opgevolgd in BOD"/>
    <n v="2022"/>
    <s v="&lt;null&gt;"/>
    <s v="VRI"/>
    <s v="&lt;null&gt;"/>
    <n v="100"/>
    <n v="350000"/>
    <n v="350000"/>
  </r>
  <r>
    <x v="593"/>
    <x v="593"/>
    <s v="Verkeersveiligheid"/>
    <x v="1"/>
    <n v="690"/>
    <s v="IN/000654"/>
    <s v="in Turnhout : Kempenlaan, Parklaan, Steenweg op Gierle"/>
    <s v="nog niet gedefinieerd"/>
    <s v="Kleine Ingreep"/>
    <s v="&lt;null&gt;"/>
    <b v="0"/>
    <s v="Ingreep wordt niet opgevolgd in BOD"/>
    <s v="&lt;null&gt;"/>
    <s v="&lt;null&gt;"/>
    <s v="OV"/>
    <s v="&lt;null&gt;"/>
    <n v="100"/>
    <n v="25000"/>
    <n v="25000"/>
  </r>
  <r>
    <x v="593"/>
    <x v="593"/>
    <s v="Verkeersveiligheid"/>
    <x v="1"/>
    <n v="691"/>
    <s v="IN/000655"/>
    <s v="in Turnhout : Kempenlaan, Parklaan, Steenweg op Gierle"/>
    <s v="De N140 wordt volledig heraangelegd en studie om VRI conflictvrij\ntiming afhankelijk van onteigeningen. (dus 2023 of 2024)"/>
    <s v="Structurele Ingreep"/>
    <s v="WA/INV/N140/2"/>
    <b v="0"/>
    <s v="Ingreep wordt niet opgevolgd in BOD"/>
    <s v="&lt;null&gt;"/>
    <s v="&lt;null&gt;"/>
    <s v="&lt;null&gt;"/>
    <s v="&lt;null&gt;"/>
    <n v="100"/>
    <m/>
    <m/>
  </r>
  <r>
    <x v="594"/>
    <x v="594"/>
    <s v="Verkeersveiligheid"/>
    <x v="1"/>
    <n v="692"/>
    <s v="IN/000656"/>
    <s v="in Turnhout : Graatakker, Parklaan, Steenweg op Zevendonk RELANCE21"/>
    <s v="weghalen voorlooppijl (gelijktijdig groen voor bestuurders en fietsers)"/>
    <s v="Kleine Ingreep"/>
    <s v="WA/INV/R13/3"/>
    <b v="1"/>
    <s v="Ingreep wordt opgevolgd in BOD"/>
    <n v="2022"/>
    <s v="&lt;null&gt;"/>
    <s v="VRI"/>
    <s v="&lt;null&gt;"/>
    <n v="50"/>
    <n v="250000"/>
    <n v="125000"/>
  </r>
  <r>
    <x v="595"/>
    <x v="595"/>
    <s v="Verkeersveiligheid"/>
    <x v="1"/>
    <n v="692"/>
    <s v="IN/000656"/>
    <s v="in Turnhout : Graatakker, Parklaan, Steenweg op Zevendonk RELANCE21"/>
    <s v="weghalen voorlooppijl (gelijktijdig groen voor bestuurders en fietsers)"/>
    <s v="Kleine Ingreep"/>
    <s v="WA/INV/R13/3"/>
    <b v="1"/>
    <s v="Ingreep wordt opgevolgd in BOD"/>
    <n v="2022"/>
    <s v="&lt;null&gt;"/>
    <s v="VRI"/>
    <s v="&lt;null&gt;"/>
    <n v="50"/>
    <n v="250000"/>
    <n v="125000"/>
  </r>
  <r>
    <x v="594"/>
    <x v="594"/>
    <s v="Verkeersveiligheid"/>
    <x v="1"/>
    <n v="693"/>
    <s v="IN/000657"/>
    <s v="in Turnhout : R013 x Graatakker, Parklaan, Steenweg op Zevendonk"/>
    <s v="Volledig conflictvrij + aanpassen lichtenregeling (+ 200 m verderop een nieuwe VRI op kruispunt met Carrefour)"/>
    <s v="Kleine Ingreep"/>
    <s v="&lt;null&gt;"/>
    <b v="0"/>
    <s v="Ingreep wordt niet opgevolgd in BOD"/>
    <s v="&lt;null&gt;"/>
    <s v="&lt;null&gt;"/>
    <s v="&lt;null&gt;"/>
    <s v="&lt;null&gt;"/>
    <n v="100"/>
    <m/>
    <m/>
  </r>
  <r>
    <x v="595"/>
    <x v="595"/>
    <s v="Verkeersveiligheid"/>
    <x v="1"/>
    <n v="693"/>
    <s v="IN/000657"/>
    <s v="in Turnhout : R013 x Graatakker, Parklaan, Steenweg op Zevendonk"/>
    <s v="Volledig conflictvrij + aanpassen lichtenregeling (+ 200 m verderop een nieuwe VRI op kruispunt met Carrefour)"/>
    <s v="Kleine Ingreep"/>
    <s v="&lt;null&gt;"/>
    <b v="0"/>
    <s v="Ingreep wordt niet opgevolgd in BOD"/>
    <s v="&lt;null&gt;"/>
    <s v="&lt;null&gt;"/>
    <s v="&lt;null&gt;"/>
    <s v="&lt;null&gt;"/>
    <n v="0"/>
    <m/>
    <m/>
  </r>
  <r>
    <x v="596"/>
    <x v="596"/>
    <s v="Verkeersveiligheid"/>
    <x v="1"/>
    <n v="694"/>
    <s v="IN/000658"/>
    <s v="in Turnhout : Kempenlaan, Nassaulaan, Steenweg op Antwerpen"/>
    <s v="nog niet gedefinieerd"/>
    <s v="Kleine Ingreep"/>
    <s v="&lt;null&gt;"/>
    <b v="0"/>
    <s v="Ingreep wordt niet opgevolgd in BOD"/>
    <n v="2022"/>
    <s v="&lt;null&gt;"/>
    <s v="WEGENIS"/>
    <s v="&lt;null&gt;"/>
    <n v="100"/>
    <n v="75000"/>
    <n v="75000"/>
  </r>
  <r>
    <x v="596"/>
    <x v="596"/>
    <s v="Verkeersveiligheid"/>
    <x v="1"/>
    <n v="694"/>
    <s v="IN/000658"/>
    <s v="in Turnhout : Kempenlaan, Nassaulaan, Steenweg op Antwerpen"/>
    <s v="nog niet gedefinieerd"/>
    <s v="Kleine Ingreep"/>
    <s v="&lt;null&gt;"/>
    <b v="0"/>
    <s v="Ingreep wordt niet opgevolgd in BOD"/>
    <n v="2022"/>
    <s v="&lt;null&gt;"/>
    <s v="VRI"/>
    <s v="&lt;null&gt;"/>
    <n v="100"/>
    <n v="250000"/>
    <n v="250000"/>
  </r>
  <r>
    <x v="596"/>
    <x v="596"/>
    <s v="Verkeersveiligheid"/>
    <x v="1"/>
    <n v="694"/>
    <s v="IN/000658"/>
    <s v="in Turnhout : Kempenlaan, Nassaulaan, Steenweg op Antwerpen"/>
    <s v="nog niet gedefinieerd"/>
    <s v="Kleine Ingreep"/>
    <s v="&lt;null&gt;"/>
    <b v="0"/>
    <s v="Ingreep wordt niet opgevolgd in BOD"/>
    <s v="&lt;null&gt;"/>
    <s v="&lt;null&gt;"/>
    <s v="OV"/>
    <s v="&lt;null&gt;"/>
    <n v="100"/>
    <n v="75000"/>
    <n v="75000"/>
  </r>
  <r>
    <x v="596"/>
    <x v="596"/>
    <s v="Verkeersveiligheid"/>
    <x v="1"/>
    <n v="694"/>
    <s v="IN/000658"/>
    <s v="in Turnhout : Kempenlaan, Nassaulaan, Steenweg op Antwerpen"/>
    <s v="nog niet gedefinieerd"/>
    <s v="Kleine Ingreep"/>
    <s v="&lt;null&gt;"/>
    <b v="0"/>
    <s v="Ingreep wordt niet opgevolgd in BOD"/>
    <s v="&lt;null&gt;"/>
    <s v="&lt;null&gt;"/>
    <s v="STUDIE"/>
    <s v="&lt;null&gt;"/>
    <n v="100"/>
    <n v="60000"/>
    <n v="60000"/>
  </r>
  <r>
    <x v="596"/>
    <x v="596"/>
    <s v="Verkeersveiligheid"/>
    <x v="1"/>
    <n v="695"/>
    <s v="IN/000659"/>
    <s v="X10/R13/22 (Kspt R13/N12 - Turnhout - Van Roey)"/>
    <s v="herinrichting. 2020 beginnen met onteigeningen. (geplande indienstname VRI 2023)"/>
    <s v="Structurele Ingreep"/>
    <s v="WA/INV/R013/3"/>
    <b v="0"/>
    <s v="Ingreep wordt niet opgevolgd in BOD"/>
    <n v="2022"/>
    <s v="&lt;null&gt;"/>
    <s v="OVERIGE"/>
    <s v="&lt;null&gt;"/>
    <n v="100"/>
    <n v="1150000"/>
    <n v="1150000"/>
  </r>
  <r>
    <x v="597"/>
    <x v="597"/>
    <s v="Verkeersveiligheid"/>
    <x v="1"/>
    <n v="696"/>
    <s v="IN/000660"/>
    <s v="VRI: aanpassen lichtenregeling in Turnhout : Steenweg op Diest, Tielendijk RELANCE21"/>
    <s v="Inrichten volgens actieplan + rekening houden met resultaten Vias"/>
    <s v="Kleine Ingreep"/>
    <s v="WA/INV/N19/10"/>
    <b v="1"/>
    <s v="Ingreep wordt opgevolgd in BOD"/>
    <n v="2022"/>
    <s v="Q3"/>
    <s v="VRI"/>
    <s v="&lt;null&gt;"/>
    <n v="100"/>
    <n v="250000"/>
    <n v="250000"/>
  </r>
  <r>
    <x v="597"/>
    <x v="597"/>
    <s v="Verkeersveiligheid"/>
    <x v="1"/>
    <n v="696"/>
    <s v="IN/000660"/>
    <s v="VRI: aanpassen lichtenregeling in Turnhout : Steenweg op Diest, Tielendijk RELANCE21"/>
    <s v="Inrichten volgens actieplan + rekening houden met resultaten Vias"/>
    <s v="Kleine Ingreep"/>
    <s v="WA/INV/N19/10"/>
    <b v="1"/>
    <s v="Ingreep wordt opgevolgd in BOD"/>
    <n v="2022"/>
    <s v="Q3"/>
    <s v="WEGENIS"/>
    <s v="&lt;null&gt;"/>
    <n v="100"/>
    <n v="200000"/>
    <n v="200000"/>
  </r>
  <r>
    <x v="598"/>
    <x v="598"/>
    <s v="Verkeersveiligheid"/>
    <x v="4"/>
    <n v="696"/>
    <s v="IN/000660"/>
    <s v="VRI: aanpassen lichtenregeling in Turnhout : Steenweg op Diest, Tielendijk RELANCE21"/>
    <s v="Inrichten volgens actieplan + rekening houden met resultaten Vias"/>
    <s v="Kleine Ingreep"/>
    <s v="WA/INV/N19/10"/>
    <b v="1"/>
    <s v="Ingreep wordt opgevolgd in BOD"/>
    <n v="2022"/>
    <s v="Q3"/>
    <s v="VRI"/>
    <s v="&lt;null&gt;"/>
    <n v="0"/>
    <n v="250000"/>
    <n v="0"/>
  </r>
  <r>
    <x v="598"/>
    <x v="598"/>
    <s v="Verkeersveiligheid"/>
    <x v="4"/>
    <n v="696"/>
    <s v="IN/000660"/>
    <s v="VRI: aanpassen lichtenregeling in Turnhout : Steenweg op Diest, Tielendijk RELANCE21"/>
    <s v="Inrichten volgens actieplan + rekening houden met resultaten Vias"/>
    <s v="Kleine Ingreep"/>
    <s v="WA/INV/N19/10"/>
    <b v="1"/>
    <s v="Ingreep wordt opgevolgd in BOD"/>
    <n v="2022"/>
    <s v="Q3"/>
    <s v="WEGENIS"/>
    <s v="&lt;null&gt;"/>
    <n v="0"/>
    <n v="200000"/>
    <n v="0"/>
  </r>
  <r>
    <x v="595"/>
    <x v="595"/>
    <s v="Verkeersveiligheid"/>
    <x v="1"/>
    <n v="697"/>
    <s v="IN/000661"/>
    <s v="in Turnhout : Parklaan"/>
    <s v="nog niet gedefinieerd"/>
    <s v="Kleine Ingreep"/>
    <s v="&lt;null&gt;"/>
    <b v="0"/>
    <s v="Ingreep wordt niet opgevolgd in BOD"/>
    <s v="&lt;null&gt;"/>
    <s v="&lt;null&gt;"/>
    <s v="&lt;null&gt;"/>
    <s v="&lt;null&gt;"/>
    <n v="100"/>
    <m/>
    <m/>
  </r>
  <r>
    <x v="595"/>
    <x v="595"/>
    <s v="Verkeersveiligheid"/>
    <x v="1"/>
    <n v="698"/>
    <s v="IN/000662"/>
    <s v="mag weg - zit mee in IN/000657    in Turnhout : Parklaan"/>
    <s v="er wordt een aparte oprit voor de supermarkt voorzien, want nu maken voertugien een U-turn. zit samen in aanpassing in kruispunt (24624). realisatie kortetermijnsoplossingen via PCVmiddelen &gt; plaatsen VRI"/>
    <s v="Structurele Ingreep"/>
    <s v="&lt;null&gt;"/>
    <b v="0"/>
    <s v="Ingreep wordt niet opgevolgd in BOD"/>
    <n v="2021"/>
    <s v="Q3"/>
    <s v="WEGENIS"/>
    <s v="nog door Koen te bevestigen"/>
    <n v="100"/>
    <n v="100000"/>
    <n v="100000"/>
  </r>
  <r>
    <x v="595"/>
    <x v="595"/>
    <s v="Verkeersveiligheid"/>
    <x v="1"/>
    <n v="698"/>
    <s v="IN/000662"/>
    <s v="mag weg - zit mee in IN/000657    in Turnhout : Parklaan"/>
    <s v="er wordt een aparte oprit voor de supermarkt voorzien, want nu maken voertugien een U-turn. zit samen in aanpassing in kruispunt (24624). realisatie kortetermijnsoplossingen via PCVmiddelen &gt; plaatsen VRI"/>
    <s v="Structurele Ingreep"/>
    <s v="&lt;null&gt;"/>
    <b v="0"/>
    <s v="Ingreep wordt niet opgevolgd in BOD"/>
    <n v="2021"/>
    <s v="Q3"/>
    <s v="VRI"/>
    <s v="via Relance gvpt"/>
    <n v="100"/>
    <n v="250000"/>
    <n v="250000"/>
  </r>
  <r>
    <x v="599"/>
    <x v="599"/>
    <s v="Verkeersveiligheid"/>
    <x v="1"/>
    <n v="699"/>
    <s v="IN/000663"/>
    <s v="in Turnhout : Noord-Brabantlaan, Parklaan, Steenweg op Mol, Steenweg op Turnhout"/>
    <s v="weghalen voorlooppijl (gelijktijdig groen voor bestuurders en fietsers)"/>
    <s v="Kleine Ingreep"/>
    <s v="&lt;null&gt;"/>
    <b v="0"/>
    <s v="Ingreep wordt niet opgevolgd in BOD"/>
    <s v="&lt;null&gt;"/>
    <s v="&lt;null&gt;"/>
    <s v="STUDIE"/>
    <s v="&lt;null&gt;"/>
    <n v="100"/>
    <n v="142500"/>
    <n v="142500"/>
  </r>
  <r>
    <x v="599"/>
    <x v="599"/>
    <s v="Verkeersveiligheid"/>
    <x v="1"/>
    <n v="699"/>
    <s v="IN/000663"/>
    <s v="in Turnhout : Noord-Brabantlaan, Parklaan, Steenweg op Mol, Steenweg op Turnhout"/>
    <s v="weghalen voorlooppijl (gelijktijdig groen voor bestuurders en fietsers)"/>
    <s v="Kleine Ingreep"/>
    <s v="&lt;null&gt;"/>
    <b v="0"/>
    <s v="Ingreep wordt niet opgevolgd in BOD"/>
    <n v="2024"/>
    <s v="&lt;null&gt;"/>
    <s v="WEGENIS"/>
    <s v="&lt;null&gt;"/>
    <n v="100"/>
    <n v="660000"/>
    <n v="660000"/>
  </r>
  <r>
    <x v="599"/>
    <x v="599"/>
    <s v="Verkeersveiligheid"/>
    <x v="1"/>
    <n v="699"/>
    <s v="IN/000663"/>
    <s v="in Turnhout : Noord-Brabantlaan, Parklaan, Steenweg op Mol, Steenweg op Turnhout"/>
    <s v="weghalen voorlooppijl (gelijktijdig groen voor bestuurders en fietsers)"/>
    <s v="Kleine Ingreep"/>
    <s v="&lt;null&gt;"/>
    <b v="0"/>
    <s v="Ingreep wordt niet opgevolgd in BOD"/>
    <n v="2024"/>
    <s v="&lt;null&gt;"/>
    <s v="VRI"/>
    <s v="&lt;null&gt;"/>
    <n v="100"/>
    <n v="250000"/>
    <n v="250000"/>
  </r>
  <r>
    <x v="599"/>
    <x v="599"/>
    <s v="Verkeersveiligheid"/>
    <x v="1"/>
    <n v="699"/>
    <s v="IN/000663"/>
    <s v="in Turnhout : Noord-Brabantlaan, Parklaan, Steenweg op Mol, Steenweg op Turnhout"/>
    <s v="weghalen voorlooppijl (gelijktijdig groen voor bestuurders en fietsers)"/>
    <s v="Kleine Ingreep"/>
    <s v="&lt;null&gt;"/>
    <b v="0"/>
    <s v="Ingreep wordt niet opgevolgd in BOD"/>
    <s v="&lt;null&gt;"/>
    <s v="&lt;null&gt;"/>
    <s v="OV"/>
    <s v="&lt;null&gt;"/>
    <n v="100"/>
    <n v="40000"/>
    <n v="40000"/>
  </r>
  <r>
    <x v="599"/>
    <x v="599"/>
    <s v="Verkeersveiligheid"/>
    <x v="1"/>
    <n v="700"/>
    <s v="IN/000664"/>
    <s v="Herinrichting R013 x N018"/>
    <s v="Studie Lopende: 2021\nuitvoering 2025"/>
    <s v="Structurele Ingreep"/>
    <s v="WA/INV/R013/2"/>
    <b v="0"/>
    <s v="Ingreep wordt niet opgevolgd in BOD"/>
    <s v="&lt;null&gt;"/>
    <s v="&lt;null&gt;"/>
    <s v="&lt;null&gt;"/>
    <s v="&lt;null&gt;"/>
    <n v="100"/>
    <m/>
    <m/>
  </r>
  <r>
    <x v="600"/>
    <x v="600"/>
    <s v="Verkeersveiligheid"/>
    <x v="1"/>
    <n v="701"/>
    <s v="IN/000665"/>
    <s v="in Turnhout : Everdongenlaan, Steenweg op Diest, Steenweg op Zevendonk"/>
    <s v="Aanpassing VRI. conflict rechtsaf en linksaf met fietsers en voetgangers uitgehaald."/>
    <s v="Kleine Ingreep"/>
    <s v="&lt;null&gt;"/>
    <b v="0"/>
    <s v="Ingreep wordt niet opgevolgd in BOD"/>
    <s v="&lt;null&gt;"/>
    <s v="&lt;null&gt;"/>
    <s v="&lt;null&gt;"/>
    <s v="&lt;null&gt;"/>
    <n v="100"/>
    <m/>
    <m/>
  </r>
  <r>
    <x v="601"/>
    <x v="601"/>
    <s v="Verkeersveiligheid"/>
    <x v="1"/>
    <n v="702"/>
    <s v="IN/000666"/>
    <s v="Horizontale signalisatie aanpassen in Veurne : N35 Richting Gavere (N60), N39 Richting Dunkerque(F), Nieuwpoortkeiweg, Statiestraat, Vaartstraat"/>
    <s v="aanpassingen markeringen op alle takken van de rotonde"/>
    <s v="Kleine Ingreep"/>
    <s v="WWV/INV/N35/4"/>
    <b v="1"/>
    <s v="Ingreep wordt opgevolgd in BOD"/>
    <n v="2021"/>
    <s v="&lt;null&gt;"/>
    <s v="WEGENIS"/>
    <s v="&lt;null&gt;"/>
    <n v="100"/>
    <n v="15000"/>
    <n v="15000"/>
  </r>
  <r>
    <x v="602"/>
    <x v="602"/>
    <s v="Verkeersveiligheid"/>
    <x v="1"/>
    <n v="703"/>
    <s v="IN/000667"/>
    <s v="in Veurne : A18-E40 Richting Brugge"/>
    <s v="inzagen asfalt voor verbeterde waterafvoer"/>
    <s v="Kleine Ingreep"/>
    <s v="&lt;null&gt;"/>
    <b v="0"/>
    <s v="Ingreep wordt niet opgevolgd in BOD"/>
    <s v="&lt;null&gt;"/>
    <s v="&lt;null&gt;"/>
    <s v="&lt;null&gt;"/>
    <s v="&lt;null&gt;"/>
    <n v="100"/>
    <m/>
    <m/>
  </r>
  <r>
    <x v="603"/>
    <x v="603"/>
    <s v="Verkeersveiligheid"/>
    <x v="1"/>
    <n v="704"/>
    <s v="IN/000668"/>
    <s v="in Vilvoorde : Rubensstraat, Vlierkensstraat"/>
    <s v="Nieuwe lichten geplaatst. Aanpassing lichtenregeling moet nog gebeuren"/>
    <s v="Kleine Ingreep"/>
    <s v="&lt;null&gt;"/>
    <b v="0"/>
    <s v="Ingreep wordt niet opgevolgd in BOD"/>
    <n v="2021"/>
    <s v="&lt;null&gt;"/>
    <s v="WEGENIS"/>
    <s v="&lt;null&gt;"/>
    <n v="100"/>
    <n v="50000"/>
    <n v="50000"/>
  </r>
  <r>
    <x v="604"/>
    <x v="604"/>
    <s v="Verkeersveiligheid"/>
    <x v="1"/>
    <n v="705"/>
    <s v="IN/000669"/>
    <s v="in Vosselaar : Antwerpsesteenweg, Jagerslaan, Weigang"/>
    <s v="Aanpassing VRI (oa vonflictvrije linksaf)"/>
    <s v="Kleine Ingreep"/>
    <s v="&lt;null&gt;"/>
    <b v="0"/>
    <s v="Ingreep wordt niet opgevolgd in BOD"/>
    <s v="&lt;null&gt;"/>
    <s v="&lt;null&gt;"/>
    <s v="&lt;null&gt;"/>
    <s v="&lt;null&gt;"/>
    <n v="100"/>
    <m/>
    <m/>
  </r>
  <r>
    <x v="605"/>
    <x v="605"/>
    <s v="Verkeersveiligheid"/>
    <x v="1"/>
    <n v="706"/>
    <s v="IN/000670"/>
    <s v="in Waregem : Gentseweg, Posterijstraat, Vijfseweg"/>
    <s v="aanpassingen cyclus en kleine infrastructurele ingreep. Onder andere conflictvrij maken van de linksaf op de N43."/>
    <s v="Kleine Ingreep"/>
    <s v="&lt;null&gt;"/>
    <b v="0"/>
    <s v="Ingreep wordt niet opgevolgd in BOD"/>
    <s v="&lt;null&gt;"/>
    <s v="&lt;null&gt;"/>
    <s v="VRI"/>
    <s v="V-plan V16319/09 - installatie WW0476"/>
    <n v="100"/>
    <n v="11942"/>
    <n v="11942"/>
  </r>
  <r>
    <x v="606"/>
    <x v="606"/>
    <s v="Verkeersveiligheid"/>
    <x v="1"/>
    <n v="707"/>
    <s v="IN/000671"/>
    <s v="Verlagen toegelaten snelheid in Wemmel : R0 Buitenring"/>
    <s v="Verlagen toegelaten snelheid"/>
    <s v="Kleine Ingreep"/>
    <s v="&lt;null&gt;"/>
    <b v="0"/>
    <s v="Ingreep wordt niet opgevolgd in BOD"/>
    <s v="&lt;null&gt;"/>
    <s v="&lt;null&gt;"/>
    <s v="&lt;null&gt;"/>
    <s v="&lt;null&gt;"/>
    <n v="100"/>
    <m/>
    <m/>
  </r>
  <r>
    <x v="606"/>
    <x v="606"/>
    <s v="Verkeersveiligheid"/>
    <x v="1"/>
    <n v="708"/>
    <s v="IN/000672"/>
    <s v="Verlagen toegelaten snelheid in Wemmel : R0 Buitenring"/>
    <s v="Herinrichting R0"/>
    <s v="Kleine Ingreep"/>
    <s v="&lt;null&gt;"/>
    <b v="0"/>
    <s v="Ingreep wordt niet opgevolgd in BOD"/>
    <s v="&lt;null&gt;"/>
    <s v="&lt;null&gt;"/>
    <s v="&lt;null&gt;"/>
    <s v="&lt;null&gt;"/>
    <n v="100"/>
    <m/>
    <m/>
  </r>
  <r>
    <x v="607"/>
    <x v="607"/>
    <s v="Verkeersveiligheid"/>
    <x v="1"/>
    <n v="709"/>
    <s v="IN/000673"/>
    <s v="Fietspad: aanpassen van ligging in Wemmel : de Limburg Stirumlaan, R0 Buitenring Oprit 8 (Wemmel), R0 Buitenring Uitrit 8 (Wemmel)"/>
    <s v="Fietspad verplaatsen (verdere aanpassingen beperkt)"/>
    <s v="Kleine Ingreep"/>
    <s v="&lt;null&gt;"/>
    <b v="0"/>
    <s v="Ingreep wordt niet opgevolgd in BOD"/>
    <s v="&lt;null&gt;"/>
    <s v="&lt;null&gt;"/>
    <s v="WEGENIS"/>
    <s v="&lt;null&gt;"/>
    <n v="100"/>
    <n v="1"/>
    <n v="1"/>
  </r>
  <r>
    <x v="608"/>
    <x v="608"/>
    <s v="Verkeersveiligheid"/>
    <x v="1"/>
    <n v="710"/>
    <s v="IN/000674"/>
    <s v="Verlagen toegelaten snelheid in Wemmel : R0 Buitenring"/>
    <s v="Verlagen toegelaten snelheid"/>
    <s v="Kleine Ingreep"/>
    <s v="&lt;null&gt;"/>
    <b v="0"/>
    <s v="Ingreep wordt niet opgevolgd in BOD"/>
    <s v="&lt;null&gt;"/>
    <s v="&lt;null&gt;"/>
    <s v="&lt;null&gt;"/>
    <s v="&lt;null&gt;"/>
    <n v="100"/>
    <m/>
    <m/>
  </r>
  <r>
    <x v="608"/>
    <x v="608"/>
    <s v="Verkeersveiligheid"/>
    <x v="1"/>
    <n v="711"/>
    <s v="IN/000675"/>
    <s v="Verlagen toegelaten snelheid in Wemmel : R0 Buitenring"/>
    <s v="Herinrichting R0"/>
    <s v="Kleine Ingreep"/>
    <s v="&lt;null&gt;"/>
    <b v="0"/>
    <s v="Ingreep wordt niet opgevolgd in BOD"/>
    <s v="&lt;null&gt;"/>
    <s v="&lt;null&gt;"/>
    <s v="&lt;null&gt;"/>
    <s v="&lt;null&gt;"/>
    <n v="100"/>
    <m/>
    <m/>
  </r>
  <r>
    <x v="609"/>
    <x v="609"/>
    <s v="Verkeersveiligheid"/>
    <x v="1"/>
    <n v="712"/>
    <s v="IN/000676"/>
    <s v="Infra allerlei (oa brugvoegen vernieuwen, middenberm sluiten) in Westerlo : A13-E313 Richting Antwerpen"/>
    <s v="Brugvoegen werden vernieuwd (maart 2019)"/>
    <s v="Kleine Ingreep"/>
    <s v="WA/INV/A13/6"/>
    <b v="0"/>
    <s v="Ingreep wordt niet opgevolgd in BOD"/>
    <s v="&lt;null&gt;"/>
    <s v="&lt;null&gt;"/>
    <s v="&lt;null&gt;"/>
    <s v="&lt;null&gt;"/>
    <n v="100"/>
    <m/>
    <m/>
  </r>
  <r>
    <x v="610"/>
    <x v="610"/>
    <s v="Verkeersveiligheid"/>
    <x v="1"/>
    <n v="713"/>
    <s v="IN/000677"/>
    <s v="Gevaarlijk Punt: N42 Wetteren: middeneiland aanleggen"/>
    <s v="Er kan niet meer naar links worden afgeslagen (2020);\nOosterzelesteenweg thv Frunpark"/>
    <s v="Kleine Ingreep"/>
    <s v="&lt;null&gt;"/>
    <b v="0"/>
    <s v="Ingreep wordt niet opgevolgd in BOD"/>
    <n v="2021"/>
    <s v="Q1"/>
    <s v="WEGENIS"/>
    <s v="op pcv-berstek"/>
    <n v="100"/>
    <n v="6600"/>
    <n v="6600"/>
  </r>
  <r>
    <x v="611"/>
    <x v="611"/>
    <s v="Verkeersveiligheid"/>
    <x v="1"/>
    <n v="714"/>
    <s v="IN/000678"/>
    <s v="VERWIJDEREN INBEGREPEN IN ANDERE INGREEP in Wetteren : N417 Zuidlaan met N462 Massemsesteenweg en Korte Massemsesteenweg"/>
    <s v="Ombouw VRI + aanpassingen rijstrook"/>
    <s v="Structurele Ingreep"/>
    <s v="&lt;null&gt;"/>
    <b v="0"/>
    <s v="Ingreep wordt niet opgevolgd in BOD"/>
    <s v="&lt;null&gt;"/>
    <s v="&lt;null&gt;"/>
    <s v="&lt;null&gt;"/>
    <s v="&lt;null&gt;"/>
    <n v="100"/>
    <m/>
    <m/>
  </r>
  <r>
    <x v="612"/>
    <x v="612"/>
    <s v="Verkeersveiligheid"/>
    <x v="1"/>
    <n v="715"/>
    <s v="IN/000679"/>
    <s v="in Wetteren : N9 Brusselsesteenweg met N42 Oosterzelesteenweg en N417 Zuidlaan"/>
    <s v="Heraanleg. Haalbaarheidsstudie"/>
    <s v="Structurele Ingreep"/>
    <s v="WOV/INV/N42/6"/>
    <b v="0"/>
    <s v="Ingreep wordt niet opgevolgd in BOD"/>
    <s v="&lt;null&gt;"/>
    <s v="&lt;null&gt;"/>
    <s v="&lt;null&gt;"/>
    <s v="&lt;null&gt;"/>
    <n v="100"/>
    <m/>
    <m/>
  </r>
  <r>
    <x v="613"/>
    <x v="613"/>
    <s v="Verkeersveiligheid"/>
    <x v="1"/>
    <n v="716"/>
    <s v="IN/000680"/>
    <s v="in Wetteren : N400 Felix Beernaertsplein met N407 Koningin Astridlaan, Nieuwstraat en Moerstraat. (Relance Raamcontract)"/>
    <s v="Voetpaden aanleggen"/>
    <s v="Kleine Ingreep"/>
    <s v="WOV/INV/N407/4"/>
    <b v="0"/>
    <s v="Ingreep wordt niet opgevolgd in BOD"/>
    <n v="2023"/>
    <s v="Q1"/>
    <s v="WEGENIS"/>
    <s v="&lt;null&gt;"/>
    <n v="100"/>
    <n v="76300"/>
    <n v="76300"/>
  </r>
  <r>
    <x v="614"/>
    <x v="614"/>
    <s v="Verkeersveiligheid"/>
    <x v="1"/>
    <n v="717"/>
    <s v="IN/000681"/>
    <s v="Gevaarlijk Punt: N9 Wetteren: aanpassen lichtenregeling + bijkomende aanpassingen infra"/>
    <s v="Ombouw VRI + infra;\nVRI: aanpassen lichtenregeling + bijkomende aanpassingen infra in Wetteren : N9 Brusselsesteenweg met N462 Keiberg en Massemsesteenweg. (Relance Raamcontract)"/>
    <s v="Kleine Ingreep"/>
    <s v="WOV/INV/N9/16"/>
    <b v="1"/>
    <s v="Ingreep wordt opgevolgd in BOD"/>
    <n v="2022"/>
    <s v="Q1"/>
    <s v="WEGENIS"/>
    <s v="&lt;null&gt;"/>
    <n v="100"/>
    <n v="101600"/>
    <n v="101600"/>
  </r>
  <r>
    <x v="614"/>
    <x v="614"/>
    <s v="Verkeersveiligheid"/>
    <x v="1"/>
    <n v="717"/>
    <s v="IN/000681"/>
    <s v="Gevaarlijk Punt: N9 Wetteren: aanpassen lichtenregeling + bijkomende aanpassingen infra"/>
    <s v="Ombouw VRI + infra;\nVRI: aanpassen lichtenregeling + bijkomende aanpassingen infra in Wetteren : N9 Brusselsesteenweg met N462 Keiberg en Massemsesteenweg. (Relance Raamcontract)"/>
    <s v="Kleine Ingreep"/>
    <s v="WOV/INV/N9/16"/>
    <b v="1"/>
    <s v="Ingreep wordt opgevolgd in BOD"/>
    <n v="2022"/>
    <s v="Q1"/>
    <s v="VRI"/>
    <s v="&lt;null&gt;"/>
    <n v="100"/>
    <n v="166500"/>
    <n v="166500"/>
  </r>
  <r>
    <x v="615"/>
    <x v="615"/>
    <s v="Fiets"/>
    <x v="0"/>
    <n v="718"/>
    <s v="IN/000682"/>
    <s v="in Wetteren : N417 Zuidlaan met Biezeweg"/>
    <s v="Heraanleg kruispunt door AWV, Biezeweg door gemeente. Maar onduidelijk wanneer weg wordt heraangelegd."/>
    <s v="Structurele Ingreep"/>
    <s v="WOV/INV/N417/1"/>
    <b v="0"/>
    <s v="Ingreep wordt niet opgevolgd in BOD"/>
    <s v="&lt;null&gt;"/>
    <s v="&lt;null&gt;"/>
    <s v="&lt;null&gt;"/>
    <s v="&lt;null&gt;"/>
    <n v="33.340000000000003"/>
    <m/>
    <m/>
  </r>
  <r>
    <x v="611"/>
    <x v="611"/>
    <s v="Verkeersveiligheid"/>
    <x v="1"/>
    <n v="718"/>
    <s v="IN/000682"/>
    <s v="in Wetteren : N417 Zuidlaan met Biezeweg"/>
    <s v="Heraanleg kruispunt door AWV, Biezeweg door gemeente. Maar onduidelijk wanneer weg wordt heraangelegd."/>
    <s v="Structurele Ingreep"/>
    <s v="WOV/INV/N417/1"/>
    <b v="0"/>
    <s v="Ingreep wordt niet opgevolgd in BOD"/>
    <s v="&lt;null&gt;"/>
    <s v="&lt;null&gt;"/>
    <s v="&lt;null&gt;"/>
    <s v="&lt;null&gt;"/>
    <n v="33.33"/>
    <m/>
    <m/>
  </r>
  <r>
    <x v="616"/>
    <x v="616"/>
    <s v="Verkeersveiligheid"/>
    <x v="1"/>
    <n v="718"/>
    <s v="IN/000682"/>
    <s v="in Wetteren : N417 Zuidlaan met Biezeweg"/>
    <s v="Heraanleg kruispunt door AWV, Biezeweg door gemeente. Maar onduidelijk wanneer weg wordt heraangelegd."/>
    <s v="Structurele Ingreep"/>
    <s v="WOV/INV/N417/1"/>
    <b v="0"/>
    <s v="Ingreep wordt niet opgevolgd in BOD"/>
    <s v="&lt;null&gt;"/>
    <s v="&lt;null&gt;"/>
    <s v="&lt;null&gt;"/>
    <s v="&lt;null&gt;"/>
    <n v="33.33"/>
    <m/>
    <m/>
  </r>
  <r>
    <x v="617"/>
    <x v="617"/>
    <s v="Verkeersveiligheid"/>
    <x v="1"/>
    <n v="719"/>
    <s v="IN/000683"/>
    <s v="in Wevelgem : A17 Richting Tournai Oprit 5, A17 Richting Tournai Uitrit 5, Kortrijkstraat"/>
    <s v="in Wevelgem : A17 Richting Tournai Oprit 5, A17 Richting Tournai Uitrit 5, Kortrijkstraat"/>
    <s v="Kleine Ingreep"/>
    <s v="WWV/INV/A17/4"/>
    <b v="1"/>
    <s v="Ingreep wordt opgevolgd in BOD"/>
    <n v="2022"/>
    <s v="&lt;null&gt;"/>
    <s v="WEGENIS"/>
    <s v="&lt;null&gt;"/>
    <n v="100"/>
    <n v="125000"/>
    <n v="125000"/>
  </r>
  <r>
    <x v="617"/>
    <x v="617"/>
    <s v="Verkeersveiligheid"/>
    <x v="1"/>
    <n v="720"/>
    <s v="IN/000684"/>
    <s v="in Wevelgem : A17 Richting Tournai Oprit 5, A17 Richting Tournai Uitrit 5, Kortrijkstraat"/>
    <s v="zit in doorstromingsproject N8, rotonde met vrijliggende fietspaden en fietstunnel onder de op- en afrit."/>
    <s v="Kleine Ingreep"/>
    <s v="&lt;null&gt;"/>
    <b v="0"/>
    <s v="Ingreep wordt niet opgevolgd in BOD"/>
    <s v="&lt;null&gt;"/>
    <s v="&lt;null&gt;"/>
    <s v="&lt;null&gt;"/>
    <s v="&lt;null&gt;"/>
    <n v="100"/>
    <m/>
    <m/>
  </r>
  <r>
    <x v="618"/>
    <x v="618"/>
    <s v="Verkeersveiligheid"/>
    <x v="1"/>
    <n v="721"/>
    <s v="IN/000685"/>
    <s v="VRI: aanpassen lichtenregeling + bijkomende aanpassingen infra in Wijnegem : Houtlaan, 's Gravenwezelsteenweg RELANCE21"/>
    <s v="Aanpassen lichtenregeling + bypass wordt in lichten gestoken waarvoor een invoegstrook gemaakt wordt om gelijktijdig groen te krijgen met de gewestweg"/>
    <s v="Kleine Ingreep"/>
    <s v="WA/INV/N12/9"/>
    <b v="1"/>
    <s v="Ingreep wordt opgevolgd in BOD"/>
    <n v="2022"/>
    <s v="Q4"/>
    <s v="STUDIE"/>
    <s v="&lt;null&gt;"/>
    <n v="100"/>
    <n v="67500"/>
    <n v="67500"/>
  </r>
  <r>
    <x v="618"/>
    <x v="618"/>
    <s v="Verkeersveiligheid"/>
    <x v="1"/>
    <n v="721"/>
    <s v="IN/000685"/>
    <s v="VRI: aanpassen lichtenregeling + bijkomende aanpassingen infra in Wijnegem : Houtlaan, 's Gravenwezelsteenweg RELANCE21"/>
    <s v="Aanpassen lichtenregeling + bypass wordt in lichten gestoken waarvoor een invoegstrook gemaakt wordt om gelijktijdig groen te krijgen met de gewestweg"/>
    <s v="Kleine Ingreep"/>
    <s v="WA/INV/N12/9"/>
    <b v="1"/>
    <s v="Ingreep wordt opgevolgd in BOD"/>
    <n v="2022"/>
    <s v="Q4"/>
    <s v="VRI"/>
    <s v="&lt;null&gt;"/>
    <n v="100"/>
    <n v="250000"/>
    <n v="250000"/>
  </r>
  <r>
    <x v="618"/>
    <x v="618"/>
    <s v="Verkeersveiligheid"/>
    <x v="1"/>
    <n v="721"/>
    <s v="IN/000685"/>
    <s v="VRI: aanpassen lichtenregeling + bijkomende aanpassingen infra in Wijnegem : Houtlaan, 's Gravenwezelsteenweg RELANCE21"/>
    <s v="Aanpassen lichtenregeling + bypass wordt in lichten gestoken waarvoor een invoegstrook gemaakt wordt om gelijktijdig groen te krijgen met de gewestweg"/>
    <s v="Kleine Ingreep"/>
    <s v="WA/INV/N12/9"/>
    <b v="1"/>
    <s v="Ingreep wordt opgevolgd in BOD"/>
    <n v="2022"/>
    <s v="Q4"/>
    <s v="WEGENIS"/>
    <s v="&lt;null&gt;"/>
    <n v="100"/>
    <n v="150000"/>
    <n v="150000"/>
  </r>
  <r>
    <x v="618"/>
    <x v="618"/>
    <s v="Verkeersveiligheid"/>
    <x v="1"/>
    <n v="721"/>
    <s v="IN/000685"/>
    <s v="VRI: aanpassen lichtenregeling + bijkomende aanpassingen infra in Wijnegem : Houtlaan, 's Gravenwezelsteenweg RELANCE21"/>
    <s v="Aanpassen lichtenregeling + bypass wordt in lichten gestoken waarvoor een invoegstrook gemaakt wordt om gelijktijdig groen te krijgen met de gewestweg"/>
    <s v="Kleine Ingreep"/>
    <s v="WA/INV/N12/9"/>
    <b v="1"/>
    <s v="Ingreep wordt opgevolgd in BOD"/>
    <n v="2022"/>
    <s v="Q4"/>
    <s v="OV"/>
    <s v="&lt;null&gt;"/>
    <n v="100"/>
    <n v="50000"/>
    <n v="50000"/>
  </r>
  <r>
    <x v="619"/>
    <x v="619"/>
    <s v="Verkeersveiligheid"/>
    <x v="1"/>
    <n v="722"/>
    <s v="IN/000686"/>
    <s v="in Wijnegem : Turnhoutsebaan (shopping)"/>
    <s v="Inrit is heringericht"/>
    <s v="Kleine Ingreep"/>
    <s v="&lt;null&gt;"/>
    <b v="0"/>
    <s v="Ingreep wordt niet opgevolgd in BOD"/>
    <s v="&lt;null&gt;"/>
    <s v="&lt;null&gt;"/>
    <s v="&lt;null&gt;"/>
    <s v="&lt;null&gt;"/>
    <n v="100"/>
    <m/>
    <m/>
  </r>
  <r>
    <x v="620"/>
    <x v="620"/>
    <s v="Verkeersveiligheid"/>
    <x v="1"/>
    <n v="723"/>
    <s v="IN/000687"/>
    <s v="in Wijnegem : Deurnesteenweg, Merksemsebaan"/>
    <s v="Meer conflictvrije lichtenregeling zal geïnstalleerd worden in 2019 (VLCC)"/>
    <s v="Kleine Ingreep"/>
    <s v="&lt;null&gt;"/>
    <b v="0"/>
    <s v="Ingreep wordt niet opgevolgd in BOD"/>
    <s v="&lt;null&gt;"/>
    <s v="&lt;null&gt;"/>
    <s v="&lt;null&gt;"/>
    <s v="&lt;null&gt;"/>
    <n v="100"/>
    <m/>
    <m/>
  </r>
  <r>
    <x v="620"/>
    <x v="620"/>
    <s v="Verkeersveiligheid"/>
    <x v="1"/>
    <n v="724"/>
    <s v="IN/000688"/>
    <s v="in Wijnegem : Deurnesteenweg, Merksemsebaan"/>
    <s v="Heraanleg kruispunt. Er wordt momenteel ook een nieuw kruispunt ernaast aangelegd (finaal af in 2023/2024)"/>
    <s v="Structurele Ingreep"/>
    <s v="WA/INV/N120/2"/>
    <b v="0"/>
    <s v="Ingreep wordt niet opgevolgd in BOD"/>
    <s v="&lt;null&gt;"/>
    <s v="&lt;null&gt;"/>
    <s v="&lt;null&gt;"/>
    <s v="&lt;null&gt;"/>
    <n v="100"/>
    <m/>
    <m/>
  </r>
  <r>
    <x v="621"/>
    <x v="621"/>
    <s v="Verkeersveiligheid"/>
    <x v="1"/>
    <n v="725"/>
    <s v="IN/000689"/>
    <s v="VRI: aanpassen lichtenregeling in Wommelgem : Autolei, Frans Beirenslaan, Herentalsebaan"/>
    <s v="Aanpassen lichtenregeling (momenteel problemen met galgpalen + fundering) (V015287)"/>
    <s v="Kleine Ingreep"/>
    <s v="WA/INV/R11/6"/>
    <b v="0"/>
    <s v="Ingreep wordt niet opgevolgd in BOD"/>
    <n v="2021"/>
    <s v="&lt;null&gt;"/>
    <s v="WEGENIS"/>
    <s v="&lt;null&gt;"/>
    <n v="100"/>
    <n v="1"/>
    <n v="1"/>
  </r>
  <r>
    <x v="622"/>
    <x v="622"/>
    <s v="Verkeersveiligheid"/>
    <x v="1"/>
    <n v="726"/>
    <s v="IN/000690"/>
    <s v="Groenbeheer in Zaventem : R0 Buitenring"/>
    <s v="Er worden bomen gekapt voorjaar 2020, vervolgens worden borden geplaatst (juni 2020 borden besteld)"/>
    <s v="Kleine Ingreep"/>
    <s v="WVB/INV/R0/10"/>
    <b v="0"/>
    <s v="Ingreep wordt niet opgevolgd in BOD"/>
    <s v="&lt;null&gt;"/>
    <s v="&lt;null&gt;"/>
    <s v="&lt;null&gt;"/>
    <s v="&lt;null&gt;"/>
    <n v="100"/>
    <m/>
    <m/>
  </r>
  <r>
    <x v="622"/>
    <x v="622"/>
    <s v="Verkeersveiligheid"/>
    <x v="1"/>
    <n v="727"/>
    <s v="IN/000691"/>
    <s v="Groenbeheer in Zaventem : R0 Buitenring (MAG WEG - DOOR DWV)"/>
    <s v="Herinrichting R0 door de Werkvenootschap"/>
    <s v="Structurele Ingreep"/>
    <s v="&lt;null&gt;"/>
    <b v="0"/>
    <s v="Ingreep wordt niet opgevolgd in BOD"/>
    <s v="&lt;null&gt;"/>
    <s v="&lt;null&gt;"/>
    <s v="&lt;null&gt;"/>
    <s v="&lt;null&gt;"/>
    <n v="100"/>
    <m/>
    <m/>
  </r>
  <r>
    <x v="623"/>
    <x v="623"/>
    <s v="Verkeersveiligheid"/>
    <x v="1"/>
    <n v="728"/>
    <s v="IN/000692"/>
    <s v="in Zaventem : Leuvensesteenweg, Woluwedal (MAG WEG - DOOR DWV)"/>
    <s v="werken herinrichting zijn lopende &gt; werkvenootschap"/>
    <s v="Structurele Ingreep"/>
    <s v="&lt;null&gt;"/>
    <b v="0"/>
    <s v="Ingreep wordt niet opgevolgd in BOD"/>
    <s v="&lt;null&gt;"/>
    <s v="&lt;null&gt;"/>
    <s v="&lt;null&gt;"/>
    <s v="&lt;null&gt;"/>
    <n v="100"/>
    <m/>
    <m/>
  </r>
  <r>
    <x v="624"/>
    <x v="624"/>
    <s v="Verkeersveiligheid"/>
    <x v="1"/>
    <n v="729"/>
    <s v="IN/000693"/>
    <s v="Horizontale signalisatie aanpassen in Zaventem : Mechelsesteenweg, Nieuwstraat, Walenhof"/>
    <s v="Horizontale markering aanpassen (parkeerstrook inkorten)\nverdere oplossing in kader van herinrichting plein door Zaventem\nverschuiven bushalte ri Nossegem"/>
    <s v="Kleine Ingreep"/>
    <s v="WVB/INV/NX/6"/>
    <b v="0"/>
    <s v="Ingreep wordt niet opgevolgd in BOD"/>
    <n v="2022"/>
    <s v="Q1"/>
    <s v="WEGENIS"/>
    <s v="&lt;null&gt;"/>
    <n v="100"/>
    <n v="50000"/>
    <n v="50000"/>
  </r>
  <r>
    <x v="625"/>
    <x v="625"/>
    <s v="Verkeersveiligheid"/>
    <x v="1"/>
    <n v="730"/>
    <s v="IN/000694"/>
    <s v="VRI: andere installatie (oa boogpalen, opschuiven drukknop, lichtengeregelde oversteek) in Zaventem : Hoge Wei, Leuvensesteenweg"/>
    <s v="Plaatsen van boogpalen, plastieken paaltjes naast afslagstrook, volgens actieplan"/>
    <s v="Kleine Ingreep"/>
    <s v="WVB/INV/N2/15"/>
    <b v="1"/>
    <s v="Ingreep wordt opgevolgd in BOD"/>
    <n v="2022"/>
    <s v="Q1"/>
    <s v="VRI"/>
    <s v="&lt;null&gt;"/>
    <n v="100"/>
    <n v="150000"/>
    <n v="150000"/>
  </r>
  <r>
    <x v="625"/>
    <x v="625"/>
    <s v="Verkeersveiligheid"/>
    <x v="1"/>
    <n v="730"/>
    <s v="IN/000694"/>
    <s v="VRI: andere installatie (oa boogpalen, opschuiven drukknop, lichtengeregelde oversteek) in Zaventem : Hoge Wei, Leuvensesteenweg"/>
    <s v="Plaatsen van boogpalen, plastieken paaltjes naast afslagstrook, volgens actieplan"/>
    <s v="Kleine Ingreep"/>
    <s v="WVB/INV/N2/15"/>
    <b v="1"/>
    <s v="Ingreep wordt opgevolgd in BOD"/>
    <n v="2022"/>
    <s v="Q1"/>
    <s v="WEGENIS"/>
    <s v="&lt;null&gt;"/>
    <n v="100"/>
    <n v="100000"/>
    <n v="100000"/>
  </r>
  <r>
    <x v="626"/>
    <x v="626"/>
    <s v="Verkeersveiligheid"/>
    <x v="1"/>
    <n v="731"/>
    <s v="IN/000695"/>
    <s v="in Zaventem : R0 Buitenring"/>
    <s v="er werden vangrails geplaatst om de brug af te schermen"/>
    <s v="Kleine Ingreep"/>
    <s v="&lt;null&gt;"/>
    <b v="0"/>
    <s v="Ingreep wordt niet opgevolgd in BOD"/>
    <s v="&lt;null&gt;"/>
    <s v="&lt;null&gt;"/>
    <s v="&lt;null&gt;"/>
    <s v="&lt;null&gt;"/>
    <n v="100"/>
    <m/>
    <m/>
  </r>
  <r>
    <x v="626"/>
    <x v="626"/>
    <s v="Verkeersveiligheid"/>
    <x v="1"/>
    <n v="732"/>
    <s v="IN/000696"/>
    <s v="in Zaventem : R0 Buitenring (MAG WEG - DOOR DWV)"/>
    <s v="Herinrichting R0 door De Werkvennootschap"/>
    <s v="Structurele Ingreep"/>
    <s v="&lt;null&gt;"/>
    <b v="0"/>
    <s v="Ingreep wordt niet opgevolgd in BOD"/>
    <s v="&lt;null&gt;"/>
    <s v="&lt;null&gt;"/>
    <s v="&lt;null&gt;"/>
    <s v="&lt;null&gt;"/>
    <n v="100"/>
    <m/>
    <m/>
  </r>
  <r>
    <x v="627"/>
    <x v="627"/>
    <s v="Verkeersveiligheid"/>
    <x v="1"/>
    <n v="733"/>
    <s v="IN/000697"/>
    <s v="Verticale signalisatie aanpassen in Zaventem : R0 Buitenring"/>
    <s v="wit bord naar km 31.150 + splitsingsbaken plaatsen + rechts bord op portiek aanpassen + naderingsmarkeringen naar 150m verlengen. juni 2020: borden zijn besteld,  timing uitvoering onduidelijk"/>
    <s v="Kleine Ingreep"/>
    <s v="WVB/INV/R0/11"/>
    <b v="0"/>
    <s v="Ingreep wordt niet opgevolgd in BOD"/>
    <s v="&lt;null&gt;"/>
    <s v="&lt;null&gt;"/>
    <s v="&lt;null&gt;"/>
    <s v="&lt;null&gt;"/>
    <n v="100"/>
    <m/>
    <m/>
  </r>
  <r>
    <x v="627"/>
    <x v="627"/>
    <s v="Verkeersveiligheid"/>
    <x v="1"/>
    <n v="734"/>
    <s v="IN/000698"/>
    <s v="Verticale signalisatie aanpassen in Zaventem : R0 Buitenring (MAG WEG - DOOR DWV)"/>
    <s v="Herinrichting R0 door De Werkvennootschap"/>
    <s v="Structurele Ingreep"/>
    <s v="&lt;null&gt;"/>
    <b v="0"/>
    <s v="Ingreep wordt niet opgevolgd in BOD"/>
    <s v="&lt;null&gt;"/>
    <s v="&lt;null&gt;"/>
    <s v="&lt;null&gt;"/>
    <s v="&lt;null&gt;"/>
    <n v="100"/>
    <m/>
    <m/>
  </r>
  <r>
    <x v="628"/>
    <x v="628"/>
    <s v="Verkeersveiligheid"/>
    <x v="1"/>
    <n v="735"/>
    <s v="IN/000699"/>
    <s v="in Zaventem : Leuvensesteenweg, Mechelsesteenweg"/>
    <s v="nog niet gedefinieerd"/>
    <s v="Kleine Ingreep"/>
    <s v="WVB/INV/N227/8"/>
    <b v="1"/>
    <s v="Ingreep wordt opgevolgd in BOD"/>
    <n v="2022"/>
    <s v="Q3"/>
    <s v="WEGENIS"/>
    <s v="&lt;null&gt;"/>
    <n v="100"/>
    <n v="350000"/>
    <n v="350000"/>
  </r>
  <r>
    <x v="628"/>
    <x v="628"/>
    <s v="Verkeersveiligheid"/>
    <x v="1"/>
    <n v="735"/>
    <s v="IN/000699"/>
    <s v="in Zaventem : Leuvensesteenweg, Mechelsesteenweg"/>
    <s v="nog niet gedefinieerd"/>
    <s v="Kleine Ingreep"/>
    <s v="WVB/INV/N227/8"/>
    <b v="1"/>
    <s v="Ingreep wordt opgevolgd in BOD"/>
    <n v="2022"/>
    <s v="Q3"/>
    <s v="VRI"/>
    <s v="&lt;null&gt;"/>
    <n v="100"/>
    <n v="250000"/>
    <n v="250000"/>
  </r>
  <r>
    <x v="629"/>
    <x v="629"/>
    <s v="Verkeersveiligheid"/>
    <x v="1"/>
    <n v="736"/>
    <s v="IN/000700"/>
    <s v="in Zaventem : A3-E40 Richting Brussel"/>
    <s v="Rijstrooksignalisatie"/>
    <s v="Kleine Ingreep"/>
    <s v="WVB/INV/A3/16"/>
    <b v="1"/>
    <s v="Ingreep wordt opgevolgd in BOD"/>
    <s v="&lt;null&gt;"/>
    <s v="&lt;null&gt;"/>
    <s v="WEGENIS"/>
    <s v="&lt;null&gt;"/>
    <n v="100"/>
    <n v="1240000"/>
    <n v="1240000"/>
  </r>
  <r>
    <x v="630"/>
    <x v="630"/>
    <s v="Verkeersveiligheid"/>
    <x v="1"/>
    <n v="737"/>
    <s v="IN/000701"/>
    <s v="in Zelzate : R4 Pres. J.F. Kennedylaan met Rijkswachtlaan en Akker"/>
    <s v="Aanpassing verkeerslichtenregeling (2019)"/>
    <s v="Kleine Ingreep"/>
    <s v="&lt;null&gt;"/>
    <b v="0"/>
    <s v="Ingreep wordt niet opgevolgd in BOD"/>
    <s v="&lt;null&gt;"/>
    <s v="&lt;null&gt;"/>
    <s v="&lt;null&gt;"/>
    <s v="&lt;null&gt;"/>
    <n v="100"/>
    <m/>
    <m/>
  </r>
  <r>
    <x v="630"/>
    <x v="630"/>
    <s v="Verkeersveiligheid"/>
    <x v="1"/>
    <n v="738"/>
    <s v="IN/000702"/>
    <s v="PPS R4WO   Zelzate : R4 Pres. J.F. Kennedylaan met Rijkswachtlaan en Akker"/>
    <s v="tunnel (PPS R4WO)"/>
    <s v="Structurele Ingreep"/>
    <s v="&lt;null&gt;"/>
    <b v="0"/>
    <s v="Ingreep wordt niet opgevolgd in BOD"/>
    <s v="&lt;null&gt;"/>
    <s v="&lt;null&gt;"/>
    <s v="&lt;null&gt;"/>
    <s v="&lt;null&gt;"/>
    <n v="100"/>
    <m/>
    <m/>
  </r>
  <r>
    <x v="631"/>
    <x v="631"/>
    <s v="Verkeersveiligheid"/>
    <x v="1"/>
    <n v="739"/>
    <s v="IN/000703"/>
    <s v="VRI: nieuwe installatie plaatsen in Zelzate : R4 Kanaalstraat met Vredekaai en Westkade"/>
    <s v="VRI plaatsen"/>
    <s v="Kleine Ingreep"/>
    <s v="WOV/INV/NX/1"/>
    <b v="0"/>
    <s v="Ingreep wordt niet opgevolgd in BOD"/>
    <n v="2022"/>
    <s v="&lt;null&gt;"/>
    <s v="VRI"/>
    <s v="&lt;null&gt;"/>
    <n v="100"/>
    <n v="198500"/>
    <n v="198500"/>
  </r>
  <r>
    <x v="631"/>
    <x v="631"/>
    <s v="Verkeersveiligheid"/>
    <x v="1"/>
    <n v="739"/>
    <s v="IN/000703"/>
    <s v="VRI: nieuwe installatie plaatsen in Zelzate : R4 Kanaalstraat met Vredekaai en Westkade"/>
    <s v="VRI plaatsen"/>
    <s v="Kleine Ingreep"/>
    <s v="WOV/INV/NX/1"/>
    <b v="0"/>
    <s v="Ingreep wordt niet opgevolgd in BOD"/>
    <n v="2022"/>
    <s v="&lt;null&gt;"/>
    <s v="WEGENIS"/>
    <s v="&lt;null&gt;"/>
    <n v="100"/>
    <n v="42900"/>
    <n v="42900"/>
  </r>
  <r>
    <x v="631"/>
    <x v="631"/>
    <s v="Verkeersveiligheid"/>
    <x v="1"/>
    <n v="740"/>
    <s v="IN/000704"/>
    <s v="VRI: nieuwe installatie plaatsen in Zelzate : R4 Kanaalstraat met Vredekaai en Westkade"/>
    <s v="complete heraanleg R4WO"/>
    <s v="Kleine Ingreep"/>
    <s v="&lt;null&gt;"/>
    <b v="0"/>
    <s v="Ingreep wordt niet opgevolgd in BOD"/>
    <s v="&lt;null&gt;"/>
    <s v="&lt;null&gt;"/>
    <s v="&lt;null&gt;"/>
    <s v="&lt;null&gt;"/>
    <n v="100"/>
    <m/>
    <m/>
  </r>
  <r>
    <x v="632"/>
    <x v="632"/>
    <s v="Verkeersveiligheid"/>
    <x v="1"/>
    <n v="741"/>
    <s v="IN/000705"/>
    <s v="in Zemst : Brusselsesteenweg, Damstraat, Guldenboomlaan, N1 Richting Antwerpen - Breda (Nl), Robert Schumanlaan"/>
    <s v="Fietsoversteek werd conflictvrij gemaakt (nav een dodelijk ongeval met fietser)"/>
    <s v="Kleine Ingreep"/>
    <s v="&lt;null&gt;"/>
    <b v="0"/>
    <s v="Ingreep wordt niet opgevolgd in BOD"/>
    <s v="&lt;null&gt;"/>
    <s v="&lt;null&gt;"/>
    <s v="&lt;null&gt;"/>
    <s v="&lt;null&gt;"/>
    <n v="100"/>
    <m/>
    <m/>
  </r>
  <r>
    <x v="633"/>
    <x v="633"/>
    <s v="Verkeersveiligheid"/>
    <x v="1"/>
    <n v="742"/>
    <s v="IN/000706"/>
    <s v="in Zonhoven : Beringersteenweg, Donkweg, Stationsstraat, Wijerstraat"/>
    <s v="Beveiliging kruispunt met veilige fietspaden en oversteekplaatsen"/>
    <s v="Kleine Ingreep"/>
    <s v="&lt;null&gt;"/>
    <b v="0"/>
    <s v="Ingreep wordt niet opgevolgd in BOD"/>
    <s v="&lt;null&gt;"/>
    <s v="&lt;null&gt;"/>
    <s v="&lt;null&gt;"/>
    <s v="&lt;null&gt;"/>
    <n v="100"/>
    <m/>
    <m/>
  </r>
  <r>
    <x v="634"/>
    <x v="634"/>
    <s v="Verkeersveiligheid"/>
    <x v="1"/>
    <n v="743"/>
    <s v="IN/000707"/>
    <s v="in Zottegem : N42 Europaweg met Buke"/>
    <s v="Aanpassen VRI volgens actieplan"/>
    <s v="Kleine Ingreep"/>
    <s v="&lt;null&gt;"/>
    <b v="0"/>
    <s v="Ingreep wordt niet opgevolgd in BOD"/>
    <s v="&lt;null&gt;"/>
    <s v="&lt;null&gt;"/>
    <s v="&lt;null&gt;"/>
    <s v="&lt;null&gt;"/>
    <n v="100"/>
    <m/>
    <m/>
  </r>
  <r>
    <x v="635"/>
    <x v="635"/>
    <s v="Verkeersveiligheid"/>
    <x v="1"/>
    <n v="744"/>
    <s v="IN/000708"/>
    <s v="in Zottegem : N46 Provinciebaan met Balegemstraat en Elenestraat"/>
    <s v="heraanleg kruispunt (in kader van heraanleg volledig wegvak)"/>
    <s v="Structurele Ingreep"/>
    <s v="WOV/INV/N46/1"/>
    <b v="0"/>
    <s v="Ingreep wordt niet opgevolgd in BOD"/>
    <s v="&lt;null&gt;"/>
    <s v="&lt;null&gt;"/>
    <s v="&lt;null&gt;"/>
    <s v="&lt;null&gt;"/>
    <n v="100"/>
    <m/>
    <m/>
  </r>
  <r>
    <x v="636"/>
    <x v="636"/>
    <s v="Verkeersveiligheid"/>
    <x v="1"/>
    <n v="745"/>
    <s v="IN/000709"/>
    <s v="in Zottegem : N42 Europaweg met Leenstraat"/>
    <s v="semi-conflictvrij (reeds aangepakt vooraleer bekend was dat dit een gevaarlijk punt is)"/>
    <s v="Kleine Ingreep"/>
    <s v="&lt;null&gt;"/>
    <b v="0"/>
    <s v="Ingreep wordt niet opgevolgd in BOD"/>
    <s v="&lt;null&gt;"/>
    <s v="&lt;null&gt;"/>
    <s v="&lt;null&gt;"/>
    <s v="&lt;null&gt;"/>
    <n v="100"/>
    <m/>
    <m/>
  </r>
  <r>
    <x v="637"/>
    <x v="637"/>
    <s v="Verkeersveiligheid"/>
    <x v="1"/>
    <n v="746"/>
    <s v="IN/000710"/>
    <s v="in Zottegem : N42 Europaweg met N46 Steenweg op Aalst"/>
    <s v="VRI ombouwen naar actieplan + in,frastructuur aangepast (vluchtheuvels aanpass). Niet volledig conflictvrij wegens onteigeningen"/>
    <s v="Kleine Ingreep"/>
    <s v="&lt;null&gt;"/>
    <b v="0"/>
    <s v="Ingreep wordt niet opgevolgd in BOD"/>
    <s v="&lt;null&gt;"/>
    <s v="&lt;null&gt;"/>
    <s v="&lt;null&gt;"/>
    <s v="&lt;null&gt;"/>
    <n v="100"/>
    <m/>
    <m/>
  </r>
  <r>
    <x v="638"/>
    <x v="638"/>
    <s v="Verkeersveiligheid"/>
    <x v="1"/>
    <n v="747"/>
    <s v="IN/000711"/>
    <s v="in Zuienkerke : Blankenbergse Steenweg, N371 Brugge (N9) - Blankenberge (N34), Statiesteenweg"/>
    <s v="uitvoering PCV op bushaltebestek, fietsroute verleggen, rustpunt bij oversteken (12/10/2020)"/>
    <s v="Kleine Ingreep"/>
    <s v="&lt;null&gt;"/>
    <b v="0"/>
    <s v="Ingreep wordt niet opgevolgd in BOD"/>
    <s v="&lt;null&gt;"/>
    <s v="&lt;null&gt;"/>
    <s v="&lt;null&gt;"/>
    <s v="&lt;null&gt;"/>
    <n v="100"/>
    <m/>
    <m/>
  </r>
  <r>
    <x v="639"/>
    <x v="639"/>
    <s v="Verkeersveiligheid"/>
    <x v="1"/>
    <n v="748"/>
    <s v="IN/000712"/>
    <s v="in Zulte : N43 Grote Steenweg met N459 Centrumstraat"/>
    <s v="herinrichting doortocht"/>
    <s v="Structurele Ingreep"/>
    <s v="WOV/INV/N43/2"/>
    <b v="0"/>
    <s v="Ingreep wordt niet opgevolgd in BOD"/>
    <s v="&lt;null&gt;"/>
    <s v="&lt;null&gt;"/>
    <s v="&lt;null&gt;"/>
    <s v="&lt;null&gt;"/>
    <n v="0"/>
    <m/>
    <m/>
  </r>
  <r>
    <x v="640"/>
    <x v="640"/>
    <s v="Verkeersveiligheid"/>
    <x v="1"/>
    <n v="748"/>
    <s v="IN/000712"/>
    <s v="in Zulte : N43 Grote Steenweg met N459 Centrumstraat"/>
    <s v="herinrichting doortocht"/>
    <s v="Structurele Ingreep"/>
    <s v="WOV/INV/N43/2"/>
    <b v="0"/>
    <s v="Ingreep wordt niet opgevolgd in BOD"/>
    <s v="&lt;null&gt;"/>
    <s v="&lt;null&gt;"/>
    <s v="&lt;null&gt;"/>
    <s v="&lt;null&gt;"/>
    <n v="0"/>
    <m/>
    <m/>
  </r>
  <r>
    <x v="641"/>
    <x v="641"/>
    <s v="Verkeersveiligheid"/>
    <x v="1"/>
    <n v="749"/>
    <s v="IN/000713"/>
    <s v="in Zwijndrecht : A14-E17 Richting Antwerpen"/>
    <s v="oosterweel. afgesloten in 2022"/>
    <s v="Structurele Ingreep"/>
    <s v="&lt;null&gt;"/>
    <b v="0"/>
    <s v="Ingreep wordt niet opgevolgd in BOD"/>
    <s v="&lt;null&gt;"/>
    <s v="&lt;null&gt;"/>
    <s v="&lt;null&gt;"/>
    <s v="&lt;null&gt;"/>
    <n v="100"/>
    <m/>
    <m/>
  </r>
  <r>
    <x v="642"/>
    <x v="642"/>
    <s v="Verkeersveiligheid"/>
    <x v="1"/>
    <n v="750"/>
    <s v="IN/000714"/>
    <s v="in Zwijndrecht : A11-E34 Richting Antwerpen, A14-E17 Richting Antwerpen Oprit 17, A14-E17 Richting Antwerpen Uitrit 17, Pastoor Coplaan, Zwijndrechtsestraat"/>
    <s v="oosterweel. afgesloten in 2022"/>
    <s v="Structurele Ingreep"/>
    <s v="&lt;null&gt;"/>
    <b v="0"/>
    <s v="Ingreep wordt niet opgevolgd in BOD"/>
    <s v="&lt;null&gt;"/>
    <s v="&lt;null&gt;"/>
    <s v="&lt;null&gt;"/>
    <s v="&lt;null&gt;"/>
    <n v="100"/>
    <m/>
    <m/>
  </r>
  <r>
    <x v="643"/>
    <x v="643"/>
    <s v="Verkeersveiligheid"/>
    <x v="1"/>
    <n v="752"/>
    <s v="IN/000715"/>
    <s v="Aanpassen VRI volgens actieplan"/>
    <s v="&lt;null&gt;"/>
    <s v="Kleine Ingreep"/>
    <s v="WL/INV/N78/30"/>
    <b v="0"/>
    <s v="Ingreep wordt niet opgevolgd in BOD"/>
    <n v="2021"/>
    <s v="Q4"/>
    <s v="VRI"/>
    <s v="&lt;null&gt;"/>
    <n v="100"/>
    <n v="1000"/>
    <n v="1000"/>
  </r>
  <r>
    <x v="644"/>
    <x v="644"/>
    <s v="Verkeersveiligheid"/>
    <x v="1"/>
    <n v="753"/>
    <s v="IN/000716"/>
    <s v="Fietstunnel ter hoogte van Elfde Liniestraat"/>
    <s v="Fietstunnel ter hoogte van Elfde Liniestraat"/>
    <s v="Structurele Ingreep"/>
    <s v="WL/INV/R71/4"/>
    <b v="0"/>
    <s v="Ingreep wordt niet opgevolgd in BOD"/>
    <s v="&lt;null&gt;"/>
    <s v="&lt;null&gt;"/>
    <s v="&lt;null&gt;"/>
    <s v="&lt;null&gt;"/>
    <n v="50"/>
    <m/>
    <m/>
  </r>
  <r>
    <x v="645"/>
    <x v="645"/>
    <s v="Verkeersveiligheid"/>
    <x v="4"/>
    <n v="753"/>
    <s v="IN/000716"/>
    <s v="Fietstunnel ter hoogte van Elfde Liniestraat"/>
    <s v="Fietstunnel ter hoogte van Elfde Liniestraat"/>
    <s v="Structurele Ingreep"/>
    <s v="WL/INV/R71/4"/>
    <b v="0"/>
    <s v="Ingreep wordt niet opgevolgd in BOD"/>
    <s v="&lt;null&gt;"/>
    <s v="&lt;null&gt;"/>
    <s v="&lt;null&gt;"/>
    <s v="&lt;null&gt;"/>
    <n v="50"/>
    <m/>
    <m/>
  </r>
  <r>
    <x v="576"/>
    <x v="576"/>
    <s v="Verkeersveiligheid"/>
    <x v="1"/>
    <n v="754"/>
    <s v="IN/000717"/>
    <s v="N6 Bergensteenweg"/>
    <s v="&lt;null&gt;"/>
    <s v="Structurele Ingreep"/>
    <s v="WVB/INV/N6/1"/>
    <b v="1"/>
    <s v="Ingreep wordt opgevolgd in BOD"/>
    <s v="&lt;null&gt;"/>
    <s v="&lt;null&gt;"/>
    <s v="&lt;null&gt;"/>
    <s v="&lt;null&gt;"/>
    <n v="25"/>
    <m/>
    <m/>
  </r>
  <r>
    <x v="577"/>
    <x v="577"/>
    <s v="Verkeersveiligheid"/>
    <x v="1"/>
    <n v="754"/>
    <s v="IN/000717"/>
    <s v="N6 Bergensteenweg"/>
    <s v="&lt;null&gt;"/>
    <s v="Structurele Ingreep"/>
    <s v="WVB/INV/N6/1"/>
    <b v="1"/>
    <s v="Ingreep wordt opgevolgd in BOD"/>
    <s v="&lt;null&gt;"/>
    <s v="&lt;null&gt;"/>
    <s v="&lt;null&gt;"/>
    <s v="&lt;null&gt;"/>
    <n v="25"/>
    <m/>
    <m/>
  </r>
  <r>
    <x v="578"/>
    <x v="578"/>
    <s v="Verkeersveiligheid"/>
    <x v="1"/>
    <n v="754"/>
    <s v="IN/000717"/>
    <s v="N6 Bergensteenweg"/>
    <s v="&lt;null&gt;"/>
    <s v="Structurele Ingreep"/>
    <s v="WVB/INV/N6/1"/>
    <b v="1"/>
    <s v="Ingreep wordt opgevolgd in BOD"/>
    <s v="&lt;null&gt;"/>
    <s v="&lt;null&gt;"/>
    <s v="&lt;null&gt;"/>
    <s v="&lt;null&gt;"/>
    <n v="25"/>
    <m/>
    <m/>
  </r>
  <r>
    <x v="646"/>
    <x v="646"/>
    <s v="Verkeersveiligheid"/>
    <x v="1"/>
    <n v="754"/>
    <s v="IN/000717"/>
    <s v="N6 Bergensteenweg"/>
    <s v="&lt;null&gt;"/>
    <s v="Structurele Ingreep"/>
    <s v="WVB/INV/N6/1"/>
    <b v="1"/>
    <s v="Ingreep wordt opgevolgd in BOD"/>
    <s v="&lt;null&gt;"/>
    <s v="&lt;null&gt;"/>
    <s v="&lt;null&gt;"/>
    <s v="&lt;null&gt;"/>
    <n v="25"/>
    <m/>
    <m/>
  </r>
  <r>
    <x v="647"/>
    <x v="647"/>
    <s v="Verkeersveiligheid"/>
    <x v="1"/>
    <n v="755"/>
    <s v="IN/000718"/>
    <s v="Aanpassen VRI volgens actieplan"/>
    <s v="wachten op budget"/>
    <s v="Kleine Ingreep"/>
    <s v="WA/INV/N16/7"/>
    <b v="0"/>
    <s v="Ingreep wordt niet opgevolgd in BOD"/>
    <s v="&lt;null&gt;"/>
    <s v="&lt;null&gt;"/>
    <s v="&lt;null&gt;"/>
    <s v="&lt;null&gt;"/>
    <n v="100"/>
    <m/>
    <m/>
  </r>
  <r>
    <x v="648"/>
    <x v="648"/>
    <s v="Verkeersveiligheid"/>
    <x v="1"/>
    <n v="756"/>
    <s v="IN/000719"/>
    <s v="Actieplan VRI"/>
    <s v="Actieplan VRI"/>
    <s v="Kleine Ingreep"/>
    <s v="&lt;null&gt;"/>
    <b v="0"/>
    <s v="Ingreep wordt niet opgevolgd in BOD"/>
    <s v="&lt;null&gt;"/>
    <s v="&lt;null&gt;"/>
    <s v="&lt;null&gt;"/>
    <s v="&lt;null&gt;"/>
    <n v="100"/>
    <m/>
    <m/>
  </r>
  <r>
    <x v="523"/>
    <x v="523"/>
    <s v="Verkeersveiligheid"/>
    <x v="1"/>
    <n v="757"/>
    <s v="IN/000720"/>
    <s v="Herinrichting Vesten (met beperkte middelen)"/>
    <s v="Enkelrichting maken vesten (R12)"/>
    <s v="Structurele Ingreep"/>
    <s v="WA/INV/R12/1"/>
    <b v="1"/>
    <s v="Ingreep wordt opgevolgd in BOD"/>
    <n v="2022"/>
    <s v="Q1"/>
    <s v="WEGENIS"/>
    <s v="&lt;null&gt;"/>
    <n v="20"/>
    <n v="1228000"/>
    <n v="245600"/>
  </r>
  <r>
    <x v="523"/>
    <x v="523"/>
    <s v="Verkeersveiligheid"/>
    <x v="1"/>
    <n v="757"/>
    <s v="IN/000720"/>
    <s v="Herinrichting Vesten (met beperkte middelen)"/>
    <s v="Enkelrichting maken vesten (R12)"/>
    <s v="Structurele Ingreep"/>
    <s v="WA/INV/R12/1"/>
    <b v="1"/>
    <s v="Ingreep wordt opgevolgd in BOD"/>
    <n v="2021"/>
    <s v="Q4"/>
    <s v="VRI"/>
    <s v="&lt;null&gt;"/>
    <n v="20"/>
    <n v="1500000"/>
    <n v="300000"/>
  </r>
  <r>
    <x v="523"/>
    <x v="523"/>
    <s v="Verkeersveiligheid"/>
    <x v="1"/>
    <n v="757"/>
    <s v="IN/000720"/>
    <s v="Herinrichting Vesten (met beperkte middelen)"/>
    <s v="Enkelrichting maken vesten (R12)"/>
    <s v="Structurele Ingreep"/>
    <s v="WA/INV/R12/1"/>
    <b v="1"/>
    <s v="Ingreep wordt opgevolgd in BOD"/>
    <n v="2022"/>
    <s v="Q1"/>
    <s v="VRI"/>
    <s v="&lt;null&gt;"/>
    <n v="20"/>
    <n v="500000"/>
    <n v="100000"/>
  </r>
  <r>
    <x v="524"/>
    <x v="524"/>
    <s v="Verkeersveiligheid"/>
    <x v="1"/>
    <n v="757"/>
    <s v="IN/000720"/>
    <s v="Herinrichting Vesten (met beperkte middelen)"/>
    <s v="Enkelrichting maken vesten (R12)"/>
    <s v="Structurele Ingreep"/>
    <s v="WA/INV/R12/1"/>
    <b v="1"/>
    <s v="Ingreep wordt opgevolgd in BOD"/>
    <n v="2021"/>
    <s v="Q4"/>
    <s v="VRI"/>
    <s v="&lt;null&gt;"/>
    <n v="16"/>
    <n v="1500000"/>
    <n v="240000"/>
  </r>
  <r>
    <x v="524"/>
    <x v="524"/>
    <s v="Verkeersveiligheid"/>
    <x v="1"/>
    <n v="757"/>
    <s v="IN/000720"/>
    <s v="Herinrichting Vesten (met beperkte middelen)"/>
    <s v="Enkelrichting maken vesten (R12)"/>
    <s v="Structurele Ingreep"/>
    <s v="WA/INV/R12/1"/>
    <b v="1"/>
    <s v="Ingreep wordt opgevolgd in BOD"/>
    <n v="2022"/>
    <s v="Q1"/>
    <s v="VRI"/>
    <s v="&lt;null&gt;"/>
    <n v="16"/>
    <n v="500000"/>
    <n v="80000"/>
  </r>
  <r>
    <x v="524"/>
    <x v="524"/>
    <s v="Verkeersveiligheid"/>
    <x v="1"/>
    <n v="757"/>
    <s v="IN/000720"/>
    <s v="Herinrichting Vesten (met beperkte middelen)"/>
    <s v="Enkelrichting maken vesten (R12)"/>
    <s v="Structurele Ingreep"/>
    <s v="WA/INV/R12/1"/>
    <b v="1"/>
    <s v="Ingreep wordt opgevolgd in BOD"/>
    <n v="2022"/>
    <s v="Q1"/>
    <s v="WEGENIS"/>
    <s v="&lt;null&gt;"/>
    <n v="16"/>
    <n v="1228000"/>
    <n v="196480"/>
  </r>
  <r>
    <x v="526"/>
    <x v="526"/>
    <s v="Verkeersveiligheid"/>
    <x v="1"/>
    <n v="757"/>
    <s v="IN/000720"/>
    <s v="Herinrichting Vesten (met beperkte middelen)"/>
    <s v="Enkelrichting maken vesten (R12)"/>
    <s v="Structurele Ingreep"/>
    <s v="WA/INV/R12/1"/>
    <b v="1"/>
    <s v="Ingreep wordt opgevolgd in BOD"/>
    <n v="2022"/>
    <s v="Q1"/>
    <s v="VRI"/>
    <s v="&lt;null&gt;"/>
    <n v="16"/>
    <n v="500000"/>
    <n v="80000"/>
  </r>
  <r>
    <x v="526"/>
    <x v="526"/>
    <s v="Verkeersveiligheid"/>
    <x v="1"/>
    <n v="757"/>
    <s v="IN/000720"/>
    <s v="Herinrichting Vesten (met beperkte middelen)"/>
    <s v="Enkelrichting maken vesten (R12)"/>
    <s v="Structurele Ingreep"/>
    <s v="WA/INV/R12/1"/>
    <b v="1"/>
    <s v="Ingreep wordt opgevolgd in BOD"/>
    <n v="2022"/>
    <s v="Q1"/>
    <s v="WEGENIS"/>
    <s v="&lt;null&gt;"/>
    <n v="16"/>
    <n v="1228000"/>
    <n v="196480"/>
  </r>
  <r>
    <x v="526"/>
    <x v="526"/>
    <s v="Verkeersveiligheid"/>
    <x v="1"/>
    <n v="757"/>
    <s v="IN/000720"/>
    <s v="Herinrichting Vesten (met beperkte middelen)"/>
    <s v="Enkelrichting maken vesten (R12)"/>
    <s v="Structurele Ingreep"/>
    <s v="WA/INV/R12/1"/>
    <b v="1"/>
    <s v="Ingreep wordt opgevolgd in BOD"/>
    <n v="2021"/>
    <s v="Q4"/>
    <s v="VRI"/>
    <s v="&lt;null&gt;"/>
    <n v="16"/>
    <n v="1500000"/>
    <n v="240000"/>
  </r>
  <r>
    <x v="527"/>
    <x v="527"/>
    <s v="Verkeersveiligheid"/>
    <x v="1"/>
    <n v="757"/>
    <s v="IN/000720"/>
    <s v="Herinrichting Vesten (met beperkte middelen)"/>
    <s v="Enkelrichting maken vesten (R12)"/>
    <s v="Structurele Ingreep"/>
    <s v="WA/INV/R12/1"/>
    <b v="1"/>
    <s v="Ingreep wordt opgevolgd in BOD"/>
    <n v="2022"/>
    <s v="Q1"/>
    <s v="WEGENIS"/>
    <s v="&lt;null&gt;"/>
    <n v="16"/>
    <n v="1228000"/>
    <n v="196480"/>
  </r>
  <r>
    <x v="527"/>
    <x v="527"/>
    <s v="Verkeersveiligheid"/>
    <x v="1"/>
    <n v="757"/>
    <s v="IN/000720"/>
    <s v="Herinrichting Vesten (met beperkte middelen)"/>
    <s v="Enkelrichting maken vesten (R12)"/>
    <s v="Structurele Ingreep"/>
    <s v="WA/INV/R12/1"/>
    <b v="1"/>
    <s v="Ingreep wordt opgevolgd in BOD"/>
    <n v="2021"/>
    <s v="Q4"/>
    <s v="VRI"/>
    <s v="&lt;null&gt;"/>
    <n v="16"/>
    <n v="1500000"/>
    <n v="240000"/>
  </r>
  <r>
    <x v="527"/>
    <x v="527"/>
    <s v="Verkeersveiligheid"/>
    <x v="1"/>
    <n v="757"/>
    <s v="IN/000720"/>
    <s v="Herinrichting Vesten (met beperkte middelen)"/>
    <s v="Enkelrichting maken vesten (R12)"/>
    <s v="Structurele Ingreep"/>
    <s v="WA/INV/R12/1"/>
    <b v="1"/>
    <s v="Ingreep wordt opgevolgd in BOD"/>
    <n v="2022"/>
    <s v="Q1"/>
    <s v="VRI"/>
    <s v="&lt;null&gt;"/>
    <n v="16"/>
    <n v="500000"/>
    <n v="80000"/>
  </r>
  <r>
    <x v="528"/>
    <x v="528"/>
    <s v="Verkeersveiligheid"/>
    <x v="1"/>
    <n v="757"/>
    <s v="IN/000720"/>
    <s v="Herinrichting Vesten (met beperkte middelen)"/>
    <s v="Enkelrichting maken vesten (R12)"/>
    <s v="Structurele Ingreep"/>
    <s v="WA/INV/R12/1"/>
    <b v="1"/>
    <s v="Ingreep wordt opgevolgd in BOD"/>
    <n v="2022"/>
    <s v="Q1"/>
    <s v="VRI"/>
    <s v="&lt;null&gt;"/>
    <n v="16"/>
    <n v="500000"/>
    <n v="80000"/>
  </r>
  <r>
    <x v="528"/>
    <x v="528"/>
    <s v="Verkeersveiligheid"/>
    <x v="1"/>
    <n v="757"/>
    <s v="IN/000720"/>
    <s v="Herinrichting Vesten (met beperkte middelen)"/>
    <s v="Enkelrichting maken vesten (R12)"/>
    <s v="Structurele Ingreep"/>
    <s v="WA/INV/R12/1"/>
    <b v="1"/>
    <s v="Ingreep wordt opgevolgd in BOD"/>
    <n v="2022"/>
    <s v="Q1"/>
    <s v="WEGENIS"/>
    <s v="&lt;null&gt;"/>
    <n v="16"/>
    <n v="1228000"/>
    <n v="196480"/>
  </r>
  <r>
    <x v="528"/>
    <x v="528"/>
    <s v="Verkeersveiligheid"/>
    <x v="1"/>
    <n v="757"/>
    <s v="IN/000720"/>
    <s v="Herinrichting Vesten (met beperkte middelen)"/>
    <s v="Enkelrichting maken vesten (R12)"/>
    <s v="Structurele Ingreep"/>
    <s v="WA/INV/R12/1"/>
    <b v="1"/>
    <s v="Ingreep wordt opgevolgd in BOD"/>
    <n v="2021"/>
    <s v="Q4"/>
    <s v="VRI"/>
    <s v="&lt;null&gt;"/>
    <n v="16"/>
    <n v="1500000"/>
    <n v="240000"/>
  </r>
  <r>
    <x v="649"/>
    <x v="649"/>
    <s v="Verkeersveiligheid"/>
    <x v="1"/>
    <n v="757"/>
    <s v="IN/000720"/>
    <s v="Herinrichting Vesten (met beperkte middelen)"/>
    <s v="Enkelrichting maken vesten (R12)"/>
    <s v="Structurele Ingreep"/>
    <s v="WA/INV/R12/1"/>
    <b v="1"/>
    <s v="Ingreep wordt opgevolgd in BOD"/>
    <n v="2021"/>
    <s v="Q4"/>
    <s v="VRI"/>
    <s v="&lt;null&gt;"/>
    <n v="16"/>
    <n v="1500000"/>
    <n v="240000"/>
  </r>
  <r>
    <x v="649"/>
    <x v="649"/>
    <s v="Verkeersveiligheid"/>
    <x v="1"/>
    <n v="757"/>
    <s v="IN/000720"/>
    <s v="Herinrichting Vesten (met beperkte middelen)"/>
    <s v="Enkelrichting maken vesten (R12)"/>
    <s v="Structurele Ingreep"/>
    <s v="WA/INV/R12/1"/>
    <b v="1"/>
    <s v="Ingreep wordt opgevolgd in BOD"/>
    <n v="2022"/>
    <s v="Q1"/>
    <s v="VRI"/>
    <s v="&lt;null&gt;"/>
    <n v="16"/>
    <n v="500000"/>
    <n v="80000"/>
  </r>
  <r>
    <x v="649"/>
    <x v="649"/>
    <s v="Verkeersveiligheid"/>
    <x v="1"/>
    <n v="757"/>
    <s v="IN/000720"/>
    <s v="Herinrichting Vesten (met beperkte middelen)"/>
    <s v="Enkelrichting maken vesten (R12)"/>
    <s v="Structurele Ingreep"/>
    <s v="WA/INV/R12/1"/>
    <b v="1"/>
    <s v="Ingreep wordt opgevolgd in BOD"/>
    <n v="2022"/>
    <s v="Q1"/>
    <s v="WEGENIS"/>
    <s v="&lt;null&gt;"/>
    <n v="16"/>
    <n v="1228000"/>
    <n v="196480"/>
  </r>
  <r>
    <x v="650"/>
    <x v="650"/>
    <s v="Verkeersveiligheid"/>
    <x v="4"/>
    <n v="757"/>
    <s v="IN/000720"/>
    <s v="Herinrichting Vesten (met beperkte middelen)"/>
    <s v="Enkelrichting maken vesten (R12)"/>
    <s v="Structurele Ingreep"/>
    <s v="WA/INV/R12/1"/>
    <b v="1"/>
    <s v="Ingreep wordt opgevolgd in BOD"/>
    <n v="2022"/>
    <s v="Q1"/>
    <s v="VRI"/>
    <s v="&lt;null&gt;"/>
    <n v="0"/>
    <n v="500000"/>
    <n v="0"/>
  </r>
  <r>
    <x v="650"/>
    <x v="650"/>
    <s v="Verkeersveiligheid"/>
    <x v="4"/>
    <n v="757"/>
    <s v="IN/000720"/>
    <s v="Herinrichting Vesten (met beperkte middelen)"/>
    <s v="Enkelrichting maken vesten (R12)"/>
    <s v="Structurele Ingreep"/>
    <s v="WA/INV/R12/1"/>
    <b v="1"/>
    <s v="Ingreep wordt opgevolgd in BOD"/>
    <n v="2022"/>
    <s v="Q1"/>
    <s v="WEGENIS"/>
    <s v="&lt;null&gt;"/>
    <n v="0"/>
    <n v="1228000"/>
    <n v="0"/>
  </r>
  <r>
    <x v="650"/>
    <x v="650"/>
    <s v="Verkeersveiligheid"/>
    <x v="4"/>
    <n v="757"/>
    <s v="IN/000720"/>
    <s v="Herinrichting Vesten (met beperkte middelen)"/>
    <s v="Enkelrichting maken vesten (R12)"/>
    <s v="Structurele Ingreep"/>
    <s v="WA/INV/R12/1"/>
    <b v="1"/>
    <s v="Ingreep wordt opgevolgd in BOD"/>
    <n v="2021"/>
    <s v="Q4"/>
    <s v="VRI"/>
    <s v="&lt;null&gt;"/>
    <n v="0"/>
    <n v="1500000"/>
    <n v="0"/>
  </r>
  <r>
    <x v="651"/>
    <x v="651"/>
    <s v="Verkeersveiligheid"/>
    <x v="4"/>
    <n v="757"/>
    <s v="IN/000720"/>
    <s v="Herinrichting Vesten (met beperkte middelen)"/>
    <s v="Enkelrichting maken vesten (R12)"/>
    <s v="Structurele Ingreep"/>
    <s v="WA/INV/R12/1"/>
    <b v="1"/>
    <s v="Ingreep wordt opgevolgd in BOD"/>
    <n v="2022"/>
    <s v="Q1"/>
    <s v="VRI"/>
    <s v="&lt;null&gt;"/>
    <n v="0"/>
    <n v="500000"/>
    <n v="0"/>
  </r>
  <r>
    <x v="651"/>
    <x v="651"/>
    <s v="Verkeersveiligheid"/>
    <x v="4"/>
    <n v="757"/>
    <s v="IN/000720"/>
    <s v="Herinrichting Vesten (met beperkte middelen)"/>
    <s v="Enkelrichting maken vesten (R12)"/>
    <s v="Structurele Ingreep"/>
    <s v="WA/INV/R12/1"/>
    <b v="1"/>
    <s v="Ingreep wordt opgevolgd in BOD"/>
    <n v="2022"/>
    <s v="Q1"/>
    <s v="WEGENIS"/>
    <s v="&lt;null&gt;"/>
    <n v="0"/>
    <n v="1228000"/>
    <n v="0"/>
  </r>
  <r>
    <x v="651"/>
    <x v="651"/>
    <s v="Verkeersveiligheid"/>
    <x v="4"/>
    <n v="757"/>
    <s v="IN/000720"/>
    <s v="Herinrichting Vesten (met beperkte middelen)"/>
    <s v="Enkelrichting maken vesten (R12)"/>
    <s v="Structurele Ingreep"/>
    <s v="WA/INV/R12/1"/>
    <b v="1"/>
    <s v="Ingreep wordt opgevolgd in BOD"/>
    <n v="2021"/>
    <s v="Q4"/>
    <s v="VRI"/>
    <s v="&lt;null&gt;"/>
    <n v="0"/>
    <n v="1500000"/>
    <n v="0"/>
  </r>
  <r>
    <x v="652"/>
    <x v="652"/>
    <s v="Verkeersveiligheid"/>
    <x v="4"/>
    <n v="757"/>
    <s v="IN/000720"/>
    <s v="Herinrichting Vesten (met beperkte middelen)"/>
    <s v="Enkelrichting maken vesten (R12)"/>
    <s v="Structurele Ingreep"/>
    <s v="WA/INV/R12/1"/>
    <b v="1"/>
    <s v="Ingreep wordt opgevolgd in BOD"/>
    <n v="2022"/>
    <s v="Q1"/>
    <s v="WEGENIS"/>
    <s v="&lt;null&gt;"/>
    <n v="0"/>
    <n v="1228000"/>
    <n v="0"/>
  </r>
  <r>
    <x v="652"/>
    <x v="652"/>
    <s v="Verkeersveiligheid"/>
    <x v="4"/>
    <n v="757"/>
    <s v="IN/000720"/>
    <s v="Herinrichting Vesten (met beperkte middelen)"/>
    <s v="Enkelrichting maken vesten (R12)"/>
    <s v="Structurele Ingreep"/>
    <s v="WA/INV/R12/1"/>
    <b v="1"/>
    <s v="Ingreep wordt opgevolgd in BOD"/>
    <n v="2022"/>
    <s v="Q1"/>
    <s v="VRI"/>
    <s v="&lt;null&gt;"/>
    <n v="0"/>
    <n v="500000"/>
    <n v="0"/>
  </r>
  <r>
    <x v="652"/>
    <x v="652"/>
    <s v="Verkeersveiligheid"/>
    <x v="4"/>
    <n v="757"/>
    <s v="IN/000720"/>
    <s v="Herinrichting Vesten (met beperkte middelen)"/>
    <s v="Enkelrichting maken vesten (R12)"/>
    <s v="Structurele Ingreep"/>
    <s v="WA/INV/R12/1"/>
    <b v="1"/>
    <s v="Ingreep wordt opgevolgd in BOD"/>
    <n v="2021"/>
    <s v="Q4"/>
    <s v="VRI"/>
    <s v="&lt;null&gt;"/>
    <n v="0"/>
    <n v="1500000"/>
    <n v="0"/>
  </r>
  <r>
    <x v="653"/>
    <x v="653"/>
    <s v="Verkeersveiligheid"/>
    <x v="4"/>
    <n v="757"/>
    <s v="IN/000720"/>
    <s v="Herinrichting Vesten (met beperkte middelen)"/>
    <s v="Enkelrichting maken vesten (R12)"/>
    <s v="Structurele Ingreep"/>
    <s v="WA/INV/R12/1"/>
    <b v="1"/>
    <s v="Ingreep wordt opgevolgd in BOD"/>
    <n v="2022"/>
    <s v="Q1"/>
    <s v="VRI"/>
    <s v="&lt;null&gt;"/>
    <n v="0"/>
    <n v="500000"/>
    <n v="0"/>
  </r>
  <r>
    <x v="653"/>
    <x v="653"/>
    <s v="Verkeersveiligheid"/>
    <x v="4"/>
    <n v="757"/>
    <s v="IN/000720"/>
    <s v="Herinrichting Vesten (met beperkte middelen)"/>
    <s v="Enkelrichting maken vesten (R12)"/>
    <s v="Structurele Ingreep"/>
    <s v="WA/INV/R12/1"/>
    <b v="1"/>
    <s v="Ingreep wordt opgevolgd in BOD"/>
    <n v="2022"/>
    <s v="Q1"/>
    <s v="WEGENIS"/>
    <s v="&lt;null&gt;"/>
    <n v="0"/>
    <n v="1228000"/>
    <n v="0"/>
  </r>
  <r>
    <x v="653"/>
    <x v="653"/>
    <s v="Verkeersveiligheid"/>
    <x v="4"/>
    <n v="757"/>
    <s v="IN/000720"/>
    <s v="Herinrichting Vesten (met beperkte middelen)"/>
    <s v="Enkelrichting maken vesten (R12)"/>
    <s v="Structurele Ingreep"/>
    <s v="WA/INV/R12/1"/>
    <b v="1"/>
    <s v="Ingreep wordt opgevolgd in BOD"/>
    <n v="2021"/>
    <s v="Q4"/>
    <s v="VRI"/>
    <s v="&lt;null&gt;"/>
    <n v="0"/>
    <n v="1500000"/>
    <n v="0"/>
  </r>
  <r>
    <x v="654"/>
    <x v="654"/>
    <s v="Verkeersveiligheid"/>
    <x v="4"/>
    <n v="757"/>
    <s v="IN/000720"/>
    <s v="Herinrichting Vesten (met beperkte middelen)"/>
    <s v="Enkelrichting maken vesten (R12)"/>
    <s v="Structurele Ingreep"/>
    <s v="WA/INV/R12/1"/>
    <b v="1"/>
    <s v="Ingreep wordt opgevolgd in BOD"/>
    <n v="2022"/>
    <s v="Q1"/>
    <s v="WEGENIS"/>
    <s v="&lt;null&gt;"/>
    <n v="0"/>
    <n v="1228000"/>
    <n v="0"/>
  </r>
  <r>
    <x v="654"/>
    <x v="654"/>
    <s v="Verkeersveiligheid"/>
    <x v="4"/>
    <n v="757"/>
    <s v="IN/000720"/>
    <s v="Herinrichting Vesten (met beperkte middelen)"/>
    <s v="Enkelrichting maken vesten (R12)"/>
    <s v="Structurele Ingreep"/>
    <s v="WA/INV/R12/1"/>
    <b v="1"/>
    <s v="Ingreep wordt opgevolgd in BOD"/>
    <n v="2021"/>
    <s v="Q4"/>
    <s v="VRI"/>
    <s v="&lt;null&gt;"/>
    <n v="0"/>
    <n v="1500000"/>
    <n v="0"/>
  </r>
  <r>
    <x v="654"/>
    <x v="654"/>
    <s v="Verkeersveiligheid"/>
    <x v="4"/>
    <n v="757"/>
    <s v="IN/000720"/>
    <s v="Herinrichting Vesten (met beperkte middelen)"/>
    <s v="Enkelrichting maken vesten (R12)"/>
    <s v="Structurele Ingreep"/>
    <s v="WA/INV/R12/1"/>
    <b v="1"/>
    <s v="Ingreep wordt opgevolgd in BOD"/>
    <n v="2022"/>
    <s v="Q1"/>
    <s v="VRI"/>
    <s v="&lt;null&gt;"/>
    <n v="0"/>
    <n v="500000"/>
    <n v="0"/>
  </r>
  <r>
    <x v="655"/>
    <x v="655"/>
    <s v="Verkeersveiligheid"/>
    <x v="1"/>
    <n v="758"/>
    <s v="IN/000721"/>
    <s v="studie herinrichting R014 x Pas KT"/>
    <s v="Studie voor KT herinrichting.\nEr volgt nog studie voor ingrijpendere oplossing (eventueel tunnel ed....)"/>
    <s v="Structurele Ingreep"/>
    <s v="WA/INV/N19/4"/>
    <b v="0"/>
    <s v="Ingreep wordt niet opgevolgd in BOD"/>
    <s v="&lt;null&gt;"/>
    <s v="&lt;null&gt;"/>
    <s v="&lt;null&gt;"/>
    <s v="&lt;null&gt;"/>
    <n v="100"/>
    <m/>
    <m/>
  </r>
  <r>
    <x v="656"/>
    <x v="656"/>
    <s v="Verkeersveiligheid"/>
    <x v="1"/>
    <n v="759"/>
    <s v="IN/000722"/>
    <s v="Afsluiten Zijstraat voor vrachtverkeer"/>
    <s v="PCV beslissing PCV 1326 (zitting 11/05/2016)\nLater volgt nog een module13 voor structurele oplossing."/>
    <s v="Kleine Ingreep"/>
    <s v="&lt;null&gt;"/>
    <b v="0"/>
    <s v="Ingreep wordt niet opgevolgd in BOD"/>
    <s v="&lt;null&gt;"/>
    <s v="&lt;null&gt;"/>
    <s v="&lt;null&gt;"/>
    <s v="&lt;null&gt;"/>
    <n v="100"/>
    <m/>
    <m/>
  </r>
  <r>
    <x v="657"/>
    <x v="657"/>
    <s v="Verkeersveiligheid"/>
    <x v="1"/>
    <n v="760"/>
    <s v="IN/000723"/>
    <s v="Studie N19 -  Complex 24 Turnhout-Centrum"/>
    <s v="Studie begin 2022 - uitvoering 2024"/>
    <s v="Structurele Ingreep"/>
    <s v="WA/INV/N019/2"/>
    <b v="0"/>
    <s v="Ingreep wordt niet opgevolgd in BOD"/>
    <s v="&lt;null&gt;"/>
    <s v="&lt;null&gt;"/>
    <s v="&lt;null&gt;"/>
    <s v="&lt;null&gt;"/>
    <n v="100"/>
    <m/>
    <m/>
  </r>
  <r>
    <x v="658"/>
    <x v="658"/>
    <s v="Verkeersveiligheid"/>
    <x v="1"/>
    <n v="761"/>
    <s v="IN/000724"/>
    <s v="Oversteekplaats"/>
    <s v="- Punctueleverlichting (Lichvisie E2)\n- Zichtbaarheid verbetere, parkeerplaatsen verwijderen"/>
    <s v="Kleine Ingreep"/>
    <s v="&lt;null&gt;"/>
    <b v="0"/>
    <s v="Ingreep wordt niet opgevolgd in BOD"/>
    <s v="&lt;null&gt;"/>
    <s v="&lt;null&gt;"/>
    <s v="&lt;null&gt;"/>
    <s v="&lt;null&gt;"/>
    <n v="100"/>
    <m/>
    <m/>
  </r>
  <r>
    <x v="659"/>
    <x v="659"/>
    <s v="Verkeersveiligheid"/>
    <x v="1"/>
    <n v="762"/>
    <s v="IN/000725"/>
    <s v="Studie Schoolomgeving door Gemeente Balen"/>
    <s v="Studie: 2022\nUitvoering: 2025"/>
    <s v="Structurele Ingreep"/>
    <s v="WA/INV/N018/4"/>
    <b v="0"/>
    <s v="Ingreep wordt niet opgevolgd in BOD"/>
    <s v="&lt;null&gt;"/>
    <s v="&lt;null&gt;"/>
    <s v="&lt;null&gt;"/>
    <s v="&lt;null&gt;"/>
    <n v="100"/>
    <m/>
    <m/>
  </r>
  <r>
    <x v="592"/>
    <x v="592"/>
    <s v="Verkeersveiligheid"/>
    <x v="1"/>
    <n v="763"/>
    <s v="IN/000726"/>
    <s v="Herinrichting Kruispunt R013 x N124"/>
    <s v="N124 anders aansluiten aan R13 (Voorrang)\nStudie: loopt 2021 (aan hold --&gt; gemeente onderzoek)\nUitvoering: nog niet gekend.\n"/>
    <s v="Structurele Ingreep"/>
    <s v="WA/INV/R013/4"/>
    <b v="0"/>
    <s v="Ingreep wordt niet opgevolgd in BOD"/>
    <s v="&lt;null&gt;"/>
    <s v="&lt;null&gt;"/>
    <s v="&lt;null&gt;"/>
    <s v="&lt;null&gt;"/>
    <n v="100"/>
    <m/>
    <m/>
  </r>
  <r>
    <x v="660"/>
    <x v="660"/>
    <s v="Verkeersveiligheid"/>
    <x v="1"/>
    <n v="764"/>
    <s v="IN/000727"/>
    <s v="Gent tijdelijke heraanleg Dampoort"/>
    <s v="Zie ProjectCenter"/>
    <s v="Structurele Ingreep"/>
    <s v="WOV/INV/R40/3"/>
    <b v="0"/>
    <s v="Ingreep wordt niet opgevolgd in BOD"/>
    <s v="&lt;null&gt;"/>
    <s v="&lt;null&gt;"/>
    <s v="&lt;null&gt;"/>
    <s v="&lt;null&gt;"/>
    <n v="100"/>
    <m/>
    <m/>
  </r>
  <r>
    <x v="661"/>
    <x v="661"/>
    <s v="Verkeersveiligheid"/>
    <x v="1"/>
    <n v="765"/>
    <s v="IN/000728"/>
    <s v="Gevaarlijk Punt: R40 Gent: plaatsen kegels rondom laadzone"/>
    <s v="Plaatsen kegels rondom laadzone (2020)"/>
    <s v="Kleine Ingreep"/>
    <s v="&lt;null&gt;"/>
    <b v="0"/>
    <s v="Ingreep wordt niet opgevolgd in BOD"/>
    <n v="2021"/>
    <s v="Q1"/>
    <s v="OVERIGE"/>
    <s v="op pcv-bestek"/>
    <n v="100"/>
    <n v="600"/>
    <n v="600"/>
  </r>
  <r>
    <x v="662"/>
    <x v="662"/>
    <s v="Verkeersveiligheid"/>
    <x v="1"/>
    <n v="766"/>
    <s v="IN/000729"/>
    <s v="Gevaarlijk Punt: N414 Gent: aanleg bijkomende middeneilanden"/>
    <s v="Aanleg bijkomende middeneilanden (2020)"/>
    <s v="Kleine Ingreep"/>
    <s v="&lt;null&gt;"/>
    <b v="0"/>
    <s v="Ingreep wordt niet opgevolgd in BOD"/>
    <n v="2021"/>
    <s v="Q1"/>
    <s v="WEGENIS"/>
    <s v="op pcv-bestek"/>
    <n v="100"/>
    <n v="15000"/>
    <n v="15000"/>
  </r>
  <r>
    <x v="545"/>
    <x v="545"/>
    <s v="Verkeersveiligheid"/>
    <x v="1"/>
    <n v="767"/>
    <s v="IN/000730"/>
    <s v="N50 - Brugge Steenbruggebrug"/>
    <s v="N50 - Brugge Steenbruggebrug - werken DVW"/>
    <s v="Structurele Ingreep"/>
    <s v="WWV/INV/N50/5"/>
    <b v="0"/>
    <s v="Ingreep wordt niet opgevolgd in BOD"/>
    <s v="&lt;null&gt;"/>
    <s v="&lt;null&gt;"/>
    <s v="&lt;null&gt;"/>
    <s v="&lt;null&gt;"/>
    <n v="50"/>
    <m/>
    <m/>
  </r>
  <r>
    <x v="663"/>
    <x v="663"/>
    <s v="Verkeersveiligheid"/>
    <x v="1"/>
    <n v="767"/>
    <s v="IN/000730"/>
    <s v="N50 - Brugge Steenbruggebrug"/>
    <s v="N50 - Brugge Steenbruggebrug - werken DVW"/>
    <s v="Structurele Ingreep"/>
    <s v="WWV/INV/N50/5"/>
    <b v="0"/>
    <s v="Ingreep wordt niet opgevolgd in BOD"/>
    <s v="&lt;null&gt;"/>
    <s v="&lt;null&gt;"/>
    <s v="&lt;null&gt;"/>
    <s v="&lt;null&gt;"/>
    <n v="50"/>
    <m/>
    <m/>
  </r>
  <r>
    <x v="664"/>
    <x v="664"/>
    <s v="Verkeersveiligheid"/>
    <x v="4"/>
    <n v="802"/>
    <s v="IN/000731"/>
    <s v="Horizontale signalisatie in Oudenburg op Hoogstraat"/>
    <s v="&lt;null&gt;"/>
    <s v="Kleine Ingreep"/>
    <s v="WWV/INV/N368/7"/>
    <b v="1"/>
    <s v="Ingreep wordt opgevolgd in BOD"/>
    <n v="2022"/>
    <s v="Q2"/>
    <s v="OV"/>
    <s v="&lt;null&gt;"/>
    <n v="100"/>
    <n v="25000"/>
    <n v="25000"/>
  </r>
  <r>
    <x v="664"/>
    <x v="664"/>
    <s v="Verkeersveiligheid"/>
    <x v="4"/>
    <n v="802"/>
    <s v="IN/000731"/>
    <s v="Horizontale signalisatie in Oudenburg op Hoogstraat"/>
    <s v="&lt;null&gt;"/>
    <s v="Kleine Ingreep"/>
    <s v="WWV/INV/N368/7"/>
    <b v="1"/>
    <s v="Ingreep wordt opgevolgd in BOD"/>
    <n v="2022"/>
    <s v="Q2"/>
    <s v="WEGENIS"/>
    <s v="&lt;null&gt;"/>
    <n v="100"/>
    <n v="36500"/>
    <n v="36500"/>
  </r>
  <r>
    <x v="665"/>
    <x v="665"/>
    <s v="Verkeersveiligheid"/>
    <x v="4"/>
    <n v="803"/>
    <s v="IN/000732"/>
    <s v="Horizontale signalisatie in Oudenburg op Brugsesteenweg"/>
    <s v="&lt;null&gt;"/>
    <s v="Kleine Ingreep"/>
    <s v="WWV/INV/N367/10"/>
    <b v="1"/>
    <s v="Ingreep wordt opgevolgd in BOD"/>
    <n v="2022"/>
    <s v="Q2"/>
    <s v="OVERIGE"/>
    <s v="&lt;null&gt;"/>
    <n v="100"/>
    <n v="5000"/>
    <n v="5000"/>
  </r>
  <r>
    <x v="666"/>
    <x v="666"/>
    <s v="Verkeersveiligheid"/>
    <x v="4"/>
    <n v="804"/>
    <s v="IN/000733"/>
    <s v="Ingreep schoolroute in Wevelgem op Kruispunt Menenstraat - Heilige Theresiastraat"/>
    <s v="&lt;null&gt;"/>
    <s v="Kleine Ingreep"/>
    <s v="WWV/INV/N8/17"/>
    <b v="0"/>
    <s v="Ingreep wordt niet opgevolgd in BOD"/>
    <n v="2023"/>
    <s v="Q2"/>
    <s v="WEGENIS"/>
    <s v="&lt;null&gt;"/>
    <n v="100"/>
    <n v="60000"/>
    <n v="60000"/>
  </r>
  <r>
    <x v="667"/>
    <x v="667"/>
    <s v="Verkeersveiligheid"/>
    <x v="4"/>
    <n v="805"/>
    <s v="IN/000734"/>
    <s v="Ingreep schoolroute in Wevelgem op Kruispunt oprit A19-Koningin Fabiolastraat"/>
    <s v="&lt;null&gt;"/>
    <s v="Kleine Ingreep"/>
    <s v="&lt;null&gt;"/>
    <b v="0"/>
    <s v="Ingreep wordt niet opgevolgd in BOD"/>
    <n v="2023"/>
    <s v="Q2"/>
    <s v="VRI"/>
    <s v="Nieuwe VRI (V017535v03 - installatienummer WW2068) aansluitend op werken trompetaansluiting A19-R8"/>
    <n v="100"/>
    <n v="200000"/>
    <n v="200000"/>
  </r>
  <r>
    <x v="668"/>
    <x v="668"/>
    <s v="Verkeersveiligheid"/>
    <x v="4"/>
    <n v="806"/>
    <s v="IN/000735"/>
    <s v="Nieuwe FOP met punctuele verlichting"/>
    <s v="&lt;null&gt;"/>
    <s v="Kleine Ingreep"/>
    <s v="WL/INV/N716/2"/>
    <b v="1"/>
    <s v="Ingreep wordt opgevolgd in BOD"/>
    <s v="&lt;null&gt;"/>
    <s v="&lt;null&gt;"/>
    <s v="OVERIGE"/>
    <s v="&lt;null&gt;"/>
    <n v="100"/>
    <n v="75000"/>
    <n v="75000"/>
  </r>
  <r>
    <x v="669"/>
    <x v="669"/>
    <s v="Verkeersveiligheid"/>
    <x v="4"/>
    <n v="807"/>
    <s v="IN/000736"/>
    <s v="VVOP"/>
    <s v="&lt;null&gt;"/>
    <s v="Kleine Ingreep"/>
    <s v="WL/INV/N78/19"/>
    <b v="0"/>
    <s v="Ingreep wordt niet opgevolgd in BOD"/>
    <s v="&lt;null&gt;"/>
    <s v="&lt;null&gt;"/>
    <s v="OVERIGE"/>
    <s v="&lt;null&gt;"/>
    <n v="100"/>
    <n v="75000"/>
    <n v="75000"/>
  </r>
  <r>
    <x v="177"/>
    <x v="177"/>
    <s v="Verkeersveiligheid"/>
    <x v="4"/>
    <n v="808"/>
    <s v="IN/000737"/>
    <s v="Ingreep schoolroute in Dilsen-Stokkem op N742"/>
    <s v="&lt;null&gt;"/>
    <s v="Structurele Ingreep"/>
    <s v="&lt;null&gt;"/>
    <b v="0"/>
    <s v="Ingreep wordt niet opgevolgd in BOD"/>
    <s v="&lt;null&gt;"/>
    <s v="&lt;null&gt;"/>
    <s v="OVERIGE"/>
    <s v="&lt;null&gt;"/>
    <n v="100"/>
    <n v="0"/>
    <n v="0"/>
  </r>
  <r>
    <x v="670"/>
    <x v="670"/>
    <s v="Verkeersveiligheid"/>
    <x v="4"/>
    <n v="809"/>
    <s v="IN/000738"/>
    <s v="fietsoversteek en stukje dubbelrichtingsfietspad"/>
    <s v="&lt;null&gt;"/>
    <s v="Kleine Ingreep"/>
    <s v="WL/INV/N78/20"/>
    <b v="1"/>
    <s v="Ingreep wordt opgevolgd in BOD"/>
    <s v="&lt;null&gt;"/>
    <s v="&lt;null&gt;"/>
    <s v="OVERIGE"/>
    <s v="&lt;null&gt;"/>
    <n v="100"/>
    <n v="33341"/>
    <n v="33341"/>
  </r>
  <r>
    <x v="671"/>
    <x v="671"/>
    <s v="Verkeersveiligheid"/>
    <x v="4"/>
    <n v="810"/>
    <s v="IN/000739"/>
    <s v="Ingreep schoolroute in Kortemark op kruispunt Hoogledestraat x Staatsbaan"/>
    <s v="&lt;null&gt;"/>
    <s v="Kleine Ingreep"/>
    <s v="WWV/INV/N35/5"/>
    <b v="0"/>
    <s v="Ingreep wordt niet opgevolgd in BOD"/>
    <s v="&lt;null&gt;"/>
    <s v="&lt;null&gt;"/>
    <s v="&lt;null&gt;"/>
    <s v="&lt;null&gt;"/>
    <n v="100"/>
    <m/>
    <m/>
  </r>
  <r>
    <x v="672"/>
    <x v="672"/>
    <s v="Verkeersveiligheid"/>
    <x v="4"/>
    <n v="811"/>
    <s v="IN/000740"/>
    <s v="Contrastverlichting FOP"/>
    <s v="&lt;null&gt;"/>
    <s v="Kleine Ingreep"/>
    <s v="WL/INV/N716/3"/>
    <b v="0"/>
    <s v="Ingreep wordt niet opgevolgd in BOD"/>
    <s v="&lt;null&gt;"/>
    <s v="&lt;null&gt;"/>
    <s v="OVERIGE"/>
    <s v="&lt;null&gt;"/>
    <n v="100"/>
    <n v="100000"/>
    <n v="100000"/>
  </r>
  <r>
    <x v="673"/>
    <x v="673"/>
    <s v="Verkeersveiligheid"/>
    <x v="4"/>
    <n v="812"/>
    <s v="IN/000741"/>
    <s v="Ingreep schoolroute in Oud-Heverlee op kruispunt Naamsesteenweg - Brainestraat - Duivenstraat"/>
    <s v="VOP, aanpassen voetpaden, punctuele verlichting"/>
    <s v="Kleine Ingreep"/>
    <s v="WVB/INV/N251/3"/>
    <b v="1"/>
    <s v="Ingreep wordt opgevolgd in BOD"/>
    <n v="2021"/>
    <s v="Q4"/>
    <s v="OV"/>
    <s v="VVOP"/>
    <n v="100"/>
    <n v="33527.19"/>
    <n v="33527.19"/>
  </r>
  <r>
    <x v="674"/>
    <x v="674"/>
    <s v="Verkeersveiligheid"/>
    <x v="4"/>
    <n v="813"/>
    <s v="IN/000742"/>
    <s v="Ingreep schoolroute in Zoutleeuw op kruispunt Asbroekstraat - n3"/>
    <s v="&lt;null&gt;"/>
    <s v="Kleine Ingreep"/>
    <s v="WVB/INV/N3/8"/>
    <b v="0"/>
    <s v="Ingreep wordt niet opgevolgd in BOD"/>
    <n v="2023"/>
    <s v="Q3"/>
    <s v="OVERIGE"/>
    <s v="&lt;null&gt;"/>
    <n v="100"/>
    <n v="55000"/>
    <n v="55000"/>
  </r>
  <r>
    <x v="675"/>
    <x v="675"/>
    <s v="Verkeersveiligheid"/>
    <x v="4"/>
    <n v="814"/>
    <s v="IN/000743"/>
    <s v="Ingreep schoolroute in Pepingen op Kruispunt N28 met de Eikstraat"/>
    <s v="&lt;null&gt;"/>
    <s v="Kleine Ingreep"/>
    <s v="WVB/INV/N28/5"/>
    <b v="0"/>
    <s v="Ingreep wordt niet opgevolgd in BOD"/>
    <n v="2023"/>
    <s v="Q1"/>
    <s v="OVERIGE"/>
    <s v="zie berekening sweco"/>
    <n v="100"/>
    <n v="300000"/>
    <n v="300000"/>
  </r>
  <r>
    <x v="676"/>
    <x v="676"/>
    <s v="Verkeersveiligheid"/>
    <x v="4"/>
    <n v="815"/>
    <s v="IN/000744"/>
    <s v="Ingreep schoolroute in Hove op hoek N1-Edegemsestraat"/>
    <s v="PCV dossier"/>
    <s v="Kleine Ingreep"/>
    <s v="&lt;null&gt;"/>
    <b v="0"/>
    <s v="Ingreep wordt niet opgevolgd in BOD"/>
    <s v="&lt;null&gt;"/>
    <s v="&lt;null&gt;"/>
    <s v="OVERIGE"/>
    <s v="&lt;null&gt;"/>
    <n v="100"/>
    <n v="0"/>
    <n v="0"/>
  </r>
  <r>
    <x v="677"/>
    <x v="677"/>
    <s v="Verkeersveiligheid"/>
    <x v="4"/>
    <n v="816"/>
    <s v="IN/000745"/>
    <s v="Ingreep schoolroute in Puurs-Sint-Amands op N17 (Provinciale Baan) - Lippelo"/>
    <s v="&lt;null&gt;"/>
    <s v="Kleine Ingreep"/>
    <s v="WA/INV/N17/5"/>
    <b v="0"/>
    <s v="Ingreep wordt niet opgevolgd in BOD"/>
    <s v="&lt;null&gt;"/>
    <s v="&lt;null&gt;"/>
    <s v="OVERIGE"/>
    <s v="&lt;null&gt;"/>
    <n v="100"/>
    <n v="1000"/>
    <n v="1000"/>
  </r>
  <r>
    <x v="678"/>
    <x v="678"/>
    <s v="Verkeersveiligheid"/>
    <x v="4"/>
    <n v="817"/>
    <s v="IN/000746"/>
    <s v="Ingreep schoolroute in Meise op Nieuwelaan/Bouchoutlaan"/>
    <s v="VVOP"/>
    <s v="Kleine Ingreep"/>
    <s v="WVB/INV/N277/4"/>
    <b v="1"/>
    <s v="Ingreep wordt opgevolgd in BOD"/>
    <n v="2021"/>
    <s v="Q4"/>
    <s v="OV"/>
    <s v="VVOP"/>
    <n v="100"/>
    <n v="26235.96"/>
    <n v="26235.96"/>
  </r>
  <r>
    <x v="679"/>
    <x v="679"/>
    <s v="Verkeersveiligheid"/>
    <x v="4"/>
    <n v="818"/>
    <s v="IN/000747"/>
    <s v="Ingreep schoolroute in Hooglede op Rotonde Sleihage"/>
    <s v="&lt;null&gt;"/>
    <s v="Kleine Ingreep"/>
    <s v="WWV/INV/N36/4"/>
    <b v="0"/>
    <s v="Ingreep wordt niet opgevolgd in BOD"/>
    <n v="2022"/>
    <s v="Q2"/>
    <s v="WEGENIS"/>
    <s v="&lt;null&gt;"/>
    <n v="100"/>
    <n v="50000"/>
    <n v="50000"/>
  </r>
  <r>
    <x v="680"/>
    <x v="680"/>
    <s v="Verkeersveiligheid"/>
    <x v="4"/>
    <n v="819"/>
    <s v="IN/000748"/>
    <s v="Oversteekbaarheid kruispunt (PM studiebureau aan te stellen via MC3)"/>
    <s v="- Enkelrichtingsfietsoversteken met toeleidende fietspaden\n- verhoogd plateau"/>
    <s v="Kleine Ingreep"/>
    <s v="WL/INV/N777/2"/>
    <b v="0"/>
    <s v="Ingreep wordt niet opgevolgd in BOD"/>
    <n v="2022"/>
    <s v="Q4"/>
    <s v="OVERIGE"/>
    <s v="&lt;null&gt;"/>
    <n v="100"/>
    <n v="71330"/>
    <n v="71330"/>
  </r>
  <r>
    <x v="681"/>
    <x v="681"/>
    <s v="Verkeersveiligheid"/>
    <x v="4"/>
    <n v="820"/>
    <s v="IN/000749"/>
    <s v="Ingreep schoolroute in Wellen op Dorpsstraat einde fietspad"/>
    <s v="uitvoeren oversteek volgens resultaat studie Sweco"/>
    <s v="Kleine Ingreep"/>
    <s v="WL/INV/N754/6"/>
    <b v="1"/>
    <s v="Ingreep wordt opgevolgd in BOD"/>
    <s v="&lt;null&gt;"/>
    <s v="&lt;null&gt;"/>
    <s v="OVERIGE"/>
    <s v="&lt;null&gt;"/>
    <n v="100"/>
    <n v="420"/>
    <n v="420"/>
  </r>
  <r>
    <x v="682"/>
    <x v="682"/>
    <s v="Verkeersveiligheid"/>
    <x v="4"/>
    <n v="821"/>
    <s v="IN/000750"/>
    <s v="Ingreep schoolroute in Knokke-Heist op Kruispunt N300 Heistlaan x Sasstraat"/>
    <s v="&lt;null&gt;"/>
    <s v="Kleine Ingreep"/>
    <s v="WWV/INV/N300/1"/>
    <b v="0"/>
    <s v="Ingreep wordt niet opgevolgd in BOD"/>
    <n v="2022"/>
    <s v="Q2"/>
    <s v="OVERIGE"/>
    <s v="&lt;null&gt;"/>
    <n v="100"/>
    <n v="7500"/>
    <n v="7500"/>
  </r>
  <r>
    <x v="683"/>
    <x v="683"/>
    <s v="Verkeersveiligheid"/>
    <x v="4"/>
    <n v="822"/>
    <s v="IN/000751"/>
    <s v="Ingreep schoolroute in Knokke-Heist op Kruispunt N300 Heistlaan x Sasstraat"/>
    <s v="&lt;null&gt;"/>
    <s v="Kleine Ingreep"/>
    <s v="WWV/INV/N300/2"/>
    <b v="0"/>
    <s v="Ingreep wordt niet opgevolgd in BOD"/>
    <s v="&lt;null&gt;"/>
    <s v="&lt;null&gt;"/>
    <s v="OVERIGE"/>
    <s v="&lt;null&gt;"/>
    <n v="100"/>
    <n v="0"/>
    <n v="0"/>
  </r>
  <r>
    <x v="684"/>
    <x v="684"/>
    <s v="Verkeersveiligheid"/>
    <x v="4"/>
    <n v="823"/>
    <s v="IN/000752"/>
    <s v="Ingreep schoolroute in Knokke-Heist op Kruispunt N300 Heistlaan x Moerstraat"/>
    <s v="&lt;null&gt;"/>
    <s v="Kleine Ingreep"/>
    <s v="WWV/INV/N300/3"/>
    <b v="0"/>
    <s v="Ingreep wordt niet opgevolgd in BOD"/>
    <n v="2022"/>
    <s v="Q2"/>
    <s v="OVERIGE"/>
    <s v="&lt;null&gt;"/>
    <n v="100"/>
    <n v="7500"/>
    <n v="7500"/>
  </r>
  <r>
    <x v="685"/>
    <x v="685"/>
    <s v="Verkeersveiligheid"/>
    <x v="4"/>
    <n v="824"/>
    <s v="IN/000753"/>
    <s v="Ingreep schoolroute in Knokke-Heist op Kruispunt N34 Elizabetlaan x Arcadenlaan"/>
    <s v="Insnoeren Arcadelaan. Fietsgeleiding."/>
    <s v="Kleine Ingreep"/>
    <s v="WWV/INV/N34/16"/>
    <b v="0"/>
    <s v="Ingreep wordt niet opgevolgd in BOD"/>
    <n v="2022"/>
    <s v="Q2"/>
    <s v="WEGENIS"/>
    <s v="&lt;null&gt;"/>
    <n v="100"/>
    <n v="20000"/>
    <n v="20000"/>
  </r>
  <r>
    <x v="686"/>
    <x v="686"/>
    <s v="Verkeersveiligheid"/>
    <x v="4"/>
    <n v="825"/>
    <s v="IN/000754"/>
    <s v="oversteekbaarheid: omvang ingreep nog te bepalen"/>
    <s v="&lt;null&gt;"/>
    <s v="Kleine Ingreep"/>
    <s v="WL/INV/N715/8"/>
    <b v="0"/>
    <s v="Ingreep wordt niet opgevolgd in BOD"/>
    <n v="2022"/>
    <s v="Q3"/>
    <s v="OVERIGE"/>
    <s v="&lt;null&gt;"/>
    <n v="100"/>
    <n v="10000"/>
    <n v="10000"/>
  </r>
  <r>
    <x v="687"/>
    <x v="687"/>
    <s v="Verkeersveiligheid"/>
    <x v="4"/>
    <n v="826"/>
    <s v="IN/000755"/>
    <s v="Aanpassen 2 fietsopstelstroken (PM studiebureau aan te stellen via MC3)"/>
    <s v="Fietsopstelplaatsen verplaatsen; daardoor detectielusverplaatsen en dwarsprofiel aanpassen"/>
    <s v="Kleine Ingreep"/>
    <s v="WL/INV/N747/6"/>
    <b v="0"/>
    <s v="Ingreep wordt niet opgevolgd in BOD"/>
    <s v="&lt;null&gt;"/>
    <s v="&lt;null&gt;"/>
    <s v="OVERIGE"/>
    <s v="&lt;null&gt;"/>
    <n v="100"/>
    <n v="50000"/>
    <n v="50000"/>
  </r>
  <r>
    <x v="688"/>
    <x v="688"/>
    <s v="Verkeersveiligheid"/>
    <x v="4"/>
    <n v="827"/>
    <s v="IN/000756"/>
    <s v="Ingreep schoolroute in Hechtel-Eksel op kruispunt Kerkstraat en Stationstraat"/>
    <s v="&lt;null&gt;"/>
    <s v="Kleine Ingreep"/>
    <s v="WL/INV/N747/4"/>
    <b v="1"/>
    <s v="Ingreep wordt opgevolgd in BOD"/>
    <s v="&lt;null&gt;"/>
    <s v="&lt;null&gt;"/>
    <s v="OVERIGE"/>
    <s v="&lt;null&gt;"/>
    <n v="100"/>
    <n v="230"/>
    <n v="230"/>
  </r>
  <r>
    <x v="689"/>
    <x v="689"/>
    <s v="Verkeersveiligheid"/>
    <x v="4"/>
    <n v="828"/>
    <s v="IN/000757"/>
    <s v="Ingreep schoolroute in Hechtel-Eksel op Groenstraat (tussen kruispunt Overpelterbaan en de Stationsstraat)"/>
    <s v="grijze fietssuggestiestroken in oker gezet"/>
    <s v="Kleine Ingreep"/>
    <s v="WL/INV/N747/5"/>
    <b v="1"/>
    <s v="Ingreep wordt opgevolgd in BOD"/>
    <s v="&lt;null&gt;"/>
    <s v="&lt;null&gt;"/>
    <s v="OVERIGE"/>
    <s v="&lt;null&gt;"/>
    <n v="100"/>
    <n v="18555"/>
    <n v="18555"/>
  </r>
  <r>
    <x v="690"/>
    <x v="690"/>
    <s v="Verkeersveiligheid"/>
    <x v="4"/>
    <n v="829"/>
    <s v="IN/000758"/>
    <s v="Ingreep schoolroute in Staden op N313 thv Vijverbosstraat"/>
    <s v="VVOP ter hoogte van nabijgelegen zebrapad.\nAsverschuiving met rustpunt."/>
    <s v="Kleine Ingreep"/>
    <s v="WWV/INV/N313/3"/>
    <b v="0"/>
    <s v="Ingreep wordt niet opgevolgd in BOD"/>
    <n v="2022"/>
    <s v="Q3"/>
    <s v="OV"/>
    <s v="&lt;null&gt;"/>
    <n v="100"/>
    <n v="40000"/>
    <n v="40000"/>
  </r>
  <r>
    <x v="690"/>
    <x v="690"/>
    <s v="Verkeersveiligheid"/>
    <x v="4"/>
    <n v="829"/>
    <s v="IN/000758"/>
    <s v="Ingreep schoolroute in Staden op N313 thv Vijverbosstraat"/>
    <s v="VVOP ter hoogte van nabijgelegen zebrapad.\nAsverschuiving met rustpunt."/>
    <s v="Kleine Ingreep"/>
    <s v="WWV/INV/N313/3"/>
    <b v="0"/>
    <s v="Ingreep wordt niet opgevolgd in BOD"/>
    <n v="2022"/>
    <s v="Q4"/>
    <s v="WEGENIS"/>
    <s v="&lt;null&gt;"/>
    <n v="100"/>
    <n v="130000"/>
    <n v="130000"/>
  </r>
  <r>
    <x v="691"/>
    <x v="691"/>
    <s v="Verkeersveiligheid"/>
    <x v="4"/>
    <n v="830"/>
    <s v="IN/000759"/>
    <s v="Ingreep schoolroute in Torhout op Toestand fietspaden Roeselaarseweg N32"/>
    <s v="voorstel vernieuwen fietspad nog niet weerhouden"/>
    <s v="Kleine Ingreep"/>
    <s v="&lt;null&gt;"/>
    <b v="0"/>
    <s v="Ingreep wordt niet opgevolgd in BOD"/>
    <s v="&lt;null&gt;"/>
    <s v="&lt;null&gt;"/>
    <s v="OVERIGE"/>
    <s v="&lt;null&gt;"/>
    <n v="100"/>
    <n v="1500000"/>
    <n v="1500000"/>
  </r>
  <r>
    <x v="692"/>
    <x v="692"/>
    <s v="Verkeersveiligheid"/>
    <x v="4"/>
    <n v="831"/>
    <s v="IN/000760"/>
    <s v="Ingreep schoolroute in Westerlo op De Merodedreef N19 - Bistplein"/>
    <s v="&lt;null&gt;"/>
    <s v="Kleine Ingreep"/>
    <s v="WA/INV/N19/7"/>
    <b v="0"/>
    <s v="Ingreep wordt niet opgevolgd in BOD"/>
    <s v="&lt;null&gt;"/>
    <s v="&lt;null&gt;"/>
    <s v="OVERIGE"/>
    <s v="&lt;null&gt;"/>
    <n v="100"/>
    <n v="1000"/>
    <n v="1000"/>
  </r>
  <r>
    <x v="693"/>
    <x v="693"/>
    <s v="Verkeersveiligheid"/>
    <x v="4"/>
    <n v="832"/>
    <s v="IN/000761"/>
    <s v="Ingreep schoolroute in Westerlo op kruising Zoerlering N152 - Stippelberg"/>
    <s v="Vier palen"/>
    <s v="Kleine Ingreep"/>
    <s v="&lt;null&gt;"/>
    <b v="0"/>
    <s v="Ingreep wordt niet opgevolgd in BOD"/>
    <s v="&lt;null&gt;"/>
    <s v="&lt;null&gt;"/>
    <s v="OVERIGE"/>
    <s v="&lt;null&gt;"/>
    <n v="100"/>
    <n v="35000"/>
    <n v="35000"/>
  </r>
  <r>
    <x v="694"/>
    <x v="694"/>
    <s v="Verkeersveiligheid"/>
    <x v="4"/>
    <n v="833"/>
    <s v="IN/000762"/>
    <s v="Ingreep schoolroute in Westerlo op N19 - De Merodedreef"/>
    <s v="&lt;null&gt;"/>
    <s v="Kleine Ingreep"/>
    <s v="WA/INV/N19/8"/>
    <b v="0"/>
    <s v="Ingreep wordt niet opgevolgd in BOD"/>
    <s v="&lt;null&gt;"/>
    <s v="&lt;null&gt;"/>
    <s v="OVERIGE"/>
    <s v="&lt;null&gt;"/>
    <n v="100"/>
    <n v="297500"/>
    <n v="297500"/>
  </r>
  <r>
    <x v="695"/>
    <x v="695"/>
    <s v="Verkeersveiligheid"/>
    <x v="4"/>
    <n v="834"/>
    <s v="IN/000763"/>
    <s v="Ingreep schoolroute in Westerlo op kruising N152 Olenseweg en Geneinde/Ter Voort"/>
    <s v="&lt;null&gt;"/>
    <s v="Kleine Ingreep"/>
    <s v="WA/INV/N152/4"/>
    <b v="0"/>
    <s v="Ingreep wordt niet opgevolgd in BOD"/>
    <s v="&lt;null&gt;"/>
    <s v="&lt;null&gt;"/>
    <s v="OVERIGE"/>
    <s v="&lt;null&gt;"/>
    <n v="100"/>
    <n v="35000"/>
    <n v="35000"/>
  </r>
  <r>
    <x v="696"/>
    <x v="696"/>
    <s v="Verkeersveiligheid"/>
    <x v="4"/>
    <n v="835"/>
    <s v="IN/000764"/>
    <s v="Ingreep schoolroute in Kortessem op Fiets- en voetgangersoversteekplaats kruispunt Kerkplein en N76"/>
    <s v="&lt;null&gt;"/>
    <s v="Kleine Ingreep"/>
    <s v="WL/INV/N76/15"/>
    <b v="0"/>
    <s v="Ingreep wordt niet opgevolgd in BOD"/>
    <s v="&lt;null&gt;"/>
    <s v="&lt;null&gt;"/>
    <s v="OVERIGE"/>
    <s v="&lt;null&gt;"/>
    <n v="100"/>
    <n v="75000"/>
    <n v="75000"/>
  </r>
  <r>
    <x v="18"/>
    <x v="18"/>
    <s v="&lt;null&gt;"/>
    <x v="3"/>
    <n v="836"/>
    <s v="IN/000765"/>
    <s v="Ingreep schoolroute in Bekkevoort op N2 tussen Schillkensberg/Robbesrodestraat en grens Tielt-Winge"/>
    <s v="&lt;null&gt;"/>
    <s v="Kleine Ingreep"/>
    <s v="&lt;null&gt;"/>
    <b v="0"/>
    <s v="Ingreep wordt niet opgevolgd in BOD"/>
    <s v="&lt;null&gt;"/>
    <s v="&lt;null&gt;"/>
    <s v="OVERIGE"/>
    <s v="&lt;null&gt;"/>
    <m/>
    <n v="0"/>
    <m/>
  </r>
  <r>
    <x v="697"/>
    <x v="697"/>
    <s v="Verkeersveiligheid"/>
    <x v="4"/>
    <n v="837"/>
    <s v="IN/000766"/>
    <s v="Ingreep schoolroute in Torhout op Kruispunt Vredelaan / Molenstraat"/>
    <s v="&lt;null&gt;"/>
    <s v="Kleine Ingreep"/>
    <s v="WWV/INV/R34/2"/>
    <b v="0"/>
    <s v="Ingreep wordt niet opgevolgd in BOD"/>
    <n v="2022"/>
    <s v="Q2"/>
    <s v="WEGENIS"/>
    <s v="&lt;null&gt;"/>
    <n v="100"/>
    <n v="150000"/>
    <n v="150000"/>
  </r>
  <r>
    <x v="698"/>
    <x v="698"/>
    <s v="Verkeersveiligheid"/>
    <x v="4"/>
    <n v="838"/>
    <s v="IN/000767"/>
    <s v="Ingreep schoolroute in Torhout op Toestand fietspaden brug over E403 in Ruddervoordestraat (fietspad bovenop kunstwerk)"/>
    <s v="&lt;null&gt;"/>
    <s v="Kleine Ingreep"/>
    <s v="WWV/INV/A17/3"/>
    <b v="0"/>
    <s v="Ingreep wordt niet opgevolgd in BOD"/>
    <s v="&lt;null&gt;"/>
    <s v="&lt;null&gt;"/>
    <s v="OVERIGE"/>
    <s v="&lt;null&gt;"/>
    <n v="100"/>
    <n v="0"/>
    <n v="0"/>
  </r>
  <r>
    <x v="699"/>
    <x v="699"/>
    <s v="Verkeersveiligheid"/>
    <x v="4"/>
    <n v="839"/>
    <s v="IN/000768"/>
    <s v="Ingreep schoolroute in Lier op N10 x Sander De Vosstraat"/>
    <s v="&lt;null&gt;"/>
    <s v="Kleine Ingreep"/>
    <s v="WA/INV/N10/11"/>
    <b v="0"/>
    <s v="Ingreep wordt niet opgevolgd in BOD"/>
    <s v="&lt;null&gt;"/>
    <s v="&lt;null&gt;"/>
    <s v="OVERIGE"/>
    <s v="&lt;null&gt;"/>
    <n v="100"/>
    <n v="2105"/>
    <n v="2105"/>
  </r>
  <r>
    <x v="700"/>
    <x v="700"/>
    <s v="Verkeersveiligheid"/>
    <x v="4"/>
    <n v="840"/>
    <s v="IN/000769"/>
    <s v="Ingreep schoolroute in Lier op Middeneiland N10 (thv Sander De Vosstraat)"/>
    <s v="Fouten in markering weggewerkt"/>
    <s v="Kleine Ingreep"/>
    <s v="WA/INV/N10/12"/>
    <b v="0"/>
    <s v="Ingreep wordt niet opgevolgd in BOD"/>
    <n v="2022"/>
    <s v="Q1"/>
    <s v="OVERIGE"/>
    <s v="&lt;null&gt;"/>
    <n v="100"/>
    <n v="1"/>
    <n v="1"/>
  </r>
  <r>
    <x v="701"/>
    <x v="701"/>
    <s v="Verkeersveiligheid"/>
    <x v="4"/>
    <n v="841"/>
    <s v="IN/000770"/>
    <s v="Ingreep schoolroute in Ardooie op kruispunt N37/Wezestraat"/>
    <s v="beperkte ingrepen verlichting. Vraag naar VRI wordt opgenomen via PCV, na tellingen en simulatie."/>
    <s v="Kleine Ingreep"/>
    <s v="WWV/INV/N37/6"/>
    <b v="1"/>
    <s v="Ingreep wordt opgevolgd in BOD"/>
    <n v="2022"/>
    <s v="Q3"/>
    <s v="OV"/>
    <s v="&lt;null&gt;"/>
    <n v="100"/>
    <n v="40000"/>
    <n v="40000"/>
  </r>
  <r>
    <x v="702"/>
    <x v="702"/>
    <s v="Verkeersveiligheid"/>
    <x v="4"/>
    <n v="842"/>
    <s v="IN/000771"/>
    <s v="Ingreep schoolroute in Ardooie op Fietspad Roeselaarsestraat tussen kruispunt R32/Roeselaarsestraat en de Tassche"/>
    <s v="Groot hoogteverschil tussen parkeerstrook en fietspad - Kasseien aantrekken naar het fietspad + fietspad plaatselijk herstellen"/>
    <s v="Kleine Ingreep"/>
    <s v="WWV/INV/N37/5"/>
    <b v="1"/>
    <s v="Ingreep wordt opgevolgd in BOD"/>
    <n v="2022"/>
    <s v="Q4"/>
    <s v="WEGENIS"/>
    <s v="&lt;null&gt;"/>
    <n v="100"/>
    <n v="100000"/>
    <n v="100000"/>
  </r>
  <r>
    <x v="703"/>
    <x v="703"/>
    <s v="Verkeersveiligheid"/>
    <x v="4"/>
    <n v="843"/>
    <s v="IN/000772"/>
    <s v="Ingreep schoolroute in Lier op R16 x Hagenbroeksesteenweg"/>
    <s v="&lt;null&gt;"/>
    <s v="Kleine Ingreep"/>
    <s v="&lt;null&gt;"/>
    <b v="0"/>
    <s v="Ingreep wordt niet opgevolgd in BOD"/>
    <s v="&lt;null&gt;"/>
    <s v="&lt;null&gt;"/>
    <s v="OVERIGE"/>
    <s v="&lt;null&gt;"/>
    <n v="100"/>
    <n v="7500"/>
    <n v="7500"/>
  </r>
  <r>
    <x v="704"/>
    <x v="704"/>
    <s v="Verkeersveiligheid"/>
    <x v="4"/>
    <n v="844"/>
    <s v="IN/000773"/>
    <s v="Ingreep schoolroute in Meerhout op Beerstraat (N102) - kruispunt met Schoolstraat"/>
    <s v="&lt;null&gt;"/>
    <s v="Kleine Ingreep"/>
    <s v="WA/INV/N102/2"/>
    <b v="0"/>
    <s v="Ingreep wordt niet opgevolgd in BOD"/>
    <n v="2022"/>
    <s v="Q3"/>
    <s v="OV"/>
    <s v="&lt;null&gt;"/>
    <n v="100"/>
    <n v="5000"/>
    <n v="5000"/>
  </r>
  <r>
    <x v="704"/>
    <x v="704"/>
    <s v="Verkeersveiligheid"/>
    <x v="4"/>
    <n v="844"/>
    <s v="IN/000773"/>
    <s v="Ingreep schoolroute in Meerhout op Beerstraat (N102) - kruispunt met Schoolstraat"/>
    <s v="&lt;null&gt;"/>
    <s v="Kleine Ingreep"/>
    <s v="WA/INV/N102/2"/>
    <b v="0"/>
    <s v="Ingreep wordt niet opgevolgd in BOD"/>
    <n v="2022"/>
    <s v="Q3"/>
    <s v="WEGENIS"/>
    <s v="&lt;null&gt;"/>
    <n v="100"/>
    <n v="100000"/>
    <n v="100000"/>
  </r>
  <r>
    <x v="705"/>
    <x v="705"/>
    <s v="Verkeersveiligheid"/>
    <x v="4"/>
    <n v="845"/>
    <s v="IN/000774"/>
    <s v="Ingreep schoolroute in Meerhout op Bevrijdingslaan (thv kruispunt met Baleman)"/>
    <s v="&lt;null&gt;"/>
    <s v="Kleine Ingreep"/>
    <s v="WA/INV/N102/3"/>
    <b v="0"/>
    <s v="Ingreep wordt niet opgevolgd in BOD"/>
    <s v="&lt;null&gt;"/>
    <s v="&lt;null&gt;"/>
    <s v="OVERIGE"/>
    <s v="&lt;null&gt;"/>
    <n v="100"/>
    <n v="35000"/>
    <n v="35000"/>
  </r>
  <r>
    <x v="706"/>
    <x v="706"/>
    <s v="Verkeersveiligheid"/>
    <x v="4"/>
    <n v="846"/>
    <s v="IN/000775"/>
    <s v="Ingreep schoolroute in Oostkamp op Kortrijksestraat"/>
    <s v="VVOP, variabele zone 30, verkeersgeleider, markeringen."/>
    <s v="Kleine Ingreep"/>
    <s v="WWV/INV/N50/7"/>
    <b v="0"/>
    <s v="Ingreep wordt niet opgevolgd in BOD"/>
    <n v="2022"/>
    <s v="Q2"/>
    <s v="WEGENIS"/>
    <s v="eiland"/>
    <n v="100"/>
    <n v="5000"/>
    <n v="5000"/>
  </r>
  <r>
    <x v="706"/>
    <x v="706"/>
    <s v="Verkeersveiligheid"/>
    <x v="4"/>
    <n v="846"/>
    <s v="IN/000775"/>
    <s v="Ingreep schoolroute in Oostkamp op Kortrijksestraat"/>
    <s v="VVOP, variabele zone 30, verkeersgeleider, markeringen."/>
    <s v="Kleine Ingreep"/>
    <s v="WWV/INV/N50/7"/>
    <b v="0"/>
    <s v="Ingreep wordt niet opgevolgd in BOD"/>
    <n v="2021"/>
    <s v="Q4"/>
    <s v="OVERIGE"/>
    <s v="zone 30"/>
    <n v="100"/>
    <n v="10000"/>
    <n v="10000"/>
  </r>
  <r>
    <x v="706"/>
    <x v="706"/>
    <s v="Verkeersveiligheid"/>
    <x v="4"/>
    <n v="846"/>
    <s v="IN/000775"/>
    <s v="Ingreep schoolroute in Oostkamp op Kortrijksestraat"/>
    <s v="VVOP, variabele zone 30, verkeersgeleider, markeringen."/>
    <s v="Kleine Ingreep"/>
    <s v="WWV/INV/N50/7"/>
    <b v="0"/>
    <s v="Ingreep wordt niet opgevolgd in BOD"/>
    <n v="2021"/>
    <s v="Q3"/>
    <s v="OV"/>
    <s v="VVOP"/>
    <n v="100"/>
    <n v="12800"/>
    <n v="12800"/>
  </r>
  <r>
    <x v="707"/>
    <x v="707"/>
    <s v="Verkeersveiligheid"/>
    <x v="4"/>
    <n v="847"/>
    <s v="IN/000776"/>
    <s v="Ingreep schoolroute in Oostkamp op N50 - Albrecht Rodenbachstraat"/>
    <s v="&lt;null&gt;"/>
    <s v="Kleine Ingreep"/>
    <s v="WWV/INV/N50/8"/>
    <b v="0"/>
    <s v="Ingreep wordt niet opgevolgd in BOD"/>
    <n v="2022"/>
    <s v="Q2"/>
    <s v="OVERIGE"/>
    <s v="&lt;null&gt;"/>
    <n v="100"/>
    <n v="4000"/>
    <n v="4000"/>
  </r>
  <r>
    <x v="708"/>
    <x v="708"/>
    <s v="Verkeersveiligheid"/>
    <x v="4"/>
    <n v="848"/>
    <s v="IN/000777"/>
    <s v="Ingreep schoolroute in Alken op N754/Oude Baan"/>
    <s v="&lt;null&gt;"/>
    <s v="Kleine Ingreep"/>
    <s v="WL/INV/N754/8"/>
    <b v="1"/>
    <s v="Ingreep wordt opgevolgd in BOD"/>
    <s v="&lt;null&gt;"/>
    <s v="&lt;null&gt;"/>
    <s v="OVERIGE"/>
    <s v="&lt;null&gt;"/>
    <n v="100"/>
    <n v="0"/>
    <n v="0"/>
  </r>
  <r>
    <x v="709"/>
    <x v="709"/>
    <s v="Verkeersveiligheid"/>
    <x v="4"/>
    <n v="849"/>
    <s v="IN/000778"/>
    <s v="FOP met middengeleider (PM studiebureau aan te stellen via MC3)"/>
    <s v="- snelheidsverlaging &gt; 50 km/u in ruimere zone dan kruispunt\n- dubbelrichtingsfietsoversteek met middengeleider"/>
    <s v="Kleine Ingreep"/>
    <s v="WL/INV/N754/11"/>
    <b v="0"/>
    <s v="Ingreep wordt niet opgevolgd in BOD"/>
    <s v="&lt;null&gt;"/>
    <s v="&lt;null&gt;"/>
    <s v="OVERIGE"/>
    <s v="&lt;null&gt;"/>
    <n v="100"/>
    <n v="10467"/>
    <n v="10467"/>
  </r>
  <r>
    <x v="710"/>
    <x v="710"/>
    <s v="Verkeersveiligheid"/>
    <x v="4"/>
    <n v="850"/>
    <s v="IN/000779"/>
    <s v="Ingreep schoolroute in Alken op N754 x Bosveldstraat"/>
    <s v="&lt;null&gt;"/>
    <s v="Kleine Ingreep"/>
    <s v="WL/INV/N754/7"/>
    <b v="1"/>
    <s v="Ingreep wordt opgevolgd in BOD"/>
    <s v="&lt;null&gt;"/>
    <s v="&lt;null&gt;"/>
    <s v="OVERIGE"/>
    <s v="&lt;null&gt;"/>
    <n v="100"/>
    <n v="0"/>
    <n v="0"/>
  </r>
  <r>
    <x v="711"/>
    <x v="711"/>
    <s v="Verkeersveiligheid"/>
    <x v="4"/>
    <n v="851"/>
    <s v="IN/000780"/>
    <s v="Ingreep schoolroute in Alken op N754 x Parkstraat"/>
    <s v="bijkomende VOP te markeren"/>
    <s v="Kleine Ingreep"/>
    <s v="WL/INV/N754/4"/>
    <b v="1"/>
    <s v="Ingreep wordt opgevolgd in BOD"/>
    <s v="&lt;null&gt;"/>
    <s v="&lt;null&gt;"/>
    <s v="OVERIGE"/>
    <s v="&lt;null&gt;"/>
    <n v="100"/>
    <n v="225"/>
    <n v="225"/>
  </r>
  <r>
    <x v="712"/>
    <x v="712"/>
    <s v="Verkeersveiligheid"/>
    <x v="4"/>
    <n v="852"/>
    <s v="IN/000781"/>
    <s v="Ingreep schoolroute in Alken op N754 Motstraat x Rode Kruisplein"/>
    <s v="bijkomende wegwijzer (centrum via trage verbinding)"/>
    <s v="Kleine Ingreep"/>
    <s v="WL/INV/N754/5"/>
    <b v="1"/>
    <s v="Ingreep wordt opgevolgd in BOD"/>
    <s v="&lt;null&gt;"/>
    <s v="&lt;null&gt;"/>
    <s v="OVERIGE"/>
    <s v="&lt;null&gt;"/>
    <n v="100"/>
    <n v="125"/>
    <n v="125"/>
  </r>
  <r>
    <x v="713"/>
    <x v="713"/>
    <s v="Verkeersveiligheid"/>
    <x v="4"/>
    <n v="853"/>
    <s v="IN/000782"/>
    <s v="halte toegankelijk inrichten en fietsinfra aanpassen (PM studiebureau aan te stellen MC3)"/>
    <m/>
    <s v="Kleine Ingreep"/>
    <s v="WL/INV/N79/7"/>
    <b v="0"/>
    <s v="Ingreep wordt niet opgevolgd in BOD"/>
    <n v="2022"/>
    <s v="&lt;null&gt;"/>
    <s v="OVERIGE"/>
    <s v="&lt;null&gt;"/>
    <n v="100"/>
    <n v="35382"/>
    <n v="35382"/>
  </r>
  <r>
    <x v="714"/>
    <x v="714"/>
    <s v="Verkeersveiligheid"/>
    <x v="4"/>
    <n v="854"/>
    <s v="IN/000783"/>
    <s v="Ingreep schoolroute in Tongeren op N614 x Wilstraat en N614 x Kraaibornstraat"/>
    <s v="&lt;null&gt;"/>
    <s v="Kleine Ingreep"/>
    <s v="WL/INV/N614/2"/>
    <b v="1"/>
    <s v="Ingreep wordt opgevolgd in BOD"/>
    <s v="&lt;null&gt;"/>
    <s v="&lt;null&gt;"/>
    <s v="OVERIGE"/>
    <s v="&lt;null&gt;"/>
    <n v="100"/>
    <n v="138"/>
    <n v="138"/>
  </r>
  <r>
    <x v="715"/>
    <x v="715"/>
    <s v="Verkeersveiligheid"/>
    <x v="4"/>
    <n v="855"/>
    <s v="IN/000784"/>
    <s v="Ingreep schoolroute in Tongeren op N614 x Wilstraat en N614 x Kraaibornstraat"/>
    <s v="&lt;null&gt;"/>
    <s v="Kleine Ingreep"/>
    <s v="WL/INV/N614/1"/>
    <b v="1"/>
    <s v="Ingreep wordt opgevolgd in BOD"/>
    <s v="&lt;null&gt;"/>
    <s v="&lt;null&gt;"/>
    <s v="OVERIGE"/>
    <s v="&lt;null&gt;"/>
    <n v="100"/>
    <n v="138"/>
    <n v="138"/>
  </r>
  <r>
    <x v="716"/>
    <x v="716"/>
    <s v="Verkeersveiligheid"/>
    <x v="4"/>
    <n v="856"/>
    <s v="IN/000785"/>
    <s v="Aanpassen VOP met voetgangersuitstulping (PM studiebureau aan te stellen via MC3)"/>
    <s v="&lt;null&gt;"/>
    <s v="Kleine Ingreep"/>
    <s v="WL/INV/N730/14"/>
    <b v="0"/>
    <s v="Ingreep wordt niet opgevolgd in BOD"/>
    <s v="&lt;null&gt;"/>
    <s v="&lt;null&gt;"/>
    <s v="OVERIGE"/>
    <s v="&lt;null&gt;"/>
    <n v="100"/>
    <n v="75000"/>
    <n v="75000"/>
  </r>
  <r>
    <x v="717"/>
    <x v="717"/>
    <s v="Verkeersveiligheid"/>
    <x v="4"/>
    <n v="857"/>
    <s v="IN/000786"/>
    <s v="Ingreep schoolroute in Zuienkerke op De  schoolomgeving (schoolroute) t.h.v. de gemeentelijk basisschool gelegen te Zuienkerke langs de gewestweg de Nieuwe Steenweg (N326)"/>
    <s v="&lt;null&gt;"/>
    <s v="Kleine Ingreep"/>
    <s v="WWV/INV/N326/2"/>
    <b v="0"/>
    <s v="Ingreep wordt niet opgevolgd in BOD"/>
    <n v="2021"/>
    <s v="Q3"/>
    <s v="OVERIGE"/>
    <s v="&lt;null&gt;"/>
    <n v="100"/>
    <n v="5000"/>
    <n v="5000"/>
  </r>
  <r>
    <x v="718"/>
    <x v="718"/>
    <s v="Verkeersveiligheid"/>
    <x v="4"/>
    <n v="858"/>
    <s v="IN/000787"/>
    <s v="Ingreep schoolroute in Begijnendijk op Oversteek N10 met veldstraat"/>
    <s v="Aanbrengen van middeneiland"/>
    <s v="Kleine Ingreep"/>
    <s v="WVB/INV/N10/3"/>
    <b v="0"/>
    <s v="Ingreep wordt niet opgevolgd in BOD"/>
    <n v="2022"/>
    <s v="Q3"/>
    <s v="OVERIGE"/>
    <s v="&lt;null&gt;"/>
    <n v="100"/>
    <n v="15000"/>
    <n v="15000"/>
  </r>
  <r>
    <x v="719"/>
    <x v="719"/>
    <s v="Verkeersveiligheid"/>
    <x v="4"/>
    <n v="859"/>
    <s v="IN/000788"/>
    <s v="Ingreep schoolroute in Beernem op Zebrapad Sint-Andreaslaan (N368) ter hoogte van Kleuterweelde"/>
    <s v="VVOP"/>
    <s v="Kleine Ingreep"/>
    <s v="WWV/INV/N368/9"/>
    <b v="1"/>
    <s v="Ingreep wordt opgevolgd in BOD"/>
    <n v="2022"/>
    <s v="Q2"/>
    <s v="OV"/>
    <s v="&lt;null&gt;"/>
    <n v="100"/>
    <n v="36000"/>
    <n v="36000"/>
  </r>
  <r>
    <x v="720"/>
    <x v="720"/>
    <s v="Verkeersveiligheid"/>
    <x v="4"/>
    <n v="860"/>
    <s v="IN/000789"/>
    <s v="Ingreep schoolroute in Beernem op Knesselarestraat (N337) tussen Beernemstraat en Oudezakstraat"/>
    <s v="fietslogo's"/>
    <s v="Kleine Ingreep"/>
    <s v="WWV/INV/N337/4"/>
    <b v="1"/>
    <s v="Ingreep wordt opgevolgd in BOD"/>
    <n v="2022"/>
    <s v="Q3"/>
    <s v="OVERIGE"/>
    <s v="&lt;null&gt;"/>
    <n v="100"/>
    <n v="6000"/>
    <n v="6000"/>
  </r>
  <r>
    <x v="720"/>
    <x v="720"/>
    <s v="Verkeersveiligheid"/>
    <x v="4"/>
    <n v="860"/>
    <s v="IN/000789"/>
    <s v="Ingreep schoolroute in Beernem op Knesselarestraat (N337) tussen Beernemstraat en Oudezakstraat"/>
    <s v="fietslogo's"/>
    <s v="Kleine Ingreep"/>
    <s v="WWV/INV/N337/4"/>
    <b v="1"/>
    <s v="Ingreep wordt opgevolgd in BOD"/>
    <n v="2022"/>
    <s v="Q3"/>
    <s v="OV"/>
    <s v="&lt;null&gt;"/>
    <n v="100"/>
    <n v="25000"/>
    <n v="25000"/>
  </r>
  <r>
    <x v="721"/>
    <x v="721"/>
    <s v="Verkeersveiligheid"/>
    <x v="4"/>
    <n v="861"/>
    <s v="IN/000790"/>
    <s v="Ingreep schoolroute in Zwijndrecht op N70 Dorp oost Dorp West Zwijndrecht (pioriteit 1)"/>
    <s v="&lt;null&gt;"/>
    <s v="Kleine Ingreep"/>
    <s v="WA/INV/N70/2"/>
    <b v="0"/>
    <s v="Ingreep wordt niet opgevolgd in BOD"/>
    <s v="&lt;null&gt;"/>
    <s v="&lt;null&gt;"/>
    <s v="OVERIGE"/>
    <s v="&lt;null&gt;"/>
    <n v="100"/>
    <n v="180000"/>
    <n v="180000"/>
  </r>
  <r>
    <x v="722"/>
    <x v="722"/>
    <s v="Verkeersveiligheid"/>
    <x v="4"/>
    <n v="862"/>
    <s v="IN/000791"/>
    <s v="Ingreep schoolroute in Zwijndrecht op N419 (Krijgsbaan) kruispunt met Melselestraat Zwijndrecht(prioriteit 2)"/>
    <s v="PCV dossier\nKS147 wordt geschrapt, KS145 opgewaardeerd"/>
    <s v="Kleine Ingreep"/>
    <s v="&lt;null&gt;"/>
    <b v="0"/>
    <s v="Ingreep wordt niet opgevolgd in BOD"/>
    <s v="&lt;null&gt;"/>
    <s v="&lt;null&gt;"/>
    <s v="OVERIGE"/>
    <s v="&lt;null&gt;"/>
    <n v="50"/>
    <n v="7500"/>
    <n v="3750"/>
  </r>
  <r>
    <x v="723"/>
    <x v="723"/>
    <s v="Verkeersveiligheid"/>
    <x v="4"/>
    <n v="862"/>
    <s v="IN/000791"/>
    <s v="Ingreep schoolroute in Zwijndrecht op N419 (Krijgsbaan) kruispunt met Melselestraat Zwijndrecht(prioriteit 2)"/>
    <s v="PCV dossier\nKS147 wordt geschrapt, KS145 opgewaardeerd"/>
    <s v="Kleine Ingreep"/>
    <s v="&lt;null&gt;"/>
    <b v="0"/>
    <s v="Ingreep wordt niet opgevolgd in BOD"/>
    <s v="&lt;null&gt;"/>
    <s v="&lt;null&gt;"/>
    <s v="OVERIGE"/>
    <s v="&lt;null&gt;"/>
    <n v="50"/>
    <n v="7500"/>
    <n v="3750"/>
  </r>
  <r>
    <x v="724"/>
    <x v="724"/>
    <s v="Verkeersveiligheid"/>
    <x v="4"/>
    <n v="863"/>
    <s v="IN/000792"/>
    <s v="Ingreep schoolroute in Zonhoven op Kruispunt N74 met de Donkweg"/>
    <s v="&lt;null&gt;"/>
    <s v="Structurele Ingreep"/>
    <s v="&lt;null&gt;"/>
    <b v="0"/>
    <s v="Ingreep wordt niet opgevolgd in BOD"/>
    <s v="&lt;null&gt;"/>
    <s v="&lt;null&gt;"/>
    <s v="OVERIGE"/>
    <s v="&lt;null&gt;"/>
    <n v="100"/>
    <n v="0"/>
    <n v="0"/>
  </r>
  <r>
    <x v="725"/>
    <x v="725"/>
    <s v="Verkeersveiligheid"/>
    <x v="4"/>
    <n v="864"/>
    <s v="IN/000793"/>
    <s v="Aanpassen fietsinfrastructuur (PM Jan Nijsen Sweco)"/>
    <s v="&lt;null&gt;"/>
    <s v="Kleine Ingreep"/>
    <s v="WL/INV/N29/3"/>
    <b v="1"/>
    <s v="Ingreep wordt opgevolgd in BOD"/>
    <s v="&lt;null&gt;"/>
    <s v="&lt;null&gt;"/>
    <s v="OVERIGE"/>
    <s v="&lt;null&gt;"/>
    <n v="100"/>
    <n v="100000"/>
    <n v="100000"/>
  </r>
  <r>
    <x v="726"/>
    <x v="726"/>
    <s v="Verkeersveiligheid"/>
    <x v="4"/>
    <n v="865"/>
    <s v="IN/000794"/>
    <s v="Ingreep schoolroute in Beringen op Diestersesteenweg x Schaffensesteenweg"/>
    <s v="paaltjes"/>
    <s v="Kleine Ingreep"/>
    <s v="WL/INV/N29/2"/>
    <b v="1"/>
    <s v="Ingreep wordt opgevolgd in BOD"/>
    <s v="&lt;null&gt;"/>
    <s v="&lt;null&gt;"/>
    <s v="OVERIGE"/>
    <s v="&lt;null&gt;"/>
    <n v="100"/>
    <n v="140"/>
    <n v="140"/>
  </r>
  <r>
    <x v="727"/>
    <x v="727"/>
    <s v="Verkeersveiligheid"/>
    <x v="4"/>
    <n v="866"/>
    <s v="IN/000795"/>
    <s v="Oversteekbaarheid verbeteren"/>
    <s v="Knip Wijerstraat\nVOP verplaatsen, verbreden, punctueel verlichten\nOmegabeugels dichten voor betere looplijn naar VOP\n"/>
    <s v="Kleine Ingreep"/>
    <s v="WL/INV/N29/5"/>
    <b v="0"/>
    <s v="Ingreep wordt niet opgevolgd in BOD"/>
    <s v="&lt;null&gt;"/>
    <s v="&lt;null&gt;"/>
    <s v="OVERIGE"/>
    <s v="&lt;null&gt;"/>
    <n v="100"/>
    <n v="11583"/>
    <n v="11583"/>
  </r>
  <r>
    <x v="728"/>
    <x v="728"/>
    <s v="Verkeersveiligheid"/>
    <x v="4"/>
    <n v="867"/>
    <s v="IN/000796"/>
    <s v="Ingreep schoolroute in Wezembeek-Oppem op Mechelsesteenweg thv Koningsstraatje"/>
    <s v="VVOP met aanpassing wegenis"/>
    <s v="Kleine Ingreep"/>
    <s v="WVB/INV/N227/4"/>
    <b v="1"/>
    <s v="Ingreep wordt opgevolgd in BOD"/>
    <n v="2021"/>
    <s v="Q3"/>
    <s v="OV"/>
    <s v="VVOP"/>
    <n v="100"/>
    <n v="47841.84"/>
    <n v="47841.84"/>
  </r>
  <r>
    <x v="729"/>
    <x v="729"/>
    <s v="Verkeersveiligheid"/>
    <x v="4"/>
    <n v="868"/>
    <s v="IN/000797"/>
    <s v="Ingreep schoolroute in Lommel op N712 Werkplaatsen x Martinus Van Gurplaan"/>
    <s v="&lt;null&gt;"/>
    <s v="Kleine Ingreep"/>
    <s v="WL/INV/N712/4"/>
    <b v="1"/>
    <s v="Ingreep wordt opgevolgd in BOD"/>
    <s v="&lt;null&gt;"/>
    <s v="&lt;null&gt;"/>
    <s v="OVERIGE"/>
    <s v="&lt;null&gt;"/>
    <n v="100"/>
    <n v="30000"/>
    <n v="30000"/>
  </r>
  <r>
    <x v="730"/>
    <x v="730"/>
    <s v="Verkeersveiligheid"/>
    <x v="4"/>
    <n v="869"/>
    <s v="IN/000798"/>
    <s v="Ingreep schoolroute in Lommel op N712 x N769"/>
    <s v="&lt;null&gt;"/>
    <s v="Kleine Ingreep"/>
    <s v="WL/INV/N712/8"/>
    <b v="0"/>
    <s v="Ingreep wordt niet opgevolgd in BOD"/>
    <s v="&lt;null&gt;"/>
    <s v="&lt;null&gt;"/>
    <s v="OVERIGE"/>
    <s v="&lt;null&gt;"/>
    <n v="100"/>
    <n v="0"/>
    <n v="0"/>
  </r>
  <r>
    <x v="731"/>
    <x v="731"/>
    <s v="Verkeersveiligheid"/>
    <x v="4"/>
    <n v="870"/>
    <s v="IN/000799"/>
    <s v="Blokkenmarkering aanbrengen"/>
    <s v="blokkenmarkering aanbrengen + punctuele verlichting"/>
    <s v="Kleine Ingreep"/>
    <s v="WL/INV/N746/3"/>
    <b v="1"/>
    <s v="Ingreep wordt opgevolgd in BOD"/>
    <n v="2021"/>
    <s v="&lt;null&gt;"/>
    <s v="OVERIGE"/>
    <s v="&lt;null&gt;"/>
    <n v="100"/>
    <n v="526.20000000000005"/>
    <n v="526.20000000000005"/>
  </r>
  <r>
    <x v="732"/>
    <x v="732"/>
    <s v="Verkeersveiligheid"/>
    <x v="4"/>
    <n v="871"/>
    <s v="IN/000800"/>
    <s v="Ingreep schoolroute in Lommel op N746 x Gelderhorsten"/>
    <s v="stukje fietspad herstellen/effenen"/>
    <s v="Kleine Ingreep"/>
    <s v="WL/INV/N746/1"/>
    <b v="1"/>
    <s v="Ingreep wordt opgevolgd in BOD"/>
    <s v="&lt;null&gt;"/>
    <s v="&lt;null&gt;"/>
    <s v="OVERIGE"/>
    <s v="&lt;null&gt;"/>
    <n v="100"/>
    <n v="5320"/>
    <n v="5320"/>
  </r>
  <r>
    <x v="733"/>
    <x v="733"/>
    <s v="Verkeersveiligheid"/>
    <x v="4"/>
    <n v="872"/>
    <s v="IN/000801"/>
    <s v="Ingreep schoolroute in Lommel op N712 x Koning Leopoldlaan thv Texaco"/>
    <s v="herstelling fietspad en extra VOP"/>
    <s v="Kleine Ingreep"/>
    <s v="WL/INV/N712/6"/>
    <b v="1"/>
    <s v="Ingreep wordt opgevolgd in BOD"/>
    <s v="&lt;null&gt;"/>
    <s v="&lt;null&gt;"/>
    <s v="OVERIGE"/>
    <s v="&lt;null&gt;"/>
    <n v="100"/>
    <n v="12652"/>
    <n v="12652"/>
  </r>
  <r>
    <x v="734"/>
    <x v="734"/>
    <s v="Verkeersveiligheid"/>
    <x v="4"/>
    <n v="873"/>
    <s v="IN/000802"/>
    <s v="Nieuwe VOP (PM Jordy Weckx Sweco)"/>
    <m/>
    <s v="Kleine Ingreep"/>
    <s v="WL/INV/N712/9"/>
    <b v="1"/>
    <s v="Ingreep wordt opgevolgd in BOD"/>
    <n v="2022"/>
    <s v="&lt;null&gt;"/>
    <s v="OVERIGE"/>
    <s v="&lt;null&gt;"/>
    <n v="100"/>
    <n v="10000"/>
    <n v="10000"/>
  </r>
  <r>
    <x v="735"/>
    <x v="735"/>
    <s v="Verkeersveiligheid"/>
    <x v="4"/>
    <n v="874"/>
    <s v="IN/000803"/>
    <s v="Ingreep schoolroute in Lommel op N712 Molsekiezel x Sterstraat"/>
    <s v="snelheidsverlaging &gt; 50 (samen met KS 175)"/>
    <s v="Kleine Ingreep"/>
    <s v="WL/INV/N712/5"/>
    <b v="1"/>
    <s v="Ingreep wordt opgevolgd in BOD"/>
    <s v="&lt;null&gt;"/>
    <s v="&lt;null&gt;"/>
    <s v="OVERIGE"/>
    <s v="&lt;null&gt;"/>
    <n v="100"/>
    <n v="828"/>
    <n v="828"/>
  </r>
  <r>
    <x v="736"/>
    <x v="736"/>
    <s v="Verkeersveiligheid"/>
    <x v="4"/>
    <n v="875"/>
    <s v="IN/000804"/>
    <s v="Ingreep schoolroute in Lommel op N712 Molsekiezel x Wijerken"/>
    <s v="snelheidsverlaging &gt; 50"/>
    <s v="Kleine Ingreep"/>
    <s v="WL/INV/N712/5"/>
    <b v="1"/>
    <s v="Ingreep wordt opgevolgd in BOD"/>
    <s v="&lt;null&gt;"/>
    <s v="&lt;null&gt;"/>
    <s v="OVERIGE"/>
    <s v="&lt;null&gt;"/>
    <n v="100"/>
    <n v="0"/>
    <n v="0"/>
  </r>
  <r>
    <x v="737"/>
    <x v="737"/>
    <s v="Verkeersveiligheid"/>
    <x v="4"/>
    <n v="876"/>
    <s v="IN/000805"/>
    <s v="Aangepaste markeringen"/>
    <s v="volle aslijn in aanloop naar het kruispunt (beide richtingen)."/>
    <s v="Kleine Ingreep"/>
    <s v="WL/INV/N627/1"/>
    <b v="0"/>
    <s v="Ingreep wordt niet opgevolgd in BOD"/>
    <n v="2022"/>
    <s v="&lt;null&gt;"/>
    <s v="OVERIGE"/>
    <s v="&lt;null&gt;"/>
    <n v="100"/>
    <n v="10000"/>
    <n v="10000"/>
  </r>
  <r>
    <x v="738"/>
    <x v="738"/>
    <s v="Verkeersveiligheid"/>
    <x v="4"/>
    <n v="877"/>
    <s v="IN/000806"/>
    <s v="nieuwe VRI + verlagen snelheid"/>
    <m/>
    <s v="Kleine Ingreep"/>
    <s v="WL/INV/N746/13"/>
    <b v="0"/>
    <s v="Ingreep wordt niet opgevolgd in BOD"/>
    <n v="2023"/>
    <s v="Q2"/>
    <s v="WEGENIS"/>
    <s v="&lt;null&gt;"/>
    <n v="100"/>
    <n v="100000"/>
    <n v="100000"/>
  </r>
  <r>
    <x v="739"/>
    <x v="739"/>
    <s v="Verkeersveiligheid"/>
    <x v="4"/>
    <n v="878"/>
    <s v="IN/000807"/>
    <s v="Ingreep schoolroute in Voeren op Kruising N648-Plankerweg-De Plank"/>
    <s v="&lt;null&gt;"/>
    <s v="Kleine Ingreep"/>
    <s v="WL/INV/N648/3"/>
    <b v="1"/>
    <s v="Ingreep wordt opgevolgd in BOD"/>
    <s v="&lt;null&gt;"/>
    <s v="&lt;null&gt;"/>
    <s v="OVERIGE"/>
    <s v="&lt;null&gt;"/>
    <n v="100"/>
    <n v="837"/>
    <n v="837"/>
  </r>
  <r>
    <x v="740"/>
    <x v="740"/>
    <s v="Verkeersveiligheid"/>
    <x v="4"/>
    <n v="879"/>
    <s v="IN/000808"/>
    <s v="Ingreep schoolroute in Kampenhout op N26 Leuvensesteenweg"/>
    <s v="&lt;null&gt;"/>
    <s v="Kleine Ingreep"/>
    <s v="WVB/INV/N26/9"/>
    <b v="1"/>
    <s v="Ingreep wordt opgevolgd in BOD"/>
    <n v="2021"/>
    <s v="Q4"/>
    <s v="OVERIGE"/>
    <s v="Opmaak studieplan + plaatsing voor VVOP is bij aannemer."/>
    <n v="100"/>
    <n v="30000"/>
    <n v="30000"/>
  </r>
  <r>
    <x v="741"/>
    <x v="741"/>
    <s v="Verkeersveiligheid"/>
    <x v="4"/>
    <n v="880"/>
    <s v="IN/000809"/>
    <s v="Ingreep schoolroute in Sint-Katelijne-Waver op Conforme fietspaden voorzien op N14 en N15a + Veiligheid kruispunt Albertstraat x N14 + Veiligheid kruispunt Ijzerenveld x N15a"/>
    <s v="Heraanleg kruisput + VRI + Toeganelijkehaltes"/>
    <s v="Kleine Ingreep"/>
    <s v="WA/INV/N14/9"/>
    <b v="0"/>
    <s v="Ingreep wordt niet opgevolgd in BOD"/>
    <n v="2023"/>
    <s v="Q1"/>
    <s v="VRI"/>
    <s v="&lt;null&gt;"/>
    <n v="100"/>
    <n v="100000"/>
    <n v="100000"/>
  </r>
  <r>
    <x v="741"/>
    <x v="741"/>
    <s v="Verkeersveiligheid"/>
    <x v="4"/>
    <n v="880"/>
    <s v="IN/000809"/>
    <s v="Ingreep schoolroute in Sint-Katelijne-Waver op Conforme fietspaden voorzien op N14 en N15a + Veiligheid kruispunt Albertstraat x N14 + Veiligheid kruispunt Ijzerenveld x N15a"/>
    <s v="Heraanleg kruisput + VRI + Toeganelijkehaltes"/>
    <s v="Kleine Ingreep"/>
    <s v="WA/INV/N14/9"/>
    <b v="0"/>
    <s v="Ingreep wordt niet opgevolgd in BOD"/>
    <n v="2023"/>
    <s v="Q1"/>
    <s v="WEGENIS"/>
    <s v="nog verder te ramen"/>
    <n v="100"/>
    <n v="100000"/>
    <n v="100000"/>
  </r>
  <r>
    <x v="742"/>
    <x v="742"/>
    <s v="Verkeersveiligheid"/>
    <x v="4"/>
    <n v="881"/>
    <s v="IN/000810"/>
    <s v="Ingreep schoolroute in Sint-Katelijne-Waver op Conforme fietspaden voorzien op N14 en N15a + Veiligheid kruispunt Albertstraat x N14 + Veiligheid kruispunt Ijzerenveld x N15a"/>
    <s v="PCV AN313"/>
    <s v="Kleine Ingreep"/>
    <s v="&lt;null&gt;"/>
    <b v="0"/>
    <s v="Ingreep wordt niet opgevolgd in BOD"/>
    <s v="&lt;null&gt;"/>
    <s v="&lt;null&gt;"/>
    <s v="&lt;null&gt;"/>
    <s v="&lt;null&gt;"/>
    <n v="50"/>
    <m/>
    <m/>
  </r>
  <r>
    <x v="743"/>
    <x v="743"/>
    <s v="Verkeersveiligheid"/>
    <x v="4"/>
    <n v="881"/>
    <s v="IN/000810"/>
    <s v="Ingreep schoolroute in Sint-Katelijne-Waver op Conforme fietspaden voorzien op N14 en N15a + Veiligheid kruispunt Albertstraat x N14 + Veiligheid kruispunt Ijzerenveld x N15a"/>
    <s v="PCV AN313"/>
    <s v="Kleine Ingreep"/>
    <s v="&lt;null&gt;"/>
    <b v="0"/>
    <s v="Ingreep wordt niet opgevolgd in BOD"/>
    <s v="&lt;null&gt;"/>
    <s v="&lt;null&gt;"/>
    <s v="&lt;null&gt;"/>
    <s v="&lt;null&gt;"/>
    <n v="50"/>
    <m/>
    <m/>
  </r>
  <r>
    <x v="744"/>
    <x v="744"/>
    <s v="Verkeersveiligheid"/>
    <x v="4"/>
    <n v="882"/>
    <s v="IN/000811"/>
    <s v="Trajectcontrole in Bocholt op Hamonterweg N76 t.h.v. basisschool 'de Boomhut'"/>
    <s v="Trajectcontrole: geen actie nodig; gemeente gaat zelf installeren onder GAS5"/>
    <s v="Kleine Ingreep"/>
    <s v="WL/INV/N76/22"/>
    <b v="0"/>
    <s v="Ingreep wordt niet opgevolgd in BOD"/>
    <s v="&lt;null&gt;"/>
    <s v="&lt;null&gt;"/>
    <s v="OVERIGE"/>
    <s v="&lt;null&gt;"/>
    <n v="100"/>
    <n v="150000"/>
    <n v="150000"/>
  </r>
  <r>
    <x v="745"/>
    <x v="745"/>
    <s v="Verkeersveiligheid"/>
    <x v="4"/>
    <n v="883"/>
    <s v="IN/000812"/>
    <s v="Ingreep schoolroute in Nijlen op Kruispunt Smoutmolendreef - N13 - Oude Bevelsesteenweg"/>
    <s v="&lt;null&gt;"/>
    <s v="Kleine Ingreep"/>
    <s v="WA/INV/N13/9"/>
    <b v="0"/>
    <s v="Ingreep wordt niet opgevolgd in BOD"/>
    <s v="&lt;null&gt;"/>
    <s v="&lt;null&gt;"/>
    <s v="OVERIGE"/>
    <s v="&lt;null&gt;"/>
    <n v="100"/>
    <n v="500"/>
    <n v="500"/>
  </r>
  <r>
    <x v="746"/>
    <x v="746"/>
    <s v="Verkeersveiligheid"/>
    <x v="4"/>
    <n v="884"/>
    <s v="IN/000813"/>
    <s v="Ingreep schoolroute in Nijlen op Kruispunt De Hollekens - N13 - Voetweg"/>
    <s v="&lt;null&gt;"/>
    <s v="Kleine Ingreep"/>
    <s v="WA/INV/N13/10"/>
    <b v="0"/>
    <s v="Ingreep wordt niet opgevolgd in BOD"/>
    <s v="&lt;null&gt;"/>
    <s v="&lt;null&gt;"/>
    <s v="OVERIGE"/>
    <s v="&lt;null&gt;"/>
    <n v="100"/>
    <n v="35000"/>
    <n v="35000"/>
  </r>
  <r>
    <x v="747"/>
    <x v="747"/>
    <s v="Verkeersveiligheid"/>
    <x v="4"/>
    <n v="885"/>
    <s v="IN/000814"/>
    <s v="Ingreep schoolroute in Nijlen op Kruispunt N13 - Ophoven - doorsteek Azalealaan"/>
    <s v="&lt;null&gt;"/>
    <s v="Kleine Ingreep"/>
    <s v="WA/INV/N13/8"/>
    <b v="0"/>
    <s v="Ingreep wordt niet opgevolgd in BOD"/>
    <s v="&lt;null&gt;"/>
    <s v="&lt;null&gt;"/>
    <s v="OVERIGE"/>
    <s v="&lt;null&gt;"/>
    <n v="100"/>
    <n v="35000"/>
    <n v="35000"/>
  </r>
  <r>
    <x v="748"/>
    <x v="748"/>
    <s v="Verkeersveiligheid"/>
    <x v="4"/>
    <n v="886"/>
    <s v="IN/000815"/>
    <s v="Ingreep schoolroute in Nijlen op Kruispunt G. Gezellestraat - N13 - Molenstraat"/>
    <s v="&lt;null&gt;"/>
    <s v="Kleine Ingreep"/>
    <s v="WA/INV/N13/11"/>
    <b v="0"/>
    <s v="Ingreep wordt niet opgevolgd in BOD"/>
    <s v="&lt;null&gt;"/>
    <s v="&lt;null&gt;"/>
    <s v="OVERIGE"/>
    <s v="&lt;null&gt;"/>
    <n v="100"/>
    <n v="35000"/>
    <n v="35000"/>
  </r>
  <r>
    <x v="749"/>
    <x v="749"/>
    <s v="Verkeersveiligheid"/>
    <x v="4"/>
    <n v="887"/>
    <s v="IN/000816"/>
    <s v="Ingreep schoolroute in Nijlen op Kruispunt N13 - Elsendonkstraat"/>
    <s v="&lt;null&gt;"/>
    <s v="Kleine Ingreep"/>
    <s v="WA/INV/N13/12"/>
    <b v="0"/>
    <s v="Ingreep wordt niet opgevolgd in BOD"/>
    <s v="&lt;null&gt;"/>
    <s v="&lt;null&gt;"/>
    <s v="OVERIGE"/>
    <s v="&lt;null&gt;"/>
    <n v="100"/>
    <n v="500"/>
    <n v="500"/>
  </r>
  <r>
    <x v="750"/>
    <x v="750"/>
    <s v="Verkeersveiligheid"/>
    <x v="4"/>
    <n v="888"/>
    <s v="IN/000817"/>
    <s v="Ingreep schoolroute in Nijlen op Segment N13 tussen Elsendonkstraat en Klokkenlaan"/>
    <s v="&lt;null&gt;"/>
    <s v="Kleine Ingreep"/>
    <s v="WA/INV/N13/13"/>
    <b v="0"/>
    <s v="Ingreep wordt niet opgevolgd in BOD"/>
    <s v="&lt;null&gt;"/>
    <s v="&lt;null&gt;"/>
    <s v="OVERIGE"/>
    <s v="&lt;null&gt;"/>
    <n v="100"/>
    <n v="2500"/>
    <n v="2500"/>
  </r>
  <r>
    <x v="751"/>
    <x v="751"/>
    <s v="Verkeersveiligheid"/>
    <x v="4"/>
    <n v="889"/>
    <s v="IN/000818"/>
    <s v="Ingreep schoolroute in Nijlen op Kruispunt Klokkenlaan - N13"/>
    <s v="&lt;null&gt;"/>
    <s v="Kleine Ingreep"/>
    <s v="&lt;null&gt;"/>
    <b v="0"/>
    <s v="Ingreep wordt niet opgevolgd in BOD"/>
    <s v="&lt;null&gt;"/>
    <s v="&lt;null&gt;"/>
    <s v="OVERIGE"/>
    <s v="&lt;null&gt;"/>
    <n v="100"/>
    <n v="4000"/>
    <n v="4000"/>
  </r>
  <r>
    <x v="752"/>
    <x v="752"/>
    <s v="Verkeersveiligheid"/>
    <x v="4"/>
    <n v="890"/>
    <s v="IN/000819"/>
    <s v="Ingreep schoolroute in Nijlen op Kruispunt N13 - N116 - Nonnenstraat - Kerkstraat"/>
    <s v="&lt;null&gt;"/>
    <s v="Kleine Ingreep"/>
    <s v="&lt;null&gt;"/>
    <b v="0"/>
    <s v="Ingreep wordt niet opgevolgd in BOD"/>
    <s v="&lt;null&gt;"/>
    <s v="&lt;null&gt;"/>
    <s v="OVERIGE"/>
    <s v="&lt;null&gt;"/>
    <n v="34"/>
    <n v="150000"/>
    <n v="51000"/>
  </r>
  <r>
    <x v="753"/>
    <x v="753"/>
    <s v="Verkeersveiligheid"/>
    <x v="4"/>
    <n v="890"/>
    <s v="IN/000819"/>
    <s v="Ingreep schoolroute in Nijlen op Kruispunt N13 - N116 - Nonnenstraat - Kerkstraat"/>
    <s v="&lt;null&gt;"/>
    <s v="Kleine Ingreep"/>
    <s v="&lt;null&gt;"/>
    <b v="0"/>
    <s v="Ingreep wordt niet opgevolgd in BOD"/>
    <s v="&lt;null&gt;"/>
    <s v="&lt;null&gt;"/>
    <s v="OVERIGE"/>
    <s v="&lt;null&gt;"/>
    <n v="33"/>
    <n v="150000"/>
    <n v="49500"/>
  </r>
  <r>
    <x v="754"/>
    <x v="754"/>
    <s v="Verkeersveiligheid"/>
    <x v="4"/>
    <n v="890"/>
    <s v="IN/000819"/>
    <s v="Ingreep schoolroute in Nijlen op Kruispunt N13 - N116 - Nonnenstraat - Kerkstraat"/>
    <s v="&lt;null&gt;"/>
    <s v="Kleine Ingreep"/>
    <s v="&lt;null&gt;"/>
    <b v="0"/>
    <s v="Ingreep wordt niet opgevolgd in BOD"/>
    <s v="&lt;null&gt;"/>
    <s v="&lt;null&gt;"/>
    <s v="OVERIGE"/>
    <s v="&lt;null&gt;"/>
    <n v="33"/>
    <n v="150000"/>
    <n v="49500"/>
  </r>
  <r>
    <x v="755"/>
    <x v="755"/>
    <s v="Verkeersveiligheid"/>
    <x v="4"/>
    <n v="891"/>
    <s v="IN/000820"/>
    <s v="Ingreep schoolroute in Nijlen op Kessel-Dorp thv huisnummer 61"/>
    <s v="&lt;null&gt;"/>
    <s v="Kleine Ingreep"/>
    <s v="WA/INV/N13/14"/>
    <b v="0"/>
    <s v="Ingreep wordt niet opgevolgd in BOD"/>
    <s v="&lt;null&gt;"/>
    <s v="&lt;null&gt;"/>
    <s v="OVERIGE"/>
    <s v="&lt;null&gt;"/>
    <n v="100"/>
    <n v="2500"/>
    <n v="2500"/>
  </r>
  <r>
    <x v="756"/>
    <x v="756"/>
    <s v="Verkeersveiligheid"/>
    <x v="4"/>
    <n v="892"/>
    <s v="IN/000821"/>
    <s v="FOP met middengeleider (PM  studiebureau aan te stellen)"/>
    <s v="Fietsoversteek met middengeleider en aanleg noodzakelijke stukjes dubbelrichtingsfietspad + VFOP"/>
    <s v="Kleine Ingreep"/>
    <s v="WL/INV/N717/5"/>
    <b v="1"/>
    <s v="Ingreep wordt opgevolgd in BOD"/>
    <n v="2023"/>
    <s v="Q2"/>
    <s v="OVERIGE"/>
    <s v="&lt;null&gt;"/>
    <n v="100"/>
    <n v="206745"/>
    <n v="206745"/>
  </r>
  <r>
    <x v="757"/>
    <x v="757"/>
    <s v="Verkeersveiligheid"/>
    <x v="4"/>
    <n v="893"/>
    <s v="IN/000822"/>
    <s v="Ingreep schoolroute in Lummen op kruispunt N717 - Geneikenstraat"/>
    <s v="punctuele verlichting"/>
    <s v="Kleine Ingreep"/>
    <s v="WL/INV/N717/8"/>
    <b v="0"/>
    <s v="Ingreep wordt niet opgevolgd in BOD"/>
    <n v="2022"/>
    <s v="&lt;null&gt;"/>
    <s v="OV"/>
    <s v="&lt;null&gt;"/>
    <n v="100"/>
    <n v="150000"/>
    <n v="150000"/>
  </r>
  <r>
    <x v="758"/>
    <x v="758"/>
    <s v="Verkeersveiligheid"/>
    <x v="4"/>
    <n v="894"/>
    <s v="IN/000823"/>
    <s v="Ingreep schoolroute in Boortmeerbeek op Kruispunt N267 x F8"/>
    <s v="&lt;null&gt;"/>
    <s v="Kleine Ingreep"/>
    <s v="WVB/INV/N267/3"/>
    <b v="0"/>
    <s v="Ingreep wordt niet opgevolgd in BOD"/>
    <n v="2023"/>
    <s v="Q1"/>
    <s v="OVERIGE"/>
    <s v="&lt;null&gt;"/>
    <n v="100"/>
    <n v="20000"/>
    <n v="20000"/>
  </r>
  <r>
    <x v="759"/>
    <x v="759"/>
    <s v="Verkeersveiligheid"/>
    <x v="4"/>
    <n v="894"/>
    <s v="IN/000823"/>
    <s v="Ingreep schoolroute in Boortmeerbeek op Kruispunt N267 x F8"/>
    <s v="&lt;null&gt;"/>
    <s v="Kleine Ingreep"/>
    <s v="WVB/INV/N267/3"/>
    <b v="0"/>
    <s v="Ingreep wordt niet opgevolgd in BOD"/>
    <n v="2023"/>
    <s v="Q1"/>
    <s v="OVERIGE"/>
    <s v="&lt;null&gt;"/>
    <n v="0"/>
    <n v="20000"/>
    <n v="0"/>
  </r>
  <r>
    <x v="760"/>
    <x v="760"/>
    <s v="Verkeersveiligheid"/>
    <x v="4"/>
    <n v="895"/>
    <s v="IN/000824"/>
    <s v="Ingreep schoolroute in Boortmeerbeek op Oversteekplaats N267 x Goorweg"/>
    <s v="&lt;null&gt;"/>
    <s v="Kleine Ingreep"/>
    <s v="WVB/INV/N267/5"/>
    <b v="0"/>
    <s v="Ingreep wordt niet opgevolgd in BOD"/>
    <n v="2022"/>
    <s v="Q4"/>
    <s v="OVERIGE"/>
    <s v="&lt;null&gt;"/>
    <n v="100"/>
    <n v="12000"/>
    <n v="12000"/>
  </r>
  <r>
    <x v="18"/>
    <x v="18"/>
    <s v="&lt;null&gt;"/>
    <x v="3"/>
    <n v="896"/>
    <s v="IN/000825"/>
    <s v="Ingreep schoolroute in Boortmeerbeek op Kruispunt N267 x Terlindenlaan"/>
    <s v="&lt;null&gt;"/>
    <s v="Kleine Ingreep"/>
    <s v="WVB/INV/NX/4"/>
    <b v="0"/>
    <s v="Ingreep wordt niet opgevolgd in BOD"/>
    <s v="&lt;null&gt;"/>
    <s v="&lt;null&gt;"/>
    <s v="OVERIGE"/>
    <s v="&lt;null&gt;"/>
    <m/>
    <n v="7500"/>
    <m/>
  </r>
  <r>
    <x v="761"/>
    <x v="761"/>
    <s v="Verkeersveiligheid"/>
    <x v="4"/>
    <n v="897"/>
    <s v="IN/000826"/>
    <s v="Ingreep schoolroute in Boortmeerbeek op N26 x Kwaenijkstraat"/>
    <s v="Korte afslagstrook in belijning"/>
    <s v="Kleine Ingreep"/>
    <s v="&lt;null&gt;"/>
    <b v="0"/>
    <s v="Ingreep wordt niet opgevolgd in BOD"/>
    <n v="2023"/>
    <s v="Q1"/>
    <s v="OVERIGE"/>
    <s v="raming studiebureau"/>
    <n v="100"/>
    <n v="7730"/>
    <n v="7730"/>
  </r>
  <r>
    <x v="762"/>
    <x v="762"/>
    <s v="Verkeersveiligheid"/>
    <x v="4"/>
    <n v="898"/>
    <s v="IN/000827"/>
    <s v="Ingreep schoolroute in Boortmeerbeek op N26 x Bieststraat"/>
    <s v="&lt;null&gt;"/>
    <s v="Kleine Ingreep"/>
    <s v="WVB/INV/N26/10"/>
    <b v="0"/>
    <s v="Ingreep wordt niet opgevolgd in BOD"/>
    <s v="&lt;null&gt;"/>
    <s v="&lt;null&gt;"/>
    <s v="OVERIGE"/>
    <s v="&lt;null&gt;"/>
    <n v="100"/>
    <n v="2500"/>
    <n v="2500"/>
  </r>
  <r>
    <x v="763"/>
    <x v="763"/>
    <s v="Verkeersveiligheid"/>
    <x v="4"/>
    <n v="899"/>
    <s v="IN/000828"/>
    <s v="Ingreep schoolroute in Boortmeerbeek op N26 x Bieststraat"/>
    <s v="&lt;null&gt;"/>
    <s v="Kleine Ingreep"/>
    <s v="WVB/INV/N26/11"/>
    <b v="0"/>
    <s v="Ingreep wordt niet opgevolgd in BOD"/>
    <s v="&lt;null&gt;"/>
    <s v="&lt;null&gt;"/>
    <s v="OVERIGE"/>
    <s v="&lt;null&gt;"/>
    <n v="100"/>
    <n v="4000"/>
    <n v="4000"/>
  </r>
  <r>
    <x v="18"/>
    <x v="18"/>
    <s v="&lt;null&gt;"/>
    <x v="3"/>
    <n v="900"/>
    <s v="IN/000829"/>
    <s v="Ingreep schoolroute in Boortmeerbeek op N26 x Audenhovenlaan"/>
    <s v="&lt;null&gt;"/>
    <s v="Kleine Ingreep"/>
    <s v="WVB/INV/N26/12"/>
    <b v="0"/>
    <s v="Ingreep wordt niet opgevolgd in BOD"/>
    <s v="&lt;null&gt;"/>
    <s v="&lt;null&gt;"/>
    <s v="OVERIGE"/>
    <s v="&lt;null&gt;"/>
    <m/>
    <n v="120000"/>
    <m/>
  </r>
  <r>
    <x v="764"/>
    <x v="764"/>
    <s v="Verkeersveiligheid"/>
    <x v="4"/>
    <n v="901"/>
    <s v="IN/000830"/>
    <s v="Ingreep schoolroute in Boortmeerbeek op N26 oversteek Molenbeek"/>
    <s v="recht of schuin oversteken afhankelijk van ontwikkelaar of niet"/>
    <s v="Kleine Ingreep"/>
    <s v="WVB/INV/N26/13"/>
    <b v="0"/>
    <s v="Ingreep wordt niet opgevolgd in BOD"/>
    <n v="2022"/>
    <s v="Q4"/>
    <s v="OVERIGE"/>
    <s v="raming studiebureau"/>
    <n v="100"/>
    <n v="14168"/>
    <n v="14168"/>
  </r>
  <r>
    <x v="765"/>
    <x v="765"/>
    <s v="Verkeersveiligheid"/>
    <x v="4"/>
    <n v="902"/>
    <s v="IN/000831"/>
    <s v="Ingreep schoolroute in Boortmeerbeek op N26 x Beringstraat"/>
    <s v="&lt;null&gt;"/>
    <s v="Kleine Ingreep"/>
    <s v="WVB/INV/N26/18"/>
    <b v="0"/>
    <s v="Ingreep wordt niet opgevolgd in BOD"/>
    <n v="2022"/>
    <s v="Q4"/>
    <s v="OVERIGE"/>
    <s v="raming studiebureau"/>
    <n v="100"/>
    <n v="292727"/>
    <n v="292727"/>
  </r>
  <r>
    <x v="766"/>
    <x v="766"/>
    <s v="Verkeersveiligheid"/>
    <x v="4"/>
    <n v="903"/>
    <s v="IN/000832"/>
    <s v="Ingreep schoolroute in Boortmeerbeek op N26 x Laarstraat"/>
    <s v="&lt;null&gt;"/>
    <s v="Kleine Ingreep"/>
    <s v="WVB/INV/N26/14"/>
    <b v="0"/>
    <s v="Ingreep wordt niet opgevolgd in BOD"/>
    <n v="2022"/>
    <s v="Q4"/>
    <s v="OVERIGE"/>
    <s v="raming studiebureau"/>
    <n v="100"/>
    <n v="282200"/>
    <n v="282200"/>
  </r>
  <r>
    <x v="767"/>
    <x v="767"/>
    <s v="Verkeersveiligheid"/>
    <x v="4"/>
    <n v="904"/>
    <s v="IN/000833"/>
    <s v="Ingreep schoolroute in Oudsbergen op N76 aansluiting met gemeentewegen"/>
    <s v="&lt;null&gt;"/>
    <s v="Kleine Ingreep"/>
    <s v="WL/INV/N76/13"/>
    <b v="1"/>
    <s v="Ingreep wordt opgevolgd in BOD"/>
    <s v="&lt;null&gt;"/>
    <s v="&lt;null&gt;"/>
    <s v="OVERIGE"/>
    <s v="&lt;null&gt;"/>
    <n v="100"/>
    <n v="25000"/>
    <n v="25000"/>
  </r>
  <r>
    <x v="768"/>
    <x v="768"/>
    <s v="Verkeersveiligheid"/>
    <x v="4"/>
    <n v="905"/>
    <s v="IN/000834"/>
    <s v="Ingreep schoolroute in Oudsbergen op N719: aansluiting met gemeentewegen"/>
    <s v="&lt;null&gt;"/>
    <s v="Kleine Ingreep"/>
    <s v="WL/INV/N719/4"/>
    <b v="1"/>
    <s v="Ingreep wordt opgevolgd in BOD"/>
    <s v="&lt;null&gt;"/>
    <s v="&lt;null&gt;"/>
    <s v="OVERIGE"/>
    <s v="&lt;null&gt;"/>
    <n v="100"/>
    <n v="25000"/>
    <n v="25000"/>
  </r>
  <r>
    <x v="769"/>
    <x v="769"/>
    <s v="Verkeersveiligheid"/>
    <x v="4"/>
    <n v="906"/>
    <s v="IN/000835"/>
    <s v="Ingreep schoolroute in Oudsbergen op N730: aansluiting met gemeentewegen"/>
    <m/>
    <s v="Kleine Ingreep"/>
    <s v="WL/INV/N730/11"/>
    <b v="1"/>
    <s v="Ingreep wordt opgevolgd in BOD"/>
    <s v="&lt;null&gt;"/>
    <s v="&lt;null&gt;"/>
    <s v="OVERIGE"/>
    <s v="&lt;null&gt;"/>
    <n v="100"/>
    <n v="25000"/>
    <n v="25000"/>
  </r>
  <r>
    <x v="770"/>
    <x v="770"/>
    <s v="Verkeersveiligheid"/>
    <x v="4"/>
    <n v="907"/>
    <s v="IN/000836"/>
    <s v="Ingreep schoolroute in Oudsbergen op N771: aansluiting met gemeentewegen"/>
    <s v="&lt;null&gt;"/>
    <s v="Kleine Ingreep"/>
    <s v="WL/INV/N771/3"/>
    <b v="1"/>
    <s v="Ingreep wordt opgevolgd in BOD"/>
    <s v="&lt;null&gt;"/>
    <s v="&lt;null&gt;"/>
    <s v="OVERIGE"/>
    <s v="&lt;null&gt;"/>
    <n v="100"/>
    <n v="25000"/>
    <n v="25000"/>
  </r>
  <r>
    <x v="771"/>
    <x v="771"/>
    <s v="Verkeersveiligheid"/>
    <x v="4"/>
    <n v="908"/>
    <s v="IN/000837"/>
    <s v="Wegnemen VOP en aanpassen andere VOP"/>
    <s v="&lt;null&gt;"/>
    <s v="Kleine Ingreep"/>
    <s v="WL/INV/N730/15"/>
    <b v="1"/>
    <s v="Ingreep wordt opgevolgd in BOD"/>
    <n v="2022"/>
    <s v="Q4"/>
    <s v="OVERIGE"/>
    <s v="&lt;null&gt;"/>
    <n v="100"/>
    <n v="15440"/>
    <n v="15440"/>
  </r>
  <r>
    <x v="772"/>
    <x v="772"/>
    <s v="Verkeersveiligheid"/>
    <x v="4"/>
    <n v="909"/>
    <s v="IN/000838"/>
    <s v="Ingreep schoolroute in Mol op Donk: oversteek Warande"/>
    <s v="&lt;null&gt;"/>
    <s v="Kleine Ingreep"/>
    <s v="WA/INV/N18/9"/>
    <b v="1"/>
    <s v="Ingreep wordt opgevolgd in BOD"/>
    <s v="&lt;null&gt;"/>
    <s v="&lt;null&gt;"/>
    <s v="OVERIGE"/>
    <s v="&lt;null&gt;"/>
    <n v="100"/>
    <n v="4000"/>
    <n v="4000"/>
  </r>
  <r>
    <x v="773"/>
    <x v="773"/>
    <s v="Verkeersveiligheid"/>
    <x v="4"/>
    <n v="910"/>
    <s v="IN/000839"/>
    <s v="Ingreep schoolroute in Mol op Turnhoutsebaan ter hoogte va nr. 20"/>
    <s v="&lt;null&gt;"/>
    <s v="Kleine Ingreep"/>
    <s v="WA/INV/N18/7"/>
    <b v="0"/>
    <s v="Ingreep wordt niet opgevolgd in BOD"/>
    <s v="&lt;null&gt;"/>
    <s v="&lt;null&gt;"/>
    <s v="OVERIGE"/>
    <s v="&lt;null&gt;"/>
    <n v="100"/>
    <n v="35000"/>
    <n v="35000"/>
  </r>
  <r>
    <x v="774"/>
    <x v="774"/>
    <s v="Verkeersveiligheid"/>
    <x v="4"/>
    <n v="911"/>
    <s v="IN/000840"/>
    <s v="Ingreep schoolroute in Mol op Ginderbuiten"/>
    <s v="&lt;null&gt;"/>
    <s v="Kleine Ingreep"/>
    <s v="WA/INV/N103/2"/>
    <b v="0"/>
    <s v="Ingreep wordt niet opgevolgd in BOD"/>
    <s v="&lt;null&gt;"/>
    <s v="&lt;null&gt;"/>
    <s v="OVERIGE"/>
    <s v="&lt;null&gt;"/>
    <n v="100"/>
    <n v="3000"/>
    <n v="3000"/>
  </r>
  <r>
    <x v="775"/>
    <x v="775"/>
    <s v="Verkeersveiligheid"/>
    <x v="4"/>
    <n v="912"/>
    <s v="IN/000841"/>
    <s v="Ingreep schoolroute in Mol op Kiezelweg"/>
    <s v="&lt;null&gt;"/>
    <s v="Kleine Ingreep"/>
    <s v="WA/INV/N712/1"/>
    <b v="0"/>
    <s v="Ingreep wordt niet opgevolgd in BOD"/>
    <s v="&lt;null&gt;"/>
    <s v="&lt;null&gt;"/>
    <s v="OVERIGE"/>
    <s v="&lt;null&gt;"/>
    <n v="100"/>
    <n v="3000"/>
    <n v="3000"/>
  </r>
  <r>
    <x v="776"/>
    <x v="776"/>
    <s v="Verkeersveiligheid"/>
    <x v="4"/>
    <n v="913"/>
    <s v="IN/000842"/>
    <s v="Aanpassen fietspad/plantvak (PM Jan Nijsen Sweco)"/>
    <s v="&lt;null&gt;"/>
    <s v="Kleine Ingreep"/>
    <s v="WL/INV/N730/21"/>
    <b v="1"/>
    <s v="Ingreep wordt opgevolgd in BOD"/>
    <n v="2022"/>
    <s v="Q2"/>
    <s v="OVERIGE"/>
    <s v="&lt;null&gt;"/>
    <n v="100"/>
    <n v="3500"/>
    <n v="3500"/>
  </r>
  <r>
    <x v="777"/>
    <x v="777"/>
    <s v="Verkeersveiligheid"/>
    <x v="4"/>
    <n v="914"/>
    <s v="IN/000843"/>
    <s v="Inpassen VOP's zijstraat (PM Jan Nijsen Sweco)"/>
    <s v="&lt;null&gt;"/>
    <s v="Kleine Ingreep"/>
    <s v="WL/INV/N730/16"/>
    <b v="1"/>
    <s v="Ingreep wordt opgevolgd in BOD"/>
    <s v="&lt;null&gt;"/>
    <s v="&lt;null&gt;"/>
    <s v="OVERIGE"/>
    <s v="&lt;null&gt;"/>
    <n v="100"/>
    <n v="50000"/>
    <n v="50000"/>
  </r>
  <r>
    <x v="778"/>
    <x v="778"/>
    <s v="Verkeersveiligheid"/>
    <x v="4"/>
    <n v="915"/>
    <s v="IN/000844"/>
    <s v="Aanpassen fietsoversteekplaatsen (PM Jan Nijsen Sweco)"/>
    <s v="opstelruimte verbeteren"/>
    <s v="Kleine Ingreep"/>
    <s v="WL/INV/N730/17"/>
    <b v="1"/>
    <s v="Ingreep wordt opgevolgd in BOD"/>
    <s v="&lt;null&gt;"/>
    <s v="&lt;null&gt;"/>
    <s v="OVERIGE"/>
    <s v="&lt;null&gt;"/>
    <n v="100"/>
    <n v="50000"/>
    <n v="50000"/>
  </r>
  <r>
    <x v="779"/>
    <x v="779"/>
    <s v="Verkeersveiligheid"/>
    <x v="4"/>
    <n v="916"/>
    <s v="IN/000845"/>
    <s v="Aanpassen oversteekvoorzieningen"/>
    <s v="toevoegen VOP's thv beide kruispunten"/>
    <s v="Kleine Ingreep"/>
    <s v="WL/INV/N771/4"/>
    <b v="1"/>
    <s v="Ingreep wordt opgevolgd in BOD"/>
    <n v="2022"/>
    <s v="Q4"/>
    <s v="OVERIGE"/>
    <s v="&lt;null&gt;"/>
    <n v="100"/>
    <n v="54225"/>
    <n v="54225"/>
  </r>
  <r>
    <x v="780"/>
    <x v="780"/>
    <s v="Verkeersveiligheid"/>
    <x v="4"/>
    <n v="917"/>
    <s v="IN/000846"/>
    <s v="Ingreep schoolroute in Oudsbergen op N76-Hoogstraat - Kiëstraat"/>
    <s v="extra VOP"/>
    <s v="Kleine Ingreep"/>
    <s v="WL/INV/N76/14"/>
    <b v="1"/>
    <s v="Ingreep wordt opgevolgd in BOD"/>
    <s v="&lt;null&gt;"/>
    <s v="&lt;null&gt;"/>
    <s v="OVERIGE"/>
    <s v="&lt;null&gt;"/>
    <n v="100"/>
    <n v="680"/>
    <n v="680"/>
  </r>
  <r>
    <x v="781"/>
    <x v="781"/>
    <s v="Verkeersveiligheid"/>
    <x v="4"/>
    <n v="918"/>
    <s v="IN/000847"/>
    <s v="Ingreep schoolroute in Oudsbergen op N76-Weg naar Zwartberg - Dampstraat"/>
    <s v="&lt;null&gt;"/>
    <s v="Kleine Ingreep"/>
    <s v="WL/INV/N76/23"/>
    <b v="0"/>
    <s v="Ingreep wordt niet opgevolgd in BOD"/>
    <s v="&lt;null&gt;"/>
    <s v="&lt;null&gt;"/>
    <s v="OVERIGE"/>
    <s v="&lt;null&gt;"/>
    <n v="100"/>
    <n v="250000"/>
    <n v="250000"/>
  </r>
  <r>
    <x v="782"/>
    <x v="782"/>
    <s v="Verkeersveiligheid"/>
    <x v="4"/>
    <n v="919"/>
    <s v="IN/000848"/>
    <s v="Ingreep schoolroute in Koksijde op Dorpsstraat tussen Declerckstraat en Toekomstlaan"/>
    <s v="&lt;null&gt;"/>
    <s v="Kleine Ingreep"/>
    <s v="WWV/INV/N396/3"/>
    <b v="0"/>
    <s v="Ingreep wordt niet opgevolgd in BOD"/>
    <n v="2022"/>
    <s v="Q2"/>
    <s v="OVERIGE"/>
    <s v="&lt;null&gt;"/>
    <n v="100"/>
    <n v="15000"/>
    <n v="15000"/>
  </r>
  <r>
    <x v="783"/>
    <x v="783"/>
    <s v="Verkeersveiligheid"/>
    <x v="4"/>
    <n v="920"/>
    <s v="IN/000849"/>
    <s v="Ingreep schoolroute in Olen op 2/ kruispunt N152 - Boerenkrijglaan"/>
    <s v="&lt;null&gt;"/>
    <s v="Kleine Ingreep"/>
    <s v="&lt;null&gt;"/>
    <b v="0"/>
    <s v="Ingreep wordt niet opgevolgd in BOD"/>
    <s v="&lt;null&gt;"/>
    <s v="&lt;null&gt;"/>
    <s v="OVERIGE"/>
    <s v="&lt;null&gt;"/>
    <n v="100"/>
    <n v="7500"/>
    <n v="7500"/>
  </r>
  <r>
    <x v="784"/>
    <x v="784"/>
    <s v="Verkeersveiligheid"/>
    <x v="4"/>
    <n v="921"/>
    <s v="IN/000850"/>
    <s v="Ingreep schoolroute in Arendonk op Kruispunt N139 Wampenberg-Hokken-Kapelstraat"/>
    <s v="&lt;null&gt;"/>
    <s v="Kleine Ingreep"/>
    <s v="WA/INV/N139/5"/>
    <b v="0"/>
    <s v="Ingreep wordt niet opgevolgd in BOD"/>
    <s v="&lt;null&gt;"/>
    <s v="&lt;null&gt;"/>
    <s v="&lt;null&gt;"/>
    <s v="&lt;null&gt;"/>
    <n v="100"/>
    <m/>
    <m/>
  </r>
  <r>
    <x v="785"/>
    <x v="785"/>
    <s v="Verkeersveiligheid"/>
    <x v="4"/>
    <n v="922"/>
    <s v="IN/000851"/>
    <s v="Ingreep schoolroute in Galmaarden op N272 ter hoogte van kruispunt Kapellestraat met Watermolenstraat (achterkant school)"/>
    <s v="&lt;null&gt;"/>
    <s v="Kleine Ingreep"/>
    <s v="WVB/INV/N272/3"/>
    <b v="0"/>
    <s v="Ingreep wordt niet opgevolgd in BOD"/>
    <n v="2022"/>
    <s v="Q3"/>
    <s v="OVERIGE"/>
    <s v="niet relance"/>
    <n v="100"/>
    <n v="50000"/>
    <n v="50000"/>
  </r>
  <r>
    <x v="786"/>
    <x v="786"/>
    <s v="Verkeersveiligheid"/>
    <x v="4"/>
    <n v="923"/>
    <s v="IN/000852"/>
    <s v="Ingreep schoolroute in Galmaarden op kruispunt Kapellestraat-Marktplein met Hoogstraat."/>
    <s v="zone 30 aan Marktplein"/>
    <s v="Kleine Ingreep"/>
    <s v="WVB/INV/N272/4"/>
    <b v="0"/>
    <s v="Ingreep wordt niet opgevolgd in BOD"/>
    <s v="&lt;null&gt;"/>
    <s v="&lt;null&gt;"/>
    <s v="OVERIGE"/>
    <s v="&lt;null&gt;"/>
    <n v="100"/>
    <n v="50000"/>
    <n v="50000"/>
  </r>
  <r>
    <x v="787"/>
    <x v="787"/>
    <s v="Verkeersveiligheid"/>
    <x v="4"/>
    <n v="924"/>
    <s v="IN/000853"/>
    <s v="Ingreep schoolroute in Hulshout op Stationsstraat 28"/>
    <s v="&lt;null&gt;"/>
    <s v="Kleine Ingreep"/>
    <s v="WA/INV/N15/6"/>
    <b v="0"/>
    <s v="Ingreep wordt niet opgevolgd in BOD"/>
    <s v="&lt;null&gt;"/>
    <s v="&lt;null&gt;"/>
    <s v="OVERIGE"/>
    <s v="&lt;null&gt;"/>
    <n v="100"/>
    <n v="35000"/>
    <n v="35000"/>
  </r>
  <r>
    <x v="788"/>
    <x v="788"/>
    <s v="Verkeersveiligheid"/>
    <x v="4"/>
    <n v="925"/>
    <s v="IN/000854"/>
    <s v="Ingreep schoolroute in Kalmthout op N133 - Nieuwmoer-Dorp"/>
    <s v="Gemeente maakt aanvullend reglement op voor zone 30. Fietssuggestiestroken zijn heel moeilijk te markeren op klinkers. Thermoplasten brokkelen af. Verf vergaat snel waardoor dit zeer onderhoudsintensief is."/>
    <s v="Kleine Ingreep"/>
    <s v="WA/INV/N133/7"/>
    <b v="0"/>
    <s v="Ingreep wordt niet opgevolgd in BOD"/>
    <s v="&lt;null&gt;"/>
    <s v="&lt;null&gt;"/>
    <s v="OVERIGE"/>
    <s v="&lt;null&gt;"/>
    <n v="100"/>
    <n v="0"/>
    <n v="0"/>
  </r>
  <r>
    <x v="789"/>
    <x v="789"/>
    <s v="Verkeersveiligheid"/>
    <x v="4"/>
    <n v="926"/>
    <s v="IN/000855"/>
    <s v="MAG WEG Ingreep schoolroute in Kalmthout op N122 - Kapellensteenweg tussen Kijkuitstraat en Vogelenzangstraat"/>
    <s v="&lt;null&gt;"/>
    <s v="Structurele Ingreep"/>
    <s v="&lt;null&gt;"/>
    <b v="0"/>
    <s v="Ingreep wordt niet opgevolgd in BOD"/>
    <s v="&lt;null&gt;"/>
    <s v="&lt;null&gt;"/>
    <s v="&lt;null&gt;"/>
    <s v="&lt;null&gt;"/>
    <n v="100"/>
    <m/>
    <m/>
  </r>
  <r>
    <x v="790"/>
    <x v="790"/>
    <s v="Verkeersveiligheid"/>
    <x v="4"/>
    <n v="927"/>
    <s v="IN/000856"/>
    <s v="Gevleugeld zebrapad in Zemst op oversteekplaats N1 ter hoogte van Beekstraat"/>
    <s v="&lt;null&gt;"/>
    <s v="Kleine Ingreep"/>
    <s v="WVB/INV/N1/3"/>
    <b v="0"/>
    <s v="Ingreep wordt niet opgevolgd in BOD"/>
    <s v="&lt;null&gt;"/>
    <s v="&lt;null&gt;"/>
    <s v="OVERIGE"/>
    <s v="&lt;null&gt;"/>
    <n v="100"/>
    <n v="35000"/>
    <n v="35000"/>
  </r>
  <r>
    <x v="791"/>
    <x v="791"/>
    <s v="Verkeersveiligheid"/>
    <x v="4"/>
    <n v="928"/>
    <s v="IN/000857"/>
    <s v="Ingreep schoolroute in Zemst op N1 tussen Leopoldstraat en Kloosterstraat"/>
    <s v="Vernieuwen oversteekvoorzieningen en bushaltes + plaatsen VVOP"/>
    <s v="Kleine Ingreep"/>
    <s v="WVB/INV/N1/4"/>
    <b v="0"/>
    <s v="Ingreep wordt niet opgevolgd in BOD"/>
    <n v="2022"/>
    <s v="Q4"/>
    <s v="OVERIGE"/>
    <s v="&lt;null&gt;"/>
    <n v="100"/>
    <n v="40000"/>
    <n v="40000"/>
  </r>
  <r>
    <x v="792"/>
    <x v="792"/>
    <s v="Verkeersveiligheid"/>
    <x v="4"/>
    <n v="929"/>
    <s v="IN/000858"/>
    <s v="Ingreep schoolroute in Zemst op N227 Hofstade, aan kruispunt de Tilbourgstraat"/>
    <s v="&lt;null&gt;"/>
    <s v="Kleine Ingreep"/>
    <s v="WVB/INV/N227/3"/>
    <b v="1"/>
    <s v="Ingreep wordt opgevolgd in BOD"/>
    <n v="2021"/>
    <s v="Q4"/>
    <s v="OV"/>
    <s v="VVOP"/>
    <n v="100"/>
    <n v="24494.38"/>
    <n v="24494.38"/>
  </r>
  <r>
    <x v="793"/>
    <x v="793"/>
    <s v="Verkeersveiligheid"/>
    <x v="4"/>
    <n v="930"/>
    <s v="IN/000859"/>
    <s v="Markeren regenboogzebrapad"/>
    <s v="\n"/>
    <s v="Kleine Ingreep"/>
    <s v="WL/INV/N719/5"/>
    <b v="1"/>
    <s v="Ingreep wordt opgevolgd in BOD"/>
    <s v="&lt;null&gt;"/>
    <s v="&lt;null&gt;"/>
    <s v="OVERIGE"/>
    <s v="&lt;null&gt;"/>
    <n v="100"/>
    <n v="78565"/>
    <n v="78565"/>
  </r>
  <r>
    <x v="794"/>
    <x v="794"/>
    <s v="Verkeersveiligheid"/>
    <x v="4"/>
    <n v="931"/>
    <s v="IN/000860"/>
    <s v="Ingreep schoolroute in Tienen op N223 - Aarschotsesteenweg 638, Vissenaken vlak voor schoolpoort"/>
    <s v="VVOP indien niet op kruispunt?"/>
    <s v="Kleine Ingreep"/>
    <s v="WVB/INV/N223/4"/>
    <b v="0"/>
    <s v="Ingreep wordt niet opgevolgd in BOD"/>
    <n v="2022"/>
    <s v="Q1"/>
    <s v="OVERIGE"/>
    <s v="raming SB"/>
    <n v="100"/>
    <n v="520141"/>
    <n v="520141"/>
  </r>
  <r>
    <x v="794"/>
    <x v="794"/>
    <s v="Verkeersveiligheid"/>
    <x v="4"/>
    <n v="931"/>
    <s v="IN/000860"/>
    <s v="Ingreep schoolroute in Tienen op N223 - Aarschotsesteenweg 638, Vissenaken vlak voor schoolpoort"/>
    <s v="VVOP indien niet op kruispunt?"/>
    <s v="Kleine Ingreep"/>
    <s v="WVB/INV/N223/4"/>
    <b v="0"/>
    <s v="Ingreep wordt niet opgevolgd in BOD"/>
    <n v="2021"/>
    <s v="Q4"/>
    <s v="OV"/>
    <s v="VVOP"/>
    <n v="100"/>
    <n v="47841.84"/>
    <n v="47841.84"/>
  </r>
  <r>
    <x v="795"/>
    <x v="795"/>
    <s v="Stimuleren Combimobiliteit"/>
    <x v="2"/>
    <n v="931"/>
    <s v="IN/000860"/>
    <s v="Ingreep schoolroute in Tienen op N223 - Aarschotsesteenweg 638, Vissenaken vlak voor schoolpoort"/>
    <s v="VVOP indien niet op kruispunt?"/>
    <s v="Kleine Ingreep"/>
    <s v="WVB/INV/N223/4"/>
    <b v="0"/>
    <s v="Ingreep wordt niet opgevolgd in BOD"/>
    <n v="2022"/>
    <s v="Q1"/>
    <s v="OVERIGE"/>
    <s v="raming SB"/>
    <n v="0"/>
    <n v="520141"/>
    <n v="0"/>
  </r>
  <r>
    <x v="795"/>
    <x v="795"/>
    <s v="Stimuleren Combimobiliteit"/>
    <x v="2"/>
    <n v="931"/>
    <s v="IN/000860"/>
    <s v="Ingreep schoolroute in Tienen op N223 - Aarschotsesteenweg 638, Vissenaken vlak voor schoolpoort"/>
    <s v="VVOP indien niet op kruispunt?"/>
    <s v="Kleine Ingreep"/>
    <s v="WVB/INV/N223/4"/>
    <b v="0"/>
    <s v="Ingreep wordt niet opgevolgd in BOD"/>
    <n v="2021"/>
    <s v="Q4"/>
    <s v="OV"/>
    <s v="VVOP"/>
    <n v="0"/>
    <n v="47841.84"/>
    <n v="0"/>
  </r>
  <r>
    <x v="796"/>
    <x v="796"/>
    <s v="Verkeersveiligheid"/>
    <x v="4"/>
    <n v="932"/>
    <s v="IN/000861"/>
    <s v="Horizontale signalisatie in Tienen op Kruispunt Hannuitsesteenweg met Potstraat"/>
    <s v="VVOP voorzien + thermoplast markering &quot;SCHOOL&quot;"/>
    <s v="Kleine Ingreep"/>
    <s v="WVB/INV/N64/2"/>
    <b v="1"/>
    <s v="Ingreep wordt opgevolgd in BOD"/>
    <n v="2021"/>
    <s v="Q3"/>
    <s v="OV"/>
    <s v="&lt;null&gt;"/>
    <n v="100"/>
    <n v="20367.03"/>
    <n v="20367.03"/>
  </r>
  <r>
    <x v="797"/>
    <x v="797"/>
    <s v="Verkeersveiligheid"/>
    <x v="4"/>
    <n v="933"/>
    <s v="IN/000862"/>
    <s v="Ingreep schoolroute in Kortrijk op N323b Condedreef"/>
    <s v="&lt;null&gt;"/>
    <s v="Kleine Ingreep"/>
    <s v="WWV/INV/N323/1"/>
    <b v="0"/>
    <s v="Ingreep wordt niet opgevolgd in BOD"/>
    <n v="2022"/>
    <s v="Q3"/>
    <s v="OVERIGE"/>
    <s v="&lt;null&gt;"/>
    <n v="100"/>
    <n v="40000"/>
    <n v="40000"/>
  </r>
  <r>
    <x v="798"/>
    <x v="798"/>
    <s v="Verkeersveiligheid"/>
    <x v="4"/>
    <n v="934"/>
    <s v="IN/000863"/>
    <s v="Aanleg missing link fietspad (PM Jan Nijsen Sweco)"/>
    <s v="klein stukje extra fietspad (= vandaag een olifantenpad door de berm) om fietspad Kasteletsingel te verbinden met fietsroute richting school"/>
    <s v="Kleine Ingreep"/>
    <s v="WL/INV/N72/16"/>
    <b v="1"/>
    <s v="Ingreep wordt opgevolgd in BOD"/>
    <n v="2022"/>
    <s v="Q2"/>
    <s v="OVERIGE"/>
    <s v="&lt;null&gt;"/>
    <n v="100"/>
    <n v="6000"/>
    <n v="6000"/>
  </r>
  <r>
    <x v="799"/>
    <x v="799"/>
    <s v="Verkeersveiligheid"/>
    <x v="4"/>
    <n v="935"/>
    <s v="IN/000864"/>
    <s v="Ingreep schoolroute in Kortrijk op N50 Brugse Poort"/>
    <s v="&lt;null&gt;"/>
    <s v="Kleine Ingreep"/>
    <s v="WWV/INV/N50/13"/>
    <b v="1"/>
    <s v="Ingreep wordt opgevolgd in BOD"/>
    <n v="2022"/>
    <s v="Q4"/>
    <s v="OVERIGE"/>
    <s v="&lt;null&gt;"/>
    <n v="100"/>
    <n v="50000"/>
    <n v="50000"/>
  </r>
  <r>
    <x v="800"/>
    <x v="800"/>
    <s v="Verkeersveiligheid"/>
    <x v="4"/>
    <n v="936"/>
    <s v="IN/000865"/>
    <s v="Ingreep schoolroute in Kortrijk op N50 - Elleboogstraat - Schaapsdreef"/>
    <s v="&lt;null&gt;"/>
    <s v="Kleine Ingreep"/>
    <s v="WWV/INV/N50/12"/>
    <b v="1"/>
    <s v="Ingreep wordt opgevolgd in BOD"/>
    <n v="2022"/>
    <s v="Q4"/>
    <s v="OVERIGE"/>
    <s v="&lt;null&gt;"/>
    <n v="100"/>
    <n v="65000"/>
    <n v="65000"/>
  </r>
  <r>
    <x v="801"/>
    <x v="801"/>
    <s v="Verkeersveiligheid"/>
    <x v="4"/>
    <n v="937"/>
    <s v="IN/000866"/>
    <s v="Ingreep schoolroute in Kortrijk op N8 - Oudenaardsesteenweg - Zwevegemsepoort rotonde"/>
    <s v="&lt;null&gt;"/>
    <s v="Kleine Ingreep"/>
    <s v="WWV/INV/N8/18"/>
    <b v="1"/>
    <s v="Ingreep wordt opgevolgd in BOD"/>
    <n v="2022"/>
    <s v="Q2"/>
    <s v="OVERIGE"/>
    <s v="&lt;null&gt;"/>
    <n v="100"/>
    <n v="5000"/>
    <n v="5000"/>
  </r>
  <r>
    <x v="802"/>
    <x v="802"/>
    <s v="Verkeersveiligheid"/>
    <x v="4"/>
    <n v="938"/>
    <s v="IN/000867"/>
    <s v="Herinrichting FOP's met middengeleider (PM studiebureau aan te stellen via MC3)"/>
    <s v="Opheffen afslagstroken; twee FOP's met middengeleider"/>
    <s v="Kleine Ingreep"/>
    <s v="WL/INV/N745/2"/>
    <b v="0"/>
    <s v="Ingreep wordt niet opgevolgd in BOD"/>
    <n v="2022"/>
    <s v="&lt;null&gt;"/>
    <s v="OVERIGE"/>
    <s v="&lt;null&gt;"/>
    <n v="100"/>
    <n v="34540"/>
    <n v="34540"/>
  </r>
  <r>
    <x v="803"/>
    <x v="803"/>
    <s v="Verkeersveiligheid"/>
    <x v="4"/>
    <n v="939"/>
    <s v="IN/000868"/>
    <s v="Punctuele verlichting VOP"/>
    <m/>
    <s v="Kleine Ingreep"/>
    <s v="WL/INV/N671/3"/>
    <b v="0"/>
    <s v="Ingreep wordt niet opgevolgd in BOD"/>
    <n v="2022"/>
    <s v="&lt;null&gt;"/>
    <s v="OVERIGE"/>
    <s v="&lt;null&gt;"/>
    <n v="100"/>
    <n v="75000"/>
    <n v="75000"/>
  </r>
  <r>
    <x v="804"/>
    <x v="804"/>
    <s v="Verkeersveiligheid"/>
    <x v="4"/>
    <n v="940"/>
    <s v="IN/000869"/>
    <s v="Punctuele verlichting VOP"/>
    <m/>
    <s v="Kleine Ingreep"/>
    <s v="WL/INV/N78/21"/>
    <b v="0"/>
    <s v="Ingreep wordt niet opgevolgd in BOD"/>
    <s v="&lt;null&gt;"/>
    <s v="&lt;null&gt;"/>
    <s v="OVERIGE"/>
    <s v="&lt;null&gt;"/>
    <n v="100"/>
    <n v="75000"/>
    <n v="75000"/>
  </r>
  <r>
    <x v="805"/>
    <x v="805"/>
    <s v="Verkeersveiligheid"/>
    <x v="4"/>
    <n v="941"/>
    <s v="IN/000870"/>
    <s v="Punctuele verlichting VOP"/>
    <s v="&lt;null&gt;"/>
    <s v="Kleine Ingreep"/>
    <s v="WL/INV/N671/1"/>
    <b v="0"/>
    <s v="Ingreep wordt niet opgevolgd in BOD"/>
    <s v="&lt;null&gt;"/>
    <s v="&lt;null&gt;"/>
    <s v="OVERIGE"/>
    <s v="&lt;null&gt;"/>
    <n v="100"/>
    <n v="75000"/>
    <n v="75000"/>
  </r>
  <r>
    <x v="806"/>
    <x v="806"/>
    <s v="Verkeersveiligheid"/>
    <x v="4"/>
    <n v="942"/>
    <s v="IN/000871"/>
    <s v="Ingreep schoolroute in Kortrijk op N8 tussen complex oost en Q8 rotonde"/>
    <s v="Wordt meegenomen in uitvoering met IN/001323"/>
    <s v="Kleine Ingreep"/>
    <s v="&lt;null&gt;"/>
    <b v="0"/>
    <s v="Ingreep wordt niet opgevolgd in BOD"/>
    <s v="&lt;null&gt;"/>
    <s v="&lt;null&gt;"/>
    <s v="OVERIGE"/>
    <s v="&lt;null&gt;"/>
    <n v="100"/>
    <n v="0"/>
    <n v="0"/>
  </r>
  <r>
    <x v="807"/>
    <x v="807"/>
    <s v="Verkeersveiligheid"/>
    <x v="4"/>
    <n v="943"/>
    <s v="IN/000872"/>
    <s v="Fietslogoverbindingsmarkeringen als quick win"/>
    <s v="&lt;null&gt;"/>
    <s v="Kleine Ingreep"/>
    <s v="WA/INV/NX/3"/>
    <b v="0"/>
    <s v="Ingreep wordt niet opgevolgd in BOD"/>
    <s v="&lt;null&gt;"/>
    <s v="&lt;null&gt;"/>
    <s v="OVERIGE"/>
    <s v="&lt;null&gt;"/>
    <n v="100"/>
    <n v="2500"/>
    <n v="2500"/>
  </r>
  <r>
    <x v="808"/>
    <x v="808"/>
    <s v="Verkeersveiligheid"/>
    <x v="4"/>
    <n v="944"/>
    <s v="IN/000873"/>
    <s v="Ingreep schoolroute in Mechelen op N1 thv Galgestraat"/>
    <s v="Doortrekken dubbelrichtingsfietspad tot aan galgestraat"/>
    <s v="Kleine Ingreep"/>
    <s v="WA/INV/N1/16"/>
    <b v="0"/>
    <s v="Ingreep wordt niet opgevolgd in BOD"/>
    <s v="&lt;null&gt;"/>
    <s v="&lt;null&gt;"/>
    <s v="&lt;null&gt;"/>
    <s v="&lt;null&gt;"/>
    <n v="100"/>
    <m/>
    <m/>
  </r>
  <r>
    <x v="809"/>
    <x v="809"/>
    <s v="Verkeersveiligheid"/>
    <x v="4"/>
    <n v="945"/>
    <s v="IN/000874"/>
    <s v="Ingreep schoolroute in Mechelen op N1 thv Oude Antwerpsebaan"/>
    <s v="&lt;null&gt;"/>
    <s v="Kleine Ingreep"/>
    <s v="WA/INV/N1/17"/>
    <b v="0"/>
    <s v="Ingreep wordt niet opgevolgd in BOD"/>
    <s v="&lt;null&gt;"/>
    <s v="&lt;null&gt;"/>
    <s v="OVERIGE"/>
    <s v="&lt;null&gt;"/>
    <n v="100"/>
    <n v="1000"/>
    <n v="1000"/>
  </r>
  <r>
    <x v="810"/>
    <x v="810"/>
    <s v="Verkeersveiligheid"/>
    <x v="4"/>
    <n v="946"/>
    <s v="IN/000875"/>
    <s v="Ingreep Schoolroute in Mechelen op N26 Leuvensesteenweg x Stationsberg"/>
    <s v="&lt;null&gt;"/>
    <s v="Kleine Ingreep"/>
    <s v="WA/INV/N26/6"/>
    <b v="1"/>
    <s v="Ingreep wordt opgevolgd in BOD"/>
    <s v="&lt;null&gt;"/>
    <s v="&lt;null&gt;"/>
    <s v="OVERIGE"/>
    <s v="&lt;null&gt;"/>
    <n v="100"/>
    <n v="120000"/>
    <n v="120000"/>
  </r>
  <r>
    <x v="811"/>
    <x v="811"/>
    <s v="Verkeersveiligheid"/>
    <x v="4"/>
    <n v="947"/>
    <s v="IN/000876"/>
    <s v="Ingreep schoolroute in Mechelen op N109 x Battelbrug en Gentsesteenweg"/>
    <s v="VVOP\n+ markering VVOP\n"/>
    <s v="Kleine Ingreep"/>
    <s v="WA/INV/N109/2"/>
    <b v="0"/>
    <s v="Ingreep wordt niet opgevolgd in BOD"/>
    <s v="&lt;null&gt;"/>
    <s v="&lt;null&gt;"/>
    <s v="OVERIGE"/>
    <s v="&lt;null&gt;"/>
    <n v="100"/>
    <n v="45000"/>
    <n v="45000"/>
  </r>
  <r>
    <x v="650"/>
    <x v="650"/>
    <s v="Verkeersveiligheid"/>
    <x v="4"/>
    <n v="948"/>
    <s v="IN/000877"/>
    <s v="MAG WEG Ingreep schoolroute in Mechelen op R12 x N1 Hendrik Consciencestraat"/>
    <s v="&lt;null&gt;"/>
    <s v="Structurele Ingreep"/>
    <s v="&lt;null&gt;"/>
    <b v="0"/>
    <s v="Ingreep wordt niet opgevolgd in BOD"/>
    <s v="&lt;null&gt;"/>
    <s v="&lt;null&gt;"/>
    <s v="OVERIGE"/>
    <s v="&lt;null&gt;"/>
    <n v="100"/>
    <n v="0"/>
    <n v="0"/>
  </r>
  <r>
    <x v="651"/>
    <x v="651"/>
    <s v="Verkeersveiligheid"/>
    <x v="4"/>
    <n v="949"/>
    <s v="IN/000878"/>
    <s v="MAG WEG Ingreep schoolroute in Mechelen op R12 x Mgr. Van Nuffelstraat"/>
    <s v="&lt;null&gt;"/>
    <s v="Structurele Ingreep"/>
    <s v="&lt;null&gt;"/>
    <b v="0"/>
    <s v="Ingreep wordt niet opgevolgd in BOD"/>
    <s v="&lt;null&gt;"/>
    <s v="&lt;null&gt;"/>
    <s v="OVERIGE"/>
    <s v="&lt;null&gt;"/>
    <n v="100"/>
    <n v="0"/>
    <n v="0"/>
  </r>
  <r>
    <x v="652"/>
    <x v="652"/>
    <s v="Verkeersveiligheid"/>
    <x v="4"/>
    <n v="950"/>
    <s v="IN/000879"/>
    <s v="MAG WEG Ingreep schoolroute in Mechelen op R12 Olivetenvest"/>
    <s v="&lt;null&gt;"/>
    <s v="Structurele Ingreep"/>
    <s v="&lt;null&gt;"/>
    <b v="0"/>
    <s v="Ingreep wordt niet opgevolgd in BOD"/>
    <s v="&lt;null&gt;"/>
    <s v="&lt;null&gt;"/>
    <s v="OVERIGE"/>
    <s v="&lt;null&gt;"/>
    <n v="100"/>
    <n v="0"/>
    <n v="0"/>
  </r>
  <r>
    <x v="812"/>
    <x v="812"/>
    <s v="Verkeersveiligheid"/>
    <x v="4"/>
    <n v="951"/>
    <s v="IN/000880"/>
    <s v="Ingreep schoolroute in Zandhoven op Liersebaan tussen het kruispunt met de Herentalsebaan en het kruispunt met de Nijlensesteenweg"/>
    <s v="&lt;null&gt;"/>
    <s v="Kleine Ingreep"/>
    <s v="WA/INV/N14/10"/>
    <b v="0"/>
    <s v="Ingreep wordt niet opgevolgd in BOD"/>
    <s v="&lt;null&gt;"/>
    <s v="&lt;null&gt;"/>
    <s v="OVERIGE"/>
    <s v="&lt;null&gt;"/>
    <n v="100"/>
    <n v="0"/>
    <n v="0"/>
  </r>
  <r>
    <x v="813"/>
    <x v="813"/>
    <s v="Verkeersveiligheid"/>
    <x v="4"/>
    <n v="952"/>
    <s v="IN/000881"/>
    <s v="Ingreep schoolroute in Huldenberg op Voetpad tussen parking AWV en kerk Loonbeek"/>
    <s v="QW1: signalisatie met borden en F49 borden met bi-flashes\nQW2: markeren van verdrijvingsvlak"/>
    <s v="Kleine Ingreep"/>
    <s v="WVB/INV/N253/6"/>
    <b v="0"/>
    <s v="Ingreep wordt niet opgevolgd in BOD"/>
    <n v="2022"/>
    <s v="Q3"/>
    <s v="OVERIGE"/>
    <s v="raming SB"/>
    <n v="100"/>
    <n v="8542"/>
    <n v="8542"/>
  </r>
  <r>
    <x v="813"/>
    <x v="813"/>
    <s v="Verkeersveiligheid"/>
    <x v="4"/>
    <n v="952"/>
    <s v="IN/000881"/>
    <s v="Ingreep schoolroute in Huldenberg op Voetpad tussen parking AWV en kerk Loonbeek"/>
    <s v="QW1: signalisatie met borden en F49 borden met bi-flashes\nQW2: markeren van verdrijvingsvlak"/>
    <s v="Kleine Ingreep"/>
    <s v="WVB/INV/N253/6"/>
    <b v="0"/>
    <s v="Ingreep wordt niet opgevolgd in BOD"/>
    <n v="2022"/>
    <s v="Q3"/>
    <s v="OV"/>
    <s v="Plaatsing VVOP"/>
    <n v="100"/>
    <n v="35000"/>
    <n v="35000"/>
  </r>
  <r>
    <x v="175"/>
    <x v="175"/>
    <s v="Verkeersveiligheid"/>
    <x v="4"/>
    <n v="953"/>
    <s v="IN/000882"/>
    <s v="Ingreep schoolroute in Malle op Fietspad langsheen de N12 - gedeelte tussen Nijverheidsstraat en ingang school Marisstella (bij uitbreiding tot Oostmalle Dorp)"/>
    <s v="&lt;null&gt;"/>
    <s v="Kleine Ingreep"/>
    <s v="WA/INV/N12/12"/>
    <b v="0"/>
    <s v="Ingreep wordt niet opgevolgd in BOD"/>
    <s v="&lt;null&gt;"/>
    <s v="&lt;null&gt;"/>
    <s v="OVERIGE"/>
    <s v="&lt;null&gt;"/>
    <n v="100"/>
    <n v="10000"/>
    <n v="10000"/>
  </r>
  <r>
    <x v="814"/>
    <x v="814"/>
    <s v="Verkeersveiligheid"/>
    <x v="4"/>
    <n v="954"/>
    <s v="IN/000883"/>
    <s v="Ingreep schoolroute in De Panne op Veurnestraat N35"/>
    <s v="&lt;null&gt;"/>
    <s v="Kleine Ingreep"/>
    <s v="WWV/INV/N35/6"/>
    <b v="1"/>
    <s v="Ingreep wordt opgevolgd in BOD"/>
    <n v="2022"/>
    <s v="Q3"/>
    <s v="OVERIGE"/>
    <s v="&lt;null&gt;"/>
    <n v="100"/>
    <n v="10000"/>
    <n v="10000"/>
  </r>
  <r>
    <x v="815"/>
    <x v="815"/>
    <s v="Verkeersveiligheid"/>
    <x v="4"/>
    <n v="955"/>
    <s v="IN/000884"/>
    <s v="Ingreep schoolroute in De Panne op fietssuggestiestroken Koninklijke Baan"/>
    <s v="&lt;null&gt;"/>
    <s v="Kleine Ingreep"/>
    <s v="WWV/INV/N34/9"/>
    <b v="0"/>
    <s v="Ingreep wordt niet opgevolgd in BOD"/>
    <s v="&lt;null&gt;"/>
    <s v="&lt;null&gt;"/>
    <s v="OVERIGE"/>
    <s v="&lt;null&gt;"/>
    <n v="100"/>
    <n v="0"/>
    <n v="0"/>
  </r>
  <r>
    <x v="47"/>
    <x v="47"/>
    <s v="Verkeersveiligheid"/>
    <x v="4"/>
    <n v="956"/>
    <s v="IN/000885"/>
    <s v="Ingreep schoolroute in Grobbendonk op Lierse steenweg ter hoogte van nr. 40"/>
    <s v="&lt;null&gt;"/>
    <s v="Structurele Ingreep"/>
    <s v="&lt;null&gt;"/>
    <b v="0"/>
    <s v="Ingreep wordt niet opgevolgd in BOD"/>
    <s v="&lt;null&gt;"/>
    <s v="&lt;null&gt;"/>
    <s v="OVERIGE"/>
    <s v="&lt;null&gt;"/>
    <n v="100"/>
    <n v="0"/>
    <n v="0"/>
  </r>
  <r>
    <x v="48"/>
    <x v="48"/>
    <s v="Verkeersveiligheid"/>
    <x v="4"/>
    <n v="957"/>
    <s v="IN/000886"/>
    <s v="Ingreep schoolroute in Grobbendonk op Herentalse steenweg thv kruispunt Nieuwendijk"/>
    <s v="&lt;null&gt;"/>
    <s v="Kleine Ingreep"/>
    <s v="WA/INV/N13/15"/>
    <b v="0"/>
    <s v="Ingreep wordt niet opgevolgd in BOD"/>
    <s v="&lt;null&gt;"/>
    <s v="&lt;null&gt;"/>
    <s v="&lt;null&gt;"/>
    <s v="&lt;null&gt;"/>
    <n v="100"/>
    <m/>
    <m/>
  </r>
  <r>
    <x v="816"/>
    <x v="816"/>
    <s v="Verkeersveiligheid"/>
    <x v="4"/>
    <n v="958"/>
    <s v="IN/000887"/>
    <s v="Ingreep schoolroute in Scherpenheuvel-Zichem op Turnhoutsebaan x P. Brissacstraat"/>
    <s v="&lt;null&gt;"/>
    <s v="Kleine Ingreep"/>
    <s v="WVB/INV/N127/1"/>
    <b v="0"/>
    <s v="Ingreep wordt niet opgevolgd in BOD"/>
    <s v="&lt;null&gt;"/>
    <s v="&lt;null&gt;"/>
    <s v="OVERIGE"/>
    <s v="raming studiebureau"/>
    <n v="100"/>
    <n v="150000"/>
    <n v="150000"/>
  </r>
  <r>
    <x v="817"/>
    <x v="817"/>
    <s v="Verkeersveiligheid"/>
    <x v="4"/>
    <n v="959"/>
    <s v="IN/000888"/>
    <s v="versmallen rijstroken - afschermen voetgangers (PM studiebureau aan te stellen via MC3)"/>
    <s v="- versmallen rijweg\n- (al dan niet met snelheidsverlaging naar 50 km/u = nog op te starten)\n- voetpad scheiden van fietspad met omegabeugels (hiertoe inname landbouwperceel nodig"/>
    <s v="Kleine Ingreep"/>
    <s v="WL/INV/N79/8"/>
    <b v="0"/>
    <s v="Ingreep wordt niet opgevolgd in BOD"/>
    <n v="2022"/>
    <s v="Q4"/>
    <s v="WEGENIS"/>
    <s v="&lt;null&gt;"/>
    <n v="100"/>
    <n v="14245"/>
    <n v="14245"/>
  </r>
  <r>
    <x v="818"/>
    <x v="818"/>
    <s v="Verkeersveiligheid"/>
    <x v="4"/>
    <n v="960"/>
    <s v="IN/000889"/>
    <s v="Ingreep schoolroute in Brugge op Station Zeebrugge -&gt; Meeuwenstraat Zeebrugge"/>
    <s v="Wandelroute verduidelijken en beveiligen. Oversteken beveiligen."/>
    <s v="Kleine Ingreep"/>
    <s v="WWV/INV/N34/10"/>
    <b v="1"/>
    <s v="Ingreep wordt opgevolgd in BOD"/>
    <n v="2022"/>
    <s v="Q4"/>
    <s v="WEGENIS"/>
    <s v="&lt;null&gt;"/>
    <n v="100"/>
    <n v="50000"/>
    <n v="50000"/>
  </r>
  <r>
    <x v="818"/>
    <x v="818"/>
    <s v="Verkeersveiligheid"/>
    <x v="4"/>
    <n v="960"/>
    <s v="IN/000889"/>
    <s v="Ingreep schoolroute in Brugge op Station Zeebrugge -&gt; Meeuwenstraat Zeebrugge"/>
    <s v="Wandelroute verduidelijken en beveiligen. Oversteken beveiligen."/>
    <s v="Kleine Ingreep"/>
    <s v="WWV/INV/N34/10"/>
    <b v="1"/>
    <s v="Ingreep wordt opgevolgd in BOD"/>
    <n v="2022"/>
    <s v="Q4"/>
    <s v="OV"/>
    <s v="&lt;null&gt;"/>
    <n v="100"/>
    <n v="30000"/>
    <n v="30000"/>
  </r>
  <r>
    <x v="819"/>
    <x v="819"/>
    <s v="Verkeersveiligheid"/>
    <x v="4"/>
    <n v="961"/>
    <s v="IN/000890"/>
    <s v="Ingreep schoolroute in Sint-Truiden op •"/>
    <s v="Hasp-O stadsrand, (Tuinbouwschool), Diestersteenweg"/>
    <s v="&lt;null&gt;"/>
    <s v="Kleine Ingreep"/>
    <s v="WL/INV/N716/4"/>
    <b v="0"/>
    <s v="Ingreep wordt niet opgevolgd in BOD"/>
    <s v="&lt;null&gt;"/>
    <s v="&lt;null&gt;"/>
    <s v="OVERIGE"/>
    <m/>
    <n v="100"/>
    <n v="50000"/>
  </r>
  <r>
    <x v="820"/>
    <x v="820"/>
    <s v="Verkeersveiligheid"/>
    <x v="4"/>
    <n v="962"/>
    <s v="IN/000891"/>
    <s v="Ingreep schoolroute in Herselt op Blauberg 1"/>
    <s v="&lt;null&gt;"/>
    <s v="Kleine Ingreep"/>
    <s v="WA/INV/N212/2"/>
    <b v="0"/>
    <s v="Ingreep wordt niet opgevolgd in BOD"/>
    <s v="&lt;null&gt;"/>
    <s v="&lt;null&gt;"/>
    <s v="OVERIGE"/>
    <s v="&lt;null&gt;"/>
    <n v="100"/>
    <n v="2000"/>
    <n v="2000"/>
  </r>
  <r>
    <x v="821"/>
    <x v="821"/>
    <s v="Verkeersveiligheid"/>
    <x v="4"/>
    <n v="963"/>
    <s v="IN/000892"/>
    <s v="Ingreep schoolroute in Balen op prioriteit 1: oversteek N18(Molsesteenweg) ter hoogte kruispunt Boekweitstr- Kolfstraat"/>
    <s v="&lt;null&gt;"/>
    <s v="Kleine Ingreep"/>
    <s v="WA/INV/N18/10"/>
    <b v="0"/>
    <s v="Ingreep wordt niet opgevolgd in BOD"/>
    <s v="&lt;null&gt;"/>
    <s v="&lt;null&gt;"/>
    <s v="OVERIGE"/>
    <s v="&lt;null&gt;"/>
    <n v="100"/>
    <n v="35000"/>
    <n v="35000"/>
  </r>
  <r>
    <x v="822"/>
    <x v="822"/>
    <s v="Verkeersveiligheid"/>
    <x v="4"/>
    <n v="964"/>
    <s v="IN/000893"/>
    <s v="Ingreep schoolroute in Balen op prioriteit 2. oversteek N18 (Schoor)ter hoogte van Sinterveld"/>
    <s v="&lt;null&gt;"/>
    <s v="Kleine Ingreep"/>
    <s v="WA/INV/N18/11"/>
    <b v="0"/>
    <s v="Ingreep wordt niet opgevolgd in BOD"/>
    <s v="&lt;null&gt;"/>
    <s v="&lt;null&gt;"/>
    <s v="OVERIGE"/>
    <s v="&lt;null&gt;"/>
    <n v="100"/>
    <n v="35000"/>
    <n v="35000"/>
  </r>
  <r>
    <x v="823"/>
    <x v="823"/>
    <s v="Verkeersveiligheid"/>
    <x v="4"/>
    <n v="965"/>
    <s v="IN/000894"/>
    <s v="herinrichten kruispunt met 2 FOP's"/>
    <m/>
    <s v="Kleine Ingreep"/>
    <s v="WL/INV/N77/2"/>
    <b v="1"/>
    <s v="Ingreep wordt opgevolgd in BOD"/>
    <n v="2022"/>
    <s v="Q3"/>
    <s v="OVERIGE"/>
    <s v="&lt;null&gt;"/>
    <n v="100"/>
    <n v="27200"/>
    <n v="27200"/>
  </r>
  <r>
    <x v="824"/>
    <x v="824"/>
    <s v="Verkeersveiligheid"/>
    <x v="4"/>
    <n v="966"/>
    <s v="IN/000895"/>
    <s v="Ingreep schoolroute in Hoogstraten op Kruispunt John Lijsenstraat - Hoogeind Meer"/>
    <s v="&lt;null&gt;"/>
    <s v="Kleine Ingreep"/>
    <s v="WA/INV/N146/2"/>
    <b v="0"/>
    <s v="Ingreep wordt niet opgevolgd in BOD"/>
    <s v="&lt;null&gt;"/>
    <s v="&lt;null&gt;"/>
    <s v="OVERIGE"/>
    <s v="&lt;null&gt;"/>
    <n v="100"/>
    <n v="2500"/>
    <n v="2500"/>
  </r>
  <r>
    <x v="825"/>
    <x v="825"/>
    <s v="Verkeersveiligheid"/>
    <x v="4"/>
    <n v="967"/>
    <s v="IN/000896"/>
    <s v="Ingreep schoolroute in Hoogstraten op Kruispunt Meerdorp - Meerleseweg"/>
    <s v="&lt;null&gt;"/>
    <s v="Kleine Ingreep"/>
    <s v="WA/INV/N146/3"/>
    <b v="0"/>
    <s v="Ingreep wordt niet opgevolgd in BOD"/>
    <s v="&lt;null&gt;"/>
    <s v="&lt;null&gt;"/>
    <s v="OVERIGE"/>
    <s v="&lt;null&gt;"/>
    <n v="100"/>
    <n v="2500"/>
    <n v="2500"/>
  </r>
  <r>
    <x v="826"/>
    <x v="826"/>
    <s v="Verkeersveiligheid"/>
    <x v="4"/>
    <n v="968"/>
    <s v="IN/000897"/>
    <s v="Ingreep schoolroute in Hoogstraten op Kruispunt Loenhoutseweg - Heuvelstraat"/>
    <s v="&lt;null&gt;"/>
    <s v="Kleine Ingreep"/>
    <s v="&lt;null&gt;"/>
    <b v="0"/>
    <s v="Ingreep wordt niet opgevolgd in BOD"/>
    <s v="&lt;null&gt;"/>
    <s v="&lt;null&gt;"/>
    <s v="OVERIGE"/>
    <s v="&lt;null&gt;"/>
    <n v="100"/>
    <n v="4000"/>
    <n v="4000"/>
  </r>
  <r>
    <x v="827"/>
    <x v="827"/>
    <s v="Verkeersveiligheid"/>
    <x v="4"/>
    <n v="969"/>
    <s v="IN/000898"/>
    <s v="Ingreep schoolroute in Heers op Nieuwe Steenweg 20, 3870 Heers"/>
    <s v="regenboogzebrapad ipv bestaand zebrapad"/>
    <s v="Kleine Ingreep"/>
    <s v="WL/INV/N784/1"/>
    <b v="1"/>
    <s v="Ingreep wordt opgevolgd in BOD"/>
    <s v="&lt;null&gt;"/>
    <s v="&lt;null&gt;"/>
    <s v="OVERIGE"/>
    <s v="&lt;null&gt;"/>
    <n v="100"/>
    <n v="193"/>
    <n v="193"/>
  </r>
  <r>
    <x v="828"/>
    <x v="828"/>
    <s v="Verkeersveiligheid"/>
    <x v="4"/>
    <n v="970"/>
    <s v="IN/000899"/>
    <s v="Ingreep schoolroute in Heers op Kruispunt Ridderstraat - Nieuwe Steenweg"/>
    <s v="- accentueren VOP met wegdekreflectoren\n- evaluatie na 6 maanden (bedrijfszekerheid; financieel; kwalitatief naar tevredenheid verkeersdeelnemers)"/>
    <s v="Kleine Ingreep"/>
    <s v="WL/INV/N784/2"/>
    <b v="0"/>
    <s v="Ingreep wordt niet opgevolgd in BOD"/>
    <s v="&lt;null&gt;"/>
    <s v="&lt;null&gt;"/>
    <s v="OVERIGE"/>
    <s v="&lt;null&gt;"/>
    <n v="100"/>
    <n v="150000"/>
    <n v="150000"/>
  </r>
  <r>
    <x v="829"/>
    <x v="829"/>
    <s v="Verkeersveiligheid"/>
    <x v="4"/>
    <n v="971"/>
    <s v="IN/000900"/>
    <s v="Ingreep schoolroute (PM studiebureau aan te stellen via MC3)"/>
    <s v="Bestaande oversteekplaats voorzien van middengeleider"/>
    <s v="Kleine Ingreep"/>
    <s v="WL/INV/N141/9"/>
    <b v="0"/>
    <s v="Ingreep wordt niet opgevolgd in BOD"/>
    <n v="2023"/>
    <s v="&lt;null&gt;"/>
    <s v="OVERIGE"/>
    <s v="&lt;null&gt;"/>
    <n v="100"/>
    <n v="63701"/>
    <n v="63701"/>
  </r>
  <r>
    <x v="830"/>
    <x v="830"/>
    <s v="Verkeersveiligheid"/>
    <x v="4"/>
    <n v="972"/>
    <s v="IN/000901"/>
    <s v="Ingreep schoolroute in Wervik op As Geluwesesteenweg (N311) Speldenstraat (N515) Komenstraat"/>
    <s v="FSS Speldenstraat, fietslogo's Geluwestraat-Geluwesteenweg, rugdekking."/>
    <s v="Kleine Ingreep"/>
    <s v="WWV/INV/N515/1"/>
    <b v="1"/>
    <s v="Ingreep wordt opgevolgd in BOD"/>
    <n v="2022"/>
    <s v="Q3"/>
    <s v="OVERIGE"/>
    <s v="&lt;null&gt;"/>
    <n v="100"/>
    <n v="110000"/>
    <n v="110000"/>
  </r>
  <r>
    <x v="831"/>
    <x v="831"/>
    <s v="Verkeersveiligheid"/>
    <x v="4"/>
    <n v="973"/>
    <s v="IN/000902"/>
    <s v="Ingreep schoolroute in Leuven op Sint-Jansberg (Deel ten noorden van Koning Boudewijnlaan en nr. 146)"/>
    <s v="Uitbreken fietspad in betonstraatstenen en opnieuw aanleggen in asfalt"/>
    <s v="Kleine Ingreep"/>
    <s v="WVB/INV/N253/7"/>
    <b v="1"/>
    <s v="Ingreep wordt opgevolgd in BOD"/>
    <n v="2022"/>
    <s v="Q3"/>
    <s v="WEGENIS"/>
    <s v="&lt;null&gt;"/>
    <n v="100"/>
    <n v="40000"/>
    <n v="40000"/>
  </r>
  <r>
    <x v="832"/>
    <x v="832"/>
    <s v="Verkeersveiligheid"/>
    <x v="4"/>
    <n v="974"/>
    <s v="IN/000903"/>
    <s v="Ingreep schoolroute in Leuven op Brusselsepoort"/>
    <s v="&lt;null&gt;"/>
    <s v="Kleine Ingreep"/>
    <s v="&lt;null&gt;"/>
    <b v="0"/>
    <s v="Ingreep wordt niet opgevolgd in BOD"/>
    <s v="&lt;null&gt;"/>
    <s v="&lt;null&gt;"/>
    <s v="OVERIGE"/>
    <s v="&lt;null&gt;"/>
    <n v="100"/>
    <n v="0"/>
    <n v="0"/>
  </r>
  <r>
    <x v="833"/>
    <x v="833"/>
    <s v="Verkeersveiligheid"/>
    <x v="4"/>
    <n v="975"/>
    <s v="IN/000904"/>
    <s v="Ingreep schoolroute in Anzegem op Diverse locaties -zie toelichting en voorstel oplossing."/>
    <s v="&lt;null&gt;"/>
    <s v="Kleine Ingreep"/>
    <s v="WWV/INV/N382/7"/>
    <b v="1"/>
    <s v="Ingreep wordt opgevolgd in BOD"/>
    <n v="2022"/>
    <s v="Q4"/>
    <s v="OV"/>
    <s v="Voorzien 2 x punctuele verlichting"/>
    <n v="100"/>
    <n v="60000"/>
    <n v="60000"/>
  </r>
  <r>
    <x v="833"/>
    <x v="833"/>
    <s v="Verkeersveiligheid"/>
    <x v="4"/>
    <n v="975"/>
    <s v="IN/000904"/>
    <s v="Ingreep schoolroute in Anzegem op Diverse locaties -zie toelichting en voorstel oplossing."/>
    <s v="&lt;null&gt;"/>
    <s v="Kleine Ingreep"/>
    <s v="WWV/INV/N382/7"/>
    <b v="1"/>
    <s v="Ingreep wordt opgevolgd in BOD"/>
    <n v="2022"/>
    <s v="Q2"/>
    <s v="OVERIGE"/>
    <s v="uitgevoerd"/>
    <n v="100"/>
    <n v="1000"/>
    <n v="1000"/>
  </r>
  <r>
    <x v="834"/>
    <x v="834"/>
    <s v="Verkeersveiligheid"/>
    <x v="4"/>
    <n v="976"/>
    <s v="IN/000905"/>
    <s v="Ingreep schoolroute in Hamont-Achel op N76 oversteekplaats t.h.v. Inkensven"/>
    <s v="aanbrengen VOP"/>
    <s v="Kleine Ingreep"/>
    <s v="WL/INV/N76/24"/>
    <b v="1"/>
    <s v="Ingreep wordt opgevolgd in BOD"/>
    <n v="2022"/>
    <s v="Q3"/>
    <s v="OVERIGE"/>
    <s v="&lt;null&gt;"/>
    <n v="100"/>
    <n v="25000"/>
    <n v="25000"/>
  </r>
  <r>
    <x v="835"/>
    <x v="835"/>
    <s v="Verkeersveiligheid"/>
    <x v="4"/>
    <n v="977"/>
    <s v="IN/000906"/>
    <s v="VVOP"/>
    <s v="&lt;null&gt;"/>
    <s v="Kleine Ingreep"/>
    <s v="WL/INV/N73/20"/>
    <b v="0"/>
    <s v="Ingreep wordt niet opgevolgd in BOD"/>
    <s v="&lt;null&gt;"/>
    <s v="&lt;null&gt;"/>
    <s v="OV"/>
    <s v="&lt;null&gt;"/>
    <n v="100"/>
    <n v="75000"/>
    <n v="75000"/>
  </r>
  <r>
    <x v="836"/>
    <x v="836"/>
    <s v="Verkeersveiligheid"/>
    <x v="4"/>
    <n v="978"/>
    <s v="IN/000907"/>
    <s v="Nieuwe VOP (PM Sweco Jan Nijsen)"/>
    <s v="&lt;null&gt;"/>
    <s v="Kleine Ingreep"/>
    <s v="WL/INV/N748/5"/>
    <b v="1"/>
    <s v="Ingreep wordt opgevolgd in BOD"/>
    <s v="&lt;null&gt;"/>
    <s v="&lt;null&gt;"/>
    <s v="OVERIGE"/>
    <s v="&lt;null&gt;"/>
    <n v="100"/>
    <n v="25000"/>
    <n v="25000"/>
  </r>
  <r>
    <x v="837"/>
    <x v="837"/>
    <s v="Verkeersveiligheid"/>
    <x v="4"/>
    <n v="979"/>
    <s v="IN/000908"/>
    <s v="FOP (PM studiebureau aan te stellen via MC3)"/>
    <s v="fietsoversteekvoorziening met fietslogoverbinding"/>
    <s v="Kleine Ingreep"/>
    <s v="WL/INV/N71/9"/>
    <b v="0"/>
    <s v="Ingreep wordt niet opgevolgd in BOD"/>
    <n v="2023"/>
    <s v="&lt;null&gt;"/>
    <s v="OVERIGE"/>
    <s v="&lt;null&gt;"/>
    <n v="100"/>
    <n v="13541"/>
    <n v="13541"/>
  </r>
  <r>
    <x v="838"/>
    <x v="838"/>
    <s v="Verkeersveiligheid"/>
    <x v="4"/>
    <n v="980"/>
    <s v="IN/000909"/>
    <s v="Ingreep schoolroute in Herent op kruispunt Diependaalweg met N2 Brusselsesteenweg"/>
    <s v="&lt;null&gt;"/>
    <s v="Kleine Ingreep"/>
    <s v="WVB/INV/N2/17"/>
    <b v="0"/>
    <s v="Ingreep wordt niet opgevolgd in BOD"/>
    <n v="2022"/>
    <s v="Q4"/>
    <s v="OV"/>
    <s v="&lt;null&gt;"/>
    <n v="100"/>
    <n v="35000"/>
    <n v="35000"/>
  </r>
  <r>
    <x v="18"/>
    <x v="18"/>
    <s v="&lt;null&gt;"/>
    <x v="3"/>
    <n v="981"/>
    <s v="IN/000910"/>
    <s v="Ingreep schoolroute in Herent op N26 (Leuven-Mechelen)"/>
    <s v="&lt;null&gt;"/>
    <s v="Kleine Ingreep"/>
    <s v="&lt;null&gt;"/>
    <b v="0"/>
    <s v="Ingreep wordt niet opgevolgd in BOD"/>
    <s v="&lt;null&gt;"/>
    <s v="&lt;null&gt;"/>
    <s v="OVERIGE"/>
    <s v="&lt;null&gt;"/>
    <m/>
    <n v="0"/>
    <m/>
  </r>
  <r>
    <x v="839"/>
    <x v="839"/>
    <s v="Verkeersveiligheid"/>
    <x v="4"/>
    <n v="982"/>
    <s v="IN/000911"/>
    <s v="VVOP"/>
    <s v="&lt;null&gt;"/>
    <s v="Kleine Ingreep"/>
    <s v="WL/INV/N73/24"/>
    <b v="0"/>
    <s v="Ingreep wordt niet opgevolgd in BOD"/>
    <s v="&lt;null&gt;"/>
    <s v="&lt;null&gt;"/>
    <s v="OVERIGE"/>
    <s v="&lt;null&gt;"/>
    <n v="100"/>
    <n v="75000"/>
    <n v="75000"/>
  </r>
  <r>
    <x v="840"/>
    <x v="840"/>
    <s v="Verkeersveiligheid"/>
    <x v="4"/>
    <n v="983"/>
    <s v="IN/000912"/>
    <s v="Ingreep schoolroute in Brecht op N115, oversteekplaats thv Canadalaan"/>
    <s v="Plaatsing VFOP - VVOP"/>
    <s v="Kleine Ingreep"/>
    <s v="WA/INV/N115/6"/>
    <b v="0"/>
    <s v="Ingreep wordt niet opgevolgd in BOD"/>
    <n v="2023"/>
    <s v="Q1"/>
    <s v="VRI"/>
    <s v="&lt;null&gt;"/>
    <n v="100"/>
    <n v="20000"/>
    <n v="20000"/>
  </r>
  <r>
    <x v="841"/>
    <x v="841"/>
    <s v="Verkeersveiligheid"/>
    <x v="4"/>
    <n v="984"/>
    <s v="IN/000913"/>
    <s v="Aanpassingen thv schoolpoort de Heppening (PM studiebureau aan te stellen via MC3)"/>
    <s v="dichten middenberm en oversteek in fietslogoverbinding toevoegen"/>
    <s v="Kleine Ingreep"/>
    <s v="WL/INV/N72/17"/>
    <b v="0"/>
    <s v="Ingreep wordt niet opgevolgd in BOD"/>
    <n v="2022"/>
    <s v="&lt;null&gt;"/>
    <s v="OVERIGE"/>
    <s v="&lt;null&gt;"/>
    <n v="100"/>
    <n v="33358"/>
    <n v="33358"/>
  </r>
  <r>
    <x v="842"/>
    <x v="842"/>
    <s v="Verkeersveiligheid"/>
    <x v="4"/>
    <n v="985"/>
    <s v="IN/000914"/>
    <s v="Horizontale signalisatie in Brecht op Oversteek Venusstraat kp Molenstraat"/>
    <s v="&lt;null&gt;"/>
    <s v="Kleine Ingreep"/>
    <s v="WA/INV/N133/8"/>
    <b v="0"/>
    <s v="Ingreep wordt niet opgevolgd in BOD"/>
    <s v="&lt;null&gt;"/>
    <s v="&lt;null&gt;"/>
    <s v="OVERIGE"/>
    <s v="&lt;null&gt;"/>
    <n v="100"/>
    <n v="1500"/>
    <n v="1500"/>
  </r>
  <r>
    <x v="843"/>
    <x v="843"/>
    <s v="Verkeersveiligheid"/>
    <x v="4"/>
    <n v="986"/>
    <s v="IN/000915"/>
    <s v="Ingreep Hoppinpunt/schoolroutes."/>
    <s v="Dit wordt verder uitgewerkt binnen traject van de Hoppinpunten:\n- Hoppinpunt aanleggen\n- middengeleider\n- punctuele verlichting"/>
    <s v="Kleine Ingreep"/>
    <s v="WL/INV/N746/5"/>
    <b v="0"/>
    <s v="Ingreep wordt niet opgevolgd in BOD"/>
    <s v="&lt;null&gt;"/>
    <s v="&lt;null&gt;"/>
    <s v="OVERIGE"/>
    <s v="&lt;null&gt;"/>
    <n v="100"/>
    <n v="200000"/>
    <n v="200000"/>
  </r>
  <r>
    <x v="148"/>
    <x v="148"/>
    <s v="Verkeersveiligheid"/>
    <x v="4"/>
    <n v="987"/>
    <s v="IN/000916"/>
    <s v="Ingreep schoolroute in Herentals op In volgorde van prioriteit: 1) Kruispunt Herenthoutseweg – Ringlaan"/>
    <s v="&lt;null&gt;"/>
    <s v="Structurele Ingreep"/>
    <s v="&lt;null&gt;"/>
    <b v="0"/>
    <s v="Ingreep wordt niet opgevolgd in BOD"/>
    <s v="&lt;null&gt;"/>
    <s v="&lt;null&gt;"/>
    <s v="OVERIGE"/>
    <s v="&lt;null&gt;"/>
    <n v="100"/>
    <n v="0"/>
    <n v="0"/>
  </r>
  <r>
    <x v="844"/>
    <x v="844"/>
    <s v="Verkeersveiligheid"/>
    <x v="4"/>
    <n v="988"/>
    <s v="IN/000917"/>
    <s v="Ingreep schoolroute in Herentals op In volgorde van prioriteit: 2) Ovonde Ringlaan (kruising met Poederleeseweg, Lichtaartseweg en Nederrij)"/>
    <s v="&lt;null&gt;"/>
    <s v="Kleine Ingreep"/>
    <s v="WA/INV/N153/12"/>
    <b v="0"/>
    <s v="Ingreep wordt niet opgevolgd in BOD"/>
    <s v="&lt;null&gt;"/>
    <s v="&lt;null&gt;"/>
    <s v="&lt;null&gt;"/>
    <s v="&lt;null&gt;"/>
    <n v="100"/>
    <m/>
    <m/>
  </r>
  <r>
    <x v="845"/>
    <x v="845"/>
    <s v="Verkeersveiligheid"/>
    <x v="4"/>
    <n v="989"/>
    <s v="IN/000918"/>
    <s v="Ingreep schoolroute in Herentals op In volgorde van prioriteit: 10) Kruispunt Poederleeseweg met Olympiadelaan"/>
    <s v="Ontruimingstijd/V-plan aanpassen"/>
    <s v="Kleine Ingreep"/>
    <s v="WA/INV/N153/13"/>
    <b v="0"/>
    <s v="Ingreep wordt niet opgevolgd in BOD"/>
    <s v="&lt;null&gt;"/>
    <s v="&lt;null&gt;"/>
    <s v="OVERIGE"/>
    <s v="&lt;null&gt;"/>
    <n v="100"/>
    <n v="0"/>
    <n v="0"/>
  </r>
  <r>
    <x v="846"/>
    <x v="846"/>
    <s v="Verkeersveiligheid"/>
    <x v="4"/>
    <n v="990"/>
    <s v="IN/000919"/>
    <s v="Ingreep schoolroute in Tervuren op Kruispunt Tervurenlaan - Oppemstraat"/>
    <s v="Frietzak signalisatie"/>
    <s v="Kleine Ingreep"/>
    <s v="WVB/INV/NX/1"/>
    <b v="0"/>
    <s v="Ingreep wordt niet opgevolgd in BOD"/>
    <n v="2022"/>
    <s v="Q2"/>
    <s v="OVERIGE"/>
    <s v="niet relance"/>
    <n v="100"/>
    <n v="2500"/>
    <n v="2500"/>
  </r>
  <r>
    <x v="847"/>
    <x v="847"/>
    <s v="Verkeersveiligheid"/>
    <x v="1"/>
    <n v="991"/>
    <s v="IN/000920"/>
    <s v="Ingreep schoolroute in Tervuren op Oversteek N3 ter hoogte van Soetemanslaan"/>
    <s v="&lt;null&gt;"/>
    <s v="Kleine Ingreep"/>
    <s v="WVB/INV/N3/9"/>
    <b v="0"/>
    <s v="Ingreep wordt niet opgevolgd in BOD"/>
    <n v="2022"/>
    <s v="Q1"/>
    <s v="OVERIGE"/>
    <s v="welk bestek?"/>
    <n v="50"/>
    <n v="50000"/>
    <n v="25000"/>
  </r>
  <r>
    <x v="848"/>
    <x v="848"/>
    <s v="Verkeersveiligheid"/>
    <x v="4"/>
    <n v="991"/>
    <s v="IN/000920"/>
    <s v="Ingreep schoolroute in Tervuren op Oversteek N3 ter hoogte van Soetemanslaan"/>
    <s v="&lt;null&gt;"/>
    <s v="Kleine Ingreep"/>
    <s v="WVB/INV/N3/9"/>
    <b v="0"/>
    <s v="Ingreep wordt niet opgevolgd in BOD"/>
    <n v="2022"/>
    <s v="Q1"/>
    <s v="OVERIGE"/>
    <s v="welk bestek?"/>
    <n v="50"/>
    <n v="50000"/>
    <n v="25000"/>
  </r>
  <r>
    <x v="849"/>
    <x v="849"/>
    <s v="Verkeersveiligheid"/>
    <x v="4"/>
    <n v="992"/>
    <s v="IN/000921"/>
    <s v="Punctuele verlichting VOP thv Rijkelstraat (+ wegnemen biflash)"/>
    <s v="&lt;null&gt;"/>
    <s v="Kleine Ingreep"/>
    <s v="WL/INV/N729/10"/>
    <b v="0"/>
    <s v="Ingreep wordt niet opgevolgd in BOD"/>
    <n v="2022"/>
    <s v="&lt;null&gt;"/>
    <s v="OV"/>
    <s v="&lt;null&gt;"/>
    <n v="100"/>
    <n v="100000"/>
    <n v="100000"/>
  </r>
  <r>
    <x v="850"/>
    <x v="850"/>
    <s v="Verkeersveiligheid"/>
    <x v="4"/>
    <n v="993"/>
    <s v="IN/000922"/>
    <s v="oversteekvoorziening met middengeleider én extra verlichting (PM studiebureau aan te stellen MC3)"/>
    <s v="akkoord obv studie Sweco (oversteekvoorziening met middengeleider én extra verlichting)"/>
    <s v="Kleine Ingreep"/>
    <s v="WL/INV/N758/3"/>
    <b v="0"/>
    <s v="Ingreep wordt niet opgevolgd in BOD"/>
    <s v="&lt;null&gt;"/>
    <s v="&lt;null&gt;"/>
    <s v="OVERIGE"/>
    <s v="&lt;null&gt;"/>
    <n v="100"/>
    <n v="256476"/>
    <n v="256476"/>
  </r>
  <r>
    <x v="851"/>
    <x v="851"/>
    <s v="Verkeersveiligheid"/>
    <x v="4"/>
    <n v="994"/>
    <s v="IN/000923"/>
    <s v="FOP + dubbelrichtingsfietspad (PM studiebureau aan te stellen MC3)"/>
    <s v="Dubbelrichtingsfietsoversteek, stukje dubbelrichtingsfietspad in Sevensstraat, fietssuggestiestroken of logo's bij kruispunt"/>
    <s v="Kleine Ingreep"/>
    <s v="WL/INV/N762/3"/>
    <b v="0"/>
    <s v="Ingreep wordt niet opgevolgd in BOD"/>
    <n v="2022"/>
    <s v="&lt;null&gt;"/>
    <s v="OVERIGE"/>
    <s v="&lt;null&gt;"/>
    <n v="100"/>
    <n v="20625"/>
    <n v="20625"/>
  </r>
  <r>
    <x v="852"/>
    <x v="852"/>
    <s v="Verkeersveiligheid"/>
    <x v="4"/>
    <n v="995"/>
    <s v="IN/000924"/>
    <s v="Ingreep schoolroute in Veurne op N8 - Sint Idesbaldusstraat ter hoogte van station Koksijde"/>
    <s v="&lt;null&gt;"/>
    <s v="Kleine Ingreep"/>
    <s v="WWV/INV/N8/19"/>
    <b v="0"/>
    <s v="Ingreep wordt niet opgevolgd in BOD"/>
    <n v="2023"/>
    <s v="Q2"/>
    <s v="WEGENIS"/>
    <s v="&lt;null&gt;"/>
    <n v="100"/>
    <n v="50000"/>
    <n v="50000"/>
  </r>
  <r>
    <x v="853"/>
    <x v="853"/>
    <s v="Verkeersveiligheid"/>
    <x v="4"/>
    <n v="996"/>
    <s v="IN/000925"/>
    <s v="Ingreep schoolroute in Diepenbeek op Oversteekplaats over de N2 - Vrij basisonderwijs Paleis en BKO centrum"/>
    <s v="&lt;null&gt;"/>
    <s v="Kleine Ingreep"/>
    <s v="WL/INV/N2/11"/>
    <b v="1"/>
    <s v="Ingreep wordt opgevolgd in BOD"/>
    <s v="&lt;null&gt;"/>
    <s v="&lt;null&gt;"/>
    <s v="OVERIGE"/>
    <s v="&lt;null&gt;"/>
    <n v="100"/>
    <n v="1227"/>
    <n v="1227"/>
  </r>
  <r>
    <x v="854"/>
    <x v="854"/>
    <s v="Verkeersveiligheid"/>
    <x v="4"/>
    <n v="997"/>
    <s v="IN/000926"/>
    <s v="Ingreep schoolroute in Brasschaat op N11 Kapelsesteenweg ter hoogte van Sint Michielscollege"/>
    <s v="&lt;null&gt;"/>
    <s v="Kleine Ingreep"/>
    <s v="WA/INV/N11/3"/>
    <b v="0"/>
    <s v="Ingreep wordt niet opgevolgd in BOD"/>
    <s v="&lt;null&gt;"/>
    <s v="&lt;null&gt;"/>
    <s v="OVERIGE"/>
    <s v="&lt;null&gt;"/>
    <n v="100"/>
    <n v="1500"/>
    <n v="1500"/>
  </r>
  <r>
    <x v="49"/>
    <x v="49"/>
    <s v="Verkeersveiligheid"/>
    <x v="4"/>
    <n v="998"/>
    <s v="IN/000927"/>
    <s v="mag weg - is vervat in andere ingreep - Ingreep schoolroute in Herenthout op kruising N13 met Staionlei Bouwel (Grobbendonk)"/>
    <s v="&lt;null&gt;"/>
    <s v="Structurele Ingreep"/>
    <s v="&lt;null&gt;"/>
    <b v="0"/>
    <s v="Ingreep wordt niet opgevolgd in BOD"/>
    <s v="&lt;null&gt;"/>
    <s v="&lt;null&gt;"/>
    <s v="OVERIGE"/>
    <s v="&lt;null&gt;"/>
    <n v="100"/>
    <n v="0"/>
    <n v="0"/>
  </r>
  <r>
    <x v="855"/>
    <x v="855"/>
    <s v="Verkeersveiligheid"/>
    <x v="4"/>
    <n v="999"/>
    <s v="IN/000928"/>
    <s v="Ingreep schoolroute in Kapellen op Ertbrandstraat tussen Partizanenstraat en Vincent Mercierplein"/>
    <s v="&lt;null&gt;"/>
    <s v="Kleine Ingreep"/>
    <s v="WA/INV/N11/4"/>
    <b v="0"/>
    <s v="Ingreep wordt niet opgevolgd in BOD"/>
    <s v="&lt;null&gt;"/>
    <s v="&lt;null&gt;"/>
    <s v="OVERIGE"/>
    <s v="&lt;null&gt;"/>
    <n v="100"/>
    <n v="1000"/>
    <n v="1000"/>
  </r>
  <r>
    <x v="856"/>
    <x v="856"/>
    <s v="Verkeersveiligheid"/>
    <x v="4"/>
    <n v="1000"/>
    <s v="IN/000929"/>
    <s v="Ingreep schoolroute in Kapellen op Kapelsestraat - De Masten"/>
    <s v="&lt;null&gt;"/>
    <s v="Kleine Ingreep"/>
    <s v="&lt;null&gt;"/>
    <b v="0"/>
    <s v="Ingreep wordt niet opgevolgd in BOD"/>
    <s v="&lt;null&gt;"/>
    <s v="&lt;null&gt;"/>
    <s v="OVERIGE"/>
    <s v="&lt;null&gt;"/>
    <n v="100"/>
    <n v="2500"/>
    <n v="2500"/>
  </r>
  <r>
    <x v="857"/>
    <x v="857"/>
    <s v="Verkeersveiligheid"/>
    <x v="4"/>
    <n v="1001"/>
    <s v="IN/000930"/>
    <s v="Ingreep schoolroute in Roeselare op Kruispunt Meensesteenweg - Kerklaan"/>
    <s v="&lt;null&gt;"/>
    <s v="Kleine Ingreep"/>
    <s v="WWV/INV/N32/7"/>
    <b v="0"/>
    <s v="Ingreep wordt niet opgevolgd in BOD"/>
    <n v="2021"/>
    <s v="Q2"/>
    <s v="OVERIGE"/>
    <s v="markering"/>
    <n v="100"/>
    <n v="1000"/>
    <n v="1000"/>
  </r>
  <r>
    <x v="858"/>
    <x v="858"/>
    <s v="Verkeersveiligheid"/>
    <x v="4"/>
    <n v="1002"/>
    <s v="IN/000931"/>
    <s v="Ingreep schoolroute in Brasschaat op Kruispunt N11 Kapelsesteenweg x Acacialei"/>
    <s v="&lt;null&gt;"/>
    <s v="Kleine Ingreep"/>
    <s v="&lt;null&gt;"/>
    <b v="0"/>
    <s v="Ingreep wordt niet opgevolgd in BOD"/>
    <s v="&lt;null&gt;"/>
    <s v="&lt;null&gt;"/>
    <s v="OVERIGE"/>
    <s v="&lt;null&gt;"/>
    <n v="100"/>
    <n v="50000"/>
    <n v="50000"/>
  </r>
  <r>
    <x v="859"/>
    <x v="859"/>
    <s v="Verkeersveiligheid"/>
    <x v="4"/>
    <n v="1003"/>
    <s v="IN/000932"/>
    <s v="Ingreep schoolroute in Brasschaat op Kruispunt N11 Kapelsesteenweg x Kastanjelei"/>
    <s v="&lt;null&gt;"/>
    <s v="Kleine Ingreep"/>
    <s v="&lt;null&gt;"/>
    <b v="0"/>
    <s v="Ingreep wordt niet opgevolgd in BOD"/>
    <s v="&lt;null&gt;"/>
    <s v="&lt;null&gt;"/>
    <s v="OVERIGE"/>
    <s v="&lt;null&gt;"/>
    <n v="100"/>
    <n v="10000"/>
    <n v="10000"/>
  </r>
  <r>
    <x v="860"/>
    <x v="860"/>
    <s v="Verkeersveiligheid"/>
    <x v="4"/>
    <n v="1004"/>
    <s v="IN/000933"/>
    <s v="Horizontale signalisatie in Kapellen op Kapelsestraat - Irishof en kruispunt Streepstraat"/>
    <s v="&lt;null&gt;"/>
    <s v="Kleine Ingreep"/>
    <s v="WA/INV/N11/5"/>
    <b v="0"/>
    <s v="Ingreep wordt niet opgevolgd in BOD"/>
    <s v="&lt;null&gt;"/>
    <s v="&lt;null&gt;"/>
    <s v="OVERIGE"/>
    <s v="&lt;null&gt;"/>
    <n v="100"/>
    <n v="0"/>
    <n v="0"/>
  </r>
  <r>
    <x v="861"/>
    <x v="861"/>
    <s v="Verkeersveiligheid"/>
    <x v="4"/>
    <n v="1005"/>
    <s v="IN/000934"/>
    <s v="Ingreep schoolroute in Hasselt op Luikersteenweg Rapertingen"/>
    <s v="&lt;null&gt;"/>
    <s v="Kleine Ingreep"/>
    <s v="WL/INV/N20/8"/>
    <b v="0"/>
    <s v="Ingreep wordt niet opgevolgd in BOD"/>
    <s v="&lt;null&gt;"/>
    <s v="&lt;null&gt;"/>
    <s v="OVERIGE"/>
    <s v="&lt;null&gt;"/>
    <n v="100"/>
    <n v="300000"/>
    <n v="300000"/>
  </r>
  <r>
    <x v="862"/>
    <x v="862"/>
    <s v="Verkeersveiligheid"/>
    <x v="4"/>
    <n v="1006"/>
    <s v="IN/000935"/>
    <s v="Ingreep schoolroute in Diepenbeek: gemeenteweg afsluiten thv N76 (PM Sweco Jan Nijsen)"/>
    <s v="knip zijstraat van N76"/>
    <s v="Kleine Ingreep"/>
    <s v="WL/INV/N76/28"/>
    <b v="1"/>
    <s v="Ingreep wordt opgevolgd in BOD"/>
    <s v="&lt;null&gt;"/>
    <s v="&lt;null&gt;"/>
    <s v="OVERIGE"/>
    <s v="&lt;null&gt;"/>
    <n v="100"/>
    <n v="100000"/>
    <n v="100000"/>
  </r>
  <r>
    <x v="863"/>
    <x v="863"/>
    <s v="Verkeersveiligheid"/>
    <x v="4"/>
    <n v="1007"/>
    <s v="IN/000936"/>
    <s v="Ingreep schoolroute in Roeselare op Brugsesteenweg"/>
    <s v="&lt;null&gt;"/>
    <s v="Kleine Ingreep"/>
    <s v="WWV/INV/N32/8"/>
    <b v="1"/>
    <s v="Ingreep wordt opgevolgd in BOD"/>
    <n v="2022"/>
    <s v="Q2"/>
    <s v="OVERIGE"/>
    <s v="&lt;null&gt;"/>
    <n v="100"/>
    <n v="7000"/>
    <n v="7000"/>
  </r>
  <r>
    <x v="864"/>
    <x v="864"/>
    <s v="Verkeersveiligheid"/>
    <x v="4"/>
    <n v="1008"/>
    <s v="IN/000937"/>
    <s v="Ingreep schoolroute in Gooik op Kester deelgemeente Gooik"/>
    <s v="&lt;null&gt;"/>
    <s v="Kleine Ingreep"/>
    <s v="WVB/INV/N272/5"/>
    <b v="1"/>
    <s v="Ingreep wordt opgevolgd in BOD"/>
    <n v="2021"/>
    <s v="Q3"/>
    <s v="OV"/>
    <s v="&lt;null&gt;"/>
    <n v="100"/>
    <n v="26235.96"/>
    <n v="26235.96"/>
  </r>
  <r>
    <x v="865"/>
    <x v="865"/>
    <s v="Verkeersveiligheid"/>
    <x v="4"/>
    <n v="1009"/>
    <s v="IN/000938"/>
    <s v="Ingreep schoolroute in Diksmuide op 1. N35 Esenweg kp Tuinwijk"/>
    <s v="&lt;null&gt;"/>
    <s v="Kleine Ingreep"/>
    <s v="WWV/INV/N35/7"/>
    <b v="0"/>
    <s v="Ingreep wordt niet opgevolgd in BOD"/>
    <n v="2022"/>
    <s v="Q2"/>
    <s v="OVERIGE"/>
    <s v="&lt;null&gt;"/>
    <n v="100"/>
    <n v="2000"/>
    <n v="2000"/>
  </r>
  <r>
    <x v="866"/>
    <x v="866"/>
    <s v="Verkeersveiligheid"/>
    <x v="4"/>
    <n v="1010"/>
    <s v="IN/000939"/>
    <s v="Ingreep schoolroute in Hasselt op Kuringersteenweg"/>
    <s v="&lt;null&gt;"/>
    <s v="Kleine Ingreep"/>
    <s v="WL/INV/N2/12"/>
    <b v="1"/>
    <s v="Ingreep wordt opgevolgd in BOD"/>
    <s v="&lt;null&gt;"/>
    <s v="&lt;null&gt;"/>
    <s v="OVERIGE"/>
    <s v="&lt;null&gt;"/>
    <n v="100"/>
    <n v="27226"/>
    <n v="27226"/>
  </r>
  <r>
    <x v="867"/>
    <x v="867"/>
    <s v="Verkeersveiligheid"/>
    <x v="4"/>
    <n v="1011"/>
    <s v="IN/000940"/>
    <s v="Gevleugeld zebrapad in Diksmuide op 4."/>
    <s v="N35 Esenplein ( rp 26.6)"/>
    <s v="&lt;null&gt;"/>
    <s v="Kleine Ingreep"/>
    <s v="WWV/INV/N35/8"/>
    <b v="1"/>
    <s v="Ingreep wordt opgevolgd in BOD"/>
    <n v="2022"/>
    <s v="Q3"/>
    <s v="OV"/>
    <s v="Punctuele verlichting"/>
    <n v="100"/>
    <n v="34000"/>
  </r>
  <r>
    <x v="868"/>
    <x v="868"/>
    <s v="Verkeersveiligheid"/>
    <x v="4"/>
    <n v="1012"/>
    <s v="IN/000941"/>
    <s v="aanpassen markeringen (PM Jan Nijsen Sweco)"/>
    <s v="&lt;null&gt;"/>
    <s v="Kleine Ingreep"/>
    <s v="WL/INV/N73/21"/>
    <b v="1"/>
    <s v="Ingreep wordt opgevolgd in BOD"/>
    <n v="2022"/>
    <s v="Q2"/>
    <s v="OVERIGE"/>
    <s v="&lt;null&gt;"/>
    <n v="100"/>
    <n v="1000"/>
    <n v="1000"/>
  </r>
  <r>
    <x v="869"/>
    <x v="869"/>
    <s v="Verkeersveiligheid"/>
    <x v="4"/>
    <n v="1013"/>
    <s v="IN/000942"/>
    <s v="Ingreep schoolroute in Hasselt op Kempische steenweg Kiewit"/>
    <s v="&lt;null&gt;"/>
    <s v="Kleine Ingreep"/>
    <s v="&lt;null&gt;"/>
    <b v="0"/>
    <s v="Ingreep wordt niet opgevolgd in BOD"/>
    <s v="&lt;null&gt;"/>
    <s v="&lt;null&gt;"/>
    <s v="OVERIGE"/>
    <s v="&lt;null&gt;"/>
    <n v="100"/>
    <n v="0"/>
    <n v="0"/>
  </r>
  <r>
    <x v="870"/>
    <x v="870"/>
    <s v="Verkeersveiligheid"/>
    <x v="4"/>
    <n v="1014"/>
    <s v="IN/000943"/>
    <s v="Ingreep schoolroute in Heuvelland op Dikkebusstraat De Klijte"/>
    <s v="&lt;null&gt;"/>
    <s v="Kleine Ingreep"/>
    <s v="WWV/INV/N375/4"/>
    <b v="0"/>
    <s v="Ingreep wordt niet opgevolgd in BOD"/>
    <n v="2022"/>
    <s v="Q3"/>
    <s v="WEGENIS"/>
    <m/>
    <n v="100"/>
    <n v="10000"/>
    <n v="10000"/>
  </r>
  <r>
    <x v="870"/>
    <x v="870"/>
    <s v="Verkeersveiligheid"/>
    <x v="4"/>
    <n v="1014"/>
    <s v="IN/000943"/>
    <s v="Ingreep schoolroute in Heuvelland op Dikkebusstraat De Klijte"/>
    <s v="&lt;null&gt;"/>
    <s v="Kleine Ingreep"/>
    <s v="WWV/INV/N375/4"/>
    <b v="0"/>
    <s v="Ingreep wordt niet opgevolgd in BOD"/>
    <n v="2022"/>
    <s v="Q4"/>
    <s v="OV"/>
    <s v="Punctuele verlichting"/>
    <n v="100"/>
    <n v="30000"/>
    <n v="30000"/>
  </r>
  <r>
    <x v="871"/>
    <x v="871"/>
    <s v="Verkeersveiligheid"/>
    <x v="4"/>
    <n v="1015"/>
    <s v="IN/000944"/>
    <s v="Ingreep schoolroute in Heuvelland op Kemmel - doortocht N304"/>
    <s v="plaatsen fietslogo's"/>
    <s v="Kleine Ingreep"/>
    <s v="WWV/INV/N304/2"/>
    <b v="1"/>
    <s v="Ingreep wordt opgevolgd in BOD"/>
    <n v="2022"/>
    <s v="Q2"/>
    <s v="OVERIGE"/>
    <s v="wegmarkeringen toepassen vanaf"/>
    <n v="100"/>
    <n v="10000"/>
    <n v="10000"/>
  </r>
  <r>
    <x v="872"/>
    <x v="872"/>
    <s v="Verkeersveiligheid"/>
    <x v="4"/>
    <n v="1016"/>
    <s v="IN/000945"/>
    <s v="Aanpassen VOP"/>
    <s v="3D-VOP vervangen door gewone VOP + enkele meters verplaatst"/>
    <s v="Kleine Ingreep"/>
    <s v="WL/INV/N730/10"/>
    <b v="1"/>
    <s v="Ingreep wordt opgevolgd in BOD"/>
    <s v="&lt;null&gt;"/>
    <s v="&lt;null&gt;"/>
    <s v="OVERIGE"/>
    <s v="&lt;null&gt;"/>
    <n v="100"/>
    <n v="5594"/>
    <n v="5594"/>
  </r>
  <r>
    <x v="873"/>
    <x v="873"/>
    <s v="Verkeersveiligheid"/>
    <x v="4"/>
    <n v="1017"/>
    <s v="IN/000946"/>
    <s v="Ingreep schoolroute in Heuvelland op doortocht Westouter - N315"/>
    <s v="&lt;null&gt;"/>
    <s v="Kleine Ingreep"/>
    <s v="WWV/INV/N315/1"/>
    <b v="1"/>
    <s v="Ingreep wordt opgevolgd in BOD"/>
    <n v="2022"/>
    <s v="Q2"/>
    <s v="OVERIGE"/>
    <s v="plaatsen van logo's op asfalt en beton, niet op de mozaïeken"/>
    <n v="100"/>
    <n v="1000"/>
    <n v="1000"/>
  </r>
  <r>
    <x v="874"/>
    <x v="874"/>
    <s v="Verkeersveiligheid"/>
    <x v="4"/>
    <n v="1018"/>
    <s v="IN/000947"/>
    <s v="Ingreep schoolroute in Menen op Ieperstraat (tussen nr. 205 en overweg)"/>
    <s v="&lt;null&gt;"/>
    <s v="Kleine Ingreep"/>
    <s v="WWV/INV/N8/20"/>
    <b v="1"/>
    <s v="Ingreep wordt opgevolgd in BOD"/>
    <n v="2022"/>
    <s v="Q2"/>
    <s v="OVERIGE"/>
    <s v="&lt;null&gt;"/>
    <n v="100"/>
    <n v="65000"/>
    <n v="65000"/>
  </r>
  <r>
    <x v="875"/>
    <x v="875"/>
    <s v="Verkeersveiligheid"/>
    <x v="4"/>
    <n v="1019"/>
    <s v="IN/000948"/>
    <s v="Ingreep schoolroute in Heuvelland op N375, kruispunt met N315"/>
    <s v="&lt;null&gt;"/>
    <s v="Kleine Ingreep"/>
    <s v="WWV/INV/N315/2"/>
    <b v="1"/>
    <s v="Ingreep wordt opgevolgd in BOD"/>
    <n v="2022"/>
    <s v="Q3"/>
    <s v="OVERIGE"/>
    <s v="&lt;null&gt;"/>
    <n v="100"/>
    <n v="15000"/>
    <n v="15000"/>
  </r>
  <r>
    <x v="876"/>
    <x v="876"/>
    <s v="Verkeersveiligheid"/>
    <x v="4"/>
    <n v="1020"/>
    <s v="IN/000949"/>
    <s v="Ingreep schoolroute in Heuvelland op N365-N336"/>
    <s v="&lt;null&gt;"/>
    <s v="Kleine Ingreep"/>
    <s v="WWV/INV/N365/1"/>
    <b v="1"/>
    <s v="Ingreep wordt opgevolgd in BOD"/>
    <n v="2022"/>
    <s v="Q3"/>
    <s v="WEGENIS"/>
    <s v="&lt;null&gt;"/>
    <n v="100"/>
    <n v="20000"/>
    <n v="20000"/>
  </r>
  <r>
    <x v="877"/>
    <x v="877"/>
    <s v="Verkeersveiligheid"/>
    <x v="4"/>
    <n v="1021"/>
    <s v="IN/000950"/>
    <s v="Aanpassen verkeerslichten"/>
    <s v="- conflictvrij regelen linksaf N78 &gt; Looheuvelstraat\n- wegnemen herhalingslicht linkerzijde N78 in zuidelijke richting + toevoegen herhalingslicht op ooghoogte\n- optimaliseren groentijd vanuit Looheuvelstraat obv tellingen"/>
    <s v="Kleine Ingreep"/>
    <s v="WL/INV/N78/34"/>
    <b v="0"/>
    <s v="Ingreep wordt niet opgevolgd in BOD"/>
    <s v="&lt;null&gt;"/>
    <s v="&lt;null&gt;"/>
    <s v="OVERIGE"/>
    <s v="&lt;null&gt;"/>
    <n v="100"/>
    <n v="100000"/>
    <n v="100000"/>
  </r>
  <r>
    <x v="18"/>
    <x v="18"/>
    <s v="&lt;null&gt;"/>
    <x v="3"/>
    <n v="1022"/>
    <s v="IN/000951"/>
    <s v="Ingreep schoolroute in Heuvelland op N331"/>
    <s v="&lt;null&gt;"/>
    <s v="Kleine Ingreep"/>
    <s v="&lt;null&gt;"/>
    <b v="0"/>
    <s v="Ingreep wordt niet opgevolgd in BOD"/>
    <s v="&lt;null&gt;"/>
    <s v="&lt;null&gt;"/>
    <s v="OVERIGE"/>
    <s v="&lt;null&gt;"/>
    <m/>
    <n v="0"/>
    <m/>
  </r>
  <r>
    <x v="878"/>
    <x v="878"/>
    <s v="Verkeersveiligheid"/>
    <x v="4"/>
    <n v="1023"/>
    <s v="IN/000952"/>
    <s v="Ingreep schoolroute in Maasmechelen op School Mikado, N736"/>
    <s v="parkeerverbod"/>
    <s v="Kleine Ingreep"/>
    <s v="WL/INV/N736/1"/>
    <b v="1"/>
    <s v="Ingreep wordt opgevolgd in BOD"/>
    <s v="&lt;null&gt;"/>
    <s v="&lt;null&gt;"/>
    <s v="OVERIGE"/>
    <s v="&lt;null&gt;"/>
    <n v="100"/>
    <n v="383"/>
    <n v="383"/>
  </r>
  <r>
    <x v="879"/>
    <x v="879"/>
    <s v="Verkeersveiligheid"/>
    <x v="4"/>
    <n v="1024"/>
    <s v="IN/000953"/>
    <s v="Ingreep schoolroute in Menen op Moeskroenstraat (zebrapad voor Sint-Niklaaskerk)"/>
    <s v="&lt;null&gt;"/>
    <s v="Kleine Ingreep"/>
    <s v="WWV/INV/N366/3"/>
    <b v="1"/>
    <s v="Ingreep wordt opgevolgd in BOD"/>
    <n v="2022"/>
    <s v="Q1"/>
    <s v="OV"/>
    <s v="Plaatsen punctuele verlichting VVOP - installatienummer WW2107"/>
    <n v="100"/>
    <n v="33771.300000000003"/>
    <n v="33771.300000000003"/>
  </r>
  <r>
    <x v="18"/>
    <x v="18"/>
    <s v="&lt;null&gt;"/>
    <x v="3"/>
    <n v="1025"/>
    <s v="IN/000954"/>
    <s v="Horizontale signalisatie in Poperinge op Baljuwstraat (N304) en Prof. Rubbrechtstraat (N308)"/>
    <s v="&lt;null&gt;"/>
    <s v="Kleine Ingreep"/>
    <s v="WWV/INV/N304/3"/>
    <b v="0"/>
    <s v="Ingreep wordt niet opgevolgd in BOD"/>
    <s v="&lt;null&gt;"/>
    <s v="&lt;null&gt;"/>
    <s v="OVERIGE"/>
    <s v="&lt;null&gt;"/>
    <m/>
    <n v="4000"/>
    <m/>
  </r>
  <r>
    <x v="18"/>
    <x v="18"/>
    <s v="&lt;null&gt;"/>
    <x v="3"/>
    <n v="1026"/>
    <s v="IN/000955"/>
    <s v="Horizontale signalisatie in Poperinge op Baljuwstraat (N304) en Prof. Rubbrechtstraat (N308)"/>
    <s v="&lt;null&gt;"/>
    <s v="Kleine Ingreep"/>
    <s v="WWV/INV/N308/2"/>
    <b v="0"/>
    <s v="Ingreep wordt niet opgevolgd in BOD"/>
    <s v="&lt;null&gt;"/>
    <s v="&lt;null&gt;"/>
    <s v="OVERIGE"/>
    <s v="&lt;null&gt;"/>
    <m/>
    <n v="4000"/>
    <m/>
  </r>
  <r>
    <x v="880"/>
    <x v="880"/>
    <s v="Verkeersveiligheid"/>
    <x v="4"/>
    <n v="1027"/>
    <s v="IN/000956"/>
    <s v="Ingreep schoolroute in Poperinge op Burgemeester Bertenplein (N304)"/>
    <s v="&lt;null&gt;"/>
    <s v="Kleine Ingreep"/>
    <s v="WWV/INV/N304/4"/>
    <b v="0"/>
    <s v="Ingreep wordt niet opgevolgd in BOD"/>
    <s v="&lt;null&gt;"/>
    <s v="&lt;null&gt;"/>
    <s v="OVERIGE"/>
    <s v="&lt;null&gt;"/>
    <n v="100"/>
    <n v="4000"/>
    <n v="4000"/>
  </r>
  <r>
    <x v="881"/>
    <x v="881"/>
    <s v="Verkeersveiligheid"/>
    <x v="4"/>
    <n v="1028"/>
    <s v="IN/000957"/>
    <s v="Ingreep schoolroute in Avelgem op Fietsoversteek centrum Waarmaarde (thv Oudenaardsesteenweg 388)"/>
    <s v="&lt;null&gt;"/>
    <s v="Kleine Ingreep"/>
    <s v="WWV/INV/N8/21"/>
    <b v="0"/>
    <s v="Ingreep wordt niet opgevolgd in BOD"/>
    <n v="2022"/>
    <s v="Q1"/>
    <s v="OV"/>
    <s v="&lt;null&gt;"/>
    <n v="100"/>
    <n v="28000"/>
    <n v="28000"/>
  </r>
  <r>
    <x v="882"/>
    <x v="882"/>
    <s v="Verkeersveiligheid"/>
    <x v="4"/>
    <n v="1029"/>
    <s v="IN/000958"/>
    <s v="Ingreep schoolroute in Izegem op N357 - Gentseheerweg thv. 51 (slachthuis Verbist)"/>
    <s v="Ontwikkelaar van de IZ voert uit en betaalt de werken"/>
    <s v="Kleine Ingreep"/>
    <s v="WWV/INV/N357/2"/>
    <b v="0"/>
    <s v="Ingreep wordt niet opgevolgd in BOD"/>
    <n v="2023"/>
    <s v="Q4"/>
    <s v="OV"/>
    <s v="&lt;null&gt;"/>
    <n v="100"/>
    <n v="30000"/>
    <n v="30000"/>
  </r>
  <r>
    <x v="883"/>
    <x v="883"/>
    <s v="Verkeersveiligheid"/>
    <x v="4"/>
    <n v="1030"/>
    <s v="IN/000959"/>
    <s v="Ingreep schoolroute in Izegem op N357 - Gentseheerweg kp Boomforeeststraat"/>
    <s v="&lt;null&gt;"/>
    <s v="Kleine Ingreep"/>
    <s v="WWV/INV/N357/3"/>
    <b v="0"/>
    <s v="Ingreep wordt niet opgevolgd in BOD"/>
    <n v="2022"/>
    <s v="Q2"/>
    <s v="WEGENIS"/>
    <s v="&lt;null&gt;"/>
    <n v="100"/>
    <n v="7500"/>
    <n v="7500"/>
  </r>
  <r>
    <x v="884"/>
    <x v="884"/>
    <s v="Verkeersveiligheid"/>
    <x v="4"/>
    <n v="1031"/>
    <s v="IN/000960"/>
    <s v="Ingreep schoolroute in Holsbeek op N19 Aarschotsesteenweg, kruispunt met de Pleinstraat"/>
    <s v="&lt;null&gt;"/>
    <s v="Kleine Ingreep"/>
    <s v="WVB/INV/N19/6"/>
    <b v="0"/>
    <s v="Ingreep wordt niet opgevolgd in BOD"/>
    <s v="&lt;null&gt;"/>
    <s v="&lt;null&gt;"/>
    <s v="OVERIGE"/>
    <s v="&lt;null&gt;"/>
    <n v="100"/>
    <n v="150000"/>
    <n v="150000"/>
  </r>
  <r>
    <x v="885"/>
    <x v="885"/>
    <s v="Verkeersveiligheid"/>
    <x v="4"/>
    <n v="1032"/>
    <s v="IN/000961"/>
    <s v="Ingreep schoolroute in Avelgem op Fietsoversteek Oudenaardsesteenweg ter hoogte van het kruispunt met de Hulstraat/Lindestraat"/>
    <s v="&lt;null&gt;"/>
    <s v="Kleine Ingreep"/>
    <s v="WWV/INV/N8/14"/>
    <b v="1"/>
    <s v="Ingreep wordt opgevolgd in BOD"/>
    <n v="2022"/>
    <s v="Q1"/>
    <s v="OV"/>
    <s v="&lt;null&gt;"/>
    <n v="100"/>
    <n v="30000"/>
    <n v="30000"/>
  </r>
  <r>
    <x v="886"/>
    <x v="886"/>
    <s v="Verkeersveiligheid"/>
    <x v="4"/>
    <n v="1033"/>
    <s v="IN/000962"/>
    <s v="VVOP ter hoogte van het kruispunt met de Ruggestraat/Langestraat"/>
    <s v="&lt;null&gt;"/>
    <s v="Kleine Ingreep"/>
    <s v="WWV/INV/N8/22"/>
    <b v="0"/>
    <s v="Ingreep wordt niet opgevolgd in BOD"/>
    <n v="2022"/>
    <s v="Q1"/>
    <s v="OV"/>
    <s v="&lt;null&gt;"/>
    <n v="100"/>
    <n v="28000"/>
    <n v="28000"/>
  </r>
  <r>
    <x v="887"/>
    <x v="887"/>
    <s v="Verkeersveiligheid"/>
    <x v="4"/>
    <n v="1034"/>
    <s v="IN/000963"/>
    <s v="Ingreep schoolroute in Middelkerke op Westendelaan 344"/>
    <s v="&lt;null&gt;"/>
    <s v="Kleine Ingreep"/>
    <s v="WWV/INV/N318/4"/>
    <b v="1"/>
    <s v="Ingreep wordt opgevolgd in BOD"/>
    <n v="2022"/>
    <s v="Q3"/>
    <s v="WEGENIS"/>
    <s v="&lt;null&gt;"/>
    <n v="100"/>
    <n v="10000"/>
    <n v="10000"/>
  </r>
  <r>
    <x v="887"/>
    <x v="887"/>
    <s v="Verkeersveiligheid"/>
    <x v="4"/>
    <n v="1034"/>
    <s v="IN/000963"/>
    <s v="Ingreep schoolroute in Middelkerke op Westendelaan 344"/>
    <s v="&lt;null&gt;"/>
    <s v="Kleine Ingreep"/>
    <s v="WWV/INV/N318/4"/>
    <b v="1"/>
    <s v="Ingreep wordt opgevolgd in BOD"/>
    <n v="2022"/>
    <s v="Q3"/>
    <s v="OV"/>
    <s v="incl wegenis"/>
    <n v="100"/>
    <n v="50000"/>
    <n v="50000"/>
  </r>
  <r>
    <x v="888"/>
    <x v="888"/>
    <s v="Verkeersveiligheid"/>
    <x v="4"/>
    <n v="1035"/>
    <s v="IN/000964"/>
    <s v="Ingreep schoolroute in Avelgem op Aanliggend fietspad langs de Oudenaardsesteenweg tussen het kruispunt met de Hulstraat/Lindestraat en de Brugstraat"/>
    <s v="&lt;null&gt;"/>
    <s v="Kleine Ingreep"/>
    <s v="WWV/INV/N8/23"/>
    <b v="1"/>
    <s v="Ingreep wordt opgevolgd in BOD"/>
    <n v="2022"/>
    <s v="Q3"/>
    <s v="WEGENIS"/>
    <s v="overige maatregelen"/>
    <n v="100"/>
    <n v="600000"/>
    <n v="600000"/>
  </r>
  <r>
    <x v="888"/>
    <x v="888"/>
    <s v="Verkeersveiligheid"/>
    <x v="4"/>
    <n v="1035"/>
    <s v="IN/000964"/>
    <s v="Ingreep schoolroute in Avelgem op Aanliggend fietspad langs de Oudenaardsesteenweg tussen het kruispunt met de Hulstraat/Lindestraat en de Brugstraat"/>
    <s v="&lt;null&gt;"/>
    <s v="Kleine Ingreep"/>
    <s v="WWV/INV/N8/23"/>
    <b v="1"/>
    <s v="Ingreep wordt opgevolgd in BOD"/>
    <n v="2022"/>
    <s v="Q3"/>
    <s v="OVERIGE"/>
    <s v="Trajectcontrole"/>
    <n v="100"/>
    <n v="165000"/>
    <n v="165000"/>
  </r>
  <r>
    <x v="889"/>
    <x v="889"/>
    <s v="Verkeersveiligheid"/>
    <x v="4"/>
    <n v="1036"/>
    <s v="IN/000965"/>
    <s v="Ingreep schoolroute in Meise op Nieuwelaan (MAG AANGEMAAKT WORDEN ALS KLEINE INGREEP - SCHOOLROUTES)"/>
    <s v="&lt;null&gt;"/>
    <s v="Kleine Ingreep"/>
    <s v="&lt;null&gt;"/>
    <b v="0"/>
    <s v="Ingreep wordt niet opgevolgd in BOD"/>
    <s v="&lt;null&gt;"/>
    <s v="&lt;null&gt;"/>
    <s v="OVERIGE"/>
    <s v="&lt;null&gt;"/>
    <n v="100"/>
    <n v="600000"/>
    <n v="600000"/>
  </r>
  <r>
    <x v="890"/>
    <x v="890"/>
    <s v="Verkeersveiligheid"/>
    <x v="4"/>
    <n v="1037"/>
    <s v="IN/000966"/>
    <s v="Ingreep schoolroute in Ingelmunster op N50"/>
    <s v="&lt;null&gt;"/>
    <s v="Kleine Ingreep"/>
    <s v="WWV/INV/N50/9"/>
    <b v="1"/>
    <s v="Ingreep wordt opgevolgd in BOD"/>
    <n v="2023"/>
    <s v="Q3"/>
    <s v="WEGENIS"/>
    <s v="herstellen opgeduwde fietspaden"/>
    <n v="100"/>
    <n v="600"/>
    <n v="600"/>
  </r>
  <r>
    <x v="891"/>
    <x v="891"/>
    <s v="Verkeersveiligheid"/>
    <x v="4"/>
    <n v="1038"/>
    <s v="IN/000967"/>
    <s v="Ingreep schoolroute in Ingelmunster op N357 Oostrozebekestraat (tussen Bollewerpstraat en N50)"/>
    <s v="Aanbrengen van fietslogo's op vraag van de gemeente ikv schoolroutes"/>
    <s v="Kleine Ingreep"/>
    <s v="WWV/INV/N357/4"/>
    <b v="0"/>
    <s v="Ingreep wordt niet opgevolgd in BOD"/>
    <n v="2021"/>
    <s v="Q3"/>
    <s v="OVERIGE"/>
    <s v="&lt;null&gt;"/>
    <n v="100"/>
    <n v="431"/>
    <n v="431"/>
  </r>
  <r>
    <x v="892"/>
    <x v="892"/>
    <s v="Verkeersveiligheid"/>
    <x v="4"/>
    <n v="1039"/>
    <s v="IN/000968"/>
    <s v="Ingreep schoolroute in Heist-op-den-Berg op N15 Dorpsstraat Booischot"/>
    <s v="&lt;null&gt;"/>
    <s v="Kleine Ingreep"/>
    <s v="WA/INV/N15/7"/>
    <b v="0"/>
    <s v="Ingreep wordt niet opgevolgd in BOD"/>
    <s v="&lt;null&gt;"/>
    <s v="&lt;null&gt;"/>
    <s v="&lt;null&gt;"/>
    <s v="&lt;null&gt;"/>
    <n v="100"/>
    <m/>
    <m/>
  </r>
  <r>
    <x v="893"/>
    <x v="893"/>
    <s v="Verkeersveiligheid"/>
    <x v="4"/>
    <n v="1040"/>
    <s v="IN/000969"/>
    <s v="plaatsing VVOP"/>
    <m/>
    <s v="Kleine Ingreep"/>
    <s v="WA/INV/N15/8"/>
    <b v="0"/>
    <s v="Ingreep wordt niet opgevolgd in BOD"/>
    <s v="&lt;null&gt;"/>
    <s v="&lt;null&gt;"/>
    <s v="OVERIGE"/>
    <s v="&lt;null&gt;"/>
    <n v="100"/>
    <n v="45000"/>
    <n v="45000"/>
  </r>
  <r>
    <x v="894"/>
    <x v="894"/>
    <s v="Verkeersveiligheid"/>
    <x v="4"/>
    <n v="1041"/>
    <s v="IN/000970"/>
    <s v="Ingreep schoolroute in Heist-op-den-Berg op N15 Mechelsesteenweg t.h.v. IMG"/>
    <s v="&lt;null&gt;"/>
    <s v="Kleine Ingreep"/>
    <s v="WA/INV/N15/5"/>
    <b v="0"/>
    <s v="Ingreep wordt niet opgevolgd in BOD"/>
    <s v="&lt;null&gt;"/>
    <s v="&lt;null&gt;"/>
    <s v="OVERIGE"/>
    <s v="&lt;null&gt;"/>
    <n v="100"/>
    <n v="35000"/>
    <n v="35000"/>
  </r>
  <r>
    <x v="895"/>
    <x v="895"/>
    <s v="Verkeersveiligheid"/>
    <x v="4"/>
    <n v="1042"/>
    <s v="IN/000971"/>
    <s v="GEEN E1 KLEINE INGREEP Ingreep schoolroute in Ingelmunster op rotonde N50-N357"/>
    <s v="&lt;null&gt;"/>
    <s v="Structurele Ingreep"/>
    <s v="&lt;null&gt;"/>
    <b v="0"/>
    <s v="Ingreep wordt niet opgevolgd in BOD"/>
    <n v="2022"/>
    <s v="Q2"/>
    <s v="WEGENIS"/>
    <s v="&lt;null&gt;"/>
    <n v="100"/>
    <n v="100000"/>
    <n v="100000"/>
  </r>
  <r>
    <x v="288"/>
    <x v="288"/>
    <s v="Verkeersveiligheid"/>
    <x v="4"/>
    <n v="1043"/>
    <s v="IN/000972"/>
    <s v="Ingreep schoolroute in Antwerpen op 1. Bredabaan diverse oversteekplaatsen"/>
    <s v="- VVOP 2de oversteekplaats (deze zonder VRI)\n- markering &quot;School&quot; plaatsen"/>
    <s v="Kleine Ingreep"/>
    <s v="WA/INV/N1/18"/>
    <b v="0"/>
    <s v="Ingreep wordt niet opgevolgd in BOD"/>
    <s v="&lt;null&gt;"/>
    <s v="&lt;null&gt;"/>
    <s v="&lt;null&gt;"/>
    <s v="&lt;null&gt;"/>
    <n v="100"/>
    <m/>
    <m/>
  </r>
  <r>
    <x v="276"/>
    <x v="276"/>
    <s v="Verkeersveiligheid"/>
    <x v="4"/>
    <n v="1044"/>
    <s v="IN/000973"/>
    <s v="MAG WEG Ingreep schoolroute in Antwerpen op 3. Boomsesteenweg diverse aansluitingen"/>
    <s v="&lt;null&gt;"/>
    <s v="Structurele Ingreep"/>
    <s v="&lt;null&gt;"/>
    <b v="0"/>
    <s v="Ingreep wordt niet opgevolgd in BOD"/>
    <s v="&lt;null&gt;"/>
    <s v="&lt;null&gt;"/>
    <s v="OVERIGE"/>
    <s v="&lt;null&gt;"/>
    <n v="100"/>
    <n v="0"/>
    <n v="0"/>
  </r>
  <r>
    <x v="282"/>
    <x v="282"/>
    <s v="Verkeersveiligheid"/>
    <x v="4"/>
    <n v="1045"/>
    <s v="IN/000974"/>
    <s v="MAG WEG Ingreep schoolroute in Antwerpen op 4. Grote Steenweg-Koninklijkelaan"/>
    <s v="&lt;null&gt;"/>
    <s v="Structurele Ingreep"/>
    <s v="&lt;null&gt;"/>
    <b v="0"/>
    <s v="Ingreep wordt niet opgevolgd in BOD"/>
    <s v="&lt;null&gt;"/>
    <s v="&lt;null&gt;"/>
    <s v="OVERIGE"/>
    <s v="&lt;null&gt;"/>
    <n v="100"/>
    <n v="35000"/>
    <n v="35000"/>
  </r>
  <r>
    <x v="896"/>
    <x v="896"/>
    <s v="Verkeersveiligheid"/>
    <x v="4"/>
    <n v="1046"/>
    <s v="IN/000975"/>
    <s v="Ingreep schoolroute in Harelbeke op Oversteken Marktstraat thv Marktstraat 64"/>
    <s v="Aanleg van het dubbelrichtingsfietspad aan de zijde van de doorsteek naar de\nBallingweg."/>
    <s v="Kleine Ingreep"/>
    <s v="WWV/INV/N43/4"/>
    <b v="0"/>
    <s v="Ingreep wordt niet opgevolgd in BOD"/>
    <n v="2022"/>
    <s v="Q2"/>
    <s v="WEGENIS"/>
    <s v="&lt;null&gt;"/>
    <n v="100"/>
    <n v="15000"/>
    <n v="15000"/>
  </r>
  <r>
    <x v="897"/>
    <x v="897"/>
    <s v="Verkeersveiligheid"/>
    <x v="4"/>
    <n v="1047"/>
    <s v="IN/000976"/>
    <s v="VRI thv Marktstraat 29, stadhuis"/>
    <s v="&lt;null&gt;"/>
    <s v="Kleine Ingreep"/>
    <s v="WWV/INV/N43/8"/>
    <b v="0"/>
    <s v="Ingreep wordt niet opgevolgd in BOD"/>
    <n v="2021"/>
    <s v="Q4"/>
    <s v="VRI"/>
    <s v="VRI volgens actieplan (V014028v18) - installatienummer WW0414 - uitgevoerd 16/12/2021"/>
    <n v="100"/>
    <n v="106788.32"/>
    <n v="106788.32"/>
  </r>
  <r>
    <x v="898"/>
    <x v="898"/>
    <s v="Verkeersveiligheid"/>
    <x v="4"/>
    <n v="1048"/>
    <s v="IN/000977"/>
    <s v="Ingreep schoolroute in Harelbeke op Oversteek marktstraat-Stationsstraat"/>
    <s v="Voorzien van fietsoversteek thv de bestaande voetgangersoversteek. Aanpassen middengeleider en aanbrengen markeringen.\nAlsook het aanpassen van de signlisatie en de bewegwijzering naar de verschillende fietsroute."/>
    <s v="Kleine Ingreep"/>
    <s v="WWV/INV/N43/5"/>
    <b v="1"/>
    <s v="Ingreep wordt opgevolgd in BOD"/>
    <n v="2022"/>
    <s v="Q2"/>
    <s v="OVERIGE"/>
    <s v="&lt;null&gt;"/>
    <n v="100"/>
    <n v="25000"/>
    <n v="25000"/>
  </r>
  <r>
    <x v="899"/>
    <x v="899"/>
    <s v="Verkeersveiligheid"/>
    <x v="4"/>
    <n v="1049"/>
    <s v="IN/000978"/>
    <s v="Ingreep schoolroute in Heusden-Zolder op Knelpunt prioriteit 1: Koolmijnlaan x Pater Amideuslaan"/>
    <s v="&lt;null&gt;"/>
    <s v="Kleine Ingreep"/>
    <s v="&lt;null&gt;"/>
    <b v="0"/>
    <s v="Ingreep wordt niet opgevolgd in BOD"/>
    <s v="&lt;null&gt;"/>
    <s v="&lt;null&gt;"/>
    <s v="OVERIGE"/>
    <s v="&lt;null&gt;"/>
    <n v="100"/>
    <n v="100000"/>
    <n v="100000"/>
  </r>
  <r>
    <x v="900"/>
    <x v="900"/>
    <s v="Verkeersveiligheid"/>
    <x v="4"/>
    <n v="1050"/>
    <s v="IN/000979"/>
    <s v="Ingreep schoolroute in Heusden-Zolder op Knelpunt prioriteit 3: Onze-Lieve-Straat x Eikhof"/>
    <s v="&lt;null&gt;"/>
    <s v="Kleine Ingreep"/>
    <s v="WL/INV/N729/7"/>
    <b v="1"/>
    <s v="Ingreep wordt opgevolgd in BOD"/>
    <s v="&lt;null&gt;"/>
    <s v="&lt;null&gt;"/>
    <s v="OVERIGE"/>
    <s v="&lt;null&gt;"/>
    <n v="100"/>
    <n v="200000"/>
    <n v="200000"/>
  </r>
  <r>
    <x v="901"/>
    <x v="901"/>
    <s v="Verkeersveiligheid"/>
    <x v="4"/>
    <n v="1051"/>
    <s v="IN/000980"/>
    <s v="Ingreep schoolroute in Overijse op Waversesteenweg N4, deel tussen Grotstraat en Vossebeekweg"/>
    <s v="QW2: aanleg middeneilanden\nQW3: aanleg toeleidende fietspaden op Hertstraat\n+ verschuiven bushalte 30 m naar zuiden\n\nAndere ingrepen is:\nQW1: verplaatsen bebouwde kom, verlagen snelheidslimiet naar 50 km/u\n\n\n"/>
    <s v="Kleine Ingreep"/>
    <s v="WVB/INV/N4/2"/>
    <b v="0"/>
    <s v="Ingreep wordt niet opgevolgd in BOD"/>
    <s v="&lt;null&gt;"/>
    <s v="&lt;null&gt;"/>
    <s v="OVERIGE"/>
    <s v="raming SB"/>
    <n v="100"/>
    <n v="254925"/>
    <n v="254925"/>
  </r>
  <r>
    <x v="902"/>
    <x v="902"/>
    <s v="Verkeersveiligheid"/>
    <x v="4"/>
    <n v="1052"/>
    <s v="IN/000981"/>
    <s v="Ingreep schoolroute in Overijse op Waversesteenweg kruispunt met Lanestraat (en Leemveldstraat)"/>
    <s v="Oversteekplaats fietsers met middeneiland, aanpassen van het fietspad, aanbrengen van overrijdbare rammelstrook"/>
    <s v="Kleine Ingreep"/>
    <s v="WVB/INV/N4/3"/>
    <b v="0"/>
    <s v="Ingreep wordt niet opgevolgd in BOD"/>
    <s v="&lt;null&gt;"/>
    <s v="&lt;null&gt;"/>
    <s v="OVERIGE"/>
    <m/>
    <n v="100"/>
    <n v="10000"/>
    <n v="10000"/>
  </r>
  <r>
    <x v="902"/>
    <x v="902"/>
    <s v="Verkeersveiligheid"/>
    <x v="4"/>
    <n v="1052"/>
    <s v="IN/000981"/>
    <s v="Ingreep schoolroute in Overijse op Waversesteenweg kruispunt met Lanestraat (en Leemveldstraat)"/>
    <s v="Oversteekplaats fietsers met middeneiland, aanpassen van het fietspad, aanbrengen van overrijdbare rammelstrook"/>
    <s v="Kleine Ingreep"/>
    <s v="WVB/INV/N4/3"/>
    <b v="0"/>
    <s v="Ingreep wordt niet opgevolgd in BOD"/>
    <s v="&lt;null&gt;"/>
    <s v="&lt;null&gt;"/>
    <s v="OVERIGE"/>
    <s v="raming SB"/>
    <n v="100"/>
    <n v="275985"/>
    <n v="275985"/>
  </r>
  <r>
    <x v="903"/>
    <x v="903"/>
    <s v="Verkeersveiligheid"/>
    <x v="4"/>
    <n v="1053"/>
    <s v="IN/000982"/>
    <s v="Ingreep schoolroute in Overijse op Waversesteenweg kruispunt met Abstraat/Kerkstraat"/>
    <s v="&lt;null&gt;"/>
    <s v="Kleine Ingreep"/>
    <s v="WVB/INV/N4/4"/>
    <b v="0"/>
    <s v="Ingreep wordt niet opgevolgd in BOD"/>
    <n v="2023"/>
    <s v="Q4"/>
    <s v="OVERIGE"/>
    <s v="&lt;null&gt;"/>
    <n v="100"/>
    <n v="200000"/>
    <n v="200000"/>
  </r>
  <r>
    <x v="904"/>
    <x v="904"/>
    <s v="Verkeersveiligheid"/>
    <x v="4"/>
    <n v="1054"/>
    <s v="IN/000983"/>
    <s v="Ingreep schoolroute in Overijse op N4 -Waversesteenweg/Brusselsesteenweg"/>
    <s v="Voetpad aanpassen tot gedeeld fiets en voetpad"/>
    <s v="Kleine Ingreep"/>
    <s v="WVB/INV/N4/5"/>
    <b v="0"/>
    <s v="Ingreep wordt niet opgevolgd in BOD"/>
    <n v="2022"/>
    <s v="Q3"/>
    <s v="OVERIGE"/>
    <s v="IBO"/>
    <n v="100"/>
    <n v="20000"/>
    <n v="20000"/>
  </r>
  <r>
    <x v="905"/>
    <x v="905"/>
    <s v="Verkeersveiligheid"/>
    <x v="4"/>
    <n v="1055"/>
    <s v="IN/000984"/>
    <s v="Ingreep schoolroute in Overijse op Waversesteenweg N4 kruispunt N253"/>
    <s v="Markering haaientanden"/>
    <s v="Kleine Ingreep"/>
    <s v="WVB/INV/N253/8"/>
    <b v="0"/>
    <s v="Ingreep wordt niet opgevolgd in BOD"/>
    <n v="2022"/>
    <s v="Q2"/>
    <s v="OVERIGE"/>
    <s v="niet relance"/>
    <n v="100"/>
    <n v="2500"/>
    <n v="2500"/>
  </r>
  <r>
    <x v="906"/>
    <x v="906"/>
    <s v="Verkeersveiligheid"/>
    <x v="4"/>
    <n v="1056"/>
    <s v="IN/000985"/>
    <s v="Ingreep schoolroute in Overijse op Brusselsesteenweg n4"/>
    <s v="Plaatsen van fietslogo's (na vernieuwing asfalt)"/>
    <s v="Kleine Ingreep"/>
    <s v="WVB/INV/N4/6"/>
    <b v="0"/>
    <s v="Ingreep wordt niet opgevolgd in BOD"/>
    <n v="2023"/>
    <s v="Q2"/>
    <s v="OVERIGE"/>
    <s v="niet relance"/>
    <n v="100"/>
    <n v="7500"/>
    <n v="7500"/>
  </r>
  <r>
    <x v="907"/>
    <x v="907"/>
    <s v="Verkeersveiligheid"/>
    <x v="4"/>
    <n v="1057"/>
    <s v="IN/000986"/>
    <s v="Ingreep schoolroute in Bierbeek op Tiensesteenweg (N3) te Bierbeek thv de omgeving van de Sint-Pietersschool (Kloosterstraat 2)"/>
    <s v="Aansluiting met de heraangelegde Kloosterstraat (herinrichting kruispunt)"/>
    <s v="Kleine Ingreep"/>
    <s v="&lt;null&gt;"/>
    <b v="0"/>
    <s v="Ingreep wordt niet opgevolgd in BOD"/>
    <s v="&lt;null&gt;"/>
    <s v="&lt;null&gt;"/>
    <s v="&lt;null&gt;"/>
    <s v="&lt;null&gt;"/>
    <n v="100"/>
    <m/>
    <m/>
  </r>
  <r>
    <x v="908"/>
    <x v="908"/>
    <s v="Verkeersveiligheid"/>
    <x v="4"/>
    <n v="1058"/>
    <s v="IN/000987"/>
    <s v="Ingreep schoolroute in Pepingen op EikstraatxN28"/>
    <s v="&lt;null&gt;"/>
    <s v="Kleine Ingreep"/>
    <s v="WVB/INV/N28/6"/>
    <b v="0"/>
    <s v="Ingreep wordt niet opgevolgd in BOD"/>
    <s v="&lt;null&gt;"/>
    <s v="&lt;null&gt;"/>
    <s v="OVERIGE"/>
    <s v="&lt;null&gt;"/>
    <n v="100"/>
    <n v="0"/>
    <n v="0"/>
  </r>
  <r>
    <x v="909"/>
    <x v="909"/>
    <s v="Verkeersveiligheid"/>
    <x v="4"/>
    <n v="1059"/>
    <s v="IN/000988"/>
    <s v="Ingreep schoolroute in Pepingen op gemarkeerde oversteken van doortocht N28 in Pepingen-centrum"/>
    <s v="&lt;null&gt;"/>
    <s v="Kleine Ingreep"/>
    <s v="WVB/INV/N28/4"/>
    <b v="0"/>
    <s v="Ingreep wordt niet opgevolgd in BOD"/>
    <n v="2021"/>
    <s v="Q3"/>
    <s v="OV"/>
    <s v="&lt;null&gt;"/>
    <n v="100"/>
    <n v="47841.84"/>
    <n v="47841.84"/>
  </r>
  <r>
    <x v="910"/>
    <x v="910"/>
    <s v="Verkeersveiligheid"/>
    <x v="4"/>
    <n v="1060"/>
    <s v="IN/000989"/>
    <s v="Ingreep schoolroute in Pepingen op doortocht Pepingen - N28 (tussen Okay en Palokenstraat)"/>
    <s v="QW1: Extra signalisatie plaatsen bij de oversteek\nQW2: Beide oversteekplaatsen éénrichting maken"/>
    <s v="Kleine Ingreep"/>
    <s v="WVB/INV/N28/7"/>
    <b v="0"/>
    <s v="Ingreep wordt niet opgevolgd in BOD"/>
    <n v="2022"/>
    <s v="Q3"/>
    <s v="OVERIGE"/>
    <s v="op regulier bestek"/>
    <n v="100"/>
    <n v="3333"/>
    <n v="3333"/>
  </r>
  <r>
    <x v="911"/>
    <x v="911"/>
    <s v="Verkeersveiligheid"/>
    <x v="4"/>
    <n v="1061"/>
    <s v="IN/000990"/>
    <s v="Ingreep schoolroute in Spiere-Helkijn op Het knelpunt situeert zich langs de N512 ter hoogte van de Heilig-Hartkerk van Spiere. Nabij gelegen bevinden zich de Sint-Amandswijk en de Grote Spierebeek. Het betreft het Robecijnplein."/>
    <s v="&lt;null&gt;"/>
    <s v="Kleine Ingreep"/>
    <s v="&lt;null&gt;"/>
    <b v="0"/>
    <s v="Ingreep wordt niet opgevolgd in BOD"/>
    <s v="&lt;null&gt;"/>
    <s v="&lt;null&gt;"/>
    <s v="OVERIGE"/>
    <s v="&lt;null&gt;"/>
    <n v="100"/>
    <n v="300000"/>
    <n v="300000"/>
  </r>
  <r>
    <x v="912"/>
    <x v="912"/>
    <s v="Verkeersveiligheid"/>
    <x v="4"/>
    <n v="1062"/>
    <s v="IN/000991"/>
    <s v="Alternatief voor gevleugeld zebrapad in Ichtegem op kruispunt N368 - 's gravendriesschelaan"/>
    <s v="&lt;null&gt;"/>
    <s v="Kleine Ingreep"/>
    <s v="WWV/INV/N368/10"/>
    <b v="0"/>
    <s v="Ingreep wordt niet opgevolgd in BOD"/>
    <n v="2022"/>
    <s v="Q2"/>
    <s v="WEGENIS"/>
    <s v="&lt;null&gt;"/>
    <n v="100"/>
    <n v="15000"/>
    <n v="15000"/>
  </r>
  <r>
    <x v="913"/>
    <x v="913"/>
    <s v="Verkeersveiligheid"/>
    <x v="4"/>
    <n v="1063"/>
    <s v="IN/000992"/>
    <s v="Ingreep schoolroute in Lille op Oostmalsebaan N153 thv het kruispunt Bergpad-Stepke"/>
    <s v="&lt;null&gt;"/>
    <s v="Kleine Ingreep"/>
    <s v="WA/INV/N153/14"/>
    <b v="0"/>
    <s v="Ingreep wordt niet opgevolgd in BOD"/>
    <n v="2022"/>
    <s v="Q3"/>
    <s v="WEGENIS"/>
    <s v="&lt;null&gt;"/>
    <n v="100"/>
    <n v="85000"/>
    <n v="85000"/>
  </r>
  <r>
    <x v="914"/>
    <x v="914"/>
    <s v="Verkeersveiligheid"/>
    <x v="4"/>
    <n v="1064"/>
    <s v="IN/000993"/>
    <s v="Ingreep schoolroute in Lille op Dorp N153 thv kruispunt Slaaplaken-doorsteekje Wijngaard"/>
    <s v="&lt;null&gt;"/>
    <s v="Kleine Ingreep"/>
    <s v="WA/INV/N153/11"/>
    <b v="0"/>
    <s v="Ingreep wordt niet opgevolgd in BOD"/>
    <s v="&lt;null&gt;"/>
    <s v="&lt;null&gt;"/>
    <s v="OVERIGE"/>
    <s v="&lt;null&gt;"/>
    <n v="100"/>
    <n v="35000"/>
    <n v="35000"/>
  </r>
  <r>
    <x v="915"/>
    <x v="915"/>
    <s v="Verkeersveiligheid"/>
    <x v="4"/>
    <n v="1065"/>
    <s v="IN/000994"/>
    <s v="Ingreep schoolroute in Lille op Rechtestraat N153 thv kruispunt Wasserijstraat"/>
    <s v="&lt;null&gt;"/>
    <s v="Kleine Ingreep"/>
    <s v="WA/INV/N153/15"/>
    <b v="0"/>
    <s v="Ingreep wordt niet opgevolgd in BOD"/>
    <s v="&lt;null&gt;"/>
    <s v="&lt;null&gt;"/>
    <s v="OVERIGE"/>
    <s v="&lt;null&gt;"/>
    <n v="100"/>
    <n v="35000"/>
    <n v="35000"/>
  </r>
  <r>
    <x v="916"/>
    <x v="916"/>
    <s v="Verkeersveiligheid"/>
    <x v="4"/>
    <n v="1066"/>
    <s v="IN/000995"/>
    <s v="Ingreep schoolroute in Boutersem op Korte Steeg - N3 - Nieuwstraat (N3 tussen km 35,2 en 35,3)"/>
    <s v="Fietsoversteekplaats met fietslogo verbindingsmarkering zonder VOP"/>
    <s v="Kleine Ingreep"/>
    <s v="WVB/INV/N3/10"/>
    <b v="0"/>
    <s v="Ingreep wordt niet opgevolgd in BOD"/>
    <n v="2023"/>
    <s v="Q3"/>
    <s v="OVERIGE"/>
    <s v="Raming volgens rapport studiebureau"/>
    <n v="100"/>
    <n v="40403"/>
    <n v="40403"/>
  </r>
  <r>
    <x v="917"/>
    <x v="917"/>
    <s v="Verkeersveiligheid"/>
    <x v="4"/>
    <n v="1067"/>
    <s v="IN/000996"/>
    <s v="Verlichting (OV, VVOP/VFOP...) in Boutersem op Kruispunt Stationsstraat met Leuvensesteenweg N3"/>
    <s v="&lt;null&gt;"/>
    <s v="Kleine Ingreep"/>
    <s v="WVB/INV/N3/11"/>
    <b v="0"/>
    <s v="Ingreep wordt niet opgevolgd in BOD"/>
    <n v="2022"/>
    <s v="Q4"/>
    <s v="OVERIGE"/>
    <s v="&lt;null&gt;"/>
    <n v="100"/>
    <n v="5000"/>
    <n v="5000"/>
  </r>
  <r>
    <x v="918"/>
    <x v="918"/>
    <s v="Verkeersveiligheid"/>
    <x v="4"/>
    <n v="1068"/>
    <s v="IN/000997"/>
    <s v="Ingreep schoolroute in Boutersem op Oversteek Kolemveld naar Oude Baan Leuvensesteenweg N3 tussen km 36,9 en km 37"/>
    <s v="QW1 snelheidsverlaging 50km/u wordt weerhouden.\nQW2 oversteekplaats voor voetgangers aan de westzijde van kruispunt"/>
    <s v="Kleine Ingreep"/>
    <s v="WVB/INV/N3/12"/>
    <b v="0"/>
    <s v="Ingreep wordt niet opgevolgd in BOD"/>
    <n v="2022"/>
    <s v="Q4"/>
    <s v="OVERIGE"/>
    <s v="&lt;null&gt;"/>
    <n v="100"/>
    <n v="10000"/>
    <n v="10000"/>
  </r>
  <r>
    <x v="918"/>
    <x v="918"/>
    <s v="Verkeersveiligheid"/>
    <x v="4"/>
    <n v="1068"/>
    <s v="IN/000997"/>
    <s v="Ingreep schoolroute in Boutersem op Oversteek Kolemveld naar Oude Baan Leuvensesteenweg N3 tussen km 36,9 en km 37"/>
    <s v="QW1 snelheidsverlaging 50km/u wordt weerhouden.\nQW2 oversteekplaats voor voetgangers aan de westzijde van kruispunt"/>
    <s v="Kleine Ingreep"/>
    <s v="WVB/INV/N3/12"/>
    <b v="0"/>
    <s v="Ingreep wordt niet opgevolgd in BOD"/>
    <n v="2022"/>
    <s v="Q4"/>
    <s v="OVERIGE"/>
    <s v="raming studiebureau"/>
    <n v="100"/>
    <n v="32027"/>
    <n v="32027"/>
  </r>
  <r>
    <x v="919"/>
    <x v="919"/>
    <s v="Verkeersveiligheid"/>
    <x v="4"/>
    <n v="1069"/>
    <s v="IN/000998"/>
    <s v="Ingreep schoolroute in Boutersem op Verzakkingen fietspad Stationsstraat - N234 tussen km 0 en 0,9"/>
    <s v="Nieuwe toplaag asfalt + slemlaag"/>
    <s v="Kleine Ingreep"/>
    <s v="WVB/INV/N234/3"/>
    <b v="0"/>
    <s v="Ingreep wordt niet opgevolgd in BOD"/>
    <n v="2022"/>
    <s v="Q4"/>
    <s v="OVERIGE"/>
    <s v="&lt;null&gt;"/>
    <n v="100"/>
    <n v="75000"/>
    <n v="75000"/>
  </r>
  <r>
    <x v="920"/>
    <x v="920"/>
    <s v="Verkeersveiligheid"/>
    <x v="4"/>
    <n v="1070"/>
    <s v="IN/000999"/>
    <s v="Ingreep schoolroute in Wielsbeke op kruispunt N357 ter hoogte van De Baron Vanderbruggenlaan"/>
    <s v="&lt;null&gt;"/>
    <s v="Kleine Ingreep"/>
    <s v="WWV/INV/N357/9"/>
    <b v="0"/>
    <s v="Ingreep wordt niet opgevolgd in BOD"/>
    <n v="2021"/>
    <s v="Q4"/>
    <s v="OVERIGE"/>
    <s v="&lt;null&gt;"/>
    <n v="100"/>
    <n v="2500"/>
    <n v="2500"/>
  </r>
  <r>
    <x v="921"/>
    <x v="921"/>
    <s v="Verkeersveiligheid"/>
    <x v="4"/>
    <n v="1071"/>
    <s v="IN/001000"/>
    <s v="Ingreep schoolroute in Duffel op Fietsoversteekplaats Oude Liersebaan-Binnenweg"/>
    <s v="&lt;null&gt;"/>
    <s v="Kleine Ingreep"/>
    <s v="WA/INV/N108/5"/>
    <b v="0"/>
    <s v="Ingreep wordt niet opgevolgd in BOD"/>
    <s v="&lt;null&gt;"/>
    <s v="&lt;null&gt;"/>
    <s v="OVERIGE"/>
    <s v="&lt;null&gt;"/>
    <n v="100"/>
    <n v="8000"/>
    <n v="8000"/>
  </r>
  <r>
    <x v="922"/>
    <x v="922"/>
    <s v="Verkeersveiligheid"/>
    <x v="4"/>
    <n v="1072"/>
    <s v="IN/001001"/>
    <s v="Ingreep schoolroute in Duffel op fietsoversteekplaats kruispunt N14-N108"/>
    <s v="&lt;null&gt;"/>
    <s v="Structurele Ingreep"/>
    <s v="&lt;null&gt;"/>
    <b v="0"/>
    <s v="Ingreep wordt niet opgevolgd in BOD"/>
    <s v="&lt;null&gt;"/>
    <s v="&lt;null&gt;"/>
    <s v="OVERIGE"/>
    <s v="&lt;null&gt;"/>
    <n v="100"/>
    <n v="0"/>
    <n v="0"/>
  </r>
  <r>
    <x v="923"/>
    <x v="923"/>
    <s v="Verkeersveiligheid"/>
    <x v="4"/>
    <n v="1073"/>
    <s v="IN/001002"/>
    <s v="Ingreep schoolroute in Duffel op kruispunt N14 (Kiliaanstraat) - Molenstraat"/>
    <s v="&lt;null&gt;"/>
    <s v="Kleine Ingreep"/>
    <s v="WA/INV/N14/11"/>
    <b v="0"/>
    <s v="Ingreep wordt niet opgevolgd in BOD"/>
    <s v="&lt;null&gt;"/>
    <s v="&lt;null&gt;"/>
    <s v="OVERIGE"/>
    <s v="&lt;null&gt;"/>
    <n v="100"/>
    <n v="2500"/>
    <n v="2500"/>
  </r>
  <r>
    <x v="924"/>
    <x v="924"/>
    <s v="Verkeersveiligheid"/>
    <x v="4"/>
    <n v="1074"/>
    <s v="IN/001003"/>
    <s v="Ingreep schoolroute in Duffel op fietsoversteekplaats N108 (Berkhoevelaan) - Lindenlei"/>
    <s v="&lt;null&gt;"/>
    <s v="Kleine Ingreep"/>
    <s v="&lt;null&gt;"/>
    <b v="0"/>
    <s v="Ingreep wordt niet opgevolgd in BOD"/>
    <s v="&lt;null&gt;"/>
    <s v="&lt;null&gt;"/>
    <s v="OVERIGE"/>
    <s v="&lt;null&gt;"/>
    <n v="100"/>
    <n v="2500"/>
    <n v="2500"/>
  </r>
  <r>
    <x v="925"/>
    <x v="925"/>
    <s v="Verkeersveiligheid"/>
    <x v="4"/>
    <n v="1075"/>
    <s v="IN/001004"/>
    <s v="Ingreep schoolroute in Nieuwpoort op N396 – tussen kmpt. Tussen +/- 0.0 en +/- 0,7 - Canadalaan, Nieuwpoort"/>
    <s v="aslijn verwijderen, aanbrengen fietslogo's en overgang van fietspad naar logo's met okerstrook."/>
    <s v="Kleine Ingreep"/>
    <s v="WWV/INV/N396/4"/>
    <b v="0"/>
    <s v="Ingreep wordt niet opgevolgd in BOD"/>
    <n v="2021"/>
    <s v="Q2"/>
    <s v="WEGENIS"/>
    <s v="Uitgevoerd in juni 2021"/>
    <n v="100"/>
    <n v="1719.16"/>
    <n v="1719.16"/>
  </r>
  <r>
    <x v="926"/>
    <x v="926"/>
    <s v="Verkeersveiligheid"/>
    <x v="4"/>
    <n v="1076"/>
    <s v="IN/001005"/>
    <s v="3 FOP's + natuursteen stroever maken"/>
    <s v="fietsoversteekplaatsen (3 x) inclusief afschuinen boordstenen + boorden ruwer maken"/>
    <s v="Kleine Ingreep"/>
    <s v="WL/INV/N721/2"/>
    <b v="0"/>
    <s v="Ingreep wordt niet opgevolgd in BOD"/>
    <n v="2022"/>
    <s v="Q3"/>
    <s v="OVERIGE"/>
    <s v="&lt;null&gt;"/>
    <n v="100"/>
    <n v="200000"/>
    <n v="200000"/>
  </r>
  <r>
    <x v="166"/>
    <x v="166"/>
    <s v="Verkeersveiligheid"/>
    <x v="4"/>
    <n v="1077"/>
    <s v="IN/001006"/>
    <s v="Ingreep schoolroute in Schoten op Kruispunt Eksterdreef - Kopstraat N115"/>
    <s v="&lt;null&gt;"/>
    <s v="Kleine Ingreep"/>
    <s v="&lt;null&gt;"/>
    <b v="0"/>
    <s v="Ingreep wordt niet opgevolgd in BOD"/>
    <s v="&lt;null&gt;"/>
    <s v="&lt;null&gt;"/>
    <s v="OVERIGE"/>
    <s v="&lt;null&gt;"/>
    <n v="100"/>
    <n v="7500"/>
    <n v="7500"/>
  </r>
  <r>
    <x v="167"/>
    <x v="167"/>
    <s v="Verkeersveiligheid"/>
    <x v="4"/>
    <n v="1078"/>
    <s v="IN/001007"/>
    <s v="Ingreep schoolroute in Schoten op Brechtsebaan N115 – oversteekbaarheid &amp; bereikbaarheid bushaltes"/>
    <s v="&lt;null&gt;"/>
    <s v="Kleine Ingreep"/>
    <s v="WA/INV/N115/7"/>
    <b v="0"/>
    <s v="Ingreep wordt niet opgevolgd in BOD"/>
    <s v="&lt;null&gt;"/>
    <s v="&lt;null&gt;"/>
    <s v="&lt;null&gt;"/>
    <s v="&lt;null&gt;"/>
    <n v="100"/>
    <m/>
    <m/>
  </r>
  <r>
    <x v="927"/>
    <x v="927"/>
    <s v="Verkeersveiligheid"/>
    <x v="4"/>
    <n v="1079"/>
    <s v="IN/001008"/>
    <s v="Ingreep schoolroute in Nieuwpoort op N367 - rond kmpt 33.4 - Brugse Steenweg (nabij School De Pagaaier)"/>
    <s v="&lt;null&gt;"/>
    <s v="Kleine Ingreep"/>
    <s v="WWV/INV/N367/11"/>
    <b v="0"/>
    <s v="Ingreep wordt niet opgevolgd in BOD"/>
    <n v="2023"/>
    <s v="Q2"/>
    <s v="OVERIGE"/>
    <s v="&lt;null&gt;"/>
    <n v="100"/>
    <n v="50000"/>
    <n v="50000"/>
  </r>
  <r>
    <x v="928"/>
    <x v="928"/>
    <s v="Verkeersveiligheid"/>
    <x v="4"/>
    <n v="1080"/>
    <s v="IN/001009"/>
    <s v="MAG WEG Ingreep schoolroute in Schoten op Elshoutbaan N121 – oversteekbaarheid &amp; bereikbaarheid bushalte"/>
    <s v="&lt;null&gt;"/>
    <s v="Structurele Ingreep"/>
    <s v="&lt;null&gt;"/>
    <b v="0"/>
    <s v="Ingreep wordt niet opgevolgd in BOD"/>
    <s v="&lt;null&gt;"/>
    <s v="&lt;null&gt;"/>
    <s v="OVERIGE"/>
    <s v="&lt;null&gt;"/>
    <n v="100"/>
    <n v="0"/>
    <n v="0"/>
  </r>
  <r>
    <x v="929"/>
    <x v="929"/>
    <s v="Verkeersveiligheid"/>
    <x v="4"/>
    <n v="1081"/>
    <s v="IN/001010"/>
    <s v="aanpassen fietsinfra kruispunt Van Eycklaan - Venlosesteenweg"/>
    <s v="- fietspad verbreden\n- fietspad asfaltere\n- hagen inkorten"/>
    <s v="Kleine Ingreep"/>
    <s v="WL/INV/N78/22"/>
    <b v="0"/>
    <s v="Ingreep wordt niet opgevolgd in BOD"/>
    <n v="2022"/>
    <s v="Q4"/>
    <s v="OVERIGE"/>
    <s v="&lt;null&gt;"/>
    <n v="100"/>
    <n v="150000"/>
    <n v="150000"/>
  </r>
  <r>
    <x v="930"/>
    <x v="930"/>
    <s v="Verkeersveiligheid"/>
    <x v="4"/>
    <n v="1082"/>
    <s v="IN/001011"/>
    <s v="Horizontale signalisatie in Arendonk op Zebrapaden in schoolomgevingen"/>
    <s v="&lt;null&gt;"/>
    <s v="Kleine Ingreep"/>
    <s v="WA/INV/N139/6"/>
    <b v="0"/>
    <s v="Ingreep wordt niet opgevolgd in BOD"/>
    <s v="&lt;null&gt;"/>
    <s v="&lt;null&gt;"/>
    <s v="OVERIGE"/>
    <s v="&lt;null&gt;"/>
    <n v="100"/>
    <n v="1500"/>
    <n v="1500"/>
  </r>
  <r>
    <x v="931"/>
    <x v="931"/>
    <s v="Verkeersveiligheid"/>
    <x v="4"/>
    <n v="1083"/>
    <s v="IN/001012"/>
    <s v="Horizontale signalisatie in Arendonk op Zebrapaden in schoolomgevingen"/>
    <s v="&lt;null&gt;"/>
    <s v="Kleine Ingreep"/>
    <s v="WA/INV/N139/7"/>
    <b v="0"/>
    <s v="Ingreep wordt niet opgevolgd in BOD"/>
    <s v="&lt;null&gt;"/>
    <s v="&lt;null&gt;"/>
    <s v="OVERIGE"/>
    <s v="&lt;null&gt;"/>
    <n v="100"/>
    <n v="1500"/>
    <n v="1500"/>
  </r>
  <r>
    <x v="932"/>
    <x v="932"/>
    <s v="Verkeersveiligheid"/>
    <x v="4"/>
    <n v="1084"/>
    <s v="IN/001013"/>
    <s v="Horizontale signalisatie in Arendonk op Zebrapaden in schoolomgevingen"/>
    <s v="&lt;null&gt;"/>
    <s v="Kleine Ingreep"/>
    <s v="&lt;null&gt;"/>
    <b v="0"/>
    <s v="Ingreep wordt niet opgevolgd in BOD"/>
    <s v="&lt;null&gt;"/>
    <s v="&lt;null&gt;"/>
    <s v="OVERIGE"/>
    <s v="&lt;null&gt;"/>
    <n v="100"/>
    <n v="1500"/>
    <n v="1500"/>
  </r>
  <r>
    <x v="933"/>
    <x v="933"/>
    <s v="Verkeersveiligheid"/>
    <x v="4"/>
    <n v="1085"/>
    <s v="IN/001014"/>
    <s v="Horizontale signalisatie in Arendonk op Zebrapaden in schoolomgevingen"/>
    <s v="&lt;null&gt;"/>
    <s v="Kleine Ingreep"/>
    <s v="WA/INV/N118/7"/>
    <b v="0"/>
    <s v="Ingreep wordt niet opgevolgd in BOD"/>
    <s v="&lt;null&gt;"/>
    <s v="&lt;null&gt;"/>
    <s v="OVERIGE"/>
    <s v="&lt;null&gt;"/>
    <n v="100"/>
    <n v="1500"/>
    <n v="1500"/>
  </r>
  <r>
    <x v="934"/>
    <x v="934"/>
    <s v="Verkeersveiligheid"/>
    <x v="4"/>
    <n v="1086"/>
    <s v="IN/001015"/>
    <s v="Horizontale signalisatie in Arendonk op Zebrapaden in schoolomgevingen"/>
    <s v="&lt;null&gt;"/>
    <s v="Kleine Ingreep"/>
    <s v="&lt;null&gt;"/>
    <b v="0"/>
    <s v="Ingreep wordt niet opgevolgd in BOD"/>
    <s v="&lt;null&gt;"/>
    <s v="&lt;null&gt;"/>
    <s v="OVERIGE"/>
    <s v="&lt;null&gt;"/>
    <n v="100"/>
    <n v="1500"/>
    <n v="1500"/>
  </r>
  <r>
    <x v="935"/>
    <x v="935"/>
    <s v="Verkeersveiligheid"/>
    <x v="4"/>
    <n v="1087"/>
    <s v="IN/001016"/>
    <s v="Horizontale signalisatie in Arendonk op Zebrapaden in schoolomgevingen"/>
    <s v="&lt;null&gt;"/>
    <s v="Kleine Ingreep"/>
    <s v="WA/INV/N118/8"/>
    <b v="0"/>
    <s v="Ingreep wordt niet opgevolgd in BOD"/>
    <s v="&lt;null&gt;"/>
    <s v="&lt;null&gt;"/>
    <s v="OVERIGE"/>
    <s v="&lt;null&gt;"/>
    <n v="100"/>
    <n v="1500"/>
    <n v="1500"/>
  </r>
  <r>
    <x v="936"/>
    <x v="936"/>
    <s v="Verkeersveiligheid"/>
    <x v="4"/>
    <n v="1088"/>
    <s v="IN/001017"/>
    <s v="Ingreep schoolroute in Ravels op Kruispunt Peelsestraat (N137)-Stadstraat"/>
    <s v="&lt;null&gt;"/>
    <s v="Kleine Ingreep"/>
    <s v="WA/INV/N137/2"/>
    <b v="0"/>
    <s v="Ingreep wordt niet opgevolgd in BOD"/>
    <s v="&lt;null&gt;"/>
    <s v="&lt;null&gt;"/>
    <s v="OVERIGE"/>
    <s v="&lt;null&gt;"/>
    <n v="100"/>
    <n v="7500"/>
    <n v="7500"/>
  </r>
  <r>
    <x v="937"/>
    <x v="937"/>
    <s v="Verkeersveiligheid"/>
    <x v="4"/>
    <n v="1089"/>
    <s v="IN/001018"/>
    <s v="Ingreep schoolroute in Zoersel op Dorp (N14) - Westmallebaan"/>
    <s v="&lt;null&gt;"/>
    <s v="Kleine Ingreep"/>
    <s v="WA/INV/N179/1"/>
    <b v="0"/>
    <s v="Ingreep wordt niet opgevolgd in BOD"/>
    <s v="&lt;null&gt;"/>
    <s v="&lt;null&gt;"/>
    <s v="OVERIGE"/>
    <s v="&lt;null&gt;"/>
    <n v="100"/>
    <n v="100000"/>
    <n v="100000"/>
  </r>
  <r>
    <x v="938"/>
    <x v="938"/>
    <s v="Verkeersveiligheid"/>
    <x v="4"/>
    <n v="1090"/>
    <s v="IN/001019"/>
    <s v="Ingreep schoolroute in Zoersel op Kruispunt Westmallebaan (N179) - Kievit en Meerheide"/>
    <s v="&lt;null&gt;"/>
    <s v="Kleine Ingreep"/>
    <s v="&lt;null&gt;"/>
    <b v="0"/>
    <s v="Ingreep wordt niet opgevolgd in BOD"/>
    <s v="&lt;null&gt;"/>
    <s v="&lt;null&gt;"/>
    <s v="OVERIGE"/>
    <s v="&lt;null&gt;"/>
    <n v="100"/>
    <n v="2500"/>
    <n v="2500"/>
  </r>
  <r>
    <x v="939"/>
    <x v="939"/>
    <s v="Verkeersveiligheid"/>
    <x v="4"/>
    <n v="1091"/>
    <s v="IN/001020"/>
    <s v="Verlichting (OV, VVOP/VFOP...) in Zoersel op kruispunt Handelslei (N12) - Zoerselsteenweg"/>
    <s v="&lt;null&gt;"/>
    <s v="Kleine Ingreep"/>
    <s v="&lt;null&gt;"/>
    <b v="0"/>
    <s v="Ingreep wordt niet opgevolgd in BOD"/>
    <s v="&lt;null&gt;"/>
    <s v="&lt;null&gt;"/>
    <s v="OVERIGE"/>
    <s v="&lt;null&gt;"/>
    <n v="100"/>
    <n v="120000"/>
    <n v="120000"/>
  </r>
  <r>
    <x v="940"/>
    <x v="940"/>
    <s v="Verkeersveiligheid"/>
    <x v="4"/>
    <n v="1092"/>
    <s v="IN/001021"/>
    <s v="Ingreep schoolroute in Haacht op Werchtersesteenweg/Scharent"/>
    <s v="Aanpassen middenberm fietsoversteek"/>
    <s v="Kleine Ingreep"/>
    <s v="WVB/INV/N21/10"/>
    <b v="0"/>
    <s v="Ingreep wordt niet opgevolgd in BOD"/>
    <n v="2023"/>
    <s v="Q2"/>
    <s v="OVERIGE"/>
    <s v="&lt;null&gt;"/>
    <n v="100"/>
    <n v="40000"/>
    <n v="40000"/>
  </r>
  <r>
    <x v="941"/>
    <x v="941"/>
    <s v="Verkeersveiligheid"/>
    <x v="4"/>
    <n v="1093"/>
    <s v="IN/001022"/>
    <s v="Ingreep schoolroute in Haacht op Rotonde Stationsstraat/Zoellaan en rotonde Werchtersesteenweg/Kloosterstraat"/>
    <s v="QW1 en QW2 uitvoeren\nQW1: Bestaande scheidingselementen tussen het fietspad en de rijbaan verbreden en zodoende de breedte van de rijbaan verkleinen tot 5.5 meter. Initieel via verdrijvingsvakken in markeringen.\nQW2: asfaltlaag van het fietspad op de ro"/>
    <s v="Kleine Ingreep"/>
    <s v="WVB/INV/N21/11"/>
    <b v="0"/>
    <s v="Ingreep wordt niet opgevolgd in BOD"/>
    <s v="&lt;null&gt;"/>
    <s v="&lt;null&gt;"/>
    <s v="OVERIGE"/>
    <s v="raming studiebureau"/>
    <n v="100"/>
    <n v="28809"/>
    <n v="28809"/>
  </r>
  <r>
    <x v="942"/>
    <x v="942"/>
    <s v="Verkeersveiligheid"/>
    <x v="4"/>
    <n v="1094"/>
    <s v="IN/001023"/>
    <s v="Ingreep schoolroute in Kortenberg op Leuvensesteenweg x Kerkstraat"/>
    <s v="&lt;null&gt;"/>
    <s v="Kleine Ingreep"/>
    <s v="WVB/INV/N2/16"/>
    <b v="0"/>
    <s v="Ingreep wordt niet opgevolgd in BOD"/>
    <n v="2023"/>
    <s v="Q2"/>
    <s v="OVERIGE"/>
    <s v="&lt;null&gt;"/>
    <n v="100"/>
    <n v="20000"/>
    <n v="20000"/>
  </r>
  <r>
    <x v="943"/>
    <x v="943"/>
    <s v="Verkeersveiligheid"/>
    <x v="4"/>
    <n v="1095"/>
    <s v="IN/001024"/>
    <s v="Ingreep schoolroute in Diest op R26: O.Vanaudenhovelaan fietsoversteek thv Ezeldijk"/>
    <s v="&lt;null&gt;"/>
    <s v="Kleine Ingreep"/>
    <s v="WVB/INV/R26/3"/>
    <b v="0"/>
    <s v="Ingreep wordt niet opgevolgd in BOD"/>
    <s v="&lt;null&gt;"/>
    <s v="&lt;null&gt;"/>
    <s v="OVERIGE"/>
    <s v="raming studiebureau"/>
    <n v="100"/>
    <n v="111732"/>
    <n v="111732"/>
  </r>
  <r>
    <x v="944"/>
    <x v="944"/>
    <s v="Verkeersveiligheid"/>
    <x v="4"/>
    <n v="1096"/>
    <s v="IN/001025"/>
    <s v="Ingreep schoolroute in Diest op N2  Kruispunt Halensebaan-Webbekomstraat"/>
    <s v="Doorsteek maken in de middenberm"/>
    <s v="Kleine Ingreep"/>
    <s v="WVB/INV/N2/18"/>
    <b v="1"/>
    <s v="Ingreep wordt opgevolgd in BOD"/>
    <n v="2022"/>
    <s v="Q2"/>
    <s v="OVERIGE"/>
    <s v="&lt;null&gt;"/>
    <n v="100"/>
    <n v="7500"/>
    <n v="7500"/>
  </r>
  <r>
    <x v="945"/>
    <x v="945"/>
    <s v="Verkeersveiligheid"/>
    <x v="4"/>
    <n v="1097"/>
    <s v="IN/001026"/>
    <s v="Ingreep schoolroute in Diest op N10  kruispunt Ed. Robeynslaan  -Beukenplein"/>
    <s v="&lt;null&gt;"/>
    <s v="Kleine Ingreep"/>
    <s v="WVB/INV/NX/5"/>
    <b v="1"/>
    <s v="Ingreep wordt opgevolgd in BOD"/>
    <n v="2022"/>
    <s v="Q2"/>
    <s v="OVERIGE"/>
    <s v="&lt;null&gt;"/>
    <n v="100"/>
    <n v="120000"/>
    <n v="120000"/>
  </r>
  <r>
    <x v="946"/>
    <x v="946"/>
    <s v="Verkeersveiligheid"/>
    <x v="4"/>
    <n v="1098"/>
    <s v="IN/001027"/>
    <s v="Ingreep schoolroute in Wellen op Overbroekstraat, Langstraat (N777), Veerstraat, Russelt, Notelarestraat (N754)"/>
    <s v="&lt;null&gt;"/>
    <s v="Kleine Ingreep"/>
    <s v="WL/INV/N754/9"/>
    <b v="0"/>
    <s v="Ingreep wordt niet opgevolgd in BOD"/>
    <s v="&lt;null&gt;"/>
    <s v="&lt;null&gt;"/>
    <s v="OVERIGE"/>
    <s v="&lt;null&gt;"/>
    <n v="100"/>
    <n v="0"/>
    <n v="0"/>
  </r>
  <r>
    <x v="947"/>
    <x v="947"/>
    <s v="Verkeersveiligheid"/>
    <x v="4"/>
    <n v="1099"/>
    <s v="IN/001028"/>
    <s v="N1 - Vilvoorde - Fietspaden en Schaarbeeklei"/>
    <s v="&lt;null&gt;"/>
    <s v="Kleine Ingreep"/>
    <s v="WVB/INV/N1/1"/>
    <b v="0"/>
    <s v="Ingreep wordt niet opgevolgd in BOD"/>
    <n v="2021"/>
    <s v="Q3"/>
    <s v="OVERIGE"/>
    <s v="relance"/>
    <n v="100"/>
    <n v="300000"/>
    <n v="300000"/>
  </r>
  <r>
    <x v="948"/>
    <x v="948"/>
    <s v="Verkeersveiligheid"/>
    <x v="4"/>
    <n v="1100"/>
    <s v="IN/001029"/>
    <s v="Ingreep schoolroute in Vilvoorde op Kruispunt N211 met Teniersstraat (David) (noordelijke deel)"/>
    <s v="Stukje groenzone te verharden, boordstenen te verlagen + aanbrengen van markeringen"/>
    <s v="Kleine Ingreep"/>
    <s v="WVB/INV/NX/3"/>
    <b v="1"/>
    <s v="Ingreep wordt opgevolgd in BOD"/>
    <n v="2021"/>
    <s v="Q3"/>
    <s v="OVERIGE"/>
    <s v="IBO niet relance"/>
    <n v="100"/>
    <n v="11948.74"/>
    <n v="11948.74"/>
  </r>
  <r>
    <x v="949"/>
    <x v="949"/>
    <s v="Verkeersveiligheid"/>
    <x v="4"/>
    <n v="1101"/>
    <s v="IN/001030"/>
    <s v="Ingreep schoolroute in Vilvoorde op N1 (Hendrik I-lei)"/>
    <s v="zie foto"/>
    <s v="Kleine Ingreep"/>
    <s v="WVB/INV/N1/5"/>
    <b v="1"/>
    <s v="Ingreep wordt opgevolgd in BOD"/>
    <n v="2021"/>
    <s v="Q3"/>
    <s v="OVERIGE"/>
    <s v="IBO niet relance"/>
    <n v="100"/>
    <n v="3454.34"/>
    <n v="3454.34"/>
  </r>
  <r>
    <x v="950"/>
    <x v="950"/>
    <s v="Verkeersveiligheid"/>
    <x v="4"/>
    <n v="1102"/>
    <s v="IN/001031"/>
    <s v="Ingreep schoolroute in Vilvoorde op N1 (Hendrik I-lei)"/>
    <s v="zie foto"/>
    <s v="Kleine Ingreep"/>
    <s v="WVB/INV/NX/2"/>
    <b v="1"/>
    <s v="Ingreep wordt opgevolgd in BOD"/>
    <n v="2022"/>
    <s v="Q1"/>
    <s v="OVERIGE"/>
    <s v="IBO niet relance"/>
    <n v="100"/>
    <n v="16968.3"/>
    <n v="16968.3"/>
  </r>
  <r>
    <x v="951"/>
    <x v="951"/>
    <s v="Verkeersveiligheid"/>
    <x v="4"/>
    <n v="1103"/>
    <s v="IN/001032"/>
    <s v="Ingreep schoolroute in Schilde op oversteekbaarheid N12 ter hoogte van de Termaelenbaan,"/>
    <s v="&lt;null&gt;"/>
    <s v="Structurele Ingreep"/>
    <s v="&lt;null&gt;"/>
    <b v="0"/>
    <s v="Ingreep wordt niet opgevolgd in BOD"/>
    <s v="&lt;null&gt;"/>
    <s v="&lt;null&gt;"/>
    <s v="OVERIGE"/>
    <s v="&lt;null&gt;"/>
    <n v="100"/>
    <n v="0"/>
    <n v="0"/>
  </r>
  <r>
    <x v="952"/>
    <x v="952"/>
    <s v="Verkeersveiligheid"/>
    <x v="4"/>
    <n v="1104"/>
    <s v="IN/001033"/>
    <s v="Ingreep schoolroute in Schilde op verbetering van de aansluiting van het fietspad ter hoogte van de laterale weg en N12 aan de overkant van de Kasteeldreef,"/>
    <s v="&lt;null&gt;"/>
    <s v="Structurele Ingreep"/>
    <s v="&lt;null&gt;"/>
    <b v="0"/>
    <s v="Ingreep wordt niet opgevolgd in BOD"/>
    <s v="&lt;null&gt;"/>
    <s v="&lt;null&gt;"/>
    <s v="OVERIGE"/>
    <s v="&lt;null&gt;"/>
    <n v="100"/>
    <n v="0"/>
    <n v="0"/>
  </r>
  <r>
    <x v="953"/>
    <x v="953"/>
    <s v="Verkeersveiligheid"/>
    <x v="4"/>
    <n v="1105"/>
    <s v="IN/001034"/>
    <s v="Ingreep schoolroute in Schilde op aanpak kruispunt ter hoogte van de Moerstraat en de N121,"/>
    <s v="&lt;null&gt;"/>
    <s v="Structurele Ingreep"/>
    <s v="&lt;null&gt;"/>
    <b v="0"/>
    <s v="Ingreep wordt niet opgevolgd in BOD"/>
    <s v="&lt;null&gt;"/>
    <s v="&lt;null&gt;"/>
    <s v="OVERIGE"/>
    <s v="&lt;null&gt;"/>
    <n v="100"/>
    <n v="0"/>
    <n v="0"/>
  </r>
  <r>
    <x v="954"/>
    <x v="954"/>
    <s v="Verkeersveiligheid"/>
    <x v="4"/>
    <n v="1106"/>
    <s v="IN/001035"/>
    <s v="Ingreep schoolroute in Gingelom op GO! De Kleurenboom Montenaken, Hannuitstraat 4, 3890 Gingelom"/>
    <s v="&lt;null&gt;"/>
    <s v="Kleine Ingreep"/>
    <s v="WL/INV/N765/1"/>
    <b v="0"/>
    <s v="Ingreep wordt niet opgevolgd in BOD"/>
    <n v="2021"/>
    <s v="Q4"/>
    <s v="OVERIGE"/>
    <s v="Keuring op 21/12/21"/>
    <n v="100"/>
    <n v="36000"/>
    <n v="36000"/>
  </r>
  <r>
    <x v="955"/>
    <x v="955"/>
    <s v="Verkeersveiligheid"/>
    <x v="4"/>
    <n v="1107"/>
    <s v="IN/001036"/>
    <s v="Ingreep schoolroute in Retie op 1) oversteekplaatsen op N18(Provinciebaan) t.h.v. Hofstraat"/>
    <s v="&lt;null&gt;"/>
    <s v="Kleine Ingreep"/>
    <s v="WA/INV/N18/5"/>
    <b v="0"/>
    <s v="Ingreep wordt niet opgevolgd in BOD"/>
    <n v="2022"/>
    <s v="Q2"/>
    <s v="OV"/>
    <s v="&lt;null&gt;"/>
    <n v="100"/>
    <n v="35000"/>
    <n v="35000"/>
  </r>
  <r>
    <x v="956"/>
    <x v="956"/>
    <s v="Verkeersveiligheid"/>
    <x v="4"/>
    <n v="1108"/>
    <s v="IN/001037"/>
    <s v="Ingreep schoolroute in Retie op 1) oversteekplaatsen op N18(Provinciebaan) t.h.v.  Hesstraat"/>
    <s v="&lt;null&gt;"/>
    <s v="Kleine Ingreep"/>
    <s v="&lt;null&gt;"/>
    <b v="0"/>
    <s v="Ingreep wordt niet opgevolgd in BOD"/>
    <s v="&lt;null&gt;"/>
    <s v="&lt;null&gt;"/>
    <s v="OVERIGE"/>
    <s v="&lt;null&gt;"/>
    <n v="100"/>
    <n v="0"/>
    <n v="0"/>
  </r>
  <r>
    <x v="957"/>
    <x v="957"/>
    <s v="Verkeersveiligheid"/>
    <x v="4"/>
    <n v="1109"/>
    <s v="IN/001038"/>
    <s v="Ingreep schoolroute in Retie op 2) oversteekplaats op N123(Kloosterstraat) t.h.v. Vrije Basisschool Trapop"/>
    <s v="&lt;null&gt;"/>
    <s v="Kleine Ingreep"/>
    <s v="WA/INV/N123/7"/>
    <b v="0"/>
    <s v="Ingreep wordt niet opgevolgd in BOD"/>
    <n v="2022"/>
    <s v="Q2"/>
    <s v="OV"/>
    <s v="VVOP"/>
    <n v="100"/>
    <n v="50000"/>
    <n v="50000"/>
  </r>
  <r>
    <x v="958"/>
    <x v="958"/>
    <s v="Verkeersveiligheid"/>
    <x v="4"/>
    <n v="1110"/>
    <s v="IN/001039"/>
    <s v="Ingreep schoolroute in Retie op 3) oversteekplaats op N118(Kerkhofstraat) t.h.v. Hovenstraat"/>
    <s v="&lt;null&gt;"/>
    <s v="Kleine Ingreep"/>
    <s v="WA/INV/N118/9"/>
    <b v="0"/>
    <s v="Ingreep wordt niet opgevolgd in BOD"/>
    <s v="&lt;null&gt;"/>
    <s v="&lt;null&gt;"/>
    <s v="OVERIGE"/>
    <s v="&lt;null&gt;"/>
    <n v="100"/>
    <n v="7500"/>
    <n v="7500"/>
  </r>
  <r>
    <x v="959"/>
    <x v="959"/>
    <s v="Verkeersveiligheid"/>
    <x v="4"/>
    <n v="1111"/>
    <s v="IN/001040"/>
    <s v="Ingreep schoolroute in Retie op 4) fietscirculatie t.h.v. rotonde R18/Turnhoutsebaan"/>
    <s v="&lt;null&gt;"/>
    <s v="Structurele Ingreep"/>
    <s v="WA/INV/R018/1"/>
    <b v="0"/>
    <s v="Ingreep wordt niet opgevolgd in BOD"/>
    <s v="&lt;null&gt;"/>
    <s v="&lt;null&gt;"/>
    <s v="OVERIGE"/>
    <s v="&lt;null&gt;"/>
    <n v="100"/>
    <n v="0"/>
    <n v="0"/>
  </r>
  <r>
    <x v="960"/>
    <x v="960"/>
    <s v="Verkeersveiligheid"/>
    <x v="4"/>
    <n v="1112"/>
    <s v="IN/001041"/>
    <s v="Ingreep schoolroute in Oud-Turnhout op Locatie 1: Steenweg op Mol --&gt; verkeerslichten basisschool het Zwaneven"/>
    <s v="&lt;null&gt;"/>
    <s v="Kleine Ingreep"/>
    <s v="WA/INV/N18/12"/>
    <b v="0"/>
    <s v="Ingreep wordt niet opgevolgd in BOD"/>
    <s v="&lt;null&gt;"/>
    <s v="&lt;null&gt;"/>
    <s v="OVERIGE"/>
    <s v="&lt;null&gt;"/>
    <n v="100"/>
    <n v="35000"/>
    <n v="35000"/>
  </r>
  <r>
    <x v="961"/>
    <x v="961"/>
    <s v="Verkeersveiligheid"/>
    <x v="4"/>
    <n v="1113"/>
    <s v="IN/001042"/>
    <s v="Ingreep schoolroute in Oud-Turnhout op Locatie 2: Steenweg op Ravels ter hoogte van +- nr 186"/>
    <s v="&lt;null&gt;"/>
    <s v="Structurele Ingreep"/>
    <s v="&lt;null&gt;"/>
    <b v="0"/>
    <s v="Ingreep wordt niet opgevolgd in BOD"/>
    <s v="&lt;null&gt;"/>
    <s v="&lt;null&gt;"/>
    <s v="OVERIGE"/>
    <s v="&lt;null&gt;"/>
    <n v="100"/>
    <n v="0"/>
    <n v="0"/>
  </r>
  <r>
    <x v="962"/>
    <x v="962"/>
    <s v="Verkeersveiligheid"/>
    <x v="4"/>
    <n v="1114"/>
    <s v="IN/001043"/>
    <s v="Ingreep schoolroute in Oud-Turnhout op Locatie 3: Steenweg op Mol ter hoogte van Vibo De Brem"/>
    <s v="&lt;null&gt;"/>
    <s v="Kleine Ingreep"/>
    <s v="WA/INV/N18/13"/>
    <b v="0"/>
    <s v="Ingreep wordt niet opgevolgd in BOD"/>
    <s v="&lt;null&gt;"/>
    <s v="&lt;null&gt;"/>
    <s v="OVERIGE"/>
    <s v="&lt;null&gt;"/>
    <n v="100"/>
    <n v="0"/>
    <n v="0"/>
  </r>
  <r>
    <x v="963"/>
    <x v="963"/>
    <s v="Verkeersveiligheid"/>
    <x v="4"/>
    <n v="1115"/>
    <s v="IN/001044"/>
    <s v="Ingreep schoolroute in Lubbeek op instellen van een dynamische zone 30 aan de N223 ter hoogte van school De Stip in Binkom. Met oversteekplaats tussen Santro en kerk Sint-Jan."/>
    <s v="&lt;null&gt;"/>
    <s v="Kleine Ingreep"/>
    <s v="&lt;null&gt;"/>
    <b v="0"/>
    <s v="Ingreep wordt niet opgevolgd in BOD"/>
    <n v="2023"/>
    <s v="Q1"/>
    <s v="OVERIGE"/>
    <s v="&lt;null&gt;"/>
    <n v="100"/>
    <n v="15000"/>
    <n v="15000"/>
  </r>
  <r>
    <x v="150"/>
    <x v="150"/>
    <s v="Verkeersveiligheid"/>
    <x v="4"/>
    <n v="1116"/>
    <s v="IN/001045"/>
    <s v="Ingreep schoolroute in Herenthout op N13 x Herenthoutseweg"/>
    <s v="&lt;null&gt;"/>
    <s v="Structurele Ingreep"/>
    <s v="&lt;null&gt;"/>
    <b v="0"/>
    <s v="Ingreep wordt niet opgevolgd in BOD"/>
    <s v="&lt;null&gt;"/>
    <s v="&lt;null&gt;"/>
    <s v="OVERIGE"/>
    <s v="&lt;null&gt;"/>
    <n v="100"/>
    <n v="0"/>
    <n v="0"/>
  </r>
  <r>
    <x v="50"/>
    <x v="50"/>
    <s v="Verkeersveiligheid"/>
    <x v="4"/>
    <n v="1117"/>
    <s v="IN/001046"/>
    <s v="Ingreep schoolroute in Herenthout op N13 x Stationlei (Grobbendonk)"/>
    <s v="&lt;null&gt;"/>
    <s v="Structurele Ingreep"/>
    <s v="WA/INV/N13/1"/>
    <b v="0"/>
    <s v="Ingreep wordt niet opgevolgd in BOD"/>
    <s v="&lt;null&gt;"/>
    <s v="&lt;null&gt;"/>
    <s v="OVERIGE"/>
    <s v="&lt;null&gt;"/>
    <n v="100"/>
    <n v="0"/>
    <n v="0"/>
  </r>
  <r>
    <x v="964"/>
    <x v="964"/>
    <s v="Verkeersveiligheid"/>
    <x v="4"/>
    <n v="1118"/>
    <s v="IN/001047"/>
    <s v="punctuele verlichting"/>
    <s v="&lt;null&gt;"/>
    <s v="Kleine Ingreep"/>
    <s v="WL/INV/N72/18"/>
    <b v="0"/>
    <s v="Ingreep wordt niet opgevolgd in BOD"/>
    <n v="2022"/>
    <s v="&lt;null&gt;"/>
    <s v="OVERIGE"/>
    <s v="&lt;null&gt;"/>
    <n v="100"/>
    <n v="75000"/>
    <n v="75000"/>
  </r>
  <r>
    <x v="965"/>
    <x v="965"/>
    <s v="Verkeersveiligheid"/>
    <x v="4"/>
    <n v="1119"/>
    <s v="IN/001048"/>
    <s v="Gevleugeld zebrapad in Zonhoven op Kruispunt N74 met de Donkweg"/>
    <s v="regenboogzebrapad thv bestaand zebrapad"/>
    <s v="Kleine Ingreep"/>
    <s v="WL/INV/N72/10"/>
    <b v="1"/>
    <s v="Ingreep wordt opgevolgd in BOD"/>
    <n v="2021"/>
    <s v="Q3"/>
    <s v="OVERIGE"/>
    <s v="&lt;null&gt;"/>
    <n v="100"/>
    <n v="1580"/>
    <n v="1580"/>
  </r>
  <r>
    <x v="966"/>
    <x v="966"/>
    <s v="Verkeersveiligheid"/>
    <x v="4"/>
    <n v="1120"/>
    <s v="IN/001049"/>
    <s v="Extra VOP + aanpassen groene bermen (PM Jan Nijsen Sweco)"/>
    <s v="&lt;null&gt;"/>
    <s v="Kleine Ingreep"/>
    <s v="WL/INV/N715/6"/>
    <b v="1"/>
    <s v="Ingreep wordt opgevolgd in BOD"/>
    <s v="&lt;null&gt;"/>
    <s v="&lt;null&gt;"/>
    <s v="OVERIGE"/>
    <s v="&lt;null&gt;"/>
    <n v="100"/>
    <n v="50000"/>
    <n v="50000"/>
  </r>
  <r>
    <x v="967"/>
    <x v="967"/>
    <s v="Verkeersveiligheid"/>
    <x v="4"/>
    <n v="1121"/>
    <s v="IN/001050"/>
    <s v="Ingreep schoolroute in Zonhoven op Kruispunt N74 met de Donkweg"/>
    <s v="&lt;null&gt;"/>
    <s v="Kleine Ingreep"/>
    <s v="WL/INV/N715/2"/>
    <b v="1"/>
    <s v="Ingreep wordt opgevolgd in BOD"/>
    <s v="&lt;null&gt;"/>
    <s v="&lt;null&gt;"/>
    <s v="OVERIGE"/>
    <s v="&lt;null&gt;"/>
    <n v="100"/>
    <n v="458"/>
    <n v="458"/>
  </r>
  <r>
    <x v="968"/>
    <x v="968"/>
    <s v="Verkeersveiligheid"/>
    <x v="4"/>
    <n v="1122"/>
    <s v="IN/001051"/>
    <s v="Ingreep schoolroute in Kortemark op kruispunt Staatsbaan X Gouden-Hoofdstraat"/>
    <s v="&lt;null&gt;"/>
    <s v="Kleine Ingreep"/>
    <s v="WWV/INV/N35/9"/>
    <b v="0"/>
    <s v="Ingreep wordt niet opgevolgd in BOD"/>
    <s v="&lt;null&gt;"/>
    <s v="&lt;null&gt;"/>
    <s v="&lt;null&gt;"/>
    <s v="&lt;null&gt;"/>
    <n v="100"/>
    <m/>
    <m/>
  </r>
  <r>
    <x v="969"/>
    <x v="969"/>
    <s v="Verkeersveiligheid"/>
    <x v="4"/>
    <n v="1123"/>
    <s v="IN/001052"/>
    <s v="Ingreep schoolroute in Knokke-Heist op Kruispunt N49 Natiënlaan x Sluisstraat"/>
    <s v="optimaliseren fietsgeleiding op kruispunt."/>
    <s v="Kleine Ingreep"/>
    <s v="&lt;null&gt;"/>
    <b v="0"/>
    <s v="Ingreep wordt niet opgevolgd in BOD"/>
    <n v="2022"/>
    <s v="Q2"/>
    <s v="OVERIGE"/>
    <s v="&lt;null&gt;"/>
    <n v="100"/>
    <n v="6000"/>
    <n v="6000"/>
  </r>
  <r>
    <x v="970"/>
    <x v="970"/>
    <s v="Verkeersveiligheid"/>
    <x v="4"/>
    <n v="1124"/>
    <s v="IN/001053"/>
    <s v="Ingreep schoolroute in Wuustwezel op Kruispunt N1 - Arthur Boelstraat - Bosduinstraat"/>
    <s v="&lt;null&gt;"/>
    <s v="Kleine Ingreep"/>
    <s v="WA/INV/N1/19"/>
    <b v="0"/>
    <s v="Ingreep wordt niet opgevolgd in BOD"/>
    <s v="&lt;null&gt;"/>
    <s v="&lt;null&gt;"/>
    <s v="OVERIGE"/>
    <s v="&lt;null&gt;"/>
    <n v="100"/>
    <n v="300000"/>
    <n v="300000"/>
  </r>
  <r>
    <x v="971"/>
    <x v="971"/>
    <s v="Verkeersveiligheid"/>
    <x v="4"/>
    <n v="1125"/>
    <s v="IN/001054"/>
    <s v="Ingreep schoolroute in Torhout op Kruispunt Rijksweg / Bakvoordestraat"/>
    <s v="&lt;null&gt;"/>
    <s v="Kleine Ingreep"/>
    <s v="&lt;null&gt;"/>
    <b v="0"/>
    <s v="Ingreep wordt niet opgevolgd in BOD"/>
    <s v="&lt;null&gt;"/>
    <s v="&lt;null&gt;"/>
    <s v="&lt;null&gt;"/>
    <s v="&lt;null&gt;"/>
    <n v="100"/>
    <m/>
    <m/>
  </r>
  <r>
    <x v="972"/>
    <x v="972"/>
    <s v="Verkeersveiligheid"/>
    <x v="4"/>
    <n v="1126"/>
    <s v="IN/001055"/>
    <s v="Ingreep schoolroute in Lier op N10 x Misstraat x Bernard Van Hoolstraat"/>
    <s v="Rodeslemlaag wegnemen."/>
    <s v="Kleine Ingreep"/>
    <s v="WA/INV/N10/13"/>
    <b v="0"/>
    <s v="Ingreep wordt niet opgevolgd in BOD"/>
    <n v="2022"/>
    <s v="Q2"/>
    <s v="OVERIGE"/>
    <s v="stralen + markering"/>
    <n v="100"/>
    <n v="4430"/>
    <n v="4430"/>
  </r>
  <r>
    <x v="973"/>
    <x v="973"/>
    <s v="Verkeersveiligheid"/>
    <x v="4"/>
    <n v="1127"/>
    <s v="IN/001056"/>
    <s v="Ingreep schoolroute in Lier op N10 x Spreet"/>
    <s v="&lt;null&gt;"/>
    <s v="Kleine Ingreep"/>
    <s v="WA/INV/N10/8"/>
    <b v="0"/>
    <s v="Ingreep wordt niet opgevolgd in BOD"/>
    <s v="&lt;null&gt;"/>
    <s v="&lt;null&gt;"/>
    <s v="OVERIGE"/>
    <s v="&lt;null&gt;"/>
    <n v="100"/>
    <n v="9130"/>
    <n v="9130"/>
  </r>
  <r>
    <x v="974"/>
    <x v="974"/>
    <s v="Verkeersveiligheid"/>
    <x v="4"/>
    <n v="1128"/>
    <s v="IN/001057"/>
    <s v="Ingreep schoolroute in Lier op N10 x Schollebeekstraat"/>
    <s v="&lt;null&gt;"/>
    <s v="Kleine Ingreep"/>
    <s v="&lt;null&gt;"/>
    <b v="0"/>
    <s v="Ingreep wordt niet opgevolgd in BOD"/>
    <n v="2022"/>
    <s v="Q3"/>
    <s v="OVERIGE"/>
    <s v="&lt;null&gt;"/>
    <n v="100"/>
    <n v="2220"/>
    <n v="2220"/>
  </r>
  <r>
    <x v="975"/>
    <x v="975"/>
    <s v="Verkeersveiligheid"/>
    <x v="4"/>
    <n v="1129"/>
    <s v="IN/001058"/>
    <s v="Ingreep schoolroute in Ardooie op Zijstraten N37"/>
    <s v="Arcering plaatsen conform overleg"/>
    <s v="Kleine Ingreep"/>
    <s v="WWV/INV/N37/8"/>
    <b v="1"/>
    <s v="Ingreep wordt opgevolgd in BOD"/>
    <n v="2022"/>
    <s v="Q2"/>
    <s v="WEGENIS"/>
    <s v="&lt;null&gt;"/>
    <n v="100"/>
    <n v="2000"/>
    <n v="2000"/>
  </r>
  <r>
    <x v="976"/>
    <x v="976"/>
    <s v="Verkeersveiligheid"/>
    <x v="4"/>
    <n v="1130"/>
    <s v="IN/001059"/>
    <s v="Ingreep schoolroute in Meerhout op Gestelsesteenweg (N110) tussen kruispunt Waterstraat-Kerkstraat"/>
    <s v="Markeringen &quot;school&quot;"/>
    <s v="Kleine Ingreep"/>
    <s v="WA/INV/N110/3"/>
    <b v="0"/>
    <s v="Ingreep wordt niet opgevolgd in BOD"/>
    <s v="&lt;null&gt;"/>
    <s v="&lt;null&gt;"/>
    <s v="&lt;null&gt;"/>
    <s v="&lt;null&gt;"/>
    <n v="100"/>
    <m/>
    <m/>
  </r>
  <r>
    <x v="977"/>
    <x v="977"/>
    <s v="Verkeersveiligheid"/>
    <x v="4"/>
    <n v="1131"/>
    <s v="IN/001060"/>
    <s v="Ingreep schoolroute in Oostkamp op N368 Sint-Elooisstraat"/>
    <s v="fietslogo's"/>
    <s v="Kleine Ingreep"/>
    <s v="WWV/INV/N368/11"/>
    <b v="1"/>
    <s v="Ingreep wordt opgevolgd in BOD"/>
    <n v="2022"/>
    <s v="Q2"/>
    <s v="OVERIGE"/>
    <s v="&lt;null&gt;"/>
    <n v="100"/>
    <n v="2000"/>
    <n v="2000"/>
  </r>
  <r>
    <x v="978"/>
    <x v="978"/>
    <s v="Verkeersveiligheid"/>
    <x v="4"/>
    <n v="1132"/>
    <s v="IN/001061"/>
    <s v="Beperkte herinrichting inclusief 2 FOP's (PM studiebureau aan te stellen via MC3)"/>
    <s v="&lt;null&gt;"/>
    <s v="Kleine Ingreep"/>
    <s v="WL/INV/N730/18"/>
    <b v="0"/>
    <s v="Ingreep wordt niet opgevolgd in BOD"/>
    <n v="2022"/>
    <s v="&lt;null&gt;"/>
    <s v="OVERIGE"/>
    <s v="&lt;null&gt;"/>
    <n v="100"/>
    <n v="71011"/>
    <n v="71011"/>
  </r>
  <r>
    <x v="979"/>
    <x v="979"/>
    <s v="Verkeersveiligheid"/>
    <x v="4"/>
    <n v="1133"/>
    <s v="IN/001062"/>
    <s v="Ingreep schoolroute in Lommel op N71 x Hoeverdijk"/>
    <s v="&lt;null&gt;"/>
    <s v="Structurele Ingreep"/>
    <s v="&lt;null&gt;"/>
    <b v="0"/>
    <s v="Ingreep wordt niet opgevolgd in BOD"/>
    <s v="&lt;null&gt;"/>
    <s v="&lt;null&gt;"/>
    <s v="OVERIGE"/>
    <s v="&lt;null&gt;"/>
    <n v="100"/>
    <n v="0"/>
    <n v="0"/>
  </r>
  <r>
    <x v="980"/>
    <x v="980"/>
    <s v="Verkeersveiligheid"/>
    <x v="4"/>
    <n v="1134"/>
    <s v="IN/001063"/>
    <s v="Aanpassen bypasses en ombouw volgens actieplan"/>
    <s v="&lt;null&gt;"/>
    <s v="Kleine Ingreep"/>
    <s v="WL/INV/NX/6"/>
    <b v="0"/>
    <s v="Ingreep wordt niet opgevolgd in BOD"/>
    <s v="&lt;null&gt;"/>
    <s v="&lt;null&gt;"/>
    <s v="OVERIGE"/>
    <s v="&lt;null&gt;"/>
    <n v="100"/>
    <n v="200000"/>
    <n v="200000"/>
  </r>
  <r>
    <x v="981"/>
    <x v="981"/>
    <s v="Verkeersveiligheid"/>
    <x v="4"/>
    <n v="1135"/>
    <s v="IN/001064"/>
    <s v="Vrij rechtsaf door rood voor fietsers"/>
    <s v="\n"/>
    <s v="Kleine Ingreep"/>
    <s v="WL/INV/N746/4"/>
    <b v="0"/>
    <s v="Ingreep wordt niet opgevolgd in BOD"/>
    <s v="&lt;null&gt;"/>
    <s v="&lt;null&gt;"/>
    <s v="OVERIGE"/>
    <s v="&lt;null&gt;"/>
    <n v="100"/>
    <n v="75000"/>
    <n v="75000"/>
  </r>
  <r>
    <x v="982"/>
    <x v="982"/>
    <s v="Verkeersveiligheid"/>
    <x v="4"/>
    <n v="1136"/>
    <s v="IN/001065"/>
    <s v="Ingreep schoolroute in Olen op 3/ fietspaden langs N152 (tussen kern Olen-Centrum en kruispunt met Hezewijk/Industrielaan)"/>
    <s v="&lt;null&gt;"/>
    <s v="Kleine Ingreep"/>
    <s v="WA/INV/N152/5"/>
    <b v="0"/>
    <s v="Ingreep wordt niet opgevolgd in BOD"/>
    <s v="&lt;null&gt;"/>
    <s v="&lt;null&gt;"/>
    <s v="OVERIGE"/>
    <s v="&lt;null&gt;"/>
    <n v="100"/>
    <n v="465500"/>
    <n v="465500"/>
  </r>
  <r>
    <x v="983"/>
    <x v="983"/>
    <s v="Verkeersveiligheid"/>
    <x v="4"/>
    <n v="1137"/>
    <s v="IN/001066"/>
    <s v="Ingreep schoolroute in Koksijde op Toekomstlaan ter hoogte van de Nieuwstraat"/>
    <s v="&lt;null&gt;"/>
    <s v="Kleine Ingreep"/>
    <s v="&lt;null&gt;"/>
    <b v="0"/>
    <s v="Ingreep wordt niet opgevolgd in BOD"/>
    <n v="2022"/>
    <s v="Q2"/>
    <s v="WEGENIS"/>
    <s v="&lt;null&gt;"/>
    <n v="100"/>
    <n v="25000"/>
    <n v="25000"/>
  </r>
  <r>
    <x v="984"/>
    <x v="984"/>
    <s v="Verkeersveiligheid"/>
    <x v="4"/>
    <n v="1138"/>
    <s v="IN/001067"/>
    <s v="Ingreep schoolroute in Koksijde op N39 x Kortestraat"/>
    <s v="&lt;null&gt;"/>
    <s v="Kleine Ingreep"/>
    <s v="WWV/INV/N39/4"/>
    <b v="1"/>
    <s v="Ingreep wordt opgevolgd in BOD"/>
    <n v="2023"/>
    <s v="Q2"/>
    <s v="WEGENIS"/>
    <s v="&lt;null&gt;"/>
    <n v="100"/>
    <n v="20000"/>
    <n v="20000"/>
  </r>
  <r>
    <x v="985"/>
    <x v="985"/>
    <s v="Verkeersveiligheid"/>
    <x v="4"/>
    <n v="1139"/>
    <s v="IN/001068"/>
    <s v="Ingreep schoolroute in Kortrijk op N50 Benelux Rotonde"/>
    <s v="Verlagen boordstenen"/>
    <s v="Kleine Ingreep"/>
    <s v="WWV/INV/N50/10"/>
    <b v="1"/>
    <s v="Ingreep wordt opgevolgd in BOD"/>
    <n v="2022"/>
    <s v="Q2"/>
    <s v="OVERIGE"/>
    <s v="&lt;null&gt;"/>
    <n v="100"/>
    <n v="5000"/>
    <n v="5000"/>
  </r>
  <r>
    <x v="986"/>
    <x v="986"/>
    <s v="Verkeersveiligheid"/>
    <x v="4"/>
    <n v="1140"/>
    <s v="IN/001069"/>
    <s v="Ingreep schoolroute in Kortrijk op R8 - Spinnerijstraat - Stasegemsesteenweg"/>
    <s v="&lt;null&gt;"/>
    <s v="Kleine Ingreep"/>
    <s v="&lt;null&gt;"/>
    <b v="0"/>
    <s v="Ingreep wordt niet opgevolgd in BOD"/>
    <s v="&lt;null&gt;"/>
    <s v="&lt;null&gt;"/>
    <s v="OVERIGE"/>
    <s v="&lt;null&gt;"/>
    <n v="100"/>
    <n v="1000"/>
    <n v="1000"/>
  </r>
  <r>
    <x v="987"/>
    <x v="987"/>
    <s v="Verkeersveiligheid"/>
    <x v="4"/>
    <n v="1141"/>
    <s v="IN/001070"/>
    <s v="Ingreep schoolroute in Kortrijk op R8 - Gullegemsestraat"/>
    <s v="&lt;null&gt;"/>
    <s v="Kleine Ingreep"/>
    <s v="&lt;null&gt;"/>
    <b v="0"/>
    <s v="Ingreep wordt niet opgevolgd in BOD"/>
    <s v="&lt;null&gt;"/>
    <s v="&lt;null&gt;"/>
    <s v="OVERIGE"/>
    <s v="&lt;null&gt;"/>
    <n v="100"/>
    <n v="5000"/>
    <n v="5000"/>
  </r>
  <r>
    <x v="988"/>
    <x v="988"/>
    <s v="Verkeersveiligheid"/>
    <x v="4"/>
    <n v="1142"/>
    <s v="IN/001071"/>
    <s v="Ingreep schoolroute in Kortrijk op N8 tussen Bissegem en Kortrijk"/>
    <s v="Hermarkeren"/>
    <s v="Kleine Ingreep"/>
    <s v="WWV/INV/N8/24"/>
    <b v="1"/>
    <s v="Ingreep wordt opgevolgd in BOD"/>
    <n v="2022"/>
    <s v="Q2"/>
    <s v="WEGENIS"/>
    <s v="Enkel wegnemen aslijn"/>
    <n v="100"/>
    <n v="7500"/>
    <n v="7500"/>
  </r>
  <r>
    <x v="653"/>
    <x v="653"/>
    <s v="Verkeersveiligheid"/>
    <x v="4"/>
    <n v="1143"/>
    <s v="IN/001072"/>
    <s v="MAG WEG Ingreep schoolroute in Mechelen op R12 x N15 (vlak voor Voochtstraat)"/>
    <s v="&lt;null&gt;"/>
    <s v="Structurele Ingreep"/>
    <s v="&lt;null&gt;"/>
    <b v="0"/>
    <s v="Ingreep wordt niet opgevolgd in BOD"/>
    <s v="&lt;null&gt;"/>
    <s v="&lt;null&gt;"/>
    <s v="OVERIGE"/>
    <s v="&lt;null&gt;"/>
    <n v="100"/>
    <n v="431250"/>
    <n v="431250"/>
  </r>
  <r>
    <x v="654"/>
    <x v="654"/>
    <s v="Verkeersveiligheid"/>
    <x v="4"/>
    <n v="1144"/>
    <s v="IN/001073"/>
    <s v="MAG WEG Ingreep schoolroute in Mechelen op R12 x N14 Liersesteenweg"/>
    <m/>
    <s v="Structurele Ingreep"/>
    <s v="&lt;null&gt;"/>
    <b v="0"/>
    <s v="Ingreep wordt niet opgevolgd in BOD"/>
    <s v="&lt;null&gt;"/>
    <s v="&lt;null&gt;"/>
    <s v="OVERIGE"/>
    <s v="&lt;null&gt;"/>
    <n v="100"/>
    <n v="0"/>
    <n v="0"/>
  </r>
  <r>
    <x v="989"/>
    <x v="989"/>
    <s v="Verkeersveiligheid"/>
    <x v="4"/>
    <n v="1145"/>
    <s v="IN/001074"/>
    <s v="Ingreep schoolroute in Huldenberg op Voetgangersoversteek school Loonbeek N253"/>
    <s v="&lt;null&gt;"/>
    <s v="Kleine Ingreep"/>
    <s v="WVB/INV/N253/9"/>
    <b v="1"/>
    <s v="Ingreep wordt opgevolgd in BOD"/>
    <n v="2022"/>
    <s v="Q3"/>
    <s v="OVERIGE"/>
    <s v="&lt;null&gt;"/>
    <n v="100"/>
    <n v="76000"/>
    <n v="76000"/>
  </r>
  <r>
    <x v="990"/>
    <x v="990"/>
    <s v="Verkeersveiligheid"/>
    <x v="4"/>
    <n v="1146"/>
    <s v="IN/001075"/>
    <s v="Ingreep schoolroute in Huldenberg op Oversteekplaats N253 Dorpstraat school Neerijse"/>
    <s v="&lt;null&gt;"/>
    <s v="Kleine Ingreep"/>
    <s v="WVB/INV/N253/10"/>
    <b v="0"/>
    <s v="Ingreep wordt niet opgevolgd in BOD"/>
    <s v="&lt;null&gt;"/>
    <s v="&lt;null&gt;"/>
    <s v="&lt;null&gt;"/>
    <s v="&lt;null&gt;"/>
    <n v="100"/>
    <m/>
    <m/>
  </r>
  <r>
    <x v="991"/>
    <x v="991"/>
    <s v="Verkeersveiligheid"/>
    <x v="4"/>
    <n v="1147"/>
    <s v="IN/001076"/>
    <s v="Ingreep schoolroute in De Panne op Oversteekplaats Dijk N39- Duinkerkekeiweg"/>
    <s v="&lt;null&gt;"/>
    <s v="Kleine Ingreep"/>
    <s v="&lt;null&gt;"/>
    <b v="0"/>
    <s v="Ingreep wordt niet opgevolgd in BOD"/>
    <s v="&lt;null&gt;"/>
    <s v="&lt;null&gt;"/>
    <s v="OVERIGE"/>
    <s v="&lt;null&gt;"/>
    <n v="100"/>
    <n v="5000"/>
    <n v="5000"/>
  </r>
  <r>
    <x v="992"/>
    <x v="992"/>
    <s v="Verkeersveiligheid"/>
    <x v="4"/>
    <n v="1148"/>
    <s v="IN/001077"/>
    <s v="Ingreep schoolroute in Grobbendonk op Lierse steenweg thv kruispunt Dorp en Hermespaadje"/>
    <s v="&lt;null&gt;"/>
    <s v="Kleine Ingreep"/>
    <s v="WA/INV/N13/16"/>
    <b v="0"/>
    <s v="Ingreep wordt niet opgevolgd in BOD"/>
    <s v="&lt;null&gt;"/>
    <s v="&lt;null&gt;"/>
    <s v="&lt;null&gt;"/>
    <s v="&lt;null&gt;"/>
    <n v="100"/>
    <m/>
    <m/>
  </r>
  <r>
    <x v="993"/>
    <x v="993"/>
    <s v="Verkeersveiligheid"/>
    <x v="4"/>
    <n v="1149"/>
    <s v="IN/001078"/>
    <s v="Ingreep schoolroute in Scherpenheuvel-Zichem op Turnhoutsebaan x Brabantsebaan"/>
    <s v="Oversteekplaats voor fietsers en vernieuwen fietspad thv kruispunt"/>
    <s v="Kleine Ingreep"/>
    <s v="WVB/INV/N127/2"/>
    <b v="0"/>
    <s v="Ingreep wordt niet opgevolgd in BOD"/>
    <n v="2022"/>
    <s v="Q4"/>
    <s v="OVERIGE"/>
    <s v="raming studiebureau"/>
    <n v="100"/>
    <n v="38453"/>
    <n v="38453"/>
  </r>
  <r>
    <x v="994"/>
    <x v="994"/>
    <s v="Verkeersveiligheid"/>
    <x v="4"/>
    <n v="1150"/>
    <s v="IN/001079"/>
    <s v="twee enkelrichtingsfietspaden met FOP's"/>
    <s v="twee enkelrichtingsfietspaden met FOP's"/>
    <s v="Kleine Ingreep"/>
    <s v="WL/INV/N77/3"/>
    <b v="1"/>
    <s v="Ingreep wordt opgevolgd in BOD"/>
    <n v="2022"/>
    <s v="Q3"/>
    <s v="OVERIGE"/>
    <s v="&lt;null&gt;"/>
    <n v="100"/>
    <n v="32860"/>
    <n v="32860"/>
  </r>
  <r>
    <x v="995"/>
    <x v="995"/>
    <s v="Verkeersveiligheid"/>
    <x v="4"/>
    <n v="1151"/>
    <s v="IN/001080"/>
    <s v="Aanpassen fietspaden (PM studiebureau aan te stellen via MC3)"/>
    <s v="fietsers uit de voorrang op rotonde"/>
    <s v="Kleine Ingreep"/>
    <s v="WL/INV/NX/5"/>
    <b v="0"/>
    <s v="Ingreep wordt niet opgevolgd in BOD"/>
    <n v="2023"/>
    <s v="&lt;null&gt;"/>
    <s v="OVERIGE"/>
    <s v="&lt;null&gt;"/>
    <n v="100"/>
    <n v="42620"/>
    <n v="42620"/>
  </r>
  <r>
    <x v="996"/>
    <x v="996"/>
    <s v="Verkeersveiligheid"/>
    <x v="4"/>
    <n v="1152"/>
    <s v="IN/001081"/>
    <s v="Ingreep schoolroute in Ham op Kruispunt N110 x N141"/>
    <s v="VVOP\nvernieuwen markeringen"/>
    <s v="Kleine Ingreep"/>
    <s v="WL/INV/N141/10"/>
    <b v="0"/>
    <s v="Ingreep wordt niet opgevolgd in BOD"/>
    <n v="2022"/>
    <s v="&lt;null&gt;"/>
    <s v="OVERIGE"/>
    <s v="&lt;null&gt;"/>
    <n v="100"/>
    <n v="90000"/>
    <n v="90000"/>
  </r>
  <r>
    <x v="997"/>
    <x v="997"/>
    <s v="Verkeersveiligheid"/>
    <x v="4"/>
    <n v="1153"/>
    <s v="IN/001082"/>
    <s v="Ingreep schoolroute in Herentals op In volgorde van prioriteit: 3) Rondpunt Ringlaan – Augustijnenlaan"/>
    <s v="&lt;null&gt;"/>
    <s v="Kleine Ingreep"/>
    <s v="WA/INV/N153/16"/>
    <b v="1"/>
    <s v="Ingreep wordt opgevolgd in BOD"/>
    <n v="2022"/>
    <s v="Q3"/>
    <s v="WEGENIS"/>
    <s v="VOP/FOP  + rotonde"/>
    <n v="100"/>
    <n v="40000"/>
    <n v="40000"/>
  </r>
  <r>
    <x v="998"/>
    <x v="998"/>
    <s v="Verkeersveiligheid"/>
    <x v="4"/>
    <n v="1154"/>
    <s v="IN/001083"/>
    <s v="Ingreep schoolroute in Turnhout op kruispunt R13 - Speelkaartenstraat/Gierledreef. onderdeel van de schoolfietsroute richting campus HT²O (ingang fietsenstalling is voorzien in de Speelkaartenstraat). Deze scholieren dienen ook overdag regelmatig een verp"/>
    <s v="oplossing beslist in PCV"/>
    <s v="Kleine Ingreep"/>
    <s v="WA/INV/R13/4"/>
    <b v="1"/>
    <s v="Ingreep wordt opgevolgd in BOD"/>
    <n v="2022"/>
    <s v="Q3"/>
    <s v="VRI"/>
    <s v="&lt;null&gt;"/>
    <n v="100"/>
    <n v="100000"/>
    <n v="100000"/>
  </r>
  <r>
    <x v="998"/>
    <x v="998"/>
    <s v="Verkeersveiligheid"/>
    <x v="4"/>
    <n v="1154"/>
    <s v="IN/001083"/>
    <s v="Ingreep schoolroute in Turnhout op kruispunt R13 - Speelkaartenstraat/Gierledreef. onderdeel van de schoolfietsroute richting campus HT²O (ingang fietsenstalling is voorzien in de Speelkaartenstraat). Deze scholieren dienen ook overdag regelmatig een verp"/>
    <s v="oplossing beslist in PCV"/>
    <s v="Kleine Ingreep"/>
    <s v="WA/INV/R13/4"/>
    <b v="1"/>
    <s v="Ingreep wordt opgevolgd in BOD"/>
    <n v="2022"/>
    <s v="Q3"/>
    <s v="WEGENIS"/>
    <s v="&lt;null&gt;"/>
    <n v="100"/>
    <n v="35000"/>
    <n v="35000"/>
  </r>
  <r>
    <x v="999"/>
    <x v="999"/>
    <s v="Verkeersveiligheid"/>
    <x v="4"/>
    <n v="1155"/>
    <s v="IN/001084"/>
    <s v="Ingreep schoolroute in Wevelgem op Oversteekbaarheid N8"/>
    <s v="Aanleg 3 middengeleiders en 7 VVOP's"/>
    <s v="Kleine Ingreep"/>
    <s v="WWV/INV/N8/25"/>
    <b v="1"/>
    <s v="Ingreep wordt opgevolgd in BOD"/>
    <n v="2022"/>
    <s v="Q2"/>
    <s v="WEGENIS"/>
    <s v="&lt;null&gt;"/>
    <n v="100"/>
    <n v="300000"/>
    <n v="300000"/>
  </r>
  <r>
    <x v="999"/>
    <x v="999"/>
    <s v="Verkeersveiligheid"/>
    <x v="4"/>
    <n v="1155"/>
    <s v="IN/001084"/>
    <s v="Ingreep schoolroute in Wevelgem op Oversteekbaarheid N8"/>
    <s v="Aanleg 3 middengeleiders en 7 VVOP's"/>
    <s v="Kleine Ingreep"/>
    <s v="WWV/INV/N8/25"/>
    <b v="1"/>
    <s v="Ingreep wordt opgevolgd in BOD"/>
    <n v="2022"/>
    <s v="Q4"/>
    <s v="OV"/>
    <s v="7 punctuele verlichtingen"/>
    <n v="100"/>
    <n v="210000"/>
    <n v="210000"/>
  </r>
  <r>
    <x v="1000"/>
    <x v="1000"/>
    <s v="Verkeersveiligheid"/>
    <x v="4"/>
    <n v="1156"/>
    <s v="IN/001085"/>
    <s v="Herinrichting met middengeleider (PM studiebureau aan te stellen via MC3)"/>
    <s v="&lt;null&gt;"/>
    <s v="Kleine Ingreep"/>
    <s v="WL/INV/NX/4"/>
    <b v="0"/>
    <s v="Ingreep wordt niet opgevolgd in BOD"/>
    <n v="2023"/>
    <s v="&lt;null&gt;"/>
    <s v="OVERIGE"/>
    <s v="&lt;null&gt;"/>
    <n v="100"/>
    <n v="353122"/>
    <n v="353122"/>
  </r>
  <r>
    <x v="1001"/>
    <x v="1001"/>
    <s v="Verkeersveiligheid"/>
    <x v="4"/>
    <n v="1157"/>
    <s v="IN/001086"/>
    <s v="Ingreep schoolroute in Hasselt op Diestersteenweg Kermt"/>
    <s v="&lt;null&gt;"/>
    <s v="Kleine Ingreep"/>
    <s v="WL/INV/N2/13"/>
    <b v="0"/>
    <s v="Ingreep wordt niet opgevolgd in BOD"/>
    <s v="&lt;null&gt;"/>
    <s v="&lt;null&gt;"/>
    <s v="OVERIGE"/>
    <s v="&lt;null&gt;"/>
    <n v="100"/>
    <n v="0"/>
    <n v="0"/>
  </r>
  <r>
    <x v="1002"/>
    <x v="1002"/>
    <s v="Verkeersveiligheid"/>
    <x v="4"/>
    <n v="1158"/>
    <s v="IN/001087"/>
    <s v="Ingreep schoolroute in Hasselt op Kolmenstraat Stevoort"/>
    <s v="geen quick win mogelijk"/>
    <s v="Kleine Ingreep"/>
    <s v="WL/INV/N754/10"/>
    <b v="0"/>
    <s v="Ingreep wordt niet opgevolgd in BOD"/>
    <s v="&lt;null&gt;"/>
    <s v="&lt;null&gt;"/>
    <s v="OVERIGE"/>
    <s v="&lt;null&gt;"/>
    <n v="100"/>
    <n v="300000"/>
    <n v="300000"/>
  </r>
  <r>
    <x v="1003"/>
    <x v="1003"/>
    <s v="Verkeersveiligheid"/>
    <x v="4"/>
    <n v="1159"/>
    <s v="IN/001088"/>
    <s v="Ombouw VRI volgens actieplan"/>
    <m/>
    <s v="Structurele Ingreep"/>
    <s v="&lt;null&gt;"/>
    <b v="0"/>
    <s v="Ingreep wordt niet opgevolgd in BOD"/>
    <s v="&lt;null&gt;"/>
    <s v="&lt;null&gt;"/>
    <s v="OVERIGE"/>
    <s v="&lt;null&gt;"/>
    <n v="100"/>
    <n v="0"/>
    <n v="0"/>
  </r>
  <r>
    <x v="1004"/>
    <x v="1004"/>
    <s v="Verkeersveiligheid"/>
    <x v="4"/>
    <n v="1160"/>
    <s v="IN/001089"/>
    <s v="Ingreep schoolroute in Hasselt op Omgeving Wolske"/>
    <s v="&lt;null&gt;"/>
    <s v="Structurele Ingreep"/>
    <s v="&lt;null&gt;"/>
    <b v="0"/>
    <s v="Ingreep wordt niet opgevolgd in BOD"/>
    <s v="&lt;null&gt;"/>
    <s v="&lt;null&gt;"/>
    <s v="OVERIGE"/>
    <s v="&lt;null&gt;"/>
    <n v="100"/>
    <n v="0"/>
    <n v="0"/>
  </r>
  <r>
    <x v="1005"/>
    <x v="1005"/>
    <s v="Verkeersveiligheid"/>
    <x v="4"/>
    <n v="1161"/>
    <s v="IN/001090"/>
    <s v="Verlichting (OV, VVOP/VFOP...) in Oostende op Ringlaan (R31), ter hoogte van kruispunt met de Zandvoordestraat"/>
    <s v="&lt;null&gt;"/>
    <s v="Kleine Ingreep"/>
    <s v="&lt;null&gt;"/>
    <b v="0"/>
    <s v="Ingreep wordt niet opgevolgd in BOD"/>
    <s v="&lt;null&gt;"/>
    <s v="&lt;null&gt;"/>
    <s v="OVERIGE"/>
    <s v="&lt;null&gt;"/>
    <n v="100"/>
    <n v="0"/>
    <n v="0"/>
  </r>
  <r>
    <x v="1006"/>
    <x v="1006"/>
    <s v="Verkeersveiligheid"/>
    <x v="4"/>
    <n v="1162"/>
    <s v="IN/001091"/>
    <s v="Ingreep schoolroute in Hasselt op Kempische steenweg Kiewit"/>
    <s v="&lt;null&gt;"/>
    <s v="Kleine Ingreep"/>
    <s v="&lt;null&gt;"/>
    <b v="0"/>
    <s v="Ingreep wordt niet opgevolgd in BOD"/>
    <s v="&lt;null&gt;"/>
    <s v="&lt;null&gt;"/>
    <s v="OVERIGE"/>
    <s v="&lt;null&gt;"/>
    <n v="100"/>
    <n v="300000"/>
    <n v="300000"/>
  </r>
  <r>
    <x v="1007"/>
    <x v="1007"/>
    <s v="Verkeersveiligheid"/>
    <x v="4"/>
    <n v="1163"/>
    <s v="IN/001092"/>
    <s v="Punctuele verlichting (niet conform nieuw DO)"/>
    <s v="&lt;null&gt;"/>
    <s v="Kleine Ingreep"/>
    <s v="WL/INV/2021/22"/>
    <b v="0"/>
    <s v="Ingreep wordt niet opgevolgd in BOD"/>
    <s v="&lt;null&gt;"/>
    <s v="&lt;null&gt;"/>
    <s v="OVERIGE"/>
    <s v="&lt;null&gt;"/>
    <n v="100"/>
    <n v="75000"/>
    <n v="75000"/>
  </r>
  <r>
    <x v="1008"/>
    <x v="1008"/>
    <s v="Verkeersveiligheid"/>
    <x v="4"/>
    <n v="1164"/>
    <s v="IN/001093"/>
    <s v="Ingreep schoolroute in Heuvelland op Dranouter, doortocht gewestweg N322"/>
    <s v="&lt;null&gt;"/>
    <s v="Kleine Ingreep"/>
    <s v="WWV/INV/N322/1"/>
    <b v="1"/>
    <s v="Ingreep wordt opgevolgd in BOD"/>
    <n v="2022"/>
    <s v="Q1"/>
    <s v="OVERIGE"/>
    <s v="&lt;null&gt;"/>
    <n v="100"/>
    <n v="10000"/>
    <n v="10000"/>
  </r>
  <r>
    <x v="1009"/>
    <x v="1009"/>
    <s v="Verkeersveiligheid"/>
    <x v="4"/>
    <n v="1165"/>
    <s v="IN/001094"/>
    <s v="Ingreep schoolroute in Heuvelland op N375 - doortocht Loker"/>
    <s v="&lt;null&gt;"/>
    <s v="Kleine Ingreep"/>
    <s v="WWV/INV/N375/5"/>
    <b v="1"/>
    <s v="Ingreep wordt opgevolgd in BOD"/>
    <n v="2022"/>
    <s v="Q2"/>
    <s v="OVERIGE"/>
    <s v="&lt;null&gt;"/>
    <n v="100"/>
    <n v="10000"/>
    <n v="10000"/>
  </r>
  <r>
    <x v="1010"/>
    <x v="1010"/>
    <s v="Verkeersveiligheid"/>
    <x v="4"/>
    <n v="1166"/>
    <s v="IN/001095"/>
    <s v="Ingreep schoolroute in Heuvelland op doortocht N314-N331 door Nieuwkerke"/>
    <s v="&lt;null&gt;"/>
    <s v="Kleine Ingreep"/>
    <s v="WWV/INV/N322/2"/>
    <b v="1"/>
    <s v="Ingreep wordt opgevolgd in BOD"/>
    <n v="2022"/>
    <s v="Q2"/>
    <s v="OVERIGE"/>
    <s v="wegmarkeringen aanbrengen"/>
    <n v="100"/>
    <n v="10000"/>
    <n v="10000"/>
  </r>
  <r>
    <x v="1011"/>
    <x v="1011"/>
    <s v="Verkeersveiligheid"/>
    <x v="4"/>
    <n v="1167"/>
    <s v="IN/001096"/>
    <s v="Ingreep schoolroute in Heuvelland op doortocht Wijtschate N365"/>
    <s v="&lt;null&gt;"/>
    <s v="Kleine Ingreep"/>
    <s v="WWV/INV/N365/2"/>
    <b v="1"/>
    <s v="Ingreep wordt opgevolgd in BOD"/>
    <n v="2022"/>
    <s v="Q2"/>
    <s v="OVERIGE"/>
    <s v="&lt;null&gt;"/>
    <n v="100"/>
    <n v="10000"/>
    <n v="10000"/>
  </r>
  <r>
    <x v="1012"/>
    <x v="1012"/>
    <s v="Verkeersveiligheid"/>
    <x v="4"/>
    <n v="1168"/>
    <s v="IN/001097"/>
    <s v="Ingreep schoolroute in Heuvelland op doortocht Wulvergem N365"/>
    <s v="&lt;null&gt;"/>
    <s v="Kleine Ingreep"/>
    <s v="WWV/INV/N314/1"/>
    <b v="1"/>
    <s v="Ingreep wordt opgevolgd in BOD"/>
    <n v="2022"/>
    <s v="Q2"/>
    <s v="OVERIGE"/>
    <s v="&lt;null&gt;"/>
    <n v="100"/>
    <n v="5000"/>
    <n v="5000"/>
  </r>
  <r>
    <x v="1013"/>
    <x v="1013"/>
    <s v="Verkeersveiligheid"/>
    <x v="4"/>
    <n v="1169"/>
    <s v="IN/001098"/>
    <s v="Ingreep schoolroute in Heuvelland op N65-N336"/>
    <s v="&lt;null&gt;"/>
    <s v="Kleine Ingreep"/>
    <s v="WWV/INV/N336/2"/>
    <b v="0"/>
    <s v="Ingreep wordt niet opgevolgd in BOD"/>
    <s v="&lt;null&gt;"/>
    <s v="&lt;null&gt;"/>
    <s v="&lt;null&gt;"/>
    <s v="&lt;null&gt;"/>
    <n v="100"/>
    <m/>
    <m/>
  </r>
  <r>
    <x v="1014"/>
    <x v="1014"/>
    <s v="Verkeersveiligheid"/>
    <x v="4"/>
    <n v="1170"/>
    <s v="IN/001099"/>
    <s v="Ingreep schoolroute in Menen op Ieperstraat (tussen overweg en Yv. Serruysstraat)"/>
    <s v="&lt;null&gt;"/>
    <s v="Kleine Ingreep"/>
    <s v="WWV/INV/N8/26"/>
    <b v="1"/>
    <s v="Ingreep wordt opgevolgd in BOD"/>
    <n v="2022"/>
    <s v="Q2"/>
    <s v="OVERIGE"/>
    <s v="&lt;null&gt;"/>
    <n v="100"/>
    <n v="40000"/>
    <n v="40000"/>
  </r>
  <r>
    <x v="1015"/>
    <x v="1015"/>
    <s v="Verkeersveiligheid"/>
    <x v="4"/>
    <n v="1171"/>
    <s v="IN/001100"/>
    <s v="Ingreep schoolroute in Menen op Kruispunt met Guido Gezellelaan"/>
    <s v="&lt;null&gt;"/>
    <s v="Kleine Ingreep"/>
    <s v="WWV/INV/N8/33"/>
    <b v="1"/>
    <s v="Ingreep wordt opgevolgd in BOD"/>
    <n v="2022"/>
    <s v="Q2"/>
    <s v="OVERIGE"/>
    <m/>
    <n v="100"/>
    <n v="500"/>
    <n v="500"/>
  </r>
  <r>
    <x v="1016"/>
    <x v="1016"/>
    <s v="Verkeersveiligheid"/>
    <x v="4"/>
    <n v="1172"/>
    <s v="IN/001101"/>
    <s v="Aanleg D9 gemengd fiets- voetpad + beperkte verbreding ervan (PM studiebureau aan te stellen in MC3)"/>
    <s v="&lt;null&gt;"/>
    <s v="Kleine Ingreep"/>
    <s v="WL/INV/N110/1"/>
    <b v="0"/>
    <s v="Ingreep wordt niet opgevolgd in BOD"/>
    <n v="2023"/>
    <s v="&lt;null&gt;"/>
    <s v="OVERIGE"/>
    <s v="&lt;null&gt;"/>
    <n v="100"/>
    <n v="7475"/>
    <n v="7475"/>
  </r>
  <r>
    <x v="1017"/>
    <x v="1017"/>
    <s v="Verkeersveiligheid"/>
    <x v="4"/>
    <n v="1173"/>
    <s v="IN/001102"/>
    <s v="Ingreep schoolroute in Antwerpen op 6. Hendrick Markstraat-Prins Boudewijnlaan-Hindenstraat"/>
    <s v="&lt;null&gt;"/>
    <s v="Kleine Ingreep"/>
    <s v="WA/INV/N173/3"/>
    <b v="0"/>
    <s v="Ingreep wordt niet opgevolgd in BOD"/>
    <s v="&lt;null&gt;"/>
    <s v="&lt;null&gt;"/>
    <s v="&lt;null&gt;"/>
    <s v="&lt;null&gt;"/>
    <n v="100"/>
    <m/>
    <m/>
  </r>
  <r>
    <x v="1018"/>
    <x v="1018"/>
    <s v="Verkeersveiligheid"/>
    <x v="4"/>
    <n v="1174"/>
    <s v="IN/001103"/>
    <s v="Ingreep schoolroute in Antwerpen op 9.  Scholen aan Gewestwegen algemeen"/>
    <s v="&lt;null&gt;"/>
    <s v="Kleine Ingreep"/>
    <s v="&lt;null&gt;"/>
    <b v="0"/>
    <s v="Ingreep wordt niet opgevolgd in BOD"/>
    <s v="&lt;null&gt;"/>
    <s v="&lt;null&gt;"/>
    <s v="OVERIGE"/>
    <s v="&lt;null&gt;"/>
    <n v="100"/>
    <n v="24000"/>
    <n v="24000"/>
  </r>
  <r>
    <x v="1019"/>
    <x v="1019"/>
    <s v="Verkeersveiligheid"/>
    <x v="4"/>
    <n v="1175"/>
    <s v="IN/001104"/>
    <s v="Ingreep schoolroute in Harelbeke op rond punt Schipstraat-A Pevernagestraat-N43"/>
    <s v="rode slem plaatsen op dwarsingen"/>
    <s v="Kleine Ingreep"/>
    <s v="WWV/INV/N43/6"/>
    <b v="1"/>
    <s v="Ingreep wordt opgevolgd in BOD"/>
    <n v="2022"/>
    <s v="Q3"/>
    <s v="OVERIGE"/>
    <s v="&lt;null&gt;"/>
    <n v="100"/>
    <n v="15000"/>
    <n v="15000"/>
  </r>
  <r>
    <x v="1020"/>
    <x v="1020"/>
    <s v="Verkeersveiligheid"/>
    <x v="4"/>
    <n v="1176"/>
    <s v="IN/001105"/>
    <s v="Ingreep schoolroute in Harelbeke op Molenhuys, Overleiestraat 137 -Hoge Brug, Overleiestraat 2"/>
    <s v="&lt;null&gt;"/>
    <s v="Kleine Ingreep"/>
    <s v="WWV/INV/N36/5"/>
    <b v="1"/>
    <s v="Ingreep wordt opgevolgd in BOD"/>
    <n v="2022"/>
    <s v="Q2"/>
    <s v="OVERIGE"/>
    <s v="&lt;null&gt;"/>
    <n v="100"/>
    <n v="150000"/>
    <n v="150000"/>
  </r>
  <r>
    <x v="1021"/>
    <x v="1021"/>
    <s v="Verkeersveiligheid"/>
    <x v="4"/>
    <n v="1177"/>
    <s v="IN/001106"/>
    <s v="Snelheidsverlaging"/>
    <s v="snelheidsregime van 70 verlaagd naar 50"/>
    <s v="Kleine Ingreep"/>
    <s v="&lt;null&gt;"/>
    <b v="0"/>
    <s v="Ingreep wordt niet opgevolgd in BOD"/>
    <n v="2022"/>
    <s v="&lt;null&gt;"/>
    <s v="WEGENIS"/>
    <s v="&lt;null&gt;"/>
    <n v="100"/>
    <n v="2000"/>
    <n v="2000"/>
  </r>
  <r>
    <x v="1022"/>
    <x v="1022"/>
    <s v="Verkeersveiligheid"/>
    <x v="4"/>
    <n v="1178"/>
    <s v="IN/001107"/>
    <s v="verdrijvingsvlak met doorsteek voor voetgangers + FSS"/>
    <s v="&lt;null&gt;"/>
    <s v="Kleine Ingreep"/>
    <s v="WWV/INV/N368/12"/>
    <b v="0"/>
    <s v="Ingreep wordt niet opgevolgd in BOD"/>
    <s v="&lt;null&gt;"/>
    <s v="&lt;null&gt;"/>
    <s v="OVERIGE"/>
    <s v="&lt;null&gt;"/>
    <n v="100"/>
    <n v="15000"/>
    <n v="15000"/>
  </r>
  <r>
    <x v="1023"/>
    <x v="1023"/>
    <s v="Verkeersveiligheid"/>
    <x v="4"/>
    <n v="1179"/>
    <s v="IN/001108"/>
    <s v="Ingreep schoolroute in Wielsbeke op kruispunt N357 ter hoogte van de Abeelestraat"/>
    <s v="&lt;null&gt;"/>
    <s v="Kleine Ingreep"/>
    <s v="WWV/INV/N357/5"/>
    <b v="0"/>
    <s v="Ingreep wordt niet opgevolgd in BOD"/>
    <n v="2022"/>
    <s v="Q3"/>
    <s v="WEGENIS"/>
    <s v="raming nog bij te werken"/>
    <n v="100"/>
    <n v="30000"/>
    <n v="30000"/>
  </r>
  <r>
    <x v="1024"/>
    <x v="1024"/>
    <s v="Verkeersveiligheid"/>
    <x v="4"/>
    <n v="1180"/>
    <s v="IN/001109"/>
    <s v="Ingreep schoolroute in Wielsbeke op kruispunt Wakkensesteenweg met de Roterijstraat"/>
    <s v="&lt;null&gt;"/>
    <s v="Kleine Ingreep"/>
    <s v="&lt;null&gt;"/>
    <b v="0"/>
    <s v="Ingreep wordt niet opgevolgd in BOD"/>
    <n v="2022"/>
    <s v="Q3"/>
    <s v="WEGENIS"/>
    <s v="raming nog bij te werken"/>
    <n v="100"/>
    <n v="30000"/>
    <n v="30000"/>
  </r>
  <r>
    <x v="1025"/>
    <x v="1025"/>
    <s v="Verkeersveiligheid"/>
    <x v="4"/>
    <n v="1181"/>
    <s v="IN/001110"/>
    <s v="Opfrissen markeringen (standaard werking onderhoud)"/>
    <s v="wordt uitgevoerd Q4-2021"/>
    <s v="Kleine Ingreep"/>
    <s v="WWV/INV/N357/6"/>
    <b v="0"/>
    <s v="Ingreep wordt niet opgevolgd in BOD"/>
    <n v="2021"/>
    <s v="Q4"/>
    <s v="OVERIGE"/>
    <s v="&lt;null&gt;"/>
    <n v="100"/>
    <n v="2500"/>
    <n v="2500"/>
  </r>
  <r>
    <x v="1026"/>
    <x v="1026"/>
    <s v="Verkeersveiligheid"/>
    <x v="4"/>
    <n v="1182"/>
    <s v="IN/001111"/>
    <s v="Toeleidende fietspaden naar kruispunt (PM studiebureau aan te stellen via MC3)"/>
    <s v="uitvoering voorstel Sweco"/>
    <s v="Kleine Ingreep"/>
    <s v="WL/INV/N722/4"/>
    <b v="0"/>
    <s v="Ingreep wordt niet opgevolgd in BOD"/>
    <n v="2022"/>
    <s v="&lt;null&gt;"/>
    <s v="OVERIGE"/>
    <s v="&lt;null&gt;"/>
    <n v="100"/>
    <n v="48780"/>
    <n v="48780"/>
  </r>
  <r>
    <x v="1027"/>
    <x v="1027"/>
    <s v="Verkeersveiligheid"/>
    <x v="4"/>
    <n v="1183"/>
    <s v="IN/001112"/>
    <s v="Ingreep schoolroute in Duffel op N108 Oude Liersebaan"/>
    <s v="&lt;null&gt;"/>
    <s v="Kleine Ingreep"/>
    <s v="WA/INV/N108/6"/>
    <b v="0"/>
    <s v="Ingreep wordt niet opgevolgd in BOD"/>
    <s v="&lt;null&gt;"/>
    <s v="&lt;null&gt;"/>
    <s v="&lt;null&gt;"/>
    <s v="&lt;null&gt;"/>
    <n v="100"/>
    <m/>
    <m/>
  </r>
  <r>
    <x v="1028"/>
    <x v="1028"/>
    <s v="Verkeersveiligheid"/>
    <x v="4"/>
    <n v="1184"/>
    <s v="IN/001113"/>
    <s v="Ingreep schoolroute in Duffel op kruispunt Berkhoevelaan (N108) - Hoogstraat"/>
    <s v="&lt;null&gt;"/>
    <s v="Kleine Ingreep"/>
    <s v="WA/INV/N108/7"/>
    <b v="0"/>
    <s v="Ingreep wordt niet opgevolgd in BOD"/>
    <s v="&lt;null&gt;"/>
    <s v="&lt;null&gt;"/>
    <s v="&lt;null&gt;"/>
    <s v="&lt;null&gt;"/>
    <n v="100"/>
    <m/>
    <m/>
  </r>
  <r>
    <x v="1029"/>
    <x v="1029"/>
    <s v="Verkeersveiligheid"/>
    <x v="4"/>
    <n v="1185"/>
    <s v="IN/001114"/>
    <s v="FOP/VOP met middengeleider"/>
    <s v="&lt;null&gt;"/>
    <s v="Kleine Ingreep"/>
    <s v="WL/INV/NX/7"/>
    <b v="0"/>
    <s v="Ingreep wordt niet opgevolgd in BOD"/>
    <s v="&lt;null&gt;"/>
    <s v="&lt;null&gt;"/>
    <s v="OVERIGE"/>
    <s v="&lt;null&gt;"/>
    <n v="100"/>
    <n v="200000"/>
    <n v="200000"/>
  </r>
  <r>
    <x v="1030"/>
    <x v="1030"/>
    <s v="Verkeersveiligheid"/>
    <x v="4"/>
    <n v="1186"/>
    <s v="IN/001115"/>
    <s v="Ingreep schoolroute in Menen op Ieperstraat (Tussen overweg en Yv. Serruysstraat)"/>
    <s v="&lt;null&gt;"/>
    <s v="Kleine Ingreep"/>
    <s v="WWV/INV/N8/27"/>
    <b v="0"/>
    <s v="Ingreep wordt niet opgevolgd in BOD"/>
    <n v="2022"/>
    <s v="Q2"/>
    <s v="OVERIGE"/>
    <s v="&lt;null&gt;"/>
    <n v="100"/>
    <n v="40000"/>
    <n v="40000"/>
  </r>
  <r>
    <x v="1031"/>
    <x v="1031"/>
    <s v="Verkeersveiligheid"/>
    <x v="4"/>
    <n v="1187"/>
    <s v="IN/001116"/>
    <s v="Ingreep schoolroute in Ravels op Kruispunt N12-N118-Gemeentelaan"/>
    <s v="&lt;null&gt;"/>
    <s v="Kleine Ingreep"/>
    <s v="WA/INV/N12/13"/>
    <b v="0"/>
    <s v="Ingreep wordt niet opgevolgd in BOD"/>
    <s v="&lt;null&gt;"/>
    <s v="&lt;null&gt;"/>
    <s v="&lt;null&gt;"/>
    <s v="&lt;null&gt;"/>
    <n v="100"/>
    <m/>
    <m/>
  </r>
  <r>
    <x v="1032"/>
    <x v="1032"/>
    <s v="Verkeersveiligheid"/>
    <x v="4"/>
    <n v="1188"/>
    <s v="IN/001117"/>
    <s v="Ingreep schoolroute in Ravels op Kruispunt Weeldestraat (N12)-Kerkhofstraat"/>
    <s v="Eerst op PCV\n\n- VFOP\n- fietslogoverbindingsmarkering\n- uitbuigen fietspad mogelijk? (OV paal opschuiven)"/>
    <s v="Kleine Ingreep"/>
    <s v="WA/INV/N12/14"/>
    <b v="0"/>
    <s v="Ingreep wordt niet opgevolgd in BOD"/>
    <s v="&lt;null&gt;"/>
    <s v="&lt;null&gt;"/>
    <s v="&lt;null&gt;"/>
    <s v="&lt;null&gt;"/>
    <n v="100"/>
    <m/>
    <m/>
  </r>
  <r>
    <x v="1033"/>
    <x v="1033"/>
    <s v="Verkeersveiligheid"/>
    <x v="4"/>
    <n v="1189"/>
    <s v="IN/001118"/>
    <s v="Ingreep schoolroute in Haacht op Rotonde Stationsstraat/Zoellaan en rotonde Werchtersesteenweg/Kloosterstraat"/>
    <s v="QW1 en QW3 uitvoeren in markering:\nQW1: rand van de rijbaan aangeven met witte randmarkering\nQW3: verwijderen van de VOP-markering t.h.v. de middenberm"/>
    <s v="Kleine Ingreep"/>
    <s v="WVB/INV/N21/12"/>
    <b v="0"/>
    <s v="Ingreep wordt niet opgevolgd in BOD"/>
    <n v="2022"/>
    <s v="Q3"/>
    <s v="OVERIGE"/>
    <s v="niet relance"/>
    <n v="100"/>
    <n v="5880"/>
    <n v="5880"/>
  </r>
  <r>
    <x v="1034"/>
    <x v="1034"/>
    <s v="Verkeersveiligheid"/>
    <x v="4"/>
    <n v="1190"/>
    <s v="IN/001119"/>
    <s v="Trajectcontrole N382 Anzegem"/>
    <s v="TC2021_322"/>
    <s v="Kleine Ingreep"/>
    <s v="&lt;null&gt;"/>
    <b v="0"/>
    <s v="Ingreep wordt niet opgevolgd in BOD"/>
    <n v="2022"/>
    <s v="Q2"/>
    <s v="OVERIGE"/>
    <s v="Trajectcontrole"/>
    <n v="100"/>
    <n v="165000"/>
    <n v="165000"/>
  </r>
  <r>
    <x v="1035"/>
    <x v="1035"/>
    <s v="Verkeersveiligheid"/>
    <x v="4"/>
    <n v="1191"/>
    <s v="IN/001120"/>
    <s v="Ingreep schoolroute in Anzegem op Diverse locaties -zie toelichting en voorstel oplossing."/>
    <s v="&lt;null&gt;"/>
    <s v="Kleine Ingreep"/>
    <s v="WWV/INV/N382/8"/>
    <b v="0"/>
    <s v="Ingreep wordt niet opgevolgd in BOD"/>
    <s v="&lt;null&gt;"/>
    <s v="&lt;null&gt;"/>
    <s v="OVERIGE"/>
    <s v="&lt;null&gt;"/>
    <n v="100"/>
    <n v="50000"/>
    <n v="50000"/>
  </r>
  <r>
    <x v="1036"/>
    <x v="1036"/>
    <s v="Verkeersveiligheid"/>
    <x v="4"/>
    <n v="1192"/>
    <s v="IN/001121"/>
    <s v="Ingreep schoolroute in Anzegem op Diverse locaties -zie toelichting en voorstel oplossing."/>
    <s v="&lt;null&gt;"/>
    <s v="Kleine Ingreep"/>
    <s v="WWV/INV/N382/9"/>
    <b v="1"/>
    <s v="Ingreep wordt opgevolgd in BOD"/>
    <n v="2022"/>
    <s v="Q4"/>
    <s v="OV"/>
    <s v="Voorzien punctuele verlichting"/>
    <n v="100"/>
    <n v="30000"/>
    <n v="30000"/>
  </r>
  <r>
    <x v="1037"/>
    <x v="1037"/>
    <s v="Verkeersveiligheid"/>
    <x v="4"/>
    <n v="1193"/>
    <s v="IN/001122"/>
    <s v="Trajectcontrole N382 Anzegem"/>
    <s v="TC2021_338 in centraal register"/>
    <s v="Kleine Ingreep"/>
    <s v="WWV/INV/N382/10"/>
    <b v="0"/>
    <s v="Ingreep wordt niet opgevolgd in BOD"/>
    <n v="2022"/>
    <s v="Q2"/>
    <s v="OVERIGE"/>
    <s v="Trajectcontrole"/>
    <n v="100"/>
    <n v="165000"/>
    <n v="165000"/>
  </r>
  <r>
    <x v="1038"/>
    <x v="1038"/>
    <s v="Verkeersveiligheid"/>
    <x v="4"/>
    <n v="1194"/>
    <s v="IN/001123"/>
    <s v="Ingreep schoolroute in Anzegem op Diverse locaties -zie toelichting en voorstel oplossing."/>
    <s v="&lt;null&gt;"/>
    <s v="Kleine Ingreep"/>
    <s v="WWV/INV/N36/15"/>
    <b v="1"/>
    <s v="Ingreep wordt opgevolgd in BOD"/>
    <n v="2022"/>
    <s v="Q2"/>
    <s v="OVERIGE"/>
    <s v="&lt;null&gt;"/>
    <n v="100"/>
    <n v="5000"/>
    <n v="5000"/>
  </r>
  <r>
    <x v="1039"/>
    <x v="1039"/>
    <s v="Verkeersveiligheid"/>
    <x v="4"/>
    <n v="1195"/>
    <s v="IN/001124"/>
    <s v="Trajectcontrole schoolroute Anzegem Westdorp 42.7-43.3"/>
    <s v="Nog geen aanvraag van het lokaal bestuur ontvangen voor deze trajectcontrole"/>
    <s v="Kleine Ingreep"/>
    <s v="WWV/INV/N36/6"/>
    <b v="0"/>
    <s v="Ingreep wordt niet opgevolgd in BOD"/>
    <n v="2022"/>
    <s v="&lt;null&gt;"/>
    <s v="OVERIGE"/>
    <s v="Trajectcontrole"/>
    <n v="100"/>
    <n v="165000"/>
    <n v="165000"/>
  </r>
  <r>
    <x v="1040"/>
    <x v="1040"/>
    <s v="Verkeersveiligheid"/>
    <x v="4"/>
    <n v="1196"/>
    <s v="IN/001125"/>
    <s v="Flitspaal schoolroute Anzegem Oostdorp thv 43.6 richting Kaster"/>
    <s v="SNC2021_014 aanvraag was initieel omgevormd naar TC2021_337 maar lokaal bestuur wenst expliciet een flitspaal"/>
    <s v="Kleine Ingreep"/>
    <s v="WWV/INV/N36/7"/>
    <b v="0"/>
    <s v="Ingreep wordt niet opgevolgd in BOD"/>
    <n v="2022"/>
    <s v="Q2"/>
    <s v="OVERIGE"/>
    <s v="flitspaal"/>
    <n v="100"/>
    <n v="80000"/>
    <n v="80000"/>
  </r>
  <r>
    <x v="1041"/>
    <x v="1041"/>
    <s v="Verkeersveiligheid"/>
    <x v="4"/>
    <n v="1197"/>
    <s v="IN/001126"/>
    <s v="Ingreep schoolroute in Anzegem op Diverse locaties -zie toelichting en voorstel oplossing."/>
    <s v="&lt;null&gt;"/>
    <s v="Kleine Ingreep"/>
    <s v="WWV/INV/N494/1"/>
    <b v="1"/>
    <s v="Ingreep wordt opgevolgd in BOD"/>
    <n v="2022"/>
    <s v="Q2"/>
    <s v="OVERIGE"/>
    <s v="&lt;null&gt;"/>
    <n v="100"/>
    <n v="2000"/>
    <n v="2000"/>
  </r>
  <r>
    <x v="1041"/>
    <x v="1041"/>
    <s v="Verkeersveiligheid"/>
    <x v="4"/>
    <n v="1197"/>
    <s v="IN/001126"/>
    <s v="Ingreep schoolroute in Anzegem op Diverse locaties -zie toelichting en voorstel oplossing."/>
    <s v="&lt;null&gt;"/>
    <s v="Kleine Ingreep"/>
    <s v="WWV/INV/N494/1"/>
    <b v="1"/>
    <s v="Ingreep wordt opgevolgd in BOD"/>
    <n v="2022"/>
    <s v="Q4"/>
    <s v="OV"/>
    <s v="Voorzien punctuele verlichting"/>
    <n v="100"/>
    <n v="30000"/>
    <n v="30000"/>
  </r>
  <r>
    <x v="1042"/>
    <x v="1042"/>
    <s v="Verkeersveiligheid"/>
    <x v="4"/>
    <n v="1198"/>
    <s v="IN/001127"/>
    <s v="Ingreep schoolroute in Anzegem op Diverse locaties -zie toelichting en voorstel oplossing."/>
    <s v="&lt;null&gt;"/>
    <s v="Kleine Ingreep"/>
    <s v="WWV/INV/N382/11"/>
    <b v="1"/>
    <s v="Ingreep wordt opgevolgd in BOD"/>
    <n v="2022"/>
    <s v="Q2"/>
    <s v="OVERIGE"/>
    <s v="&lt;null&gt;"/>
    <n v="100"/>
    <n v="5000"/>
    <n v="5000"/>
  </r>
  <r>
    <x v="1043"/>
    <x v="1043"/>
    <s v="Verkeersveiligheid"/>
    <x v="4"/>
    <n v="1199"/>
    <s v="IN/001128"/>
    <s v="Trajectcontrole schoolroute Anzegem Peter Benoitstraat"/>
    <s v="Trajectcontrole\naanvraag voor SNC2021_016 omgevormd naar TC2021_321. zie centraal register"/>
    <s v="Kleine Ingreep"/>
    <s v="WWV/INV/N36/8"/>
    <b v="0"/>
    <s v="Ingreep wordt niet opgevolgd in BOD"/>
    <n v="2022"/>
    <s v="Q2"/>
    <s v="OVERIGE"/>
    <s v="Trajectcontrole"/>
    <n v="100"/>
    <n v="165000"/>
    <n v="165000"/>
  </r>
  <r>
    <x v="1044"/>
    <x v="1044"/>
    <s v="Verkeersveiligheid"/>
    <x v="4"/>
    <n v="1200"/>
    <s v="IN/001129"/>
    <s v="Ingreep schoolroute in Anzegem op Diverse locaties -zie toelichting en voorstel oplossing."/>
    <s v="&lt;null&gt;"/>
    <s v="Kleine Ingreep"/>
    <s v="WWV/INV/N36/9"/>
    <b v="0"/>
    <s v="Ingreep wordt niet opgevolgd in BOD"/>
    <n v="2022"/>
    <s v="Q4"/>
    <s v="OV"/>
    <s v="&lt;null&gt;"/>
    <n v="100"/>
    <n v="30000"/>
    <n v="30000"/>
  </r>
  <r>
    <x v="1045"/>
    <x v="1045"/>
    <s v="Verkeersveiligheid"/>
    <x v="4"/>
    <n v="1201"/>
    <s v="IN/001130"/>
    <s v="Ingreep schoolroute in Anzegem op Diverse locaties -zie toelichting en voorstel oplossing."/>
    <s v="&lt;null&gt;"/>
    <s v="Kleine Ingreep"/>
    <s v="WWV/INV/N36/14"/>
    <b v="1"/>
    <s v="Ingreep wordt opgevolgd in BOD"/>
    <n v="2022"/>
    <s v="Q4"/>
    <s v="OVERIGE"/>
    <s v="&lt;null&gt;"/>
    <n v="100"/>
    <n v="20000"/>
    <n v="20000"/>
  </r>
  <r>
    <x v="1045"/>
    <x v="1045"/>
    <s v="Verkeersveiligheid"/>
    <x v="4"/>
    <n v="1201"/>
    <s v="IN/001130"/>
    <s v="Ingreep schoolroute in Anzegem op Diverse locaties -zie toelichting en voorstel oplossing."/>
    <s v="&lt;null&gt;"/>
    <s v="Kleine Ingreep"/>
    <s v="WWV/INV/N36/14"/>
    <b v="1"/>
    <s v="Ingreep wordt opgevolgd in BOD"/>
    <n v="2022"/>
    <s v="Q4"/>
    <s v="VRI"/>
    <s v="&lt;null&gt;"/>
    <n v="100"/>
    <n v="25000"/>
    <n v="25000"/>
  </r>
  <r>
    <x v="1046"/>
    <x v="1046"/>
    <s v="Verkeersveiligheid"/>
    <x v="4"/>
    <n v="1202"/>
    <s v="IN/001131"/>
    <s v="Ingreep schoolroute in Gingelom op GO! De Groeiboog Borlo, Jeuksestraat 24, 3891 Gingelom"/>
    <s v="- dynamische zone 30 \n\n"/>
    <s v="Kleine Ingreep"/>
    <s v="WL/INV/N755/1"/>
    <b v="0"/>
    <s v="Ingreep wordt niet opgevolgd in BOD"/>
    <s v="&lt;null&gt;"/>
    <s v="&lt;null&gt;"/>
    <s v="OVERIGE"/>
    <s v="&lt;null&gt;"/>
    <n v="100"/>
    <n v="18000"/>
    <n v="18000"/>
  </r>
  <r>
    <x v="1047"/>
    <x v="1047"/>
    <s v="Verkeersveiligheid"/>
    <x v="4"/>
    <n v="1203"/>
    <s v="IN/001132"/>
    <s v="Dynamische zone 30"/>
    <s v="\n"/>
    <s v="Kleine Ingreep"/>
    <s v="WL/INV/N789/1"/>
    <b v="0"/>
    <s v="Ingreep wordt niet opgevolgd in BOD"/>
    <n v="2021"/>
    <s v="Q4"/>
    <s v="OVERIGE"/>
    <s v="&lt;null&gt;"/>
    <n v="100"/>
    <n v="18000"/>
    <n v="18000"/>
  </r>
  <r>
    <x v="1048"/>
    <x v="1048"/>
    <s v="Verkeersveiligheid"/>
    <x v="4"/>
    <n v="1204"/>
    <s v="IN/001133"/>
    <s v="Aanpassen V-plan Koolmijnlaan x Oosthamsesteenweg"/>
    <s v="&lt;null&gt;"/>
    <s v="Kleine Ingreep"/>
    <s v="WL/INV/N719/6"/>
    <b v="0"/>
    <s v="Ingreep wordt niet opgevolgd in BOD"/>
    <s v="&lt;null&gt;"/>
    <s v="&lt;null&gt;"/>
    <s v="OVERIGE"/>
    <s v="&lt;null&gt;"/>
    <n v="100"/>
    <n v="0"/>
    <n v="0"/>
  </r>
  <r>
    <x v="18"/>
    <x v="18"/>
    <s v="&lt;null&gt;"/>
    <x v="3"/>
    <n v="1205"/>
    <s v="IN/001134"/>
    <s v="Ingreep schoolroute in Zonhoven op Kruispunt N74 met de Donkweg"/>
    <s v="Aanpassing VRI"/>
    <s v="Structurele Ingreep"/>
    <s v="&lt;null&gt;"/>
    <b v="0"/>
    <s v="Ingreep wordt niet opgevolgd in BOD"/>
    <s v="&lt;null&gt;"/>
    <s v="&lt;null&gt;"/>
    <s v="OVERIGE"/>
    <s v="&lt;null&gt;"/>
    <m/>
    <n v="0"/>
    <m/>
  </r>
  <r>
    <x v="1049"/>
    <x v="1049"/>
    <s v="Verkeersveiligheid"/>
    <x v="4"/>
    <n v="1206"/>
    <s v="IN/001135"/>
    <s v="Ingreep schoolroute in Zonnebeke op Ieperstraat en Roeselarestraat te Zonnebeke (N332) ter hoogte van het rondpunt"/>
    <s v="&lt;null&gt;"/>
    <s v="Kleine Ingreep"/>
    <s v="WWV/INV/N332/1"/>
    <b v="0"/>
    <s v="Ingreep wordt niet opgevolgd in BOD"/>
    <n v="2022"/>
    <s v="Q3"/>
    <s v="OV"/>
    <s v="2 punctuele verlichtingen"/>
    <n v="100"/>
    <n v="60000"/>
    <n v="60000"/>
  </r>
  <r>
    <x v="1049"/>
    <x v="1049"/>
    <s v="Verkeersveiligheid"/>
    <x v="4"/>
    <n v="1206"/>
    <s v="IN/001135"/>
    <s v="Ingreep schoolroute in Zonnebeke op Ieperstraat en Roeselarestraat te Zonnebeke (N332) ter hoogte van het rondpunt"/>
    <s v="&lt;null&gt;"/>
    <s v="Kleine Ingreep"/>
    <s v="WWV/INV/N332/1"/>
    <b v="0"/>
    <s v="Ingreep wordt niet opgevolgd in BOD"/>
    <n v="2022"/>
    <s v="Q2"/>
    <s v="WEGENIS"/>
    <s v="&lt;null&gt;"/>
    <n v="100"/>
    <n v="80000"/>
    <n v="80000"/>
  </r>
  <r>
    <x v="1050"/>
    <x v="1050"/>
    <s v="Verkeersveiligheid"/>
    <x v="4"/>
    <n v="1207"/>
    <s v="IN/001136"/>
    <s v="Ingreep schoolroute in Zonnebeke op Passendalestraat en Molenstraat te Passendale (N303) ter hoogte van het centrum (bocht)."/>
    <s v="&lt;null&gt;"/>
    <s v="Kleine Ingreep"/>
    <s v="WWV/INV/N303/2"/>
    <b v="0"/>
    <s v="Ingreep wordt niet opgevolgd in BOD"/>
    <n v="2022"/>
    <s v="Q2"/>
    <s v="WEGENIS"/>
    <s v="&lt;null&gt;"/>
    <n v="100"/>
    <n v="200000"/>
    <n v="200000"/>
  </r>
  <r>
    <x v="1050"/>
    <x v="1050"/>
    <s v="Verkeersveiligheid"/>
    <x v="4"/>
    <n v="1207"/>
    <s v="IN/001136"/>
    <s v="Ingreep schoolroute in Zonnebeke op Passendalestraat en Molenstraat te Passendale (N303) ter hoogte van het centrum (bocht)."/>
    <s v="&lt;null&gt;"/>
    <s v="Kleine Ingreep"/>
    <s v="WWV/INV/N303/2"/>
    <b v="0"/>
    <s v="Ingreep wordt niet opgevolgd in BOD"/>
    <n v="2022"/>
    <s v="Q3"/>
    <s v="OV"/>
    <s v="2 punctuele verlichtingen"/>
    <n v="100"/>
    <n v="60000"/>
    <n v="60000"/>
  </r>
  <r>
    <x v="1051"/>
    <x v="1051"/>
    <s v="Verkeersveiligheid"/>
    <x v="4"/>
    <n v="1208"/>
    <s v="IN/001137"/>
    <s v="Ingreep schoolroute in Herzele op Provincieweg Borsbeke (N46)"/>
    <s v="&lt;null&gt;"/>
    <s v="Kleine Ingreep"/>
    <s v="WOV/INV/N46/9"/>
    <b v="0"/>
    <s v="Ingreep wordt niet opgevolgd in BOD"/>
    <s v="&lt;null&gt;"/>
    <s v="&lt;null&gt;"/>
    <s v="&lt;null&gt;"/>
    <s v="&lt;null&gt;"/>
    <n v="100"/>
    <m/>
    <m/>
  </r>
  <r>
    <x v="1052"/>
    <x v="1052"/>
    <s v="Verkeersveiligheid"/>
    <x v="4"/>
    <n v="1209"/>
    <s v="IN/001138"/>
    <s v="Ingreep schoolroute in Hamme op Kruispunt N41 met Broekstraat/Hooirt"/>
    <s v="&lt;null&gt;"/>
    <s v="Kleine Ingreep"/>
    <s v="WOV/INV/N41/3"/>
    <b v="0"/>
    <s v="Ingreep wordt niet opgevolgd in BOD"/>
    <s v="&lt;null&gt;"/>
    <s v="&lt;null&gt;"/>
    <s v="&lt;null&gt;"/>
    <s v="&lt;null&gt;"/>
    <n v="100"/>
    <m/>
    <m/>
  </r>
  <r>
    <x v="1053"/>
    <x v="1053"/>
    <s v="Verkeersveiligheid"/>
    <x v="4"/>
    <n v="1210"/>
    <s v="IN/001139"/>
    <s v="SRK: N415 Oosterzele: duurzame markeringen"/>
    <s v="&lt;null&gt;"/>
    <s v="Kleine Ingreep"/>
    <s v="WOV/INV/N415/6"/>
    <b v="0"/>
    <s v="Ingreep wordt niet opgevolgd in BOD"/>
    <n v="2022"/>
    <s v="Q1"/>
    <s v="WEGENIS"/>
    <s v="&lt;null&gt;"/>
    <n v="100"/>
    <n v="4000"/>
    <n v="4000"/>
  </r>
  <r>
    <x v="1054"/>
    <x v="1054"/>
    <s v="Verkeersveiligheid"/>
    <x v="4"/>
    <n v="1211"/>
    <s v="IN/001140"/>
    <s v="Ingreep schoolroute in Kruibeke op N419 - oversteekplaats ter hoogte  van Kemphoekstraat"/>
    <s v="&lt;null&gt;"/>
    <s v="Kleine Ingreep"/>
    <s v="WOV/INV/N419/3"/>
    <b v="0"/>
    <s v="Ingreep wordt niet opgevolgd in BOD"/>
    <s v="&lt;null&gt;"/>
    <s v="&lt;null&gt;"/>
    <s v="OVERIGE"/>
    <s v="&lt;null&gt;"/>
    <n v="100"/>
    <n v="6500"/>
    <n v="6500"/>
  </r>
  <r>
    <x v="1055"/>
    <x v="1055"/>
    <s v="Verkeersveiligheid"/>
    <x v="4"/>
    <n v="1212"/>
    <s v="IN/001141"/>
    <s v="Horizontale signalisatie in Oosterzele op N465"/>
    <s v="&lt;null&gt;"/>
    <s v="Kleine Ingreep"/>
    <s v="WOV/INV/N465/3"/>
    <b v="0"/>
    <s v="Ingreep wordt niet opgevolgd in BOD"/>
    <s v="&lt;null&gt;"/>
    <s v="&lt;null&gt;"/>
    <s v="OVERIGE"/>
    <s v="&lt;null&gt;"/>
    <n v="100"/>
    <n v="2500"/>
    <n v="2500"/>
  </r>
  <r>
    <x v="1056"/>
    <x v="1056"/>
    <s v="Verkeersveiligheid"/>
    <x v="4"/>
    <n v="1213"/>
    <s v="IN/001142"/>
    <s v="VERWIJDEREN knelpunt onder WOV/INV/N446/1 toegevoegd  Ingreep schoolroute in Waasmunster op N446 - kruispunt Pontravelaan/Kerkstraat"/>
    <s v="&lt;null&gt;"/>
    <s v="Structurele Ingreep"/>
    <s v="&lt;null&gt;"/>
    <b v="0"/>
    <s v="Ingreep wordt niet opgevolgd in BOD"/>
    <s v="&lt;null&gt;"/>
    <s v="&lt;null&gt;"/>
    <s v="OVERIGE"/>
    <s v="&lt;null&gt;"/>
    <n v="100"/>
    <n v="0"/>
    <n v="0"/>
  </r>
  <r>
    <x v="1056"/>
    <x v="1056"/>
    <s v="Verkeersveiligheid"/>
    <x v="4"/>
    <n v="1214"/>
    <s v="IN/001143"/>
    <s v="Ingreep schoolroute in Waasmunster op N446 - kruispunt Hoogstraat"/>
    <s v="&lt;null&gt;"/>
    <s v="Structurele Ingreep"/>
    <s v="WOV/INV/N446/1"/>
    <b v="0"/>
    <s v="Ingreep wordt niet opgevolgd in BOD"/>
    <s v="&lt;null&gt;"/>
    <s v="&lt;null&gt;"/>
    <s v="OVERIGE"/>
    <s v="&lt;null&gt;"/>
    <n v="98"/>
    <n v="0"/>
    <n v="0"/>
  </r>
  <r>
    <x v="1057"/>
    <x v="1057"/>
    <s v="Verkeersveiligheid"/>
    <x v="4"/>
    <n v="1214"/>
    <s v="IN/001143"/>
    <s v="Ingreep schoolroute in Waasmunster op N446 - kruispunt Hoogstraat"/>
    <s v="&lt;null&gt;"/>
    <s v="Structurele Ingreep"/>
    <s v="WOV/INV/N446/1"/>
    <b v="0"/>
    <s v="Ingreep wordt niet opgevolgd in BOD"/>
    <s v="&lt;null&gt;"/>
    <s v="&lt;null&gt;"/>
    <s v="OVERIGE"/>
    <s v="&lt;null&gt;"/>
    <n v="2"/>
    <n v="0"/>
    <n v="0"/>
  </r>
  <r>
    <x v="1058"/>
    <x v="1058"/>
    <s v="Verkeersveiligheid"/>
    <x v="4"/>
    <n v="1215"/>
    <s v="IN/001144"/>
    <s v="Ingreep schoolroute in Brakel op Kruispunt N415-Lepelstraat/Pottenberg"/>
    <s v="&lt;null&gt;"/>
    <s v="Kleine Ingreep"/>
    <s v="&lt;null&gt;"/>
    <b v="0"/>
    <s v="Ingreep wordt niet opgevolgd in BOD"/>
    <s v="&lt;null&gt;"/>
    <s v="&lt;null&gt;"/>
    <s v="OVERIGE"/>
    <s v="&lt;null&gt;"/>
    <n v="100"/>
    <n v="0"/>
    <n v="0"/>
  </r>
  <r>
    <x v="1059"/>
    <x v="1059"/>
    <s v="Verkeersveiligheid"/>
    <x v="4"/>
    <n v="1216"/>
    <s v="IN/001145"/>
    <s v="Ingreep schoolroute in Brakel op Kruispunt N8-Meerbeekstraat/Haeyershoek"/>
    <s v="&lt;null&gt;"/>
    <s v="Kleine Ingreep"/>
    <s v="&lt;null&gt;"/>
    <b v="0"/>
    <s v="Ingreep wordt niet opgevolgd in BOD"/>
    <s v="&lt;null&gt;"/>
    <s v="&lt;null&gt;"/>
    <s v="&lt;null&gt;"/>
    <s v="&lt;null&gt;"/>
    <n v="100"/>
    <m/>
    <m/>
  </r>
  <r>
    <x v="1060"/>
    <x v="1060"/>
    <s v="Verkeersveiligheid"/>
    <x v="4"/>
    <n v="1217"/>
    <s v="IN/001146"/>
    <s v="Horizontale signalisatie in Maldegem op Wijkschool Strobrugge toegang situeert zich in de Aardenburgkalseide tussen huisnummer 369 en 371"/>
    <s v="&lt;null&gt;"/>
    <s v="Kleine Ingreep"/>
    <s v="WOV/INV/N410/1"/>
    <b v="0"/>
    <s v="Ingreep wordt niet opgevolgd in BOD"/>
    <s v="&lt;null&gt;"/>
    <s v="&lt;null&gt;"/>
    <s v="OVERIGE"/>
    <s v="&lt;null&gt;"/>
    <n v="100"/>
    <n v="9000"/>
    <n v="9000"/>
  </r>
  <r>
    <x v="1061"/>
    <x v="1061"/>
    <s v="Verkeersveiligheid"/>
    <x v="4"/>
    <n v="1218"/>
    <s v="IN/001147"/>
    <s v="Ingreep schoolroute in Evergem op Gewestweg N458 Noordlaan westzijde tussen kruispunt Kloosterstraat en kruispunt Hoogstraat (kmp10.47-10.52)"/>
    <s v="&lt;null&gt;"/>
    <s v="Kleine Ingreep"/>
    <s v="WOV/INV/N458/5"/>
    <b v="0"/>
    <s v="Ingreep wordt niet opgevolgd in BOD"/>
    <s v="&lt;null&gt;"/>
    <s v="&lt;null&gt;"/>
    <s v="&lt;null&gt;"/>
    <s v="&lt;null&gt;"/>
    <n v="100"/>
    <m/>
    <m/>
  </r>
  <r>
    <x v="1062"/>
    <x v="1062"/>
    <s v="Verkeersveiligheid"/>
    <x v="4"/>
    <n v="1219"/>
    <s v="IN/001148"/>
    <s v="N436 Zelzate-Assenede milderende maatregelen"/>
    <s v="Milderende maatregelen i.k.v. Project E34 Stoepestraat met inbegrip van structureel onderhoud van rijweg en fietspaden langsheen de N436 Assenedesteenweg-Zelzatestraat te Zelzate en Assenede"/>
    <s v="Structurele Ingreep"/>
    <s v="WOV/INV/N436/1"/>
    <b v="0"/>
    <s v="Ingreep wordt niet opgevolgd in BOD"/>
    <s v="&lt;null&gt;"/>
    <s v="&lt;null&gt;"/>
    <s v="OVERIGE"/>
    <s v="&lt;null&gt;"/>
    <n v="25"/>
    <n v="0"/>
    <n v="0"/>
  </r>
  <r>
    <x v="1063"/>
    <x v="1063"/>
    <s v="Verkeersveiligheid"/>
    <x v="4"/>
    <n v="1219"/>
    <s v="IN/001148"/>
    <s v="N436 Zelzate-Assenede milderende maatregelen"/>
    <s v="Milderende maatregelen i.k.v. Project E34 Stoepestraat met inbegrip van structureel onderhoud van rijweg en fietspaden langsheen de N436 Assenedesteenweg-Zelzatestraat te Zelzate en Assenede"/>
    <s v="Structurele Ingreep"/>
    <s v="WOV/INV/N436/1"/>
    <b v="0"/>
    <s v="Ingreep wordt niet opgevolgd in BOD"/>
    <s v="&lt;null&gt;"/>
    <s v="&lt;null&gt;"/>
    <s v="OVERIGE"/>
    <s v="&lt;null&gt;"/>
    <n v="25"/>
    <n v="0"/>
    <n v="0"/>
  </r>
  <r>
    <x v="1063"/>
    <x v="1063"/>
    <s v="Verkeersveiligheid"/>
    <x v="4"/>
    <n v="1220"/>
    <s v="IN/001149"/>
    <s v="Ingreep schoolroute in Zelzate op N436 Assenedesteenweg en kruispunt met de R4"/>
    <s v="&lt;null&gt;"/>
    <s v="Structurele Ingreep"/>
    <s v="&lt;null&gt;"/>
    <b v="0"/>
    <s v="Ingreep wordt niet opgevolgd in BOD"/>
    <s v="&lt;null&gt;"/>
    <s v="&lt;null&gt;"/>
    <s v="OVERIGE"/>
    <s v="&lt;null&gt;"/>
    <n v="100"/>
    <n v="0"/>
    <n v="0"/>
  </r>
  <r>
    <x v="1064"/>
    <x v="1064"/>
    <s v="Verkeersveiligheid"/>
    <x v="4"/>
    <n v="1221"/>
    <s v="IN/001150"/>
    <s v="PPS R4WO Ingreep schoolroute in Zelzate op R4 t.h.v. het kruispunt Koning Albertlaan - Emiel Caluslaan"/>
    <s v="&lt;null&gt;"/>
    <s v="Structurele Ingreep"/>
    <s v="&lt;null&gt;"/>
    <b v="0"/>
    <s v="Ingreep wordt niet opgevolgd in BOD"/>
    <s v="&lt;null&gt;"/>
    <s v="&lt;null&gt;"/>
    <s v="OVERIGE"/>
    <s v="&lt;null&gt;"/>
    <n v="100"/>
    <n v="0"/>
    <n v="0"/>
  </r>
  <r>
    <x v="1065"/>
    <x v="1065"/>
    <s v="Verkeersveiligheid"/>
    <x v="4"/>
    <n v="1222"/>
    <s v="IN/001151"/>
    <s v="Ingreep schoolroute in Zelzate op R4 kruispunt t.h.v. Zelzatebrug"/>
    <s v="&lt;null&gt;"/>
    <s v="Kleine Ingreep"/>
    <s v="WOV/INV/R4/6"/>
    <b v="0"/>
    <s v="Ingreep wordt niet opgevolgd in BOD"/>
    <n v="2022"/>
    <s v="Q3"/>
    <s v="WEGENIS"/>
    <s v="&lt;null&gt;"/>
    <n v="100"/>
    <n v="6000"/>
    <n v="6000"/>
  </r>
  <r>
    <x v="1066"/>
    <x v="1066"/>
    <s v="Verkeersveiligheid"/>
    <x v="4"/>
    <n v="1223"/>
    <s v="IN/001152"/>
    <s v="SRK: R4 Zelzate: duurzame markeringen, t.h.v. de kruispunten Oostkade, Kerkstraat en Grote Markt"/>
    <s v="&lt;null&gt;"/>
    <s v="Kleine Ingreep"/>
    <s v="WOV/INV/R4/5"/>
    <b v="1"/>
    <s v="Ingreep wordt opgevolgd in BOD"/>
    <n v="2022"/>
    <s v="Q2"/>
    <s v="WEGENIS"/>
    <s v="Kerkstraat"/>
    <n v="33.33"/>
    <n v="6100"/>
    <n v="2033.13"/>
  </r>
  <r>
    <x v="1066"/>
    <x v="1066"/>
    <s v="Verkeersveiligheid"/>
    <x v="4"/>
    <n v="1223"/>
    <s v="IN/001152"/>
    <s v="SRK: R4 Zelzate: duurzame markeringen, t.h.v. de kruispunten Oostkade, Kerkstraat en Grote Markt"/>
    <s v="&lt;null&gt;"/>
    <s v="Kleine Ingreep"/>
    <s v="WOV/INV/R4/5"/>
    <b v="1"/>
    <s v="Ingreep wordt opgevolgd in BOD"/>
    <n v="2022"/>
    <s v="Q2"/>
    <s v="WEGENIS"/>
    <s v="Grote Markt"/>
    <n v="33.33"/>
    <n v="6100"/>
    <n v="2033.13"/>
  </r>
  <r>
    <x v="1066"/>
    <x v="1066"/>
    <s v="Verkeersveiligheid"/>
    <x v="4"/>
    <n v="1223"/>
    <s v="IN/001152"/>
    <s v="SRK: R4 Zelzate: duurzame markeringen, t.h.v. de kruispunten Oostkade, Kerkstraat en Grote Markt"/>
    <s v="&lt;null&gt;"/>
    <s v="Kleine Ingreep"/>
    <s v="WOV/INV/R4/5"/>
    <b v="1"/>
    <s v="Ingreep wordt opgevolgd in BOD"/>
    <n v="2022"/>
    <s v="Q2"/>
    <s v="WEGENIS"/>
    <s v="Oostkade"/>
    <n v="33.33"/>
    <n v="6100"/>
    <n v="2033.13"/>
  </r>
  <r>
    <x v="1067"/>
    <x v="1067"/>
    <s v="Verkeersveiligheid"/>
    <x v="4"/>
    <n v="1223"/>
    <s v="IN/001152"/>
    <s v="SRK: R4 Zelzate: duurzame markeringen, t.h.v. de kruispunten Oostkade, Kerkstraat en Grote Markt"/>
    <s v="&lt;null&gt;"/>
    <s v="Kleine Ingreep"/>
    <s v="WOV/INV/R4/5"/>
    <b v="1"/>
    <s v="Ingreep wordt opgevolgd in BOD"/>
    <n v="2022"/>
    <s v="Q2"/>
    <s v="WEGENIS"/>
    <s v="Kerkstraat"/>
    <n v="33.33"/>
    <n v="6100"/>
    <n v="2033.13"/>
  </r>
  <r>
    <x v="1067"/>
    <x v="1067"/>
    <s v="Verkeersveiligheid"/>
    <x v="4"/>
    <n v="1223"/>
    <s v="IN/001152"/>
    <s v="SRK: R4 Zelzate: duurzame markeringen, t.h.v. de kruispunten Oostkade, Kerkstraat en Grote Markt"/>
    <s v="&lt;null&gt;"/>
    <s v="Kleine Ingreep"/>
    <s v="WOV/INV/R4/5"/>
    <b v="1"/>
    <s v="Ingreep wordt opgevolgd in BOD"/>
    <n v="2022"/>
    <s v="Q2"/>
    <s v="WEGENIS"/>
    <s v="Oostkade"/>
    <n v="33.33"/>
    <n v="6100"/>
    <n v="2033.13"/>
  </r>
  <r>
    <x v="1067"/>
    <x v="1067"/>
    <s v="Verkeersveiligheid"/>
    <x v="4"/>
    <n v="1223"/>
    <s v="IN/001152"/>
    <s v="SRK: R4 Zelzate: duurzame markeringen, t.h.v. de kruispunten Oostkade, Kerkstraat en Grote Markt"/>
    <s v="&lt;null&gt;"/>
    <s v="Kleine Ingreep"/>
    <s v="WOV/INV/R4/5"/>
    <b v="1"/>
    <s v="Ingreep wordt opgevolgd in BOD"/>
    <n v="2022"/>
    <s v="Q2"/>
    <s v="WEGENIS"/>
    <s v="Grote Markt"/>
    <n v="33.33"/>
    <n v="6100"/>
    <n v="2033.13"/>
  </r>
  <r>
    <x v="1068"/>
    <x v="1068"/>
    <s v="Verkeersveiligheid"/>
    <x v="4"/>
    <n v="1223"/>
    <s v="IN/001152"/>
    <s v="SRK: R4 Zelzate: duurzame markeringen, t.h.v. de kruispunten Oostkade, Kerkstraat en Grote Markt"/>
    <s v="&lt;null&gt;"/>
    <s v="Kleine Ingreep"/>
    <s v="WOV/INV/R4/5"/>
    <b v="1"/>
    <s v="Ingreep wordt opgevolgd in BOD"/>
    <n v="2022"/>
    <s v="Q2"/>
    <s v="WEGENIS"/>
    <s v="Grote Markt"/>
    <n v="33.340000000000003"/>
    <n v="6100"/>
    <n v="2033.74"/>
  </r>
  <r>
    <x v="1068"/>
    <x v="1068"/>
    <s v="Verkeersveiligheid"/>
    <x v="4"/>
    <n v="1223"/>
    <s v="IN/001152"/>
    <s v="SRK: R4 Zelzate: duurzame markeringen, t.h.v. de kruispunten Oostkade, Kerkstraat en Grote Markt"/>
    <s v="&lt;null&gt;"/>
    <s v="Kleine Ingreep"/>
    <s v="WOV/INV/R4/5"/>
    <b v="1"/>
    <s v="Ingreep wordt opgevolgd in BOD"/>
    <n v="2022"/>
    <s v="Q2"/>
    <s v="WEGENIS"/>
    <s v="Kerkstraat"/>
    <n v="33.340000000000003"/>
    <n v="6100"/>
    <n v="2033.74"/>
  </r>
  <r>
    <x v="1068"/>
    <x v="1068"/>
    <s v="Verkeersveiligheid"/>
    <x v="4"/>
    <n v="1223"/>
    <s v="IN/001152"/>
    <s v="SRK: R4 Zelzate: duurzame markeringen, t.h.v. de kruispunten Oostkade, Kerkstraat en Grote Markt"/>
    <s v="&lt;null&gt;"/>
    <s v="Kleine Ingreep"/>
    <s v="WOV/INV/R4/5"/>
    <b v="1"/>
    <s v="Ingreep wordt opgevolgd in BOD"/>
    <n v="2022"/>
    <s v="Q2"/>
    <s v="WEGENIS"/>
    <s v="Oostkade"/>
    <n v="33.340000000000003"/>
    <n v="6100"/>
    <n v="2033.74"/>
  </r>
  <r>
    <x v="18"/>
    <x v="18"/>
    <s v="&lt;null&gt;"/>
    <x v="3"/>
    <n v="1224"/>
    <s v="IN/001153"/>
    <s v="Ingreep schoolroute in Zelzate op R4 t.h.v. de kruispunten Grote Markt"/>
    <m/>
    <s v="Kleine Ingreep"/>
    <s v="&lt;null&gt;"/>
    <b v="0"/>
    <s v="Ingreep wordt niet opgevolgd in BOD"/>
    <n v="2022"/>
    <s v="&lt;null&gt;"/>
    <s v="OVERIGE"/>
    <s v="&lt;null&gt;"/>
    <m/>
    <n v="6100"/>
    <m/>
  </r>
  <r>
    <x v="18"/>
    <x v="18"/>
    <s v="&lt;null&gt;"/>
    <x v="3"/>
    <n v="1225"/>
    <s v="IN/001154"/>
    <s v="Ingreep schoolroute in Zelzate op R4 t.h.v. de kruispunten Kerkstraat"/>
    <s v="&lt;null&gt;"/>
    <s v="Kleine Ingreep"/>
    <s v="&lt;null&gt;"/>
    <b v="0"/>
    <s v="Ingreep wordt niet opgevolgd in BOD"/>
    <n v="2022"/>
    <s v="Q2"/>
    <s v="WEGENIS"/>
    <m/>
    <m/>
    <n v="6100"/>
    <m/>
  </r>
  <r>
    <x v="1069"/>
    <x v="1069"/>
    <s v="Verkeersveiligheid"/>
    <x v="4"/>
    <n v="1226"/>
    <s v="IN/001155"/>
    <s v="PPS R4WO  Ingreep schoolroute in Zelzate op kruispunt R4 - Leegstraat"/>
    <s v="&lt;null&gt;"/>
    <s v="Structurele Ingreep"/>
    <s v="&lt;null&gt;"/>
    <b v="0"/>
    <s v="Ingreep wordt niet opgevolgd in BOD"/>
    <s v="&lt;null&gt;"/>
    <s v="&lt;null&gt;"/>
    <s v="OVERIGE"/>
    <s v="&lt;null&gt;"/>
    <n v="100"/>
    <n v="0"/>
    <n v="0"/>
  </r>
  <r>
    <x v="1070"/>
    <x v="1070"/>
    <s v="Verkeersveiligheid"/>
    <x v="4"/>
    <n v="1227"/>
    <s v="IN/001156"/>
    <s v="Ingreep schoolroute in Dendermonde op Het fietspad op de Baasrodestraat stopt ter hoogte van de Rosstraat."/>
    <s v="&lt;null&gt;"/>
    <s v="Kleine Ingreep"/>
    <s v="WOV/INV/N17/4"/>
    <b v="0"/>
    <s v="Ingreep wordt niet opgevolgd in BOD"/>
    <s v="&lt;null&gt;"/>
    <s v="&lt;null&gt;"/>
    <s v="&lt;null&gt;"/>
    <s v="&lt;null&gt;"/>
    <n v="100"/>
    <m/>
    <m/>
  </r>
  <r>
    <x v="18"/>
    <x v="18"/>
    <s v="&lt;null&gt;"/>
    <x v="3"/>
    <n v="1228"/>
    <s v="IN/001157"/>
    <s v="Ingreep schoolroute in Dendermonde op Kruispunt Grootzand – Martelarenlaan – Zeelsebaan"/>
    <s v="&lt;null&gt;"/>
    <s v="Kleine Ingreep"/>
    <s v="&lt;null&gt;"/>
    <b v="0"/>
    <s v="Ingreep wordt niet opgevolgd in BOD"/>
    <s v="&lt;null&gt;"/>
    <s v="&lt;null&gt;"/>
    <s v="OVERIGE"/>
    <s v="&lt;null&gt;"/>
    <m/>
    <n v="0"/>
    <m/>
  </r>
  <r>
    <x v="1071"/>
    <x v="1071"/>
    <s v="Verkeersveiligheid"/>
    <x v="4"/>
    <n v="1229"/>
    <s v="IN/001158"/>
    <s v="Ingreep schoolroute in Ronse op 1 SM Glorieuxlaan&amp;Bruul"/>
    <s v="&lt;null&gt;"/>
    <s v="Kleine Ingreep"/>
    <s v="WOV/INV/N48/2"/>
    <b v="0"/>
    <s v="Ingreep wordt niet opgevolgd in BOD"/>
    <n v="2022"/>
    <s v="Q2"/>
    <s v="OVERIGE"/>
    <s v="&lt;null&gt;"/>
    <n v="100"/>
    <n v="40000"/>
    <n v="40000"/>
  </r>
  <r>
    <x v="1072"/>
    <x v="1072"/>
    <s v="Verkeersveiligheid"/>
    <x v="4"/>
    <n v="1230"/>
    <s v="IN/001159"/>
    <s v="Ingreep schoolroute in Ronse op 2 Kruisstraat"/>
    <s v="&lt;null&gt;"/>
    <s v="Kleine Ingreep"/>
    <s v="WOV/INV/N60B/1"/>
    <b v="0"/>
    <s v="Ingreep wordt niet opgevolgd in BOD"/>
    <n v="2022"/>
    <s v="&lt;null&gt;"/>
    <s v="OVERIGE"/>
    <s v="&lt;null&gt;"/>
    <n v="100"/>
    <n v="40000"/>
    <n v="40000"/>
  </r>
  <r>
    <x v="1073"/>
    <x v="1073"/>
    <s v="Verkeersveiligheid"/>
    <x v="4"/>
    <n v="1231"/>
    <s v="IN/001160"/>
    <s v="SRK: N36 Ronse: plaatsen van punctuele verlichting"/>
    <s v="Plaatsen van punctuele verlichting op 3 Zonnestraat"/>
    <s v="Kleine Ingreep"/>
    <s v="WOV/INV/N36/1"/>
    <b v="0"/>
    <s v="Ingreep wordt niet opgevolgd in BOD"/>
    <n v="2022"/>
    <s v="Q3"/>
    <s v="OVERIGE"/>
    <s v="&lt;null&gt;"/>
    <n v="100"/>
    <n v="40000"/>
    <n v="40000"/>
  </r>
  <r>
    <x v="1074"/>
    <x v="1074"/>
    <s v="Verkeersveiligheid"/>
    <x v="4"/>
    <n v="1232"/>
    <s v="IN/001161"/>
    <s v="SRK: N57 Ronse: plaatsen van punctuele verlichting"/>
    <s v="Plaatsen van punctuele verlichting op Elzeelsesteenweg"/>
    <s v="Kleine Ingreep"/>
    <s v="WOV/INV/N57/2"/>
    <b v="0"/>
    <s v="Ingreep wordt niet opgevolgd in BOD"/>
    <n v="2022"/>
    <s v="Q3"/>
    <s v="OVERIGE"/>
    <s v="&lt;null&gt;"/>
    <n v="100"/>
    <n v="40000"/>
    <n v="40000"/>
  </r>
  <r>
    <x v="1075"/>
    <x v="1075"/>
    <s v="Verkeersveiligheid"/>
    <x v="4"/>
    <n v="1233"/>
    <s v="IN/001162"/>
    <s v="SRK: N48 Ronse: plaatsen punctuele verlichting"/>
    <s v="Plaatsen van punctuele verlichting in Ninovestraat"/>
    <s v="Kleine Ingreep"/>
    <s v="WOV/INV/N48/3"/>
    <b v="0"/>
    <s v="Ingreep wordt niet opgevolgd in BOD"/>
    <n v="2022"/>
    <s v="Q3"/>
    <s v="OVERIGE"/>
    <s v="&lt;null&gt;"/>
    <n v="100"/>
    <n v="20000"/>
    <n v="20000"/>
  </r>
  <r>
    <x v="1076"/>
    <x v="1076"/>
    <s v="Verkeersveiligheid"/>
    <x v="4"/>
    <n v="1234"/>
    <s v="IN/001163"/>
    <s v="Horizontale signalisatie in Assenede op Schoolstraat 1"/>
    <s v="&lt;null&gt;"/>
    <s v="Kleine Ingreep"/>
    <s v="WOV/INV/N436/2"/>
    <b v="0"/>
    <s v="Ingreep wordt niet opgevolgd in BOD"/>
    <s v="&lt;null&gt;"/>
    <s v="&lt;null&gt;"/>
    <s v="OVERIGE"/>
    <s v="&lt;null&gt;"/>
    <n v="100"/>
    <n v="1500"/>
    <n v="1500"/>
  </r>
  <r>
    <x v="1077"/>
    <x v="1077"/>
    <s v="Verkeersveiligheid"/>
    <x v="4"/>
    <n v="1235"/>
    <s v="IN/001164"/>
    <s v="Horizontale signalisatie in Assenede op Leegstraat 17B"/>
    <s v="&lt;null&gt;"/>
    <s v="Kleine Ingreep"/>
    <s v="WOV/INV/N436/3"/>
    <b v="0"/>
    <s v="Ingreep wordt niet opgevolgd in BOD"/>
    <s v="&lt;null&gt;"/>
    <s v="&lt;null&gt;"/>
    <s v="OVERIGE"/>
    <s v="&lt;null&gt;"/>
    <n v="100"/>
    <n v="1500"/>
    <n v="1500"/>
  </r>
  <r>
    <x v="1078"/>
    <x v="1078"/>
    <s v="Verkeersveiligheid"/>
    <x v="4"/>
    <n v="1236"/>
    <s v="IN/001165"/>
    <s v="Horizontale signalisatie in Assenede op Weststraat 7"/>
    <s v="&lt;null&gt;"/>
    <s v="Kleine Ingreep"/>
    <s v="WOV/INV/N458/6"/>
    <b v="0"/>
    <s v="Ingreep wordt niet opgevolgd in BOD"/>
    <s v="&lt;null&gt;"/>
    <s v="&lt;null&gt;"/>
    <s v="OVERIGE"/>
    <s v="&lt;null&gt;"/>
    <n v="100"/>
    <n v="1500"/>
    <n v="1500"/>
  </r>
  <r>
    <x v="1079"/>
    <x v="1079"/>
    <s v="Verkeersveiligheid"/>
    <x v="4"/>
    <n v="1237"/>
    <s v="IN/001166"/>
    <s v="Horizontale signalisatie in Assenede op Oosteeklo-Dorp 58A"/>
    <s v="&lt;null&gt;"/>
    <s v="Kleine Ingreep"/>
    <s v="WOV/INV/N448/4"/>
    <b v="0"/>
    <s v="Ingreep wordt niet opgevolgd in BOD"/>
    <s v="&lt;null&gt;"/>
    <s v="&lt;null&gt;"/>
    <s v="OVERIGE"/>
    <s v="&lt;null&gt;"/>
    <n v="100"/>
    <n v="1500"/>
    <n v="1500"/>
  </r>
  <r>
    <x v="1080"/>
    <x v="1080"/>
    <s v="Verkeersveiligheid"/>
    <x v="4"/>
    <n v="1238"/>
    <s v="IN/001167"/>
    <s v="Horizontale signalisatie in Assenede op Ertveldesteenweg 22"/>
    <s v="&lt;null&gt;"/>
    <s v="Kleine Ingreep"/>
    <s v="WOV/INV/N448/5"/>
    <b v="0"/>
    <s v="Ingreep wordt niet opgevolgd in BOD"/>
    <s v="&lt;null&gt;"/>
    <s v="&lt;null&gt;"/>
    <s v="OVERIGE"/>
    <s v="&lt;null&gt;"/>
    <n v="100"/>
    <n v="1500"/>
    <n v="1500"/>
  </r>
  <r>
    <x v="1081"/>
    <x v="1081"/>
    <s v="Verkeersveiligheid"/>
    <x v="4"/>
    <n v="1239"/>
    <s v="IN/001168"/>
    <s v="Ingreep schoolroute in Assenede op Kruispunt Diederikstraat (N436) - Kriekerijstraat en Elsburgstraat"/>
    <s v="&lt;null&gt;"/>
    <s v="Kleine Ingreep"/>
    <s v="&lt;null&gt;"/>
    <b v="0"/>
    <s v="Ingreep wordt niet opgevolgd in BOD"/>
    <s v="&lt;null&gt;"/>
    <s v="&lt;null&gt;"/>
    <s v="&lt;null&gt;"/>
    <s v="&lt;null&gt;"/>
    <n v="100"/>
    <m/>
    <m/>
  </r>
  <r>
    <x v="1082"/>
    <x v="1082"/>
    <s v="Verkeersveiligheid"/>
    <x v="4"/>
    <n v="1240"/>
    <s v="IN/001169"/>
    <s v="Ingreep schoolroute in Wachtebeke op fietspad doorheen Kloosterbos naar Zelzate"/>
    <s v="&lt;null&gt;"/>
    <s v="Structurele Ingreep"/>
    <s v="WOV/INV/N449/2"/>
    <b v="0"/>
    <s v="Ingreep wordt niet opgevolgd in BOD"/>
    <s v="&lt;null&gt;"/>
    <s v="&lt;null&gt;"/>
    <s v="OVERIGE"/>
    <s v="&lt;null&gt;"/>
    <n v="100"/>
    <n v="0"/>
    <n v="0"/>
  </r>
  <r>
    <x v="1083"/>
    <x v="1083"/>
    <s v="Verkeersveiligheid"/>
    <x v="4"/>
    <n v="1241"/>
    <s v="IN/001170"/>
    <s v="Ingreep schoolroute in Wachtebeke op diverse oversteekplaatsen (Melkerijstraat)"/>
    <s v="&lt;null&gt;"/>
    <s v="Kleine Ingreep"/>
    <s v="WOV/INV/N449/4"/>
    <b v="0"/>
    <s v="Ingreep wordt niet opgevolgd in BOD"/>
    <n v="2023"/>
    <s v="Q3"/>
    <s v="OVERIGE"/>
    <s v="&lt;null&gt;"/>
    <n v="100"/>
    <n v="400000"/>
    <n v="400000"/>
  </r>
  <r>
    <x v="1084"/>
    <x v="1084"/>
    <s v="Verkeersveiligheid"/>
    <x v="4"/>
    <n v="1242"/>
    <s v="IN/001171"/>
    <s v="Ingreep schoolroute in Wachtebeke op diverse oversteekplaatsen (Groenstraat)"/>
    <s v="&lt;null&gt;"/>
    <s v="Kleine Ingreep"/>
    <s v="WOV/INV/N449/5"/>
    <b v="0"/>
    <s v="Ingreep wordt niet opgevolgd in BOD"/>
    <n v="2023"/>
    <s v="Q3"/>
    <s v="OVERIGE"/>
    <s v="&lt;null&gt;"/>
    <n v="100"/>
    <n v="40000"/>
    <n v="40000"/>
  </r>
  <r>
    <x v="1085"/>
    <x v="1085"/>
    <s v="Verkeersveiligheid"/>
    <x v="4"/>
    <n v="1243"/>
    <s v="IN/001172"/>
    <s v="Ingreep schoolroute in Wachtebeke op Rechtstro: overgang fietspaden naar fietssuggestiestroken"/>
    <s v="&lt;null&gt;"/>
    <s v="Kleine Ingreep"/>
    <s v="WOV/INV/N449/6"/>
    <b v="0"/>
    <s v="Ingreep wordt niet opgevolgd in BOD"/>
    <s v="&lt;null&gt;"/>
    <s v="&lt;null&gt;"/>
    <s v="OVERIGE"/>
    <s v="&lt;null&gt;"/>
    <n v="100"/>
    <n v="4000"/>
    <n v="4000"/>
  </r>
  <r>
    <x v="1086"/>
    <x v="1086"/>
    <s v="Verkeersveiligheid"/>
    <x v="4"/>
    <n v="1244"/>
    <s v="IN/001173"/>
    <s v="Ingreep schoolroute in Wachtebeke op Dorpskern Wachtebeke"/>
    <s v="&lt;null&gt;"/>
    <s v="Structurele Ingreep"/>
    <s v="WOV/INV/N449/1"/>
    <b v="0"/>
    <s v="Ingreep wordt niet opgevolgd in BOD"/>
    <n v="2022"/>
    <s v="&lt;null&gt;"/>
    <s v="WEGENIS"/>
    <s v="&lt;null&gt;"/>
    <n v="100"/>
    <n v="0"/>
    <n v="0"/>
  </r>
  <r>
    <x v="1087"/>
    <x v="1087"/>
    <s v="Verkeersveiligheid"/>
    <x v="4"/>
    <n v="1245"/>
    <s v="IN/001174"/>
    <s v="Horizontale signalisatie in Wachtebeke op Overledebrug"/>
    <s v="&lt;null&gt;"/>
    <s v="Kleine Ingreep"/>
    <s v="WOV/INV/N449/7"/>
    <b v="0"/>
    <s v="Ingreep wordt niet opgevolgd in BOD"/>
    <s v="&lt;null&gt;"/>
    <s v="&lt;null&gt;"/>
    <s v="OVERIGE"/>
    <s v="&lt;null&gt;"/>
    <n v="100"/>
    <n v="3000"/>
    <n v="3000"/>
  </r>
  <r>
    <x v="1088"/>
    <x v="1088"/>
    <s v="Verkeersveiligheid"/>
    <x v="4"/>
    <n v="1246"/>
    <s v="IN/001175"/>
    <s v="Ingreep schoolroute in Wachtebeke op Walderdonkbrug"/>
    <s v="&lt;null&gt;"/>
    <s v="Kleine Ingreep"/>
    <s v="&lt;null&gt;"/>
    <b v="0"/>
    <s v="Ingreep wordt niet opgevolgd in BOD"/>
    <s v="&lt;null&gt;"/>
    <s v="&lt;null&gt;"/>
    <s v="OVERIGE"/>
    <s v="&lt;null&gt;"/>
    <n v="100"/>
    <n v="4000"/>
    <n v="4000"/>
  </r>
  <r>
    <x v="1089"/>
    <x v="1089"/>
    <s v="Verkeersveiligheid"/>
    <x v="4"/>
    <n v="1247"/>
    <s v="IN/001176"/>
    <s v="Ingreep schoolroute in Wortegem-Petegem op Anzegemseweg – Wortegemplein."/>
    <s v="&lt;null&gt;"/>
    <s v="Kleine Ingreep"/>
    <s v="&lt;null&gt;"/>
    <b v="0"/>
    <s v="Ingreep wordt niet opgevolgd in BOD"/>
    <s v="&lt;null&gt;"/>
    <s v="&lt;null&gt;"/>
    <s v="&lt;null&gt;"/>
    <s v="&lt;null&gt;"/>
    <n v="100"/>
    <m/>
    <m/>
  </r>
  <r>
    <x v="1090"/>
    <x v="1090"/>
    <s v="Verkeersveiligheid"/>
    <x v="4"/>
    <n v="1248"/>
    <s v="IN/001177"/>
    <s v="SRK: N494 Wortegem-Petegem: herinrichting van het wegvak tussen Vrouweneikstraat en Groenstraat"/>
    <s v="Aanpassen wegbeeld volgens PCV"/>
    <s v="Kleine Ingreep"/>
    <s v="WOV/INV/N494/3"/>
    <b v="1"/>
    <s v="Ingreep wordt opgevolgd in BOD"/>
    <n v="2022"/>
    <s v="Q2"/>
    <s v="WEGENIS"/>
    <s v="&lt;null&gt;"/>
    <n v="50"/>
    <n v="140000"/>
    <n v="70000"/>
  </r>
  <r>
    <x v="1091"/>
    <x v="1091"/>
    <s v="Verkeersveiligheid"/>
    <x v="4"/>
    <n v="1248"/>
    <s v="IN/001177"/>
    <s v="SRK: N494 Wortegem-Petegem: herinrichting van het wegvak tussen Vrouweneikstraat en Groenstraat"/>
    <s v="Aanpassen wegbeeld volgens PCV"/>
    <s v="Kleine Ingreep"/>
    <s v="WOV/INV/N494/3"/>
    <b v="1"/>
    <s v="Ingreep wordt opgevolgd in BOD"/>
    <n v="2022"/>
    <s v="Q2"/>
    <s v="WEGENIS"/>
    <s v="&lt;null&gt;"/>
    <n v="50"/>
    <n v="140000"/>
    <n v="70000"/>
  </r>
  <r>
    <x v="1092"/>
    <x v="1092"/>
    <s v="Verkeersveiligheid"/>
    <x v="4"/>
    <n v="1249"/>
    <s v="IN/001178"/>
    <s v="Ingreep schoolroute in Haaltert op Kruispunt Krakeelstraat/Stationsstraat"/>
    <s v="&lt;null&gt;"/>
    <s v="Kleine Ingreep"/>
    <s v="WOV/INV/N460/6"/>
    <b v="0"/>
    <s v="Ingreep wordt niet opgevolgd in BOD"/>
    <s v="&lt;null&gt;"/>
    <s v="&lt;null&gt;"/>
    <s v="&lt;null&gt;"/>
    <s v="&lt;null&gt;"/>
    <n v="100"/>
    <m/>
    <m/>
  </r>
  <r>
    <x v="1093"/>
    <x v="1093"/>
    <s v="Verkeersveiligheid"/>
    <x v="4"/>
    <n v="1250"/>
    <s v="IN/001179"/>
    <s v="Ingreep schoolroute in Sint-Laureins op Moerstraat, Sint-Jan-In-Eremo"/>
    <s v="&lt;null&gt;"/>
    <s v="Kleine Ingreep"/>
    <s v="WOV/INV/N434/2"/>
    <b v="0"/>
    <s v="Ingreep wordt niet opgevolgd in BOD"/>
    <s v="&lt;null&gt;"/>
    <s v="&lt;null&gt;"/>
    <s v="OVERIGE"/>
    <s v="&lt;null&gt;"/>
    <n v="100"/>
    <n v="3000"/>
    <n v="3000"/>
  </r>
  <r>
    <x v="1094"/>
    <x v="1094"/>
    <s v="Verkeersveiligheid"/>
    <x v="4"/>
    <n v="1251"/>
    <s v="IN/001180"/>
    <s v="SRK: N445 Sint-Laureins: markeringen - attentieverhogende maatregelen"/>
    <s v="&lt;null&gt;"/>
    <s v="Kleine Ingreep"/>
    <s v="WOV/INV/N455/3"/>
    <b v="0"/>
    <s v="Ingreep wordt niet opgevolgd in BOD"/>
    <n v="2021"/>
    <s v="Q3"/>
    <s v="OVERIGE"/>
    <s v="&lt;null&gt;"/>
    <n v="100"/>
    <n v="1500"/>
    <n v="1500"/>
  </r>
  <r>
    <x v="1095"/>
    <x v="1095"/>
    <s v="Verkeersveiligheid"/>
    <x v="4"/>
    <n v="1252"/>
    <s v="IN/001181"/>
    <s v="SRK: N455 Eeklo: gevleugeld zebrapad op Sint-Laureinsesteenweg - Balgerhoeke / omgeving kerk en kruispunt Pastoor Bontestraat"/>
    <s v="&lt;null&gt;"/>
    <s v="Kleine Ingreep"/>
    <s v="WOV/INV/N455/2"/>
    <b v="0"/>
    <s v="Ingreep wordt niet opgevolgd in BOD"/>
    <s v="&lt;null&gt;"/>
    <s v="&lt;null&gt;"/>
    <s v="OVERIGE"/>
    <s v="&lt;null&gt;"/>
    <n v="100"/>
    <n v="26000"/>
    <n v="26000"/>
  </r>
  <r>
    <x v="1096"/>
    <x v="1096"/>
    <s v="Verkeersveiligheid"/>
    <x v="4"/>
    <n v="1253"/>
    <s v="IN/001182"/>
    <s v="GEEN E1 KLEINE INGREEP Ingreep schoolroute in Eeklo op N9, Koningin Astridplein stationsomgeving"/>
    <s v="&lt;null&gt;"/>
    <s v="Structurele Ingreep"/>
    <s v="&lt;null&gt;"/>
    <b v="0"/>
    <s v="Ingreep wordt niet opgevolgd in BOD"/>
    <s v="&lt;null&gt;"/>
    <s v="&lt;null&gt;"/>
    <s v="OVERIGE"/>
    <s v="&lt;null&gt;"/>
    <n v="100"/>
    <n v="0"/>
    <n v="0"/>
  </r>
  <r>
    <x v="1097"/>
    <x v="1097"/>
    <s v="Verkeersveiligheid"/>
    <x v="4"/>
    <n v="1254"/>
    <s v="IN/001183"/>
    <s v="SRK: N447 Melle: fietspaden verbeteren op kruispunt Heusdenbaan met Oude Brusselse Weg"/>
    <s v="&lt;null&gt;"/>
    <s v="Kleine Ingreep"/>
    <s v="WOV/INV/N447/3"/>
    <b v="1"/>
    <s v="Ingreep wordt opgevolgd in BOD"/>
    <n v="2022"/>
    <s v="Q3"/>
    <s v="WEGENIS"/>
    <s v="/"/>
    <n v="100"/>
    <n v="110000"/>
    <n v="110000"/>
  </r>
  <r>
    <x v="1098"/>
    <x v="1098"/>
    <s v="Verkeersveiligheid"/>
    <x v="4"/>
    <n v="1255"/>
    <s v="IN/001184"/>
    <s v="Ingreep schoolroute in Melle op Kruispunt Zwaanhoeklos Brusselsesteenweg"/>
    <s v="&lt;null&gt;"/>
    <s v="Kleine Ingreep"/>
    <s v="&lt;null&gt;"/>
    <b v="0"/>
    <s v="Ingreep wordt niet opgevolgd in BOD"/>
    <n v="2022"/>
    <s v="Q4"/>
    <s v="WEGENIS"/>
    <m/>
    <n v="100"/>
    <n v="15000"/>
    <n v="15000"/>
  </r>
  <r>
    <x v="1099"/>
    <x v="1099"/>
    <s v="Verkeersveiligheid"/>
    <x v="4"/>
    <n v="1256"/>
    <s v="IN/001185"/>
    <s v="Ingreep schoolroute in Melle op Brusselsesteenweg ter hoogte van Ringlaan, middeneilanden"/>
    <s v="&lt;null&gt;"/>
    <s v="Kleine Ingreep"/>
    <s v="WOV/INV/N9/18"/>
    <b v="1"/>
    <s v="Ingreep wordt opgevolgd in BOD"/>
    <n v="2022"/>
    <s v="Q2"/>
    <s v="WEGENIS"/>
    <s v="&lt;null&gt;"/>
    <n v="100"/>
    <n v="5000"/>
    <n v="5000"/>
  </r>
  <r>
    <x v="1100"/>
    <x v="1100"/>
    <s v="Verkeersveiligheid"/>
    <x v="4"/>
    <n v="1257"/>
    <s v="IN/001186"/>
    <s v="Ingreep schoolroute in Melle op Brusselsesteenweg ter hoogte van station Kwatrecht (grondgebied Wetteren)"/>
    <s v="&lt;null&gt;"/>
    <s v="Kleine Ingreep"/>
    <s v="WOV/INV/N9/19"/>
    <b v="0"/>
    <s v="Ingreep wordt niet opgevolgd in BOD"/>
    <s v="&lt;null&gt;"/>
    <s v="&lt;null&gt;"/>
    <s v="OVERIGE"/>
    <s v="&lt;null&gt;"/>
    <n v="100"/>
    <n v="4000"/>
    <n v="4000"/>
  </r>
  <r>
    <x v="1101"/>
    <x v="1101"/>
    <s v="Verkeersveiligheid"/>
    <x v="4"/>
    <n v="1258"/>
    <s v="IN/001187"/>
    <s v="Ingreep schoolroute in Melle op Geraardsbergsesteenweg kruispunt met Ovenveldstraat"/>
    <s v="&lt;null&gt;"/>
    <s v="Kleine Ingreep"/>
    <s v="WOV/INV/N465/2"/>
    <b v="0"/>
    <s v="Ingreep wordt niet opgevolgd in BOD"/>
    <n v="2022"/>
    <s v="Q3"/>
    <s v="OVERIGE"/>
    <s v="&lt;null&gt;"/>
    <n v="100"/>
    <n v="35000"/>
    <n v="35000"/>
  </r>
  <r>
    <x v="1102"/>
    <x v="1102"/>
    <s v="Verkeersveiligheid"/>
    <x v="4"/>
    <n v="1259"/>
    <s v="IN/001188"/>
    <s v="Ingreep schoolroute in Lochristi op N70 Dorp-West - Schoolstraat"/>
    <s v="&lt;null&gt;"/>
    <s v="Kleine Ingreep"/>
    <s v="&lt;null&gt;"/>
    <b v="0"/>
    <s v="Ingreep wordt niet opgevolgd in BOD"/>
    <s v="&lt;null&gt;"/>
    <s v="&lt;null&gt;"/>
    <s v="&lt;null&gt;"/>
    <s v="&lt;null&gt;"/>
    <n v="100"/>
    <m/>
    <m/>
  </r>
  <r>
    <x v="1103"/>
    <x v="1103"/>
    <s v="Verkeersveiligheid"/>
    <x v="4"/>
    <n v="1260"/>
    <s v="IN/001189"/>
    <s v="SRK: N419 Kruibeke: plaatsen punctuele verlichting en kleine aanpassing aan oversteek"/>
    <s v="Plaatsen punctuele verlichting en kleine aanpassing aan oversteek volgens rapport;\nOp Oversteek plaats Bazelstraat Camille-Huysmanstraat"/>
    <s v="Kleine Ingreep"/>
    <s v="WOV/INV/N419/2"/>
    <b v="0"/>
    <s v="Ingreep wordt niet opgevolgd in BOD"/>
    <n v="2022"/>
    <s v="Q3"/>
    <s v="OVERIGE"/>
    <s v="&lt;null&gt;"/>
    <n v="100"/>
    <n v="40000"/>
    <n v="40000"/>
  </r>
  <r>
    <x v="1104"/>
    <x v="1104"/>
    <s v="Verkeersveiligheid"/>
    <x v="4"/>
    <n v="1261"/>
    <s v="IN/001190"/>
    <s v="Ingreep schoolroute in Kruibeke op Kruispunt Kemphoekstraat-Kruibekestraat"/>
    <s v="&lt;null&gt;"/>
    <s v="Kleine Ingreep"/>
    <s v="WOV/INV/N419/4"/>
    <b v="0"/>
    <s v="Ingreep wordt niet opgevolgd in BOD"/>
    <s v="&lt;null&gt;"/>
    <s v="&lt;null&gt;"/>
    <s v="OVERIGE"/>
    <s v="&lt;null&gt;"/>
    <n v="100"/>
    <n v="40000"/>
    <n v="40000"/>
  </r>
  <r>
    <x v="1105"/>
    <x v="1105"/>
    <s v="Verkeersveiligheid"/>
    <x v="4"/>
    <n v="1262"/>
    <s v="IN/001191"/>
    <s v="SRK: N70 Lochristi: verlichting (OV, VVOP/VFOP...) N70 x Bosdreef"/>
    <s v="&lt;null&gt;"/>
    <s v="Kleine Ingreep"/>
    <s v="WOV/INV/N70/9"/>
    <b v="0"/>
    <s v="Ingreep wordt niet opgevolgd in BOD"/>
    <n v="2021"/>
    <s v="Q4"/>
    <s v="VRI"/>
    <s v="&lt;null&gt;"/>
    <n v="100"/>
    <n v="2000"/>
    <n v="2000"/>
  </r>
  <r>
    <x v="1106"/>
    <x v="1106"/>
    <s v="Verkeersveiligheid"/>
    <x v="4"/>
    <n v="1263"/>
    <s v="IN/001192"/>
    <s v="Gevleugeld zebrapad in Lievegem op Hendrik Consciencelaan (N9) - Toekomststraat"/>
    <s v="&lt;null&gt;"/>
    <s v="Kleine Ingreep"/>
    <s v="&lt;null&gt;"/>
    <b v="0"/>
    <s v="Ingreep wordt niet opgevolgd in BOD"/>
    <s v="&lt;null&gt;"/>
    <s v="&lt;null&gt;"/>
    <s v="&lt;null&gt;"/>
    <s v="&lt;null&gt;"/>
    <n v="100"/>
    <m/>
    <m/>
  </r>
  <r>
    <x v="1107"/>
    <x v="1107"/>
    <s v="Verkeersveiligheid"/>
    <x v="4"/>
    <n v="1264"/>
    <s v="IN/001193"/>
    <s v="Ingreep schoolroute in Lievegem op Oude Staatsbaan/Beke - N9 - Legevoorde"/>
    <s v="&lt;null&gt;"/>
    <s v="Kleine Ingreep"/>
    <s v="WOV/INV/N9/20"/>
    <b v="0"/>
    <s v="Ingreep wordt niet opgevolgd in BOD"/>
    <s v="&lt;null&gt;"/>
    <s v="&lt;null&gt;"/>
    <s v="&lt;null&gt;"/>
    <s v="&lt;null&gt;"/>
    <n v="100"/>
    <m/>
    <m/>
  </r>
  <r>
    <x v="1108"/>
    <x v="1108"/>
    <s v="Verkeersveiligheid"/>
    <x v="4"/>
    <n v="1265"/>
    <s v="IN/001194"/>
    <s v="SRK: N35 Deinze: verlichting (OV, VVOP/VFOP...) op kruispunt Gaversesteenweg/Ten Rodelaan"/>
    <s v="&lt;null&gt;"/>
    <s v="Kleine Ingreep"/>
    <s v="WOV/INV/N35/3"/>
    <b v="0"/>
    <s v="Ingreep wordt niet opgevolgd in BOD"/>
    <n v="2021"/>
    <s v="Q4"/>
    <s v="VRI"/>
    <s v="&lt;null&gt;"/>
    <n v="100"/>
    <n v="10000"/>
    <n v="10000"/>
  </r>
  <r>
    <x v="1109"/>
    <x v="1109"/>
    <s v="Verkeersveiligheid"/>
    <x v="4"/>
    <n v="1266"/>
    <s v="IN/001195"/>
    <s v="SRK: N454 Maarkedal: fietssuggestiestroken aanbrengen"/>
    <s v="Fietssuggestiestroken aanbrengen;\nOp school met toegang langs de Hofveldstraat (gewestweg) alsook Kolpaarstraat (gemeenteweg)"/>
    <s v="Kleine Ingreep"/>
    <s v="WOV/INV/NX/3"/>
    <b v="1"/>
    <s v="Ingreep wordt opgevolgd in BOD"/>
    <n v="2022"/>
    <s v="Q2"/>
    <s v="WEGENIS"/>
    <s v="&lt;null&gt;"/>
    <n v="100"/>
    <n v="120000"/>
    <n v="120000"/>
  </r>
  <r>
    <x v="1110"/>
    <x v="1110"/>
    <s v="Verkeersveiligheid"/>
    <x v="4"/>
    <n v="1267"/>
    <s v="IN/001196"/>
    <s v="Ingreep schoolroute in Merelbeke op Kruispunt Molenhoek: Hundelgemsesteenweg - Poelstraat - Potaardeberg"/>
    <s v="&lt;null&gt;"/>
    <s v="Kleine Ingreep"/>
    <s v="WOV/INV/N444/3"/>
    <b v="0"/>
    <s v="Ingreep wordt niet opgevolgd in BOD"/>
    <s v="&lt;null&gt;"/>
    <s v="&lt;null&gt;"/>
    <s v="WEGENIS"/>
    <s v="&lt;null&gt;"/>
    <n v="100"/>
    <n v="2000"/>
    <n v="2000"/>
  </r>
  <r>
    <x v="1111"/>
    <x v="1111"/>
    <s v="Verkeersveiligheid"/>
    <x v="4"/>
    <n v="1268"/>
    <s v="IN/001197"/>
    <s v="Ingreep schoolroute in Aalst op N411 - Moorsel Dorp"/>
    <s v="&lt;null&gt;"/>
    <s v="Kleine Ingreep"/>
    <s v="WOV/INV/N411/2"/>
    <b v="0"/>
    <s v="Ingreep wordt niet opgevolgd in BOD"/>
    <s v="&lt;null&gt;"/>
    <s v="&lt;null&gt;"/>
    <s v="&lt;null&gt;"/>
    <s v="&lt;null&gt;"/>
    <n v="100"/>
    <m/>
    <m/>
  </r>
  <r>
    <x v="1112"/>
    <x v="1112"/>
    <s v="Verkeersveiligheid"/>
    <x v="4"/>
    <n v="1269"/>
    <s v="IN/001198"/>
    <s v="Horizontale signalisatie in Horebeke op N454 tussen 'Ketse' en lagere school"/>
    <s v="&lt;null&gt;"/>
    <s v="Kleine Ingreep"/>
    <s v="WOV/INV/N454/8"/>
    <b v="0"/>
    <s v="Ingreep wordt niet opgevolgd in BOD"/>
    <s v="&lt;null&gt;"/>
    <s v="&lt;null&gt;"/>
    <s v="OVERIGE"/>
    <s v="&lt;null&gt;"/>
    <n v="100"/>
    <n v="1500"/>
    <n v="1500"/>
  </r>
  <r>
    <x v="1113"/>
    <x v="1113"/>
    <s v="Verkeersveiligheid"/>
    <x v="4"/>
    <n v="1270"/>
    <s v="IN/001199"/>
    <s v="SRK: N43 Geraardsbergen: markeren fietspad"/>
    <s v="markeren fietspad op klinkers"/>
    <s v="Kleine Ingreep"/>
    <s v="WOV/INV/N42/8"/>
    <b v="1"/>
    <s v="Ingreep wordt opgevolgd in BOD"/>
    <n v="2022"/>
    <s v="Q2"/>
    <s v="WEGENIS"/>
    <s v="relance"/>
    <n v="100"/>
    <n v="1500"/>
    <n v="1500"/>
  </r>
  <r>
    <x v="1114"/>
    <x v="1114"/>
    <s v="Verkeersveiligheid"/>
    <x v="4"/>
    <n v="1271"/>
    <s v="IN/001200"/>
    <s v="Ingreep schoolroute in Geraardsbergen op N460 - Aalstsesteenweg"/>
    <s v="&lt;null&gt;"/>
    <s v="Structurele Ingreep"/>
    <s v="&lt;null&gt;"/>
    <b v="0"/>
    <s v="Ingreep wordt niet opgevolgd in BOD"/>
    <n v="2022"/>
    <s v="Q2"/>
    <s v="OVERIGE"/>
    <s v="samen met onderhoud fietspad"/>
    <n v="100"/>
    <n v="15000"/>
    <n v="15000"/>
  </r>
  <r>
    <x v="1115"/>
    <x v="1115"/>
    <s v="Verkeersveiligheid"/>
    <x v="4"/>
    <n v="1272"/>
    <s v="IN/001201"/>
    <s v="VERWIJDEREN inbegrepen in andere ingreep Ingreep schoolroute in Geraardsbergen op kruispunt N42/Molendreef"/>
    <s v="&lt;null&gt;"/>
    <s v="Structurele Ingreep"/>
    <s v="&lt;null&gt;"/>
    <b v="0"/>
    <s v="Ingreep wordt niet opgevolgd in BOD"/>
    <s v="&lt;null&gt;"/>
    <s v="&lt;null&gt;"/>
    <s v="OVERIGE"/>
    <s v="&lt;null&gt;"/>
    <n v="100"/>
    <n v="0"/>
    <n v="0"/>
  </r>
  <r>
    <x v="441"/>
    <x v="441"/>
    <s v="Verkeersveiligheid"/>
    <x v="1"/>
    <n v="1273"/>
    <s v="IN/001202"/>
    <s v="Ingreep schoolroute in Geraardsbergen op Kruispunt N42 (Astridlaan)/ Felicien Cauwelstraat"/>
    <s v="&lt;null&gt;"/>
    <s v="Structurele Ingreep"/>
    <s v="WOV/INV/N42/2"/>
    <b v="0"/>
    <s v="Ingreep wordt niet opgevolgd in BOD"/>
    <s v="&lt;null&gt;"/>
    <s v="&lt;null&gt;"/>
    <s v="OVERIGE"/>
    <s v="&lt;null&gt;"/>
    <n v="25"/>
    <n v="0"/>
    <n v="0"/>
  </r>
  <r>
    <x v="1115"/>
    <x v="1115"/>
    <s v="Verkeersveiligheid"/>
    <x v="4"/>
    <n v="1273"/>
    <s v="IN/001202"/>
    <s v="Ingreep schoolroute in Geraardsbergen op Kruispunt N42 (Astridlaan)/ Felicien Cauwelstraat"/>
    <s v="&lt;null&gt;"/>
    <s v="Structurele Ingreep"/>
    <s v="WOV/INV/N42/2"/>
    <b v="0"/>
    <s v="Ingreep wordt niet opgevolgd in BOD"/>
    <s v="&lt;null&gt;"/>
    <s v="&lt;null&gt;"/>
    <s v="OVERIGE"/>
    <s v="&lt;null&gt;"/>
    <n v="25"/>
    <n v="0"/>
    <n v="0"/>
  </r>
  <r>
    <x v="1116"/>
    <x v="1116"/>
    <s v="Verkeersveiligheid"/>
    <x v="4"/>
    <n v="1273"/>
    <s v="IN/001202"/>
    <s v="Ingreep schoolroute in Geraardsbergen op Kruispunt N42 (Astridlaan)/ Felicien Cauwelstraat"/>
    <s v="&lt;null&gt;"/>
    <s v="Structurele Ingreep"/>
    <s v="WOV/INV/N42/2"/>
    <b v="0"/>
    <s v="Ingreep wordt niet opgevolgd in BOD"/>
    <s v="&lt;null&gt;"/>
    <s v="&lt;null&gt;"/>
    <s v="OVERIGE"/>
    <s v="&lt;null&gt;"/>
    <n v="25"/>
    <n v="0"/>
    <n v="0"/>
  </r>
  <r>
    <x v="1117"/>
    <x v="1117"/>
    <s v="Verkeersveiligheid"/>
    <x v="4"/>
    <n v="1273"/>
    <s v="IN/001202"/>
    <s v="Ingreep schoolroute in Geraardsbergen op Kruispunt N42 (Astridlaan)/ Felicien Cauwelstraat"/>
    <s v="&lt;null&gt;"/>
    <s v="Structurele Ingreep"/>
    <s v="WOV/INV/N42/2"/>
    <b v="0"/>
    <s v="Ingreep wordt niet opgevolgd in BOD"/>
    <s v="&lt;null&gt;"/>
    <s v="&lt;null&gt;"/>
    <s v="OVERIGE"/>
    <s v="&lt;null&gt;"/>
    <n v="25"/>
    <n v="0"/>
    <n v="0"/>
  </r>
  <r>
    <x v="1118"/>
    <x v="1118"/>
    <s v="Verkeersveiligheid"/>
    <x v="4"/>
    <n v="1274"/>
    <s v="IN/001203"/>
    <s v="Ingreep schoolroute in Lebbeke op Rondpunt Brusselsesteenweg - Flor Hofmanslaan"/>
    <s v="&lt;null&gt;"/>
    <s v="Kleine Ingreep"/>
    <s v="WOV/INV/N47/7"/>
    <b v="0"/>
    <s v="Ingreep wordt niet opgevolgd in BOD"/>
    <s v="&lt;null&gt;"/>
    <s v="&lt;null&gt;"/>
    <s v="&lt;null&gt;"/>
    <s v="&lt;null&gt;"/>
    <n v="100"/>
    <m/>
    <m/>
  </r>
  <r>
    <x v="1119"/>
    <x v="1119"/>
    <s v="Verkeersveiligheid"/>
    <x v="4"/>
    <n v="1275"/>
    <s v="IN/001204"/>
    <s v="Ingreep schoolroute in Ninove op Locatie – N405 Albertlaan (ter hoogte van Snoekgrachtweg)"/>
    <s v="&lt;null&gt;"/>
    <s v="Kleine Ingreep"/>
    <s v="&lt;null&gt;"/>
    <b v="0"/>
    <s v="Ingreep wordt niet opgevolgd in BOD"/>
    <s v="&lt;null&gt;"/>
    <s v="&lt;null&gt;"/>
    <s v="OVERIGE"/>
    <s v="&lt;null&gt;"/>
    <n v="100"/>
    <n v="4000"/>
    <n v="4000"/>
  </r>
  <r>
    <x v="1120"/>
    <x v="1120"/>
    <s v="Verkeersveiligheid"/>
    <x v="4"/>
    <n v="1276"/>
    <s v="IN/001205"/>
    <s v="Gevleugeld zebrapad in Ninove op Locatie N405 Aalstersesteenweg ter hoogte van huisnummer 24"/>
    <s v="&lt;null&gt;"/>
    <s v="Kleine Ingreep"/>
    <s v="WOV/INV/N405/5"/>
    <b v="0"/>
    <s v="Ingreep wordt niet opgevolgd in BOD"/>
    <n v="2022"/>
    <s v="&lt;null&gt;"/>
    <s v="WEGENIS"/>
    <s v="&lt;null&gt;"/>
    <n v="100"/>
    <n v="10000"/>
    <n v="10000"/>
  </r>
  <r>
    <x v="1121"/>
    <x v="1121"/>
    <s v="Verkeersveiligheid"/>
    <x v="4"/>
    <n v="1277"/>
    <s v="IN/001206"/>
    <s v="Ingreep schoolroute in Ninove op Geraardsbergsesteenweg, thv De Hazelaar"/>
    <s v="&lt;null&gt;"/>
    <s v="Kleine Ingreep"/>
    <s v="WOV/INV/N460/7"/>
    <b v="0"/>
    <s v="Ingreep wordt niet opgevolgd in BOD"/>
    <s v="&lt;null&gt;"/>
    <s v="&lt;null&gt;"/>
    <s v="OVERIGE"/>
    <s v="&lt;null&gt;"/>
    <n v="100"/>
    <n v="7500"/>
    <n v="7500"/>
  </r>
  <r>
    <x v="1122"/>
    <x v="1122"/>
    <s v="Verkeersveiligheid"/>
    <x v="4"/>
    <n v="1278"/>
    <s v="IN/001207"/>
    <s v="Ingreep schoolroute in Wetteren op Lokaal thv alle schoolomgevingen"/>
    <s v="&lt;null&gt;"/>
    <s v="Kleine Ingreep"/>
    <s v="WOV/INV/N400/2"/>
    <b v="0"/>
    <s v="Ingreep wordt niet opgevolgd in BOD"/>
    <n v="2022"/>
    <s v="Q2"/>
    <s v="WEGENIS"/>
    <s v="&lt;null&gt;"/>
    <n v="100"/>
    <n v="1500"/>
    <n v="1500"/>
  </r>
  <r>
    <x v="1123"/>
    <x v="1123"/>
    <s v="Verkeersveiligheid"/>
    <x v="4"/>
    <n v="1279"/>
    <s v="IN/001208"/>
    <s v="Ingreep schoolroute in Wetteren op Lokaal thv alle schoolomgevingen"/>
    <s v="&lt;null&gt;"/>
    <s v="Kleine Ingreep"/>
    <s v="WOV/INV/N407/3"/>
    <b v="0"/>
    <s v="Ingreep wordt niet opgevolgd in BOD"/>
    <n v="2022"/>
    <s v="Q3"/>
    <s v="WEGENIS"/>
    <s v="&lt;null&gt;"/>
    <n v="100"/>
    <n v="1500"/>
    <n v="1500"/>
  </r>
  <r>
    <x v="1124"/>
    <x v="1124"/>
    <s v="Verkeersveiligheid"/>
    <x v="4"/>
    <n v="1280"/>
    <s v="IN/001209"/>
    <s v="Ingreep schoolroute in Oudenaarde op Abdijstraat N46) x Lotharingenstraat"/>
    <s v="&lt;null&gt;"/>
    <s v="Kleine Ingreep"/>
    <s v="WOV/INV/N46/10"/>
    <b v="0"/>
    <s v="Ingreep wordt niet opgevolgd in BOD"/>
    <s v="&lt;null&gt;"/>
    <s v="&lt;null&gt;"/>
    <s v="&lt;null&gt;"/>
    <s v="&lt;null&gt;"/>
    <n v="100"/>
    <m/>
    <m/>
  </r>
  <r>
    <x v="1125"/>
    <x v="1125"/>
    <s v="Verkeersveiligheid"/>
    <x v="4"/>
    <n v="1281"/>
    <s v="IN/001210"/>
    <s v="Ingreep schoolroute in Oudenaarde op Weldenstraat (N46) x M. Lambrechtsstraat x Sleegstraat"/>
    <s v="&lt;null&gt;"/>
    <s v="Structurele Ingreep"/>
    <s v="WOV/INV/N46/4"/>
    <b v="0"/>
    <s v="Ingreep wordt niet opgevolgd in BOD"/>
    <s v="&lt;null&gt;"/>
    <s v="&lt;null&gt;"/>
    <s v="OVERIGE"/>
    <s v="&lt;null&gt;"/>
    <n v="100"/>
    <n v="0"/>
    <n v="0"/>
  </r>
  <r>
    <x v="1126"/>
    <x v="1126"/>
    <s v="Verkeersveiligheid"/>
    <x v="4"/>
    <n v="1282"/>
    <s v="IN/001211"/>
    <s v="Ingreep schoolroute in Lede op Kruispunt N442 Wichelse steenweg x Meirveld"/>
    <s v="&lt;null&gt;"/>
    <s v="Kleine Ingreep"/>
    <s v="&lt;null&gt;"/>
    <b v="0"/>
    <s v="Ingreep wordt niet opgevolgd in BOD"/>
    <s v="&lt;null&gt;"/>
    <s v="&lt;null&gt;"/>
    <s v="&lt;null&gt;"/>
    <s v="&lt;null&gt;"/>
    <n v="100"/>
    <m/>
    <m/>
  </r>
  <r>
    <x v="1127"/>
    <x v="1127"/>
    <s v="Verkeersveiligheid"/>
    <x v="4"/>
    <n v="1283"/>
    <s v="IN/001212"/>
    <s v="Ingreep schoolroute in Gavere op Kruispunt N444 - N415 (Staatsbaan)"/>
    <s v="&lt;null&gt;"/>
    <s v="Kleine Ingreep"/>
    <s v="WOV/INV/N415/7"/>
    <b v="0"/>
    <s v="Ingreep wordt niet opgevolgd in BOD"/>
    <s v="&lt;null&gt;"/>
    <s v="&lt;null&gt;"/>
    <s v="&lt;null&gt;"/>
    <s v="&lt;null&gt;"/>
    <n v="100"/>
    <m/>
    <m/>
  </r>
  <r>
    <x v="1128"/>
    <x v="1128"/>
    <s v="Verkeersveiligheid"/>
    <x v="4"/>
    <n v="1284"/>
    <s v="IN/001213"/>
    <s v="Ingreep schoolroute in Brakel op Kruispunt N8-Heyveld"/>
    <s v="&lt;null&gt;"/>
    <s v="Kleine Ingreep"/>
    <s v="&lt;null&gt;"/>
    <b v="0"/>
    <s v="Ingreep wordt niet opgevolgd in BOD"/>
    <s v="&lt;null&gt;"/>
    <s v="&lt;null&gt;"/>
    <s v="&lt;null&gt;"/>
    <s v="&lt;null&gt;"/>
    <n v="100"/>
    <m/>
    <m/>
  </r>
  <r>
    <x v="1129"/>
    <x v="1129"/>
    <s v="Verkeersveiligheid"/>
    <x v="4"/>
    <n v="1285"/>
    <s v="IN/001214"/>
    <s v="Ingreep schoolroute in Brakel op Kruispunt N462-Driehoekstraat/Molenhoekstraat"/>
    <s v="&lt;null&gt;"/>
    <s v="Kleine Ingreep"/>
    <s v="WOV/INV/N462/5"/>
    <b v="0"/>
    <s v="Ingreep wordt niet opgevolgd in BOD"/>
    <s v="&lt;null&gt;"/>
    <s v="&lt;null&gt;"/>
    <s v="&lt;null&gt;"/>
    <s v="&lt;null&gt;"/>
    <n v="100"/>
    <m/>
    <m/>
  </r>
  <r>
    <x v="1130"/>
    <x v="1130"/>
    <s v="Verkeersveiligheid"/>
    <x v="4"/>
    <n v="1286"/>
    <s v="IN/001215"/>
    <s v="Ingreep schoolroute in Berlare op N445: Kruisstraat, Fortstraat, Burgs. De Lausnaystraat schoolomgeving vrije basisschool Sint-Jozef"/>
    <s v="&lt;null&gt;"/>
    <s v="Kleine Ingreep"/>
    <s v="WOV/INV/N445/4"/>
    <b v="0"/>
    <s v="Ingreep wordt niet opgevolgd in BOD"/>
    <s v="&lt;null&gt;"/>
    <s v="&lt;null&gt;"/>
    <s v="&lt;null&gt;"/>
    <s v="&lt;null&gt;"/>
    <n v="100"/>
    <m/>
    <m/>
  </r>
  <r>
    <x v="1131"/>
    <x v="1131"/>
    <s v="Verkeersveiligheid"/>
    <x v="4"/>
    <n v="1287"/>
    <s v="IN/001216"/>
    <s v="Ingreep schoolroute in Dendermonde op Kruispunt Mevrouw Courtmanspark - Ouburg"/>
    <s v="&lt;null&gt;"/>
    <s v="Kleine Ingreep"/>
    <s v="WOV/INV/N406/3"/>
    <b v="0"/>
    <s v="Ingreep wordt niet opgevolgd in BOD"/>
    <s v="&lt;null&gt;"/>
    <s v="&lt;null&gt;"/>
    <s v="&lt;null&gt;"/>
    <s v="&lt;null&gt;"/>
    <n v="100"/>
    <m/>
    <m/>
  </r>
  <r>
    <x v="1132"/>
    <x v="1132"/>
    <s v="Verkeersveiligheid"/>
    <x v="4"/>
    <n v="1288"/>
    <s v="IN/001217"/>
    <s v="Ingreep schoolroute in Dendermonde op Kruispunt Sint-Gillislaan - Weggevoerdenstraat - Cleophas Heyvaertstraat"/>
    <s v="&lt;null&gt;"/>
    <s v="Kleine Ingreep"/>
    <s v="&lt;null&gt;"/>
    <b v="0"/>
    <s v="Ingreep wordt niet opgevolgd in BOD"/>
    <s v="&lt;null&gt;"/>
    <s v="&lt;null&gt;"/>
    <s v="&lt;null&gt;"/>
    <s v="&lt;null&gt;"/>
    <n v="100"/>
    <m/>
    <m/>
  </r>
  <r>
    <x v="1133"/>
    <x v="1133"/>
    <s v="Verkeersveiligheid"/>
    <x v="4"/>
    <n v="1289"/>
    <s v="IN/001218"/>
    <s v="Ingreep schoolroute in Dendermonde op Kruispunt Tragel - Gentsesteenweg"/>
    <s v="&lt;null&gt;"/>
    <s v="Kleine Ingreep"/>
    <s v="WOV/INV/N406/4"/>
    <b v="0"/>
    <s v="Ingreep wordt niet opgevolgd in BOD"/>
    <s v="&lt;null&gt;"/>
    <s v="&lt;null&gt;"/>
    <s v="&lt;null&gt;"/>
    <s v="&lt;null&gt;"/>
    <n v="100"/>
    <m/>
    <m/>
  </r>
  <r>
    <x v="1134"/>
    <x v="1134"/>
    <s v="Verkeersveiligheid"/>
    <x v="4"/>
    <n v="1290"/>
    <s v="IN/001219"/>
    <s v="Ingreep schoolroute in Dendermonde op N416 (Bevrijdingslaan) tussen Vrijstraat en Lindestraat"/>
    <s v="&lt;null&gt;"/>
    <s v="Kleine Ingreep"/>
    <s v="WOV/INV/N416/5"/>
    <b v="0"/>
    <s v="Ingreep wordt niet opgevolgd in BOD"/>
    <s v="&lt;null&gt;"/>
    <s v="&lt;null&gt;"/>
    <s v="&lt;null&gt;"/>
    <s v="&lt;null&gt;"/>
    <n v="100"/>
    <m/>
    <m/>
  </r>
  <r>
    <x v="1135"/>
    <x v="1135"/>
    <s v="Verkeersveiligheid"/>
    <x v="4"/>
    <n v="1291"/>
    <s v="IN/001220"/>
    <s v="Ingreep schoolroute in Dendermonde op N470 (Grootzand) tussen Stuivenbergstraat en Zeelsebaan"/>
    <s v="&lt;null&gt;"/>
    <s v="Kleine Ingreep"/>
    <s v="WOV/INV/N470/6"/>
    <b v="0"/>
    <s v="Ingreep wordt niet opgevolgd in BOD"/>
    <s v="&lt;null&gt;"/>
    <s v="&lt;null&gt;"/>
    <s v="&lt;null&gt;"/>
    <s v="&lt;null&gt;"/>
    <n v="100"/>
    <m/>
    <m/>
  </r>
  <r>
    <x v="1136"/>
    <x v="1136"/>
    <s v="Verkeersveiligheid"/>
    <x v="4"/>
    <n v="1292"/>
    <s v="IN/001221"/>
    <s v="Ingreep schoolroute in Dendermonde op Kruispunt Baasrodestraat - Rosstraat"/>
    <s v="&lt;null&gt;"/>
    <s v="Kleine Ingreep"/>
    <s v="&lt;null&gt;"/>
    <b v="0"/>
    <s v="Ingreep wordt niet opgevolgd in BOD"/>
    <s v="&lt;null&gt;"/>
    <s v="&lt;null&gt;"/>
    <s v="&lt;null&gt;"/>
    <s v="&lt;null&gt;"/>
    <n v="100"/>
    <m/>
    <m/>
  </r>
  <r>
    <x v="1137"/>
    <x v="1137"/>
    <s v="Verkeersveiligheid"/>
    <x v="4"/>
    <n v="1293"/>
    <s v="IN/001222"/>
    <s v="Ingreep schoolroute in Assenede op Kruipunt Noordstraat (N458) met Graafjanstraat en Tingelhoek."/>
    <s v="&lt;null&gt;"/>
    <s v="Kleine Ingreep"/>
    <s v="WOV/INV/N458/7"/>
    <b v="0"/>
    <s v="Ingreep wordt niet opgevolgd in BOD"/>
    <s v="&lt;null&gt;"/>
    <s v="&lt;null&gt;"/>
    <s v="&lt;null&gt;"/>
    <s v="&lt;null&gt;"/>
    <n v="100"/>
    <m/>
    <m/>
  </r>
  <r>
    <x v="1138"/>
    <x v="1138"/>
    <s v="Verkeersveiligheid"/>
    <x v="4"/>
    <n v="1294"/>
    <s v="IN/001223"/>
    <s v="Ingreep schoolroute in Assenede op Kruispunt Ertveldesteenweg (N448) met Oosteeklodorp (N448) en Koning Albertstraat."/>
    <s v="&lt;null&gt;"/>
    <s v="Kleine Ingreep"/>
    <s v="&lt;null&gt;"/>
    <b v="0"/>
    <s v="Ingreep wordt niet opgevolgd in BOD"/>
    <s v="&lt;null&gt;"/>
    <s v="&lt;null&gt;"/>
    <s v="&lt;null&gt;"/>
    <s v="&lt;null&gt;"/>
    <n v="100"/>
    <m/>
    <m/>
  </r>
  <r>
    <x v="1139"/>
    <x v="1139"/>
    <s v="Verkeersveiligheid"/>
    <x v="4"/>
    <n v="1295"/>
    <s v="IN/001224"/>
    <s v="Ingreep schoolroute in Haaltert op Beekstraat/Kerkskendorp"/>
    <s v="&lt;null&gt;"/>
    <s v="Kleine Ingreep"/>
    <s v="WOV/INV/N460/8"/>
    <b v="0"/>
    <s v="Ingreep wordt niet opgevolgd in BOD"/>
    <s v="&lt;null&gt;"/>
    <s v="&lt;null&gt;"/>
    <s v="&lt;null&gt;"/>
    <s v="&lt;null&gt;"/>
    <n v="100"/>
    <m/>
    <m/>
  </r>
  <r>
    <x v="1140"/>
    <x v="1140"/>
    <s v="Verkeersveiligheid"/>
    <x v="4"/>
    <n v="1296"/>
    <s v="IN/001225"/>
    <s v="SRK: N9 Melle-Wetteren: fietspaden heraanleggen op Brusselsesteenweg tussen Oude Heirbaan en station Kwatrecht"/>
    <s v="&lt;null&gt;"/>
    <s v="Kleine Ingreep"/>
    <s v="WOV/INV/N9/21"/>
    <b v="1"/>
    <s v="Ingreep wordt opgevolgd in BOD"/>
    <n v="2022"/>
    <s v="Q3"/>
    <s v="WEGENIS"/>
    <s v="&lt;null&gt;"/>
    <n v="100"/>
    <n v="200000"/>
    <n v="200000"/>
  </r>
  <r>
    <x v="1141"/>
    <x v="1141"/>
    <s v="Verkeersveiligheid"/>
    <x v="4"/>
    <n v="1297"/>
    <s v="IN/001226"/>
    <s v="Ingreep schoolroute in Melle op Fietspaden Brusselsesteenweg tussen Ringvaart en Melle Leeuw"/>
    <s v="&lt;null&gt;"/>
    <s v="Kleine Ingreep"/>
    <s v="WOV/INV/N9/22"/>
    <b v="0"/>
    <s v="Ingreep wordt niet opgevolgd in BOD"/>
    <n v="2022"/>
    <s v="Q3"/>
    <s v="WEGENIS"/>
    <s v="&lt;null&gt;"/>
    <n v="100"/>
    <n v="100000"/>
    <n v="100000"/>
  </r>
  <r>
    <x v="1142"/>
    <x v="1142"/>
    <s v="Verkeersveiligheid"/>
    <x v="4"/>
    <n v="1298"/>
    <s v="IN/001227"/>
    <s v="Ingreep schoolroute in Melle op Geraardsbergsesteenweg doortocht Gontrode"/>
    <s v="&lt;null&gt;"/>
    <s v="Kleine Ingreep"/>
    <s v="WOV/INV/N465/4"/>
    <b v="0"/>
    <s v="Ingreep wordt niet opgevolgd in BOD"/>
    <n v="2022"/>
    <s v="Q3"/>
    <s v="WEGENIS"/>
    <s v="&lt;null&gt;"/>
    <n v="100"/>
    <n v="120000"/>
    <n v="120000"/>
  </r>
  <r>
    <x v="1143"/>
    <x v="1143"/>
    <s v="Verkeersveiligheid"/>
    <x v="4"/>
    <n v="1299"/>
    <s v="IN/001228"/>
    <s v="Ingreep schoolroute in Aalst op N406 - Gijzegem-Dorp/Pachthofstraat"/>
    <s v="&lt;null&gt;"/>
    <s v="Kleine Ingreep"/>
    <s v="WOV/INV/N406/5"/>
    <b v="0"/>
    <s v="Ingreep wordt niet opgevolgd in BOD"/>
    <s v="&lt;null&gt;"/>
    <s v="&lt;null&gt;"/>
    <s v="&lt;null&gt;"/>
    <s v="&lt;null&gt;"/>
    <n v="100"/>
    <m/>
    <m/>
  </r>
  <r>
    <x v="18"/>
    <x v="18"/>
    <s v="&lt;null&gt;"/>
    <x v="3"/>
    <n v="1300"/>
    <s v="IN/001229"/>
    <s v="Ingreep schoolroute in Geraardsbergen op N493 - Oudenaardsestraat"/>
    <s v="&lt;null&gt;"/>
    <s v="Kleine Ingreep"/>
    <s v="WOV/INV/N493/1"/>
    <b v="0"/>
    <s v="Ingreep wordt niet opgevolgd in BOD"/>
    <s v="&lt;null&gt;"/>
    <s v="&lt;null&gt;"/>
    <s v="OVERIGE"/>
    <s v="&lt;null&gt;"/>
    <m/>
    <n v="5000"/>
    <m/>
  </r>
  <r>
    <x v="1144"/>
    <x v="1144"/>
    <s v="Verkeersveiligheid"/>
    <x v="4"/>
    <n v="1301"/>
    <s v="IN/001230"/>
    <s v="SRK: N493 Geraardsbergen: verlagen boordsteen"/>
    <s v="&lt;null&gt;"/>
    <s v="Kleine Ingreep"/>
    <s v="WOV/INV/N493/2"/>
    <b v="0"/>
    <s v="Ingreep wordt niet opgevolgd in BOD"/>
    <n v="2021"/>
    <s v="Q4"/>
    <s v="OVERIGE"/>
    <s v="&lt;null&gt;"/>
    <n v="100"/>
    <n v="6390"/>
    <n v="6390"/>
  </r>
  <r>
    <x v="1145"/>
    <x v="1145"/>
    <s v="Verkeersveiligheid"/>
    <x v="4"/>
    <n v="1302"/>
    <s v="IN/001231"/>
    <s v="Ingreep schoolroute in Geraardsbergen op N493 - Oudenaardsestraat"/>
    <s v="&lt;null&gt;"/>
    <s v="Kleine Ingreep"/>
    <s v="WOV/INV/N493/3"/>
    <b v="0"/>
    <s v="Ingreep wordt niet opgevolgd in BOD"/>
    <s v="&lt;null&gt;"/>
    <s v="&lt;null&gt;"/>
    <s v="OVERIGE"/>
    <s v="&lt;null&gt;"/>
    <n v="100"/>
    <n v="5000"/>
    <n v="5000"/>
  </r>
  <r>
    <x v="18"/>
    <x v="18"/>
    <s v="&lt;null&gt;"/>
    <x v="3"/>
    <n v="1303"/>
    <s v="IN/001232"/>
    <s v="Ingreep schoolroute in Geraardsbergen op N495 - Edingseweg - Zonnebloemstraat"/>
    <s v="&lt;null&gt;"/>
    <s v="Kleine Ingreep"/>
    <s v="WOV/INV/N495/2"/>
    <b v="0"/>
    <s v="Ingreep wordt niet opgevolgd in BOD"/>
    <n v="2022"/>
    <s v="Q2"/>
    <s v="OVERIGE"/>
    <s v="op relance bestek"/>
    <m/>
    <n v="1500"/>
    <m/>
  </r>
  <r>
    <x v="1146"/>
    <x v="1146"/>
    <s v="Verkeersveiligheid"/>
    <x v="4"/>
    <n v="1304"/>
    <s v="IN/001233"/>
    <s v="Ingreep schoolroute in Geraardsbergen op N495 - Edingseweg - Zonnebloemstraat"/>
    <s v="&lt;null&gt;"/>
    <s v="Kleine Ingreep"/>
    <s v="WOV/INV/N495/3"/>
    <b v="0"/>
    <s v="Ingreep wordt niet opgevolgd in BOD"/>
    <s v="&lt;null&gt;"/>
    <s v="&lt;null&gt;"/>
    <s v="&lt;null&gt;"/>
    <s v="&lt;null&gt;"/>
    <n v="100"/>
    <m/>
    <m/>
  </r>
  <r>
    <x v="1147"/>
    <x v="1147"/>
    <s v="Verkeersveiligheid"/>
    <x v="4"/>
    <n v="1305"/>
    <s v="IN/001234"/>
    <s v="Ingreep schoolroute in Geraardsbergen op N495 - Edingseweg - Zonnebloemstraat"/>
    <s v="&lt;null&gt;"/>
    <s v="Kleine Ingreep"/>
    <s v="WOV/INV/N495/4"/>
    <b v="0"/>
    <s v="Ingreep wordt niet opgevolgd in BOD"/>
    <s v="&lt;null&gt;"/>
    <s v="&lt;null&gt;"/>
    <s v="&lt;null&gt;"/>
    <s v="&lt;null&gt;"/>
    <n v="100"/>
    <m/>
    <m/>
  </r>
  <r>
    <x v="1148"/>
    <x v="1148"/>
    <s v="Verkeersveiligheid"/>
    <x v="4"/>
    <n v="1306"/>
    <s v="IN/001235"/>
    <s v="SRK: N8 Geraardsbergen: fietsoversteken over dit kruispunt accentueren"/>
    <s v="&lt;null&gt;"/>
    <s v="Kleine Ingreep"/>
    <s v="WOV/INV/N8/11"/>
    <b v="0"/>
    <s v="Ingreep wordt niet opgevolgd in BOD"/>
    <n v="2021"/>
    <s v="Q1"/>
    <s v="WEGENIS"/>
    <s v="O40 D415 66"/>
    <n v="100"/>
    <n v="500"/>
    <n v="500"/>
  </r>
  <r>
    <x v="1149"/>
    <x v="1149"/>
    <s v="Verkeersveiligheid"/>
    <x v="4"/>
    <n v="1307"/>
    <s v="IN/001236"/>
    <s v="SRK: N70 Sint-Niklaas: aanpassing VRI"/>
    <s v="&lt;null&gt;"/>
    <s v="Kleine Ingreep"/>
    <s v="WOV/INV/NX/5"/>
    <b v="0"/>
    <s v="Ingreep wordt niet opgevolgd in BOD"/>
    <n v="2021"/>
    <s v="Q4"/>
    <s v="OVERIGE"/>
    <s v="&lt;null&gt;"/>
    <n v="100"/>
    <n v="1500"/>
    <n v="1500"/>
  </r>
  <r>
    <x v="1150"/>
    <x v="1150"/>
    <s v="Verkeersveiligheid"/>
    <x v="4"/>
    <n v="1308"/>
    <s v="IN/001237"/>
    <s v="Ingreep schoolroute in Oudenaarde op Deinzestraat (N459) x Industriepark De Bruwaan"/>
    <s v="&lt;null&gt;"/>
    <s v="Kleine Ingreep"/>
    <s v="&lt;null&gt;"/>
    <b v="0"/>
    <s v="Ingreep wordt niet opgevolgd in BOD"/>
    <s v="&lt;null&gt;"/>
    <s v="&lt;null&gt;"/>
    <s v="&lt;null&gt;"/>
    <s v="&lt;null&gt;"/>
    <n v="100"/>
    <m/>
    <m/>
  </r>
  <r>
    <x v="1151"/>
    <x v="1151"/>
    <s v="Verkeersveiligheid"/>
    <x v="4"/>
    <n v="1309"/>
    <s v="IN/001238"/>
    <s v="Ingreep schoolroute in Lede op Kruispunt N442 Markt met Nieuwstraat"/>
    <s v="&lt;null&gt;"/>
    <s v="Kleine Ingreep"/>
    <s v="WOV/INV/N442/3"/>
    <b v="0"/>
    <s v="Ingreep wordt niet opgevolgd in BOD"/>
    <s v="&lt;null&gt;"/>
    <s v="&lt;null&gt;"/>
    <s v="&lt;null&gt;"/>
    <s v="&lt;null&gt;"/>
    <n v="100"/>
    <m/>
    <m/>
  </r>
  <r>
    <x v="1152"/>
    <x v="1152"/>
    <s v="Verkeersveiligheid"/>
    <x v="4"/>
    <n v="1310"/>
    <s v="IN/001239"/>
    <s v="Ingreep schoolroute in Lede op kruispunt Hoogstraat (N442) met Julius De Geyterstraat"/>
    <s v="&lt;null&gt;"/>
    <s v="Kleine Ingreep"/>
    <s v="WOV/INV/N442/4"/>
    <b v="0"/>
    <s v="Ingreep wordt niet opgevolgd in BOD"/>
    <s v="&lt;null&gt;"/>
    <s v="&lt;null&gt;"/>
    <s v="&lt;null&gt;"/>
    <s v="&lt;null&gt;"/>
    <n v="100"/>
    <m/>
    <m/>
  </r>
  <r>
    <x v="1153"/>
    <x v="1153"/>
    <s v="Verkeersveiligheid"/>
    <x v="4"/>
    <n v="1352"/>
    <s v="IN/001240"/>
    <s v="Plaatsing VVOP"/>
    <s v="&lt;null&gt;"/>
    <s v="Kleine Ingreep"/>
    <s v="WA/INV/N18/16"/>
    <b v="0"/>
    <s v="Ingreep wordt niet opgevolgd in BOD"/>
    <n v="2022"/>
    <s v="Q3"/>
    <s v="OV"/>
    <s v="&lt;null&gt;"/>
    <n v="100"/>
    <n v="40000"/>
    <n v="40000"/>
  </r>
  <r>
    <x v="559"/>
    <x v="559"/>
    <s v="Verkeersveiligheid"/>
    <x v="1"/>
    <n v="1353"/>
    <s v="IN/001241"/>
    <s v="plaatsing VVOP"/>
    <s v="&lt;null&gt;"/>
    <s v="Kleine Ingreep"/>
    <s v="&lt;null&gt;"/>
    <b v="0"/>
    <s v="Ingreep wordt niet opgevolgd in BOD"/>
    <s v="&lt;null&gt;"/>
    <s v="&lt;null&gt;"/>
    <s v="&lt;null&gt;"/>
    <s v="&lt;null&gt;"/>
    <n v="50"/>
    <m/>
    <m/>
  </r>
  <r>
    <x v="1154"/>
    <x v="1154"/>
    <s v="Verkeersveiligheid"/>
    <x v="4"/>
    <n v="1353"/>
    <s v="IN/001241"/>
    <s v="plaatsing VVOP"/>
    <s v="&lt;null&gt;"/>
    <s v="Kleine Ingreep"/>
    <s v="&lt;null&gt;"/>
    <b v="0"/>
    <s v="Ingreep wordt niet opgevolgd in BOD"/>
    <s v="&lt;null&gt;"/>
    <s v="&lt;null&gt;"/>
    <s v="&lt;null&gt;"/>
    <s v="&lt;null&gt;"/>
    <n v="50"/>
    <m/>
    <m/>
  </r>
  <r>
    <x v="18"/>
    <x v="18"/>
    <s v="&lt;null&gt;"/>
    <x v="3"/>
    <n v="1354"/>
    <s v="IN/001242"/>
    <s v="Bypassen worden weggewerkt, mee onder de VRI"/>
    <s v="&lt;null&gt;"/>
    <s v="Structurele Ingreep"/>
    <s v="&lt;null&gt;"/>
    <b v="0"/>
    <s v="Ingreep wordt niet opgevolgd in BOD"/>
    <n v="2022"/>
    <s v="Q2"/>
    <s v="VRI"/>
    <s v="&lt;null&gt;"/>
    <m/>
    <n v="250000"/>
    <m/>
  </r>
  <r>
    <x v="18"/>
    <x v="18"/>
    <s v="&lt;null&gt;"/>
    <x v="3"/>
    <n v="1354"/>
    <s v="IN/001242"/>
    <s v="Bypassen worden weggewerkt, mee onder de VRI"/>
    <s v="&lt;null&gt;"/>
    <s v="Structurele Ingreep"/>
    <s v="&lt;null&gt;"/>
    <b v="0"/>
    <s v="Ingreep wordt niet opgevolgd in BOD"/>
    <n v="2022"/>
    <s v="Q2"/>
    <s v="WEGENIS"/>
    <s v="&lt;null&gt;"/>
    <m/>
    <n v="350000"/>
    <m/>
  </r>
  <r>
    <x v="1155"/>
    <x v="1155"/>
    <s v="Verkeersveiligheid"/>
    <x v="4"/>
    <n v="1355"/>
    <s v="IN/001243"/>
    <s v="Ingreep schoolroute KS390 - Naamsesteenweg"/>
    <s v="- vervolledigen VVOP\n\n"/>
    <s v="Kleine Ingreep"/>
    <s v="WL/INV/N80/4"/>
    <b v="0"/>
    <s v="Ingreep wordt niet opgevolgd in BOD"/>
    <n v="2018"/>
    <s v="&lt;null&gt;"/>
    <s v="OV"/>
    <s v="&lt;null&gt;"/>
    <n v="100"/>
    <n v="1"/>
    <n v="1"/>
  </r>
  <r>
    <x v="18"/>
    <x v="18"/>
    <s v="&lt;null&gt;"/>
    <x v="3"/>
    <n v="1402"/>
    <s v="IN/001244"/>
    <s v="nieuwe ingreep"/>
    <s v="&lt;null&gt;"/>
    <s v="Kleine Ingreep"/>
    <s v="&lt;null&gt;"/>
    <b v="0"/>
    <s v="Ingreep wordt niet opgevolgd in BOD"/>
    <n v="2021"/>
    <s v="&lt;null&gt;"/>
    <s v="WEGENIS"/>
    <s v="&lt;null&gt;"/>
    <m/>
    <n v="0"/>
    <m/>
  </r>
  <r>
    <x v="1091"/>
    <x v="1091"/>
    <s v="Verkeersveiligheid"/>
    <x v="4"/>
    <n v="1403"/>
    <s v="IN/001245"/>
    <s v="SRK: N494 Wortegem-Petegem: aanleg fietssuggestiestroken"/>
    <s v="Aanleg fietssuggestiestroken;\nAanpassing wegbeeld (gevat in ks 375)."/>
    <s v="Kleine Ingreep"/>
    <s v="WOV/INV/N494/4"/>
    <b v="0"/>
    <s v="Ingreep wordt niet opgevolgd in BOD"/>
    <n v="2021"/>
    <s v="Q4"/>
    <s v="WEGENIS"/>
    <s v="&lt;null&gt;"/>
    <n v="100"/>
    <n v="2000"/>
    <n v="2000"/>
  </r>
  <r>
    <x v="1156"/>
    <x v="1156"/>
    <s v="Verkeersveiligheid"/>
    <x v="5"/>
    <n v="1404"/>
    <s v="IN/001246"/>
    <s v="Kruispunt N399 met Baronielaan te Meulebeke - fietsoversteek"/>
    <s v="Kruispunt N399 met Baronielaan te Meulebeke - fietsoversteek"/>
    <s v="Kleine Ingreep"/>
    <s v="WWV/INV/N399/2"/>
    <b v="1"/>
    <s v="Ingreep wordt opgevolgd in BOD"/>
    <n v="2021"/>
    <s v="Q4"/>
    <s v="OVERIGE"/>
    <s v="&lt;null&gt;"/>
    <n v="100"/>
    <n v="25000"/>
    <n v="25000"/>
  </r>
  <r>
    <x v="1157"/>
    <x v="1157"/>
    <s v="Verkeersveiligheid"/>
    <x v="5"/>
    <n v="1405"/>
    <s v="IN/001247"/>
    <s v="Beveiliging oversteken Bijlanderpad"/>
    <s v="Uitvoering conform PCV"/>
    <s v="Kleine Ingreep"/>
    <s v="WWV/INV/N331/2"/>
    <b v="1"/>
    <s v="Ingreep wordt opgevolgd in BOD"/>
    <n v="2023"/>
    <s v="&lt;null&gt;"/>
    <s v="WEGENIS"/>
    <s v="&lt;null&gt;"/>
    <n v="100"/>
    <n v="225000"/>
    <n v="225000"/>
  </r>
  <r>
    <x v="1158"/>
    <x v="1158"/>
    <s v="Verkeersveiligheid"/>
    <x v="5"/>
    <n v="1406"/>
    <s v="IN/001248"/>
    <s v="Poorteffect N314 Mesen"/>
    <s v="Aanleg van een poorteffect op de N314 bij het binnenrijden van Mesen, vóór Covameat."/>
    <s v="Kleine Ingreep"/>
    <s v="WWV/INV/N314/2"/>
    <b v="1"/>
    <s v="Ingreep wordt opgevolgd in BOD"/>
    <n v="2022"/>
    <s v="&lt;null&gt;"/>
    <s v="WEGENIS"/>
    <s v="&lt;null&gt;"/>
    <n v="100"/>
    <n v="100000"/>
    <n v="100000"/>
  </r>
  <r>
    <x v="1159"/>
    <x v="1159"/>
    <s v="Verkeersveiligheid"/>
    <x v="5"/>
    <n v="1407"/>
    <s v="IN/001249"/>
    <s v="Verbeteren oversteekbaarheid fietsers N38"/>
    <s v="Verplaatsen fietspad, creëren nieuwe oversteek over de N38 en over de N313 conform PCV. Aanleg nieuwe bushaltes ikv nieuwe lijnvoering."/>
    <s v="Kleine Ingreep"/>
    <s v="WWV/INV/N38/3"/>
    <b v="1"/>
    <s v="Ingreep wordt opgevolgd in BOD"/>
    <n v="2023"/>
    <s v="Q2"/>
    <s v="WEGENIS"/>
    <s v="&lt;null&gt;"/>
    <n v="100"/>
    <n v="300000"/>
    <n v="300000"/>
  </r>
  <r>
    <x v="1160"/>
    <x v="1160"/>
    <s v="Verkeersveiligheid"/>
    <x v="5"/>
    <n v="1408"/>
    <s v="IN/001250"/>
    <s v="Vrijliggend maken fietspaden op rotonde."/>
    <s v="&lt;null&gt;"/>
    <s v="Kleine Ingreep"/>
    <s v="WWV/INV/N313/4"/>
    <b v="1"/>
    <s v="Ingreep wordt opgevolgd in BOD"/>
    <n v="2023"/>
    <s v="Q2"/>
    <s v="WEGENIS"/>
    <s v="&lt;null&gt;"/>
    <n v="100"/>
    <n v="50000"/>
    <n v="50000"/>
  </r>
  <r>
    <x v="1160"/>
    <x v="1160"/>
    <s v="Verkeersveiligheid"/>
    <x v="5"/>
    <n v="1408"/>
    <s v="IN/001250"/>
    <s v="Vrijliggend maken fietspaden op rotonde."/>
    <s v="&lt;null&gt;"/>
    <s v="Kleine Ingreep"/>
    <s v="WWV/INV/N313/4"/>
    <b v="1"/>
    <s v="Ingreep wordt opgevolgd in BOD"/>
    <n v="2023"/>
    <s v="Q2"/>
    <s v="OV"/>
    <s v="Punctuele verlichting"/>
    <n v="100"/>
    <n v="30000"/>
    <n v="30000"/>
  </r>
  <r>
    <x v="1161"/>
    <x v="1161"/>
    <s v="Verkeersveiligheid"/>
    <x v="5"/>
    <n v="1409"/>
    <s v="IN/001251"/>
    <s v="Poorteffect Geluwe"/>
    <s v="Poorteffect bij het binnenrijden van de bebouwde kom Geluwe."/>
    <s v="Kleine Ingreep"/>
    <s v="WWV/INV/N8/29"/>
    <b v="1"/>
    <s v="Ingreep wordt opgevolgd in BOD"/>
    <n v="2022"/>
    <s v="Q3"/>
    <s v="WEGENIS"/>
    <s v="&lt;null&gt;"/>
    <n v="100"/>
    <n v="200000"/>
    <n v="200000"/>
  </r>
  <r>
    <x v="1162"/>
    <x v="1162"/>
    <s v="Verkeersveiligheid"/>
    <x v="5"/>
    <n v="1410"/>
    <s v="IN/001252"/>
    <s v="Aanleg dubbelrichtingsfietspad tussen de Victoriastraat en de Galooiestraat"/>
    <s v="Missing link lokaal fietsnetwerk."/>
    <s v="Kleine Ingreep"/>
    <s v="WWV/INV/N322/3"/>
    <b v="1"/>
    <s v="Ingreep wordt opgevolgd in BOD"/>
    <n v="2022"/>
    <s v="Q4"/>
    <s v="WEGENIS"/>
    <s v="wordt uitgevoerd met MIA"/>
    <n v="100"/>
    <n v="240000"/>
    <n v="240000"/>
  </r>
  <r>
    <x v="1163"/>
    <x v="1163"/>
    <s v="Verkeersveiligheid"/>
    <x v="4"/>
    <n v="1411"/>
    <s v="IN/001253"/>
    <s v="Fietsoversteek Bovekerkestraat"/>
    <s v="Creëren fietsoversteek met rustpunt ter hoogte van de Bovekerkestraat"/>
    <s v="Kleine Ingreep"/>
    <s v="WWV/INV/N363/2"/>
    <b v="1"/>
    <s v="Ingreep wordt opgevolgd in BOD"/>
    <n v="2022"/>
    <s v="Q2"/>
    <s v="WEGENIS"/>
    <s v="&lt;null&gt;"/>
    <n v="0"/>
    <n v="160000"/>
    <n v="0"/>
  </r>
  <r>
    <x v="1164"/>
    <x v="1164"/>
    <s v="Verkeersveiligheid"/>
    <x v="5"/>
    <n v="1411"/>
    <s v="IN/001253"/>
    <s v="Fietsoversteek Bovekerkestraat"/>
    <s v="Creëren fietsoversteek met rustpunt ter hoogte van de Bovekerkestraat"/>
    <s v="Kleine Ingreep"/>
    <s v="WWV/INV/N363/2"/>
    <b v="1"/>
    <s v="Ingreep wordt opgevolgd in BOD"/>
    <n v="2022"/>
    <s v="Q2"/>
    <s v="WEGENIS"/>
    <s v="&lt;null&gt;"/>
    <n v="100"/>
    <n v="160000"/>
    <n v="160000"/>
  </r>
  <r>
    <x v="1165"/>
    <x v="1165"/>
    <s v="Verkeersveiligheid"/>
    <x v="5"/>
    <n v="1412"/>
    <s v="IN/001254"/>
    <s v="Beveiligen kruispunt Eikenlaan"/>
    <s v="Aanleg in- en uitvoegstrook van en naar de Eikenlaan"/>
    <s v="Kleine Ingreep"/>
    <s v="WWV/INV/N382/12"/>
    <b v="1"/>
    <s v="Ingreep wordt opgevolgd in BOD"/>
    <n v="2023"/>
    <s v="&lt;null&gt;"/>
    <s v="WEGENIS"/>
    <s v="&lt;null&gt;"/>
    <n v="100"/>
    <n v="402000"/>
    <n v="402000"/>
  </r>
  <r>
    <x v="1035"/>
    <x v="1035"/>
    <s v="Verkeersveiligheid"/>
    <x v="4"/>
    <n v="1413"/>
    <s v="IN/001255"/>
    <s v="Herindeling wegvak N494 Wortegemsesteenweg"/>
    <s v="Versmallen rijweg, asverschuivingen, herindeling rijweg. Binnen bebouwde kom."/>
    <s v="Kleine Ingreep"/>
    <s v="WWV/INV/N494/2"/>
    <b v="1"/>
    <s v="Ingreep wordt opgevolgd in BOD"/>
    <n v="2023"/>
    <s v="&lt;null&gt;"/>
    <s v="WEGENIS"/>
    <s v="&lt;null&gt;"/>
    <n v="50"/>
    <n v="375000"/>
    <n v="187500"/>
  </r>
  <r>
    <x v="1035"/>
    <x v="1035"/>
    <s v="Verkeersveiligheid"/>
    <x v="4"/>
    <n v="1413"/>
    <s v="IN/001255"/>
    <s v="Herindeling wegvak N494 Wortegemsesteenweg"/>
    <s v="Versmallen rijweg, asverschuivingen, herindeling rijweg. Binnen bebouwde kom."/>
    <s v="Kleine Ingreep"/>
    <s v="WWV/INV/N494/2"/>
    <b v="1"/>
    <s v="Ingreep wordt opgevolgd in BOD"/>
    <n v="2021"/>
    <s v="&lt;null&gt;"/>
    <s v="WEGENIS"/>
    <s v="Proefopstelling"/>
    <n v="50"/>
    <n v="10000"/>
    <n v="5000"/>
  </r>
  <r>
    <x v="1166"/>
    <x v="1166"/>
    <s v="Verkeersveiligheid"/>
    <x v="5"/>
    <n v="1413"/>
    <s v="IN/001255"/>
    <s v="Herindeling wegvak N494 Wortegemsesteenweg"/>
    <s v="Versmallen rijweg, asverschuivingen, herindeling rijweg. Binnen bebouwde kom."/>
    <s v="Kleine Ingreep"/>
    <s v="WWV/INV/N494/2"/>
    <b v="1"/>
    <s v="Ingreep wordt opgevolgd in BOD"/>
    <n v="2021"/>
    <s v="&lt;null&gt;"/>
    <s v="WEGENIS"/>
    <s v="Proefopstelling"/>
    <n v="50"/>
    <n v="10000"/>
    <n v="5000"/>
  </r>
  <r>
    <x v="1166"/>
    <x v="1166"/>
    <s v="Verkeersveiligheid"/>
    <x v="5"/>
    <n v="1413"/>
    <s v="IN/001255"/>
    <s v="Herindeling wegvak N494 Wortegemsesteenweg"/>
    <s v="Versmallen rijweg, asverschuivingen, herindeling rijweg. Binnen bebouwde kom."/>
    <s v="Kleine Ingreep"/>
    <s v="WWV/INV/N494/2"/>
    <b v="1"/>
    <s v="Ingreep wordt opgevolgd in BOD"/>
    <n v="2023"/>
    <s v="&lt;null&gt;"/>
    <s v="WEGENIS"/>
    <s v="&lt;null&gt;"/>
    <n v="50"/>
    <n v="375000"/>
    <n v="187500"/>
  </r>
  <r>
    <x v="1167"/>
    <x v="1167"/>
    <s v="Verkeersveiligheid"/>
    <x v="5"/>
    <n v="1414"/>
    <s v="IN/001256"/>
    <s v="Beveiligen ontsluiting Menen-Grensland"/>
    <s v="&lt;null&gt;"/>
    <s v="Kleine Ingreep"/>
    <s v="WWV/INV/N338/1"/>
    <b v="1"/>
    <s v="Ingreep wordt opgevolgd in BOD"/>
    <n v="2023"/>
    <s v="Q1"/>
    <s v="WEGENIS"/>
    <s v="&lt;null&gt;"/>
    <n v="100"/>
    <n v="75000"/>
    <n v="75000"/>
  </r>
  <r>
    <x v="1168"/>
    <x v="1168"/>
    <s v="Verkeersveiligheid"/>
    <x v="5"/>
    <n v="1415"/>
    <s v="IN/001257"/>
    <s v="Beveiligen wegvak tussen Lendelede en Kuurne"/>
    <s v="Aanleg middenberm om inhaalmanoeuvres die aanleiding geven tot frontale ongevallen uit te sluiten."/>
    <s v="Kleine Ingreep"/>
    <s v="WWV/INV/N36/11"/>
    <b v="1"/>
    <s v="Ingreep wordt opgevolgd in BOD"/>
    <s v="&lt;null&gt;"/>
    <s v="&lt;null&gt;"/>
    <s v="WEGENIS"/>
    <s v="&lt;null&gt;"/>
    <n v="100"/>
    <n v="410000"/>
    <n v="410000"/>
  </r>
  <r>
    <x v="1169"/>
    <x v="1169"/>
    <s v="Verkeersveiligheid"/>
    <x v="5"/>
    <n v="1416"/>
    <s v="IN/001258"/>
    <s v="Optimaliseren kruispunt"/>
    <s v="Naar aanleiding van de afbraak van het hoekgebouw in de noordwestelijke hoek van het kruispunt wordt het kruispunt geoptimaliseerd."/>
    <s v="Kleine Ingreep"/>
    <s v="WWV/INV/N8/28"/>
    <b v="1"/>
    <s v="Ingreep wordt opgevolgd in BOD"/>
    <n v="2022"/>
    <s v="&lt;null&gt;"/>
    <s v="WEGENIS"/>
    <s v="&lt;null&gt;"/>
    <n v="100"/>
    <n v="100000"/>
    <n v="100000"/>
  </r>
  <r>
    <x v="1170"/>
    <x v="1170"/>
    <s v="Verkeersveiligheid"/>
    <x v="5"/>
    <n v="1417"/>
    <s v="IN/001259"/>
    <s v="aanleg oversteken en fietspad tussen Schelde en Nijverheidslaan"/>
    <s v="Aanleg dubbelrichtingsfietspad en oversteken."/>
    <s v="Kleine Ingreep"/>
    <s v="WWV/INV/N391/2"/>
    <b v="1"/>
    <s v="Ingreep wordt opgevolgd in BOD"/>
    <n v="2023"/>
    <s v="&lt;null&gt;"/>
    <s v="WEGENIS"/>
    <s v="omgevingsvergunning"/>
    <n v="100"/>
    <n v="200000"/>
    <n v="200000"/>
  </r>
  <r>
    <x v="1171"/>
    <x v="1171"/>
    <s v="Verkeersveiligheid"/>
    <x v="5"/>
    <n v="1418"/>
    <s v="IN/001260"/>
    <s v="herindeling wegvak"/>
    <s v="markeren ontbrekend stuk fietspad, herindelen openbare weg, oversteek Guldensporenpad."/>
    <s v="Kleine Ingreep"/>
    <s v="WWV/INV/N353/3"/>
    <b v="1"/>
    <s v="Ingreep wordt opgevolgd in BOD"/>
    <n v="2022"/>
    <s v="Q2"/>
    <s v="OV"/>
    <s v="Punctuele verlichting gecombineerde VVOP/VFOP"/>
    <n v="100"/>
    <n v="33000"/>
    <n v="33000"/>
  </r>
  <r>
    <x v="1171"/>
    <x v="1171"/>
    <s v="Verkeersveiligheid"/>
    <x v="5"/>
    <n v="1418"/>
    <s v="IN/001260"/>
    <s v="herindeling wegvak"/>
    <s v="markeren ontbrekend stuk fietspad, herindelen openbare weg, oversteek Guldensporenpad."/>
    <s v="Kleine Ingreep"/>
    <s v="WWV/INV/N353/3"/>
    <b v="1"/>
    <s v="Ingreep wordt opgevolgd in BOD"/>
    <n v="2022"/>
    <s v="Q2"/>
    <s v="WEGENIS"/>
    <s v="start 9 mei tot 22 juni"/>
    <n v="100"/>
    <n v="65000"/>
    <n v="65000"/>
  </r>
  <r>
    <x v="1172"/>
    <x v="1172"/>
    <s v="Verkeersveiligheid"/>
    <x v="5"/>
    <n v="1419"/>
    <s v="IN/001261"/>
    <s v="Aanpassing fietsinfrastructuur op het lichtengeregeld kruispunt"/>
    <s v="Herinrichting kruispunt N399/N327"/>
    <s v="Kleine Ingreep"/>
    <s v="WWV/INV/N327/4"/>
    <b v="1"/>
    <s v="Ingreep wordt opgevolgd in BOD"/>
    <n v="2022"/>
    <s v="Q1"/>
    <s v="VRI"/>
    <s v="Kabelwerken"/>
    <n v="100"/>
    <n v="90000"/>
    <n v="90000"/>
  </r>
  <r>
    <x v="1172"/>
    <x v="1172"/>
    <s v="Verkeersveiligheid"/>
    <x v="5"/>
    <n v="1419"/>
    <s v="IN/001261"/>
    <s v="Aanpassing fietsinfrastructuur op het lichtengeregeld kruispunt"/>
    <s v="Herinrichting kruispunt N399/N327"/>
    <s v="Kleine Ingreep"/>
    <s v="WWV/INV/N327/4"/>
    <b v="1"/>
    <s v="Ingreep wordt opgevolgd in BOD"/>
    <n v="2022"/>
    <s v="Q1"/>
    <s v="WEGENIS"/>
    <s v="&lt;null&gt;"/>
    <n v="100"/>
    <n v="400000"/>
    <n v="400000"/>
  </r>
  <r>
    <x v="1173"/>
    <x v="1173"/>
    <s v="Verkeersveiligheid"/>
    <x v="4"/>
    <n v="1420"/>
    <s v="IN/001262"/>
    <s v="Creëren rustpunt tvv fietssnelweg F351"/>
    <s v="Sluit aan op fietspadenproject provincie"/>
    <s v="Kleine Ingreep"/>
    <s v="WWV/INV/N36/10"/>
    <b v="1"/>
    <s v="Ingreep wordt opgevolgd in BOD"/>
    <n v="2022"/>
    <s v="Q1"/>
    <s v="WEGENIS"/>
    <s v="&lt;null&gt;"/>
    <n v="10"/>
    <n v="70000"/>
    <n v="7000"/>
  </r>
  <r>
    <x v="1174"/>
    <x v="1174"/>
    <s v="Verkeersveiligheid"/>
    <x v="5"/>
    <n v="1420"/>
    <s v="IN/001262"/>
    <s v="Creëren rustpunt tvv fietssnelweg F351"/>
    <s v="Sluit aan op fietspadenproject provincie"/>
    <s v="Kleine Ingreep"/>
    <s v="WWV/INV/N36/10"/>
    <b v="1"/>
    <s v="Ingreep wordt opgevolgd in BOD"/>
    <n v="2022"/>
    <s v="Q1"/>
    <s v="WEGENIS"/>
    <s v="&lt;null&gt;"/>
    <n v="90"/>
    <n v="70000"/>
    <n v="63000"/>
  </r>
  <r>
    <x v="1175"/>
    <x v="1175"/>
    <s v="Verkeersveiligheid"/>
    <x v="4"/>
    <n v="1421"/>
    <s v="IN/001263"/>
    <s v="Kruispunt N50904 - N357"/>
    <s v="Beveiligen kruispunt N357 met de Spoorwegstraat"/>
    <s v="Kleine Ingreep"/>
    <s v="WWV/INV/N357/7"/>
    <b v="1"/>
    <s v="Ingreep wordt opgevolgd in BOD"/>
    <n v="2021"/>
    <s v="Q3"/>
    <s v="OVERIGE"/>
    <s v="fietslogo's spoorweg tot Ketenstraat"/>
    <n v="5"/>
    <n v="1500"/>
    <n v="75"/>
  </r>
  <r>
    <x v="1175"/>
    <x v="1175"/>
    <s v="Verkeersveiligheid"/>
    <x v="4"/>
    <n v="1421"/>
    <s v="IN/001263"/>
    <s v="Kruispunt N50904 - N357"/>
    <s v="Beveiligen kruispunt N357 met de Spoorwegstraat"/>
    <s v="Kleine Ingreep"/>
    <s v="WWV/INV/N357/7"/>
    <b v="1"/>
    <s v="Ingreep wordt opgevolgd in BOD"/>
    <n v="2022"/>
    <s v="Q2"/>
    <s v="WEGENIS"/>
    <s v="&lt;null&gt;"/>
    <n v="5"/>
    <n v="120000"/>
    <n v="6000"/>
  </r>
  <r>
    <x v="1176"/>
    <x v="1176"/>
    <s v="Verkeersveiligheid"/>
    <x v="4"/>
    <n v="1421"/>
    <s v="IN/001263"/>
    <s v="Kruispunt N50904 - N357"/>
    <s v="Beveiligen kruispunt N357 met de Spoorwegstraat"/>
    <s v="Kleine Ingreep"/>
    <s v="WWV/INV/N357/7"/>
    <b v="1"/>
    <s v="Ingreep wordt opgevolgd in BOD"/>
    <n v="2021"/>
    <s v="Q3"/>
    <s v="OVERIGE"/>
    <s v="fietslogo's spoorweg tot Ketenstraat"/>
    <n v="5"/>
    <n v="1500"/>
    <n v="75"/>
  </r>
  <r>
    <x v="1176"/>
    <x v="1176"/>
    <s v="Verkeersveiligheid"/>
    <x v="4"/>
    <n v="1421"/>
    <s v="IN/001263"/>
    <s v="Kruispunt N50904 - N357"/>
    <s v="Beveiligen kruispunt N357 met de Spoorwegstraat"/>
    <s v="Kleine Ingreep"/>
    <s v="WWV/INV/N357/7"/>
    <b v="1"/>
    <s v="Ingreep wordt opgevolgd in BOD"/>
    <n v="2022"/>
    <s v="Q2"/>
    <s v="WEGENIS"/>
    <s v="&lt;null&gt;"/>
    <n v="5"/>
    <n v="120000"/>
    <n v="6000"/>
  </r>
  <r>
    <x v="1177"/>
    <x v="1177"/>
    <s v="Verkeersveiligheid"/>
    <x v="5"/>
    <n v="1421"/>
    <s v="IN/001263"/>
    <s v="Kruispunt N50904 - N357"/>
    <s v="Beveiligen kruispunt N357 met de Spoorwegstraat"/>
    <s v="Kleine Ingreep"/>
    <s v="WWV/INV/N357/7"/>
    <b v="1"/>
    <s v="Ingreep wordt opgevolgd in BOD"/>
    <n v="2021"/>
    <s v="Q3"/>
    <s v="OVERIGE"/>
    <s v="fietslogo's spoorweg tot Ketenstraat"/>
    <n v="90"/>
    <n v="1500"/>
    <n v="1350"/>
  </r>
  <r>
    <x v="1177"/>
    <x v="1177"/>
    <s v="Verkeersveiligheid"/>
    <x v="5"/>
    <n v="1421"/>
    <s v="IN/001263"/>
    <s v="Kruispunt N50904 - N357"/>
    <s v="Beveiligen kruispunt N357 met de Spoorwegstraat"/>
    <s v="Kleine Ingreep"/>
    <s v="WWV/INV/N357/7"/>
    <b v="1"/>
    <s v="Ingreep wordt opgevolgd in BOD"/>
    <n v="2022"/>
    <s v="Q2"/>
    <s v="WEGENIS"/>
    <s v="&lt;null&gt;"/>
    <n v="90"/>
    <n v="120000"/>
    <n v="108000"/>
  </r>
  <r>
    <x v="1178"/>
    <x v="1178"/>
    <s v="Fiets"/>
    <x v="0"/>
    <n v="1422"/>
    <s v="IN/001264"/>
    <s v="Fietsrelance R22 VIlvoorde / Grimbergen- overlagen vrijliggende fietspaden"/>
    <s v="R22 Vilvoorde / Grimbergen - frezen 3cm beton en aanlag toplaag AB-4D 3 cm"/>
    <s v="Kleine Ingreep"/>
    <s v="WVB/INV/R22/3"/>
    <b v="1"/>
    <s v="Ingreep wordt opgevolgd in BOD"/>
    <n v="2022"/>
    <s v="Q2"/>
    <s v="WEGENIS"/>
    <s v="&lt;null&gt;"/>
    <n v="100"/>
    <n v="249294.93"/>
    <n v="249294.93"/>
  </r>
  <r>
    <x v="1179"/>
    <x v="1179"/>
    <s v="Fiets"/>
    <x v="0"/>
    <n v="1423"/>
    <s v="IN/001265"/>
    <s v="Fietsrelance N4 - vervangen klinkers door asfaltverharding"/>
    <s v="N4 Overijse - uitbreken klinkers en aanleg verharding KWS - Plaatselijk aanleg / vervangen boordstenen"/>
    <s v="Kleine Ingreep"/>
    <s v="WVB/INV/N4/7"/>
    <b v="1"/>
    <s v="Ingreep wordt opgevolgd in BOD"/>
    <n v="2022"/>
    <s v="Q3"/>
    <s v="WEGENIS"/>
    <s v="&lt;null&gt;"/>
    <n v="100"/>
    <n v="400000"/>
    <n v="400000"/>
  </r>
  <r>
    <x v="18"/>
    <x v="18"/>
    <s v="&lt;null&gt;"/>
    <x v="3"/>
    <n v="1424"/>
    <s v="IN/001266"/>
    <s v="DUBBEL AANGEMAAKT - MAG VERWIJERD WORDEN"/>
    <s v="N26 - Aanleg vrijliggende fietspaden tussen Pontstraat/Audenhovelaan en Kallebeekstraat\n        - Aanpassen kruispunten nav VT/PCV/BOO/N26/2238"/>
    <s v="Structurele Ingreep"/>
    <s v="&lt;null&gt;"/>
    <b v="0"/>
    <s v="Ingreep wordt niet opgevolgd in BOD"/>
    <s v="&lt;null&gt;"/>
    <s v="&lt;null&gt;"/>
    <s v="&lt;null&gt;"/>
    <s v="&lt;null&gt;"/>
    <m/>
    <m/>
    <m/>
  </r>
  <r>
    <x v="1180"/>
    <x v="1180"/>
    <s v="Verkeersveiligheid"/>
    <x v="4"/>
    <n v="1425"/>
    <s v="IN/001267"/>
    <s v="Fietsrelance N26 Boortmeerbeek  - Aanleggen vrijliggende fietspaden + aanpassen kruispunten nav PCV Tussen Pontsraat/Audenhovenlaan en Kallebeekstraat"/>
    <s v="N26 Boortmeerbeek  - Aanleggen vrijliggende fietspaden + aanpassen kruispunten nav PCV Tussen Pontsraat/Audenhovenlaan en Kallebeekstraat\nVT/PCV/BOO/N26/2238"/>
    <s v="Kleine Ingreep"/>
    <s v="WVB/INV/N26/15"/>
    <b v="1"/>
    <s v="Ingreep wordt opgevolgd in BOD"/>
    <n v="2022"/>
    <s v="Q3"/>
    <s v="WEGENIS"/>
    <s v="&lt;null&gt;"/>
    <n v="30"/>
    <n v="314323.64"/>
    <n v="94297.092000000004"/>
  </r>
  <r>
    <x v="1181"/>
    <x v="1181"/>
    <s v="Fiets"/>
    <x v="0"/>
    <n v="1425"/>
    <s v="IN/001267"/>
    <s v="Fietsrelance N26 Boortmeerbeek  - Aanleggen vrijliggende fietspaden + aanpassen kruispunten nav PCV Tussen Pontsraat/Audenhovenlaan en Kallebeekstraat"/>
    <s v="N26 Boortmeerbeek  - Aanleggen vrijliggende fietspaden + aanpassen kruispunten nav PCV Tussen Pontsraat/Audenhovenlaan en Kallebeekstraat\nVT/PCV/BOO/N26/2238"/>
    <s v="Kleine Ingreep"/>
    <s v="WVB/INV/N26/15"/>
    <b v="1"/>
    <s v="Ingreep wordt opgevolgd in BOD"/>
    <n v="2022"/>
    <s v="Q3"/>
    <s v="WEGENIS"/>
    <s v="&lt;null&gt;"/>
    <n v="70"/>
    <n v="314323.64"/>
    <n v="220026.54800000001"/>
  </r>
  <r>
    <x v="217"/>
    <x v="217"/>
    <s v="Fiets"/>
    <x v="0"/>
    <n v="1426"/>
    <s v="IN/001268"/>
    <s v="Fietsrelance N207 Liedekerke - Muilestraat aanpassen fietspaden"/>
    <s v="Fietsrelance N207 Liedekerke - Muilestraat aanpassen fietspaden na werken EW"/>
    <s v="Kleine Ingreep"/>
    <s v="WVB/INV/N207/4"/>
    <b v="1"/>
    <s v="Ingreep wordt opgevolgd in BOD"/>
    <s v="&lt;null&gt;"/>
    <s v="&lt;null&gt;"/>
    <s v="WEGENIS"/>
    <s v="&lt;null&gt;"/>
    <n v="100"/>
    <n v="120000"/>
    <n v="120000"/>
  </r>
  <r>
    <x v="217"/>
    <x v="217"/>
    <s v="Fiets"/>
    <x v="0"/>
    <n v="1427"/>
    <s v="IN/001269"/>
    <s v="Fietsrelance N207 Liedekerke - Kleemputtenstraat aanpassen fietspaden na werken EW"/>
    <s v="Liedekerke aanpassingen van fietspaden nav aanpassingen VRI-installatie"/>
    <s v="Kleine Ingreep"/>
    <s v="WVB/INV/N207/5"/>
    <b v="0"/>
    <s v="Ingreep wordt niet opgevolgd in BOD"/>
    <n v="2022"/>
    <s v="Q3"/>
    <s v="WEGENIS"/>
    <s v="&lt;null&gt;"/>
    <n v="100"/>
    <n v="180000"/>
    <n v="180000"/>
  </r>
  <r>
    <x v="1182"/>
    <x v="1182"/>
    <s v="Verkeersveiligheid"/>
    <x v="4"/>
    <n v="1428"/>
    <s v="IN/001270"/>
    <s v="fietsoversteken met middengeleider (PM studiebureau aan te stellen MC3)"/>
    <m/>
    <s v="Kleine Ingreep"/>
    <s v="WL/INV/N762/5"/>
    <b v="0"/>
    <s v="Ingreep wordt niet opgevolgd in BOD"/>
    <n v="2023"/>
    <s v="&lt;null&gt;"/>
    <s v="OVERIGE"/>
    <s v="&lt;null&gt;"/>
    <n v="100"/>
    <n v="232887"/>
    <n v="232887"/>
  </r>
  <r>
    <x v="1183"/>
    <x v="1183"/>
    <s v="Verkeersveiligheid"/>
    <x v="4"/>
    <n v="1429"/>
    <s v="IN/001271"/>
    <s v="Knelpunt op schoolroute: aanleg ontbrekend stuk voetpad"/>
    <s v="voetpad"/>
    <s v="Kleine Ingreep"/>
    <s v="WL/INV/N730/24"/>
    <b v="1"/>
    <s v="Ingreep wordt opgevolgd in BOD"/>
    <n v="2022"/>
    <s v="Q3"/>
    <s v="WEGENIS"/>
    <s v="&lt;null&gt;"/>
    <n v="100"/>
    <n v="13000"/>
    <n v="13000"/>
  </r>
  <r>
    <x v="1184"/>
    <x v="1184"/>
    <s v="Verkeersveiligheid"/>
    <x v="5"/>
    <n v="1430"/>
    <s v="IN/001272"/>
    <s v="Hermarkeren van linksafslagstrook"/>
    <s v="Verbeteren verkeersveiligheid gemotoriseerd verkeer."/>
    <s v="Kleine Ingreep"/>
    <s v="WL/INV/N2/14"/>
    <b v="1"/>
    <s v="Ingreep wordt opgevolgd in BOD"/>
    <n v="2021"/>
    <s v="Q4"/>
    <s v="WEGENIS"/>
    <s v="&lt;null&gt;"/>
    <n v="100"/>
    <n v="50000"/>
    <n v="50000"/>
  </r>
  <r>
    <x v="1185"/>
    <x v="1185"/>
    <s v="Fiets"/>
    <x v="0"/>
    <n v="1431"/>
    <s v="IN/001273"/>
    <s v="N285 Fietspaden relanceplan 2021"/>
    <s v="Aanpak aanliggende fietspaden in Ternat opN285 5.3 - 9.4\n\nverhoogd fietspad maken en lijnvormig element tussen rijbaan en fietspad (excl. stukken die reeds vernieuwd werden) + aanpassen kruispunt Kraanstraat, aanleg beveiligde fietsoversteek\n"/>
    <s v="Structurele Ingreep"/>
    <s v="WVB/INV/N285/7"/>
    <b v="0"/>
    <s v="Ingreep wordt niet opgevolgd in BOD"/>
    <s v="&lt;null&gt;"/>
    <s v="&lt;null&gt;"/>
    <s v="WEGENIS"/>
    <s v="&lt;null&gt;"/>
    <n v="100"/>
    <n v="1450000"/>
    <n v="1450000"/>
  </r>
  <r>
    <x v="29"/>
    <x v="29"/>
    <s v="Fiets"/>
    <x v="0"/>
    <n v="1452"/>
    <s v="IN/001274"/>
    <s v="N355 Relance fiets Koksijde"/>
    <s v="&lt;null&gt;"/>
    <s v="Kleine Ingreep"/>
    <s v="WWV/INV/N355/1"/>
    <b v="1"/>
    <s v="Ingreep wordt opgevolgd in BOD"/>
    <n v="2022"/>
    <s v="Q2"/>
    <s v="WEGENIS"/>
    <s v="&lt;null&gt;"/>
    <n v="100"/>
    <n v="456000"/>
    <n v="456000"/>
  </r>
  <r>
    <x v="18"/>
    <x v="18"/>
    <s v="&lt;null&gt;"/>
    <x v="3"/>
    <n v="1453"/>
    <s v="IN/001275"/>
    <s v="VVOP/VFOP Schoolroute"/>
    <s v="&lt;null&gt;"/>
    <s v="Kleine Ingreep"/>
    <s v="&lt;null&gt;"/>
    <b v="0"/>
    <s v="Ingreep wordt niet opgevolgd in BOD"/>
    <s v="&lt;null&gt;"/>
    <s v="&lt;null&gt;"/>
    <s v="&lt;null&gt;"/>
    <s v="&lt;null&gt;"/>
    <m/>
    <m/>
    <m/>
  </r>
  <r>
    <x v="1186"/>
    <x v="1186"/>
    <s v="Verkeersveiligheid"/>
    <x v="5"/>
    <n v="1502"/>
    <s v="IN/001276"/>
    <s v="Renovatie wegdek bruggen over E313"/>
    <s v="Verbeteren comfort voetganger en fietser. Verbeteren verkeersveiligheid onderdoorgaand gemotoriseerd verkeer."/>
    <s v="Kleine Ingreep"/>
    <s v="WL/INV/A13/6"/>
    <b v="1"/>
    <s v="Ingreep wordt opgevolgd in BOD"/>
    <n v="2021"/>
    <s v="Q4"/>
    <s v="WEGENIS"/>
    <s v="&lt;null&gt;"/>
    <n v="25"/>
    <n v="150000"/>
    <n v="37500"/>
  </r>
  <r>
    <x v="1187"/>
    <x v="1187"/>
    <s v="Verkeersveiligheid"/>
    <x v="5"/>
    <n v="1502"/>
    <s v="IN/001276"/>
    <s v="Renovatie wegdek bruggen over E313"/>
    <s v="Verbeteren comfort voetganger en fietser. Verbeteren verkeersveiligheid onderdoorgaand gemotoriseerd verkeer."/>
    <s v="Kleine Ingreep"/>
    <s v="WL/INV/A13/6"/>
    <b v="1"/>
    <s v="Ingreep wordt opgevolgd in BOD"/>
    <n v="2021"/>
    <s v="Q4"/>
    <s v="WEGENIS"/>
    <s v="&lt;null&gt;"/>
    <n v="25"/>
    <n v="150000"/>
    <n v="37500"/>
  </r>
  <r>
    <x v="1188"/>
    <x v="1188"/>
    <s v="Verkeersveiligheid"/>
    <x v="5"/>
    <n v="1502"/>
    <s v="IN/001276"/>
    <s v="Renovatie wegdek bruggen over E313"/>
    <s v="Verbeteren comfort voetganger en fietser. Verbeteren verkeersveiligheid onderdoorgaand gemotoriseerd verkeer."/>
    <s v="Kleine Ingreep"/>
    <s v="WL/INV/A13/6"/>
    <b v="1"/>
    <s v="Ingreep wordt opgevolgd in BOD"/>
    <n v="2021"/>
    <s v="Q4"/>
    <s v="WEGENIS"/>
    <s v="&lt;null&gt;"/>
    <n v="25"/>
    <n v="150000"/>
    <n v="37500"/>
  </r>
  <r>
    <x v="1189"/>
    <x v="1189"/>
    <s v="Verkeersveiligheid"/>
    <x v="5"/>
    <n v="1502"/>
    <s v="IN/001276"/>
    <s v="Renovatie wegdek bruggen over E313"/>
    <s v="Verbeteren comfort voetganger en fietser. Verbeteren verkeersveiligheid onderdoorgaand gemotoriseerd verkeer."/>
    <s v="Kleine Ingreep"/>
    <s v="WL/INV/A13/6"/>
    <b v="1"/>
    <s v="Ingreep wordt opgevolgd in BOD"/>
    <n v="2021"/>
    <s v="Q4"/>
    <s v="WEGENIS"/>
    <s v="&lt;null&gt;"/>
    <n v="25"/>
    <n v="150000"/>
    <n v="37500"/>
  </r>
  <r>
    <x v="1190"/>
    <x v="1190"/>
    <s v="Verkeersveiligheid"/>
    <x v="5"/>
    <n v="1503"/>
    <s v="IN/001277"/>
    <s v="Heraanleg fietspad"/>
    <s v="Verbeteren verkeersveiligheid en comfort fietser."/>
    <s v="Kleine Ingreep"/>
    <s v="WL/INV/N77/4"/>
    <b v="1"/>
    <s v="Ingreep wordt opgevolgd in BOD"/>
    <n v="2021"/>
    <s v="Q4"/>
    <s v="WEGENIS"/>
    <s v="&lt;null&gt;"/>
    <n v="100"/>
    <n v="100000"/>
    <n v="100000"/>
  </r>
  <r>
    <x v="1191"/>
    <x v="1191"/>
    <s v="Verkeersveiligheid"/>
    <x v="4"/>
    <n v="1552"/>
    <s v="IN/001278"/>
    <s v="aanpassen markeringen N416 Moleneinde"/>
    <s v="aanpassen markeringen conform plan J Van Lokeren"/>
    <s v="Kleine Ingreep"/>
    <s v="&lt;null&gt;"/>
    <b v="0"/>
    <s v="Ingreep wordt niet opgevolgd in BOD"/>
    <n v="2022"/>
    <s v="Q2"/>
    <s v="WEGENIS"/>
    <s v="wachten op plan (uitvoering op O40 D415 66 C)"/>
    <n v="100"/>
    <n v="2000"/>
    <n v="2000"/>
  </r>
  <r>
    <x v="1192"/>
    <x v="1192"/>
    <s v="Verkeersveiligheid"/>
    <x v="1"/>
    <n v="1553"/>
    <s v="IN/001279"/>
    <s v="ombouw VRI naar Actieplan"/>
    <s v="&lt;null&gt;"/>
    <s v="Kleine Ingreep"/>
    <s v="&lt;null&gt;"/>
    <b v="0"/>
    <s v="Ingreep wordt niet opgevolgd in BOD"/>
    <s v="&lt;null&gt;"/>
    <s v="&lt;null&gt;"/>
    <s v="&lt;null&gt;"/>
    <s v="&lt;null&gt;"/>
    <n v="100"/>
    <m/>
    <m/>
  </r>
  <r>
    <x v="1193"/>
    <x v="1193"/>
    <s v="Verkeersveiligheid"/>
    <x v="1"/>
    <n v="1554"/>
    <s v="IN/001280"/>
    <s v="Actieplan VRI"/>
    <s v="Linksaf conflict vrijmaken met dubbelrichtingsfietspad"/>
    <s v="Kleine Ingreep"/>
    <s v="WA/INV/N177/11"/>
    <b v="0"/>
    <s v="Ingreep wordt niet opgevolgd in BOD"/>
    <n v="2022"/>
    <s v="Q3"/>
    <s v="VRI"/>
    <s v="&lt;null&gt;"/>
    <n v="100"/>
    <n v="50000"/>
    <n v="50000"/>
  </r>
  <r>
    <x v="793"/>
    <x v="793"/>
    <s v="Verkeersveiligheid"/>
    <x v="4"/>
    <n v="1555"/>
    <s v="IN/001281"/>
    <s v="Punctuele verlichting"/>
    <s v="&lt;null&gt;"/>
    <s v="Kleine Ingreep"/>
    <s v="WL/INV/N719/9"/>
    <b v="0"/>
    <s v="Ingreep wordt niet opgevolgd in BOD"/>
    <s v="&lt;null&gt;"/>
    <s v="&lt;null&gt;"/>
    <s v="OV"/>
    <s v="&lt;null&gt;"/>
    <n v="100"/>
    <n v="75000"/>
    <n v="75000"/>
  </r>
  <r>
    <x v="293"/>
    <x v="293"/>
    <s v="Verkeersveiligheid"/>
    <x v="1"/>
    <n v="1556"/>
    <s v="IN/001282"/>
    <s v="Aanpassen kruispunt N184 Luitenant Lippenslaan x Dokter Van de Perrelei"/>
    <s v="Fietsinfrastructuur voorzien op kruispunt. (huidig rijden fietsers gemengd vanuit de zijstraat)\nPCV AN-282\nhttps://service.projectplace.com/#direct/card/12506414"/>
    <s v="Kleine Ingreep"/>
    <s v="WA/INV/N184/1"/>
    <b v="1"/>
    <s v="Ingreep wordt opgevolgd in BOD"/>
    <n v="2022"/>
    <s v="Q2"/>
    <s v="WEGENIS"/>
    <s v="&lt;null&gt;"/>
    <n v="100"/>
    <n v="233000"/>
    <n v="233000"/>
  </r>
  <r>
    <x v="1194"/>
    <x v="1194"/>
    <s v="Verkeersveiligheid"/>
    <x v="1"/>
    <n v="1557"/>
    <s v="IN/001283"/>
    <s v="Aanpassingen in- en uitrit containerpark"/>
    <s v="&lt;null&gt;"/>
    <s v="Kleine Ingreep"/>
    <s v="WA/INV/R10/5"/>
    <b v="0"/>
    <s v="Ingreep wordt niet opgevolgd in BOD"/>
    <s v="&lt;null&gt;"/>
    <s v="&lt;null&gt;"/>
    <s v="WEGENIS"/>
    <s v="&lt;null&gt;"/>
    <n v="100"/>
    <n v="1"/>
    <n v="1"/>
  </r>
  <r>
    <x v="314"/>
    <x v="314"/>
    <s v="Verkeersveiligheid"/>
    <x v="1"/>
    <n v="1558"/>
    <s v="IN/001284"/>
    <s v="Inrichting Fietsstraat"/>
    <s v="Inrichting als fietsstraat"/>
    <s v="Kleine Ingreep"/>
    <s v="WA/INV/N12/15"/>
    <b v="0"/>
    <s v="Ingreep wordt niet opgevolgd in BOD"/>
    <n v="2021"/>
    <s v="Q4"/>
    <s v="OVERIGE"/>
    <s v="RLC"/>
    <n v="15"/>
    <n v="142000"/>
    <n v="21300"/>
  </r>
  <r>
    <x v="314"/>
    <x v="314"/>
    <s v="Verkeersveiligheid"/>
    <x v="1"/>
    <n v="1558"/>
    <s v="IN/001284"/>
    <s v="Inrichting Fietsstraat"/>
    <s v="Inrichting als fietsstraat"/>
    <s v="Kleine Ingreep"/>
    <s v="WA/INV/N12/15"/>
    <b v="0"/>
    <s v="Ingreep wordt niet opgevolgd in BOD"/>
    <n v="2021"/>
    <s v="Q4"/>
    <s v="OVERIGE"/>
    <s v="signalisatie"/>
    <n v="15"/>
    <n v="450000"/>
    <n v="67500"/>
  </r>
  <r>
    <x v="314"/>
    <x v="314"/>
    <s v="Verkeersveiligheid"/>
    <x v="1"/>
    <n v="1558"/>
    <s v="IN/001284"/>
    <s v="Inrichting Fietsstraat"/>
    <s v="Inrichting als fietsstraat"/>
    <s v="Kleine Ingreep"/>
    <s v="WA/INV/N12/15"/>
    <b v="0"/>
    <s v="Ingreep wordt niet opgevolgd in BOD"/>
    <n v="2022"/>
    <s v="Q2"/>
    <s v="VRI"/>
    <s v="VRI"/>
    <n v="15"/>
    <n v="150000"/>
    <n v="22500"/>
  </r>
  <r>
    <x v="1195"/>
    <x v="1195"/>
    <s v="Verkeersveiligheid"/>
    <x v="1"/>
    <n v="1558"/>
    <s v="IN/001284"/>
    <s v="Inrichting Fietsstraat"/>
    <s v="Inrichting als fietsstraat"/>
    <s v="Kleine Ingreep"/>
    <s v="WA/INV/N12/15"/>
    <b v="0"/>
    <s v="Ingreep wordt niet opgevolgd in BOD"/>
    <n v="2021"/>
    <s v="Q4"/>
    <s v="OVERIGE"/>
    <s v="signalisatie"/>
    <n v="15"/>
    <n v="450000"/>
    <n v="67500"/>
  </r>
  <r>
    <x v="1195"/>
    <x v="1195"/>
    <s v="Verkeersveiligheid"/>
    <x v="1"/>
    <n v="1558"/>
    <s v="IN/001284"/>
    <s v="Inrichting Fietsstraat"/>
    <s v="Inrichting als fietsstraat"/>
    <s v="Kleine Ingreep"/>
    <s v="WA/INV/N12/15"/>
    <b v="0"/>
    <s v="Ingreep wordt niet opgevolgd in BOD"/>
    <n v="2022"/>
    <s v="Q2"/>
    <s v="VRI"/>
    <s v="VRI"/>
    <n v="15"/>
    <n v="150000"/>
    <n v="22500"/>
  </r>
  <r>
    <x v="1195"/>
    <x v="1195"/>
    <s v="Verkeersveiligheid"/>
    <x v="1"/>
    <n v="1558"/>
    <s v="IN/001284"/>
    <s v="Inrichting Fietsstraat"/>
    <s v="Inrichting als fietsstraat"/>
    <s v="Kleine Ingreep"/>
    <s v="WA/INV/N12/15"/>
    <b v="0"/>
    <s v="Ingreep wordt niet opgevolgd in BOD"/>
    <n v="2021"/>
    <s v="Q4"/>
    <s v="OVERIGE"/>
    <s v="RLC"/>
    <n v="15"/>
    <n v="142000"/>
    <n v="21300"/>
  </r>
  <r>
    <x v="1196"/>
    <x v="1196"/>
    <s v="Verkeersveiligheid"/>
    <x v="1"/>
    <n v="1558"/>
    <s v="IN/001284"/>
    <s v="Inrichting Fietsstraat"/>
    <s v="Inrichting als fietsstraat"/>
    <s v="Kleine Ingreep"/>
    <s v="WA/INV/N12/15"/>
    <b v="0"/>
    <s v="Ingreep wordt niet opgevolgd in BOD"/>
    <n v="2021"/>
    <s v="Q4"/>
    <s v="OVERIGE"/>
    <s v="signalisatie"/>
    <n v="15"/>
    <n v="450000"/>
    <n v="67500"/>
  </r>
  <r>
    <x v="1196"/>
    <x v="1196"/>
    <s v="Verkeersveiligheid"/>
    <x v="1"/>
    <n v="1558"/>
    <s v="IN/001284"/>
    <s v="Inrichting Fietsstraat"/>
    <s v="Inrichting als fietsstraat"/>
    <s v="Kleine Ingreep"/>
    <s v="WA/INV/N12/15"/>
    <b v="0"/>
    <s v="Ingreep wordt niet opgevolgd in BOD"/>
    <n v="2021"/>
    <s v="Q4"/>
    <s v="OVERIGE"/>
    <s v="RLC"/>
    <n v="15"/>
    <n v="142000"/>
    <n v="21300"/>
  </r>
  <r>
    <x v="1196"/>
    <x v="1196"/>
    <s v="Verkeersveiligheid"/>
    <x v="1"/>
    <n v="1558"/>
    <s v="IN/001284"/>
    <s v="Inrichting Fietsstraat"/>
    <s v="Inrichting als fietsstraat"/>
    <s v="Kleine Ingreep"/>
    <s v="WA/INV/N12/15"/>
    <b v="0"/>
    <s v="Ingreep wordt niet opgevolgd in BOD"/>
    <n v="2022"/>
    <s v="Q2"/>
    <s v="VRI"/>
    <s v="VRI"/>
    <n v="15"/>
    <n v="150000"/>
    <n v="22500"/>
  </r>
  <r>
    <x v="1197"/>
    <x v="1197"/>
    <s v="Verkeersveiligheid"/>
    <x v="1"/>
    <n v="1558"/>
    <s v="IN/001284"/>
    <s v="Inrichting Fietsstraat"/>
    <s v="Inrichting als fietsstraat"/>
    <s v="Kleine Ingreep"/>
    <s v="WA/INV/N12/15"/>
    <b v="0"/>
    <s v="Ingreep wordt niet opgevolgd in BOD"/>
    <n v="2021"/>
    <s v="Q4"/>
    <s v="OVERIGE"/>
    <s v="signalisatie"/>
    <n v="15"/>
    <n v="450000"/>
    <n v="67500"/>
  </r>
  <r>
    <x v="1197"/>
    <x v="1197"/>
    <s v="Verkeersveiligheid"/>
    <x v="1"/>
    <n v="1558"/>
    <s v="IN/001284"/>
    <s v="Inrichting Fietsstraat"/>
    <s v="Inrichting als fietsstraat"/>
    <s v="Kleine Ingreep"/>
    <s v="WA/INV/N12/15"/>
    <b v="0"/>
    <s v="Ingreep wordt niet opgevolgd in BOD"/>
    <n v="2021"/>
    <s v="Q4"/>
    <s v="OVERIGE"/>
    <s v="RLC"/>
    <n v="15"/>
    <n v="142000"/>
    <n v="21300"/>
  </r>
  <r>
    <x v="1197"/>
    <x v="1197"/>
    <s v="Verkeersveiligheid"/>
    <x v="1"/>
    <n v="1558"/>
    <s v="IN/001284"/>
    <s v="Inrichting Fietsstraat"/>
    <s v="Inrichting als fietsstraat"/>
    <s v="Kleine Ingreep"/>
    <s v="WA/INV/N12/15"/>
    <b v="0"/>
    <s v="Ingreep wordt niet opgevolgd in BOD"/>
    <n v="2022"/>
    <s v="Q2"/>
    <s v="VRI"/>
    <s v="VRI"/>
    <n v="15"/>
    <n v="150000"/>
    <n v="22500"/>
  </r>
  <r>
    <x v="1198"/>
    <x v="1198"/>
    <s v="Verkeersveiligheid"/>
    <x v="1"/>
    <n v="1558"/>
    <s v="IN/001284"/>
    <s v="Inrichting Fietsstraat"/>
    <s v="Inrichting als fietsstraat"/>
    <s v="Kleine Ingreep"/>
    <s v="WA/INV/N12/15"/>
    <b v="0"/>
    <s v="Ingreep wordt niet opgevolgd in BOD"/>
    <n v="2021"/>
    <s v="Q4"/>
    <s v="OVERIGE"/>
    <s v="signalisatie"/>
    <n v="20"/>
    <n v="450000"/>
    <n v="90000"/>
  </r>
  <r>
    <x v="1198"/>
    <x v="1198"/>
    <s v="Verkeersveiligheid"/>
    <x v="1"/>
    <n v="1558"/>
    <s v="IN/001284"/>
    <s v="Inrichting Fietsstraat"/>
    <s v="Inrichting als fietsstraat"/>
    <s v="Kleine Ingreep"/>
    <s v="WA/INV/N12/15"/>
    <b v="0"/>
    <s v="Ingreep wordt niet opgevolgd in BOD"/>
    <n v="2022"/>
    <s v="Q2"/>
    <s v="VRI"/>
    <s v="VRI"/>
    <n v="20"/>
    <n v="150000"/>
    <n v="30000"/>
  </r>
  <r>
    <x v="1198"/>
    <x v="1198"/>
    <s v="Verkeersveiligheid"/>
    <x v="1"/>
    <n v="1558"/>
    <s v="IN/001284"/>
    <s v="Inrichting Fietsstraat"/>
    <s v="Inrichting als fietsstraat"/>
    <s v="Kleine Ingreep"/>
    <s v="WA/INV/N12/15"/>
    <b v="0"/>
    <s v="Ingreep wordt niet opgevolgd in BOD"/>
    <n v="2021"/>
    <s v="Q4"/>
    <s v="OVERIGE"/>
    <s v="RLC"/>
    <n v="20"/>
    <n v="142000"/>
    <n v="28400"/>
  </r>
  <r>
    <x v="1199"/>
    <x v="1199"/>
    <s v="Verkeersveiligheid"/>
    <x v="1"/>
    <n v="1558"/>
    <s v="IN/001284"/>
    <s v="Inrichting Fietsstraat"/>
    <s v="Inrichting als fietsstraat"/>
    <s v="Kleine Ingreep"/>
    <s v="WA/INV/N12/15"/>
    <b v="0"/>
    <s v="Ingreep wordt niet opgevolgd in BOD"/>
    <n v="2021"/>
    <s v="Q4"/>
    <s v="OVERIGE"/>
    <s v="signalisatie"/>
    <n v="20"/>
    <n v="450000"/>
    <n v="90000"/>
  </r>
  <r>
    <x v="1199"/>
    <x v="1199"/>
    <s v="Verkeersveiligheid"/>
    <x v="1"/>
    <n v="1558"/>
    <s v="IN/001284"/>
    <s v="Inrichting Fietsstraat"/>
    <s v="Inrichting als fietsstraat"/>
    <s v="Kleine Ingreep"/>
    <s v="WA/INV/N12/15"/>
    <b v="0"/>
    <s v="Ingreep wordt niet opgevolgd in BOD"/>
    <n v="2022"/>
    <s v="Q2"/>
    <s v="VRI"/>
    <s v="VRI"/>
    <n v="20"/>
    <n v="150000"/>
    <n v="30000"/>
  </r>
  <r>
    <x v="1199"/>
    <x v="1199"/>
    <s v="Verkeersveiligheid"/>
    <x v="1"/>
    <n v="1558"/>
    <s v="IN/001284"/>
    <s v="Inrichting Fietsstraat"/>
    <s v="Inrichting als fietsstraat"/>
    <s v="Kleine Ingreep"/>
    <s v="WA/INV/N12/15"/>
    <b v="0"/>
    <s v="Ingreep wordt niet opgevolgd in BOD"/>
    <n v="2021"/>
    <s v="Q4"/>
    <s v="OVERIGE"/>
    <s v="RLC"/>
    <n v="20"/>
    <n v="142000"/>
    <n v="28400"/>
  </r>
  <r>
    <x v="1200"/>
    <x v="1200"/>
    <s v="Verkeersveiligheid"/>
    <x v="1"/>
    <n v="1602"/>
    <s v="IN/001285"/>
    <s v="Aanpassen VRI + Infrawerken"/>
    <s v="Besluit PCV 05-10-2021:\nDe rechtafslagbewegingen vanaf de N60 worden opgenomen in de verkeerslichten. De bypassen worden verwijderd. De verkeerslichten op de N60 krijgen een conflictvrije regeling. De zijtakken worden niet uitgerust met een conflictvrije"/>
    <s v="Kleine Ingreep"/>
    <s v="WOV/INV/N452/1"/>
    <b v="0"/>
    <s v="Ingreep wordt niet opgevolgd in BOD"/>
    <n v="2023"/>
    <s v="Q2"/>
    <s v="WEGENIS"/>
    <s v="&lt;null&gt;"/>
    <n v="0"/>
    <n v="155300"/>
    <n v="0"/>
  </r>
  <r>
    <x v="1200"/>
    <x v="1200"/>
    <s v="Verkeersveiligheid"/>
    <x v="1"/>
    <n v="1602"/>
    <s v="IN/001285"/>
    <s v="Aanpassen VRI + Infrawerken"/>
    <s v="Besluit PCV 05-10-2021:\nDe rechtafslagbewegingen vanaf de N60 worden opgenomen in de verkeerslichten. De bypassen worden verwijderd. De verkeerslichten op de N60 krijgen een conflictvrije regeling. De zijtakken worden niet uitgerust met een conflictvrije"/>
    <s v="Kleine Ingreep"/>
    <s v="WOV/INV/N452/1"/>
    <b v="0"/>
    <s v="Ingreep wordt niet opgevolgd in BOD"/>
    <n v="2023"/>
    <s v="Q2"/>
    <s v="VRI"/>
    <s v="&lt;null&gt;"/>
    <n v="0"/>
    <n v="47000"/>
    <n v="0"/>
  </r>
  <r>
    <x v="1201"/>
    <x v="1201"/>
    <s v="Verkeersveiligheid"/>
    <x v="4"/>
    <n v="1602"/>
    <s v="IN/001285"/>
    <s v="Aanpassen VRI + Infrawerken"/>
    <s v="Besluit PCV 05-10-2021:\nDe rechtafslagbewegingen vanaf de N60 worden opgenomen in de verkeerslichten. De bypassen worden verwijderd. De verkeerslichten op de N60 krijgen een conflictvrije regeling. De zijtakken worden niet uitgerust met een conflictvrije"/>
    <s v="Kleine Ingreep"/>
    <s v="WOV/INV/N452/1"/>
    <b v="0"/>
    <s v="Ingreep wordt niet opgevolgd in BOD"/>
    <n v="2023"/>
    <s v="Q2"/>
    <s v="WEGENIS"/>
    <s v="&lt;null&gt;"/>
    <n v="100"/>
    <n v="155300"/>
    <n v="155300"/>
  </r>
  <r>
    <x v="1201"/>
    <x v="1201"/>
    <s v="Verkeersveiligheid"/>
    <x v="4"/>
    <n v="1602"/>
    <s v="IN/001285"/>
    <s v="Aanpassen VRI + Infrawerken"/>
    <s v="Besluit PCV 05-10-2021:\nDe rechtafslagbewegingen vanaf de N60 worden opgenomen in de verkeerslichten. De bypassen worden verwijderd. De verkeerslichten op de N60 krijgen een conflictvrije regeling. De zijtakken worden niet uitgerust met een conflictvrije"/>
    <s v="Kleine Ingreep"/>
    <s v="WOV/INV/N452/1"/>
    <b v="0"/>
    <s v="Ingreep wordt niet opgevolgd in BOD"/>
    <n v="2023"/>
    <s v="Q2"/>
    <s v="VRI"/>
    <s v="&lt;null&gt;"/>
    <n v="100"/>
    <n v="47000"/>
    <n v="47000"/>
  </r>
  <r>
    <x v="1202"/>
    <x v="1202"/>
    <s v="Verkeersveiligheid"/>
    <x v="4"/>
    <n v="1603"/>
    <s v="IN/001286"/>
    <s v="SRK: N35 Nazareth: fietsoversteekplaats"/>
    <s v="Besluit PCV 05-10-2021 : Er worden 2 fietsoversteken aangebracht ter hoogte van de Warandestraat (zie plan dossier). De linksafslagstroken worden ingekort om deze fietsoversteken te kunnen realiseren.\n\nhttps://apps.mow.vlaanderen.be/pcv/#/dossiers/OV-61"/>
    <s v="Kleine Ingreep"/>
    <s v="WOV/INV/N35/2"/>
    <b v="1"/>
    <s v="Ingreep wordt opgevolgd in BOD"/>
    <n v="2022"/>
    <s v="Q2"/>
    <s v="WEGENIS"/>
    <m/>
    <n v="100"/>
    <n v="45000"/>
    <n v="45000"/>
  </r>
  <r>
    <x v="18"/>
    <x v="18"/>
    <s v="&lt;null&gt;"/>
    <x v="3"/>
    <n v="1604"/>
    <s v="IN/001287"/>
    <s v="Fietspaden accentueren (WOV/INV/R4/5 - AID reeds reeds toegewezen)"/>
    <s v="Het AWV zal de fietspaden over dit kruispunt accentueren"/>
    <s v="Kleine Ingreep"/>
    <s v="&lt;null&gt;"/>
    <b v="0"/>
    <s v="Ingreep wordt niet opgevolgd in BOD"/>
    <s v="&lt;null&gt;"/>
    <s v="&lt;null&gt;"/>
    <s v="&lt;null&gt;"/>
    <s v="&lt;null&gt;"/>
    <m/>
    <m/>
    <m/>
  </r>
  <r>
    <x v="1203"/>
    <x v="1203"/>
    <s v="Verkeersveiligheid"/>
    <x v="4"/>
    <n v="1605"/>
    <s v="IN/001288"/>
    <s v="QW schoolroutes: verharden kasseistrook voor extra opstelruimte"/>
    <s v="&lt;null&gt;"/>
    <s v="Kleine Ingreep"/>
    <s v="&lt;null&gt;"/>
    <b v="0"/>
    <s v="Ingreep wordt niet opgevolgd in BOD"/>
    <s v="&lt;null&gt;"/>
    <s v="&lt;null&gt;"/>
    <s v="&lt;null&gt;"/>
    <s v="&lt;null&gt;"/>
    <n v="100"/>
    <m/>
    <m/>
  </r>
  <r>
    <x v="571"/>
    <x v="571"/>
    <s v="Verkeersveiligheid"/>
    <x v="1"/>
    <n v="1606"/>
    <s v="IN/001289"/>
    <s v="R42 met Raapstraat : Conflictvrij maken. Sint-Niklaas. (Relance Raamcontract)"/>
    <m/>
    <s v="Kleine Ingreep"/>
    <s v="&lt;null&gt;"/>
    <b v="0"/>
    <s v="Ingreep wordt niet opgevolgd in BOD"/>
    <n v="2022"/>
    <s v="&lt;null&gt;"/>
    <s v="WEGENIS"/>
    <s v="&lt;null&gt;"/>
    <n v="100"/>
    <n v="100000"/>
    <n v="100000"/>
  </r>
  <r>
    <x v="415"/>
    <x v="415"/>
    <s v="Verkeersveiligheid"/>
    <x v="1"/>
    <n v="1607"/>
    <s v="IN/001290"/>
    <s v="N70 x Oude Bareelstraat: Veilige oversteek. (Relance Raamcontract)"/>
    <s v="VRI plaatsen"/>
    <s v="Kleine Ingreep"/>
    <s v="WOV/INV/N70/17"/>
    <b v="0"/>
    <s v="Ingreep wordt niet opgevolgd in BOD"/>
    <n v="2022"/>
    <s v="Q3"/>
    <s v="WEGENIS"/>
    <s v="&lt;null&gt;"/>
    <n v="100"/>
    <n v="95000"/>
    <n v="95000"/>
  </r>
  <r>
    <x v="18"/>
    <x v="18"/>
    <s v="&lt;null&gt;"/>
    <x v="3"/>
    <n v="1608"/>
    <s v="IN/001291"/>
    <s v="VRI: nieuwe installatie plaatsen in Zelzate : R4 Kanaalstraat met Vredekaai en Westkade. (Relance Raamcontract)"/>
    <s v="iVRI"/>
    <s v="Kleine Ingreep"/>
    <s v="WOV/INV/R4/8"/>
    <b v="0"/>
    <s v="Ingreep wordt niet opgevolgd in BOD"/>
    <n v="2022"/>
    <s v="Q2"/>
    <s v="WEGENIS"/>
    <s v="&lt;null&gt;"/>
    <m/>
    <n v="43000"/>
    <m/>
  </r>
  <r>
    <x v="18"/>
    <x v="18"/>
    <s v="&lt;null&gt;"/>
    <x v="3"/>
    <n v="1608"/>
    <s v="IN/001291"/>
    <s v="VRI: nieuwe installatie plaatsen in Zelzate : R4 Kanaalstraat met Vredekaai en Westkade. (Relance Raamcontract)"/>
    <s v="iVRI"/>
    <s v="Kleine Ingreep"/>
    <s v="WOV/INV/R4/8"/>
    <b v="0"/>
    <s v="Ingreep wordt niet opgevolgd in BOD"/>
    <n v="2022"/>
    <s v="Q2"/>
    <s v="VRI"/>
    <s v="&lt;null&gt;"/>
    <m/>
    <n v="199000"/>
    <m/>
  </r>
  <r>
    <x v="1204"/>
    <x v="1204"/>
    <s v="Verkeersveiligheid"/>
    <x v="4"/>
    <n v="1609"/>
    <s v="IN/001292"/>
    <s v="SRK: N493 Geraardsbergen: verlagen boordsteen en afvlakken holle greppel"/>
    <s v="&lt;null&gt;"/>
    <s v="Kleine Ingreep"/>
    <s v="WOV/INV/N493/5"/>
    <b v="0"/>
    <s v="Ingreep wordt niet opgevolgd in BOD"/>
    <n v="2021"/>
    <s v="Q3"/>
    <s v="WEGENIS"/>
    <s v="&lt;null&gt;"/>
    <n v="100"/>
    <n v="3500"/>
    <n v="3500"/>
  </r>
  <r>
    <x v="1145"/>
    <x v="1145"/>
    <s v="Verkeersveiligheid"/>
    <x v="4"/>
    <n v="1610"/>
    <s v="IN/001293"/>
    <s v="SRK: N493 Geraardsbergen: aanpassing fietspad"/>
    <s v="Verlagen boordsteen, aanpassen weggoot"/>
    <s v="Kleine Ingreep"/>
    <s v="WOV/INV/N493/4"/>
    <b v="0"/>
    <s v="Ingreep wordt niet opgevolgd in BOD"/>
    <n v="2021"/>
    <s v="Q3"/>
    <s v="WEGENIS"/>
    <s v="&lt;null&gt;"/>
    <n v="100"/>
    <n v="3500"/>
    <n v="3500"/>
  </r>
  <r>
    <x v="1205"/>
    <x v="1205"/>
    <s v="Verkeersveiligheid"/>
    <x v="1"/>
    <n v="1611"/>
    <s v="IN/001294"/>
    <s v="Gaston Roelandtsstraat, Kanaalstraat"/>
    <s v="snelheidsverlaging - middengeleider als rustpunt voetgangers en verbetering oversteekbaarheid oprijdende voertuigen, markeringen"/>
    <s v="Kleine Ingreep"/>
    <s v="WWV/INV/N50/11"/>
    <b v="0"/>
    <s v="Ingreep wordt niet opgevolgd in BOD"/>
    <s v="&lt;null&gt;"/>
    <s v="&lt;null&gt;"/>
    <s v="WEGENIS"/>
    <s v="&lt;null&gt;"/>
    <n v="100"/>
    <n v="1"/>
    <n v="1"/>
  </r>
  <r>
    <x v="1206"/>
    <x v="1206"/>
    <s v="Verkeersveiligheid"/>
    <x v="1"/>
    <n v="1612"/>
    <s v="IN/001295"/>
    <s v="Heusden-Zolder : Brugstraat, Koerselsebaan, Poorthoevestraat, Sint-Willibrordusplein"/>
    <s v="Fietser uit voorrang op rotonde"/>
    <s v="Kleine Ingreep"/>
    <s v="WL/INV/NX/1"/>
    <b v="0"/>
    <s v="Ingreep wordt niet opgevolgd in BOD"/>
    <s v="&lt;null&gt;"/>
    <s v="&lt;null&gt;"/>
    <s v="WEGENIS"/>
    <s v="&lt;null&gt;"/>
    <n v="100"/>
    <n v="100000"/>
    <n v="100000"/>
  </r>
  <r>
    <x v="1207"/>
    <x v="1207"/>
    <s v="Verkeersveiligheid"/>
    <x v="1"/>
    <n v="1613"/>
    <s v="IN/001296"/>
    <s v="Genk : Halmstraat, Onderwijslaan"/>
    <s v="in 2020 middenberm gesloten thv Halmstraat + flankerende maatregelen op nabij kruispunt met Putmosstraat"/>
    <s v="Kleine Ingreep"/>
    <s v="WL/INV/N744/4"/>
    <b v="0"/>
    <s v="Ingreep wordt niet opgevolgd in BOD"/>
    <s v="&lt;null&gt;"/>
    <s v="&lt;null&gt;"/>
    <s v="WEGENIS"/>
    <s v="&lt;null&gt;"/>
    <n v="100"/>
    <n v="1"/>
    <n v="1"/>
  </r>
  <r>
    <x v="1208"/>
    <x v="1208"/>
    <s v="Fiets"/>
    <x v="0"/>
    <n v="1614"/>
    <s v="IN/001297"/>
    <s v="Fiets: N28 Ninove: vernieuwen van fietspad"/>
    <s v="vernieuwen van fietspad in afwachting van herinrichting"/>
    <s v="Kleine Ingreep"/>
    <s v="WOV/INV/N28/3"/>
    <b v="0"/>
    <s v="Ingreep wordt niet opgevolgd in BOD"/>
    <n v="2021"/>
    <s v="Q2"/>
    <s v="WEGENIS"/>
    <s v="&lt;null&gt;"/>
    <n v="100"/>
    <n v="44500"/>
    <n v="44500"/>
  </r>
  <r>
    <x v="1130"/>
    <x v="1130"/>
    <s v="Verkeersveiligheid"/>
    <x v="4"/>
    <n v="1615"/>
    <s v="IN/001298"/>
    <s v="SRK: N445 Berlare: aanbrengen oversteekplaats ter hoogte van schooluitgang"/>
    <s v="zebrapad aanbrengen"/>
    <s v="Kleine Ingreep"/>
    <s v="WOV/INV/N445/5"/>
    <b v="0"/>
    <s v="Ingreep wordt niet opgevolgd in BOD"/>
    <n v="2022"/>
    <s v="Q3"/>
    <s v="WEGENIS"/>
    <s v="&lt;null&gt;"/>
    <n v="100"/>
    <n v="500"/>
    <n v="500"/>
  </r>
  <r>
    <x v="1209"/>
    <x v="1209"/>
    <s v="Verkeersveiligheid"/>
    <x v="1"/>
    <n v="1616"/>
    <s v="IN/001299"/>
    <s v="Uitvoering PCV WV-146"/>
    <s v="plaatsen LED-verlichting op rotonde, aanpassen bestaande verlichting, verhogen middeneiland, aanpakken toeleidende rijstroken vanuit Wallonië, aanpak afrit snelweg vanuit Frankrijk.\n\n\nDe stad vraagt om in 2e instantie ook voor deze omgeving en cfr stud"/>
    <s v="Kleine Ingreep"/>
    <s v="WWV/INV/N58/2"/>
    <b v="1"/>
    <s v="Ingreep wordt opgevolgd in BOD"/>
    <s v="&lt;null&gt;"/>
    <s v="&lt;null&gt;"/>
    <s v="WEGENIS"/>
    <s v="&lt;null&gt;"/>
    <n v="100"/>
    <n v="500000"/>
    <n v="500000"/>
  </r>
  <r>
    <x v="1210"/>
    <x v="1210"/>
    <s v="Verkeersveiligheid"/>
    <x v="6"/>
    <n v="1617"/>
    <s v="IN/001300"/>
    <s v="aanpassen markeringen en uitbuigen fietspad"/>
    <s v="fietspad meer in het zicht van het autoverkeer brengen"/>
    <s v="Kleine Ingreep"/>
    <s v="WOV/INV/N17/5"/>
    <b v="0"/>
    <s v="Ingreep wordt niet opgevolgd in BOD"/>
    <n v="2022"/>
    <s v="Q2"/>
    <s v="WEGENIS"/>
    <s v="O40 D415 66"/>
    <n v="100"/>
    <n v="10000"/>
    <n v="10000"/>
  </r>
  <r>
    <x v="18"/>
    <x v="18"/>
    <s v="&lt;null&gt;"/>
    <x v="3"/>
    <n v="1618"/>
    <s v="IN/001301"/>
    <s v="Turnhout: Graatakker, Parklaan, Steenweg op Zevendonk"/>
    <s v="weghalen voorlooppijl (gelijktijdig groen voor bestuurders en fietsers)"/>
    <s v="Kleine Ingreep"/>
    <s v="WA/INV/N19/9"/>
    <b v="0"/>
    <s v="Ingreep wordt niet opgevolgd in BOD"/>
    <s v="&lt;null&gt;"/>
    <s v="&lt;null&gt;"/>
    <s v="WEGENIS"/>
    <s v="&lt;null&gt;"/>
    <m/>
    <n v="1"/>
    <m/>
  </r>
  <r>
    <x v="1211"/>
    <x v="1211"/>
    <s v="Verkeersveiligheid"/>
    <x v="1"/>
    <n v="1619"/>
    <s v="IN/001302"/>
    <s v="VRI conform actieplan Oude Menenpoort"/>
    <s v="&lt;null&gt;"/>
    <s v="Kleine Ingreep"/>
    <s v="&lt;null&gt;"/>
    <b v="0"/>
    <s v="Ingreep wordt niet opgevolgd in BOD"/>
    <n v="2022"/>
    <s v="&lt;null&gt;"/>
    <s v="VRI"/>
    <s v="V-plan V007381 - installatie WW0437"/>
    <n v="100"/>
    <n v="200000"/>
    <n v="200000"/>
  </r>
  <r>
    <x v="1212"/>
    <x v="1212"/>
    <s v="Verkeersveiligheid"/>
    <x v="1"/>
    <n v="1620"/>
    <s v="IN/001303"/>
    <s v="VRI volgens actieplan Lappersfort"/>
    <s v="&lt;null&gt;"/>
    <s v="Kleine Ingreep"/>
    <s v="&lt;null&gt;"/>
    <b v="0"/>
    <s v="Ingreep wordt niet opgevolgd in BOD"/>
    <n v="2022"/>
    <s v="&lt;null&gt;"/>
    <s v="VRI"/>
    <s v="V-plan V013097 - installatie WW0229"/>
    <n v="100"/>
    <n v="200000"/>
    <n v="200000"/>
  </r>
  <r>
    <x v="1213"/>
    <x v="1213"/>
    <s v="Fiets"/>
    <x v="0"/>
    <n v="1652"/>
    <s v="IN/001304"/>
    <s v="Ingreep fietspad Relance N4 Overijse"/>
    <s v="huidige enkelrichtingsfietspaden zijn in zeer slechte staat\nDit is het wegvak tussen Jezus-Eik en Overijse. Voor scholieren naar de middelbare scholen in Overijse, voor werknemers naar de bedrijven langs en de directe omgeving van de N4 en voor fietsers "/>
    <s v="Kleine Ingreep"/>
    <s v="&lt;null&gt;"/>
    <b v="0"/>
    <s v="Ingreep wordt niet opgevolgd in BOD"/>
    <s v="&lt;null&gt;"/>
    <s v="&lt;null&gt;"/>
    <s v="WEGENIS"/>
    <s v="&lt;null&gt;"/>
    <n v="100"/>
    <n v="400936.9"/>
    <n v="400936.9"/>
  </r>
  <r>
    <x v="1214"/>
    <x v="1214"/>
    <s v="Fiets"/>
    <x v="0"/>
    <n v="1653"/>
    <s v="IN/001305"/>
    <s v="N3 Bertem Relance Fiets"/>
    <s v="tussen kilometerpunt 22,0 en 24,3\nhuidige enkelrichtingsfietspaden zijn in zeer slechte staat\nDit is het wegvak tussen Bertem- en Leuven. Voor scholieren en studenten naar campussen en middelbare scholen in Leuven, voor werknemers naar UZ Gasthuisberg o"/>
    <s v="Kleine Ingreep"/>
    <s v="WVB/INV/N3/15"/>
    <b v="1"/>
    <s v="Ingreep wordt opgevolgd in BOD"/>
    <n v="2023"/>
    <s v="Q1"/>
    <s v="WEGENIS"/>
    <s v="&lt;null&gt;"/>
    <n v="100"/>
    <n v="185007.63"/>
    <n v="185007.63"/>
  </r>
  <r>
    <x v="18"/>
    <x v="18"/>
    <s v="&lt;null&gt;"/>
    <x v="3"/>
    <n v="1654"/>
    <s v="IN/001306"/>
    <s v="Brusselsesteenweg:aanleg fietspaden tussen Walton en Termerestraat Relance Fiets"/>
    <s v="Brusselsesteenweg:aanleg fietspaden tussen Walton en Termerestraat\n\nOndertussen hebben wij vastgesteld dat het aantal onteigeningen voor dit project beperkt zijn tot 15 stuks. Voor dit project waren middelen voorzien in 2023. Volgens onze huidige planni"/>
    <s v="Kleine Ingreep"/>
    <s v="&lt;null&gt;"/>
    <b v="0"/>
    <s v="Ingreep wordt niet opgevolgd in BOD"/>
    <s v="&lt;null&gt;"/>
    <s v="&lt;null&gt;"/>
    <s v="WEGENIS"/>
    <s v="&lt;null&gt;"/>
    <m/>
    <n v="1500000"/>
    <m/>
  </r>
  <r>
    <x v="1215"/>
    <x v="1215"/>
    <s v="Verkeersveiligheid"/>
    <x v="5"/>
    <n v="1655"/>
    <s v="IN/001307"/>
    <s v="Aanpak voetpaden brug N744 over E314"/>
    <s v="asfalteren van de voetpaden op de brug van de N744 over E314. Verbeteren verkeersveiligheid en comfort voetganger, en veiligheid onderdoorgaand gemotoriseerd verkeer."/>
    <s v="Kleine Ingreep"/>
    <s v="WL/INV/N744/5"/>
    <b v="1"/>
    <s v="Ingreep wordt opgevolgd in BOD"/>
    <n v="2022"/>
    <s v="Q1"/>
    <s v="WEGENIS"/>
    <s v="&lt;null&gt;"/>
    <n v="100"/>
    <n v="30000"/>
    <n v="30000"/>
  </r>
  <r>
    <x v="1216"/>
    <x v="1216"/>
    <s v="Stimuleren Combimobiliteit"/>
    <x v="7"/>
    <n v="1656"/>
    <s v="IN/001308"/>
    <s v="Heraanleg bushaltes N9 Asse Ter Heide (kerk / Buda / Heuvelstraat)"/>
    <s v="Aanpassen huidige verouderde haltes"/>
    <s v="Kleine Ingreep"/>
    <s v="WVB/INV/N9/4"/>
    <b v="1"/>
    <s v="Ingreep wordt opgevolgd in BOD"/>
    <n v="2022"/>
    <s v="Q2"/>
    <s v="WEGENIS"/>
    <s v="&lt;null&gt;"/>
    <n v="100"/>
    <n v="400000"/>
    <n v="400000"/>
  </r>
  <r>
    <x v="1217"/>
    <x v="1217"/>
    <s v="Verkeersveiligheid"/>
    <x v="4"/>
    <n v="1657"/>
    <s v="IN/001309"/>
    <s v="Herent VVOP N2 x Van Couwenhovelaan"/>
    <s v="VVOP plaatsen"/>
    <s v="Kleine Ingreep"/>
    <s v="WVB/INV/N2/23"/>
    <b v="0"/>
    <s v="Ingreep wordt niet opgevolgd in BOD"/>
    <n v="2022"/>
    <s v="Q3"/>
    <s v="OV"/>
    <s v="&lt;null&gt;"/>
    <n v="100"/>
    <n v="30000"/>
    <n v="30000"/>
  </r>
  <r>
    <x v="1218"/>
    <x v="1218"/>
    <s v="Verkeersveiligheid"/>
    <x v="4"/>
    <n v="1658"/>
    <s v="IN/001310"/>
    <s v="Herent VVOP N2 x Grote molenweg"/>
    <s v="VVOP plaatsen"/>
    <s v="Kleine Ingreep"/>
    <s v="WVB/INV/N2/22"/>
    <b v="0"/>
    <s v="Ingreep wordt niet opgevolgd in BOD"/>
    <n v="2022"/>
    <s v="Q3"/>
    <s v="OV"/>
    <s v="&lt;null&gt;"/>
    <n v="100"/>
    <n v="30000"/>
    <n v="30000"/>
  </r>
  <r>
    <x v="763"/>
    <x v="763"/>
    <s v="Verkeersveiligheid"/>
    <x v="4"/>
    <n v="1659"/>
    <s v="IN/001311"/>
    <s v="Boortmeerbeek VRI plaatsen kruispunt Bieststraat"/>
    <s v="VRI plaatsen\nPCV VB-328"/>
    <s v="Kleine Ingreep"/>
    <s v="WVB/INV/N26/17"/>
    <b v="0"/>
    <s v="Ingreep wordt niet opgevolgd in BOD"/>
    <s v="&lt;null&gt;"/>
    <s v="&lt;null&gt;"/>
    <s v="OVERIGE"/>
    <s v="raming studiebureau"/>
    <n v="100"/>
    <n v="112870"/>
    <n v="112870"/>
  </r>
  <r>
    <x v="762"/>
    <x v="762"/>
    <s v="Verkeersveiligheid"/>
    <x v="4"/>
    <n v="1660"/>
    <s v="IN/001312"/>
    <s v="Boortmeerbeek VVOP plaatsen kruispunt Guido Gezellestraat"/>
    <s v="VVOP"/>
    <s v="Kleine Ingreep"/>
    <s v="WVB/INV/N26/16"/>
    <b v="0"/>
    <s v="Ingreep wordt niet opgevolgd in BOD"/>
    <n v="2022"/>
    <s v="Q3"/>
    <s v="OV"/>
    <s v="VVOP"/>
    <n v="100"/>
    <n v="26923"/>
    <n v="26923"/>
  </r>
  <r>
    <x v="1219"/>
    <x v="1219"/>
    <s v="Verkeersveiligheid"/>
    <x v="4"/>
    <n v="1661"/>
    <s v="IN/001313"/>
    <s v="Onderbord verwijderen en vervangen"/>
    <s v="Onderbord verwijderen en vervangen"/>
    <s v="Kleine Ingreep"/>
    <s v="WVB/INV/N3/13"/>
    <b v="0"/>
    <s v="Ingreep wordt niet opgevolgd in BOD"/>
    <n v="2021"/>
    <s v="Q1"/>
    <s v="OVERIGE"/>
    <s v="niet relance"/>
    <n v="100"/>
    <n v="300"/>
    <n v="300"/>
  </r>
  <r>
    <x v="1220"/>
    <x v="1220"/>
    <s v="Verkeersveiligheid"/>
    <x v="6"/>
    <n v="1662"/>
    <s v="IN/001314"/>
    <s v="dubbelrichtingsfietspad + oversteek"/>
    <s v="dubbelrichtingsfietpad achter groenstrook aanleggen + oversteek naar overzijde\n\nOPW legt fietssuggestiestroken aan"/>
    <s v="Kleine Ingreep"/>
    <s v="WVB/INV/N211/4"/>
    <b v="1"/>
    <s v="Ingreep wordt opgevolgd in BOD"/>
    <n v="2021"/>
    <s v="Q4"/>
    <s v="OVERIGE"/>
    <s v="IBO niet relance"/>
    <n v="100"/>
    <n v="19887.740000000002"/>
    <n v="19887.740000000002"/>
  </r>
  <r>
    <x v="1007"/>
    <x v="1007"/>
    <s v="Verkeersveiligheid"/>
    <x v="4"/>
    <n v="1663"/>
    <s v="IN/001315"/>
    <s v="Verlagen boordstenen oversteekplaats"/>
    <s v="&lt;null&gt;"/>
    <s v="Kleine Ingreep"/>
    <s v="WL/INV/N730/12"/>
    <b v="1"/>
    <s v="Ingreep wordt opgevolgd in BOD"/>
    <n v="2021"/>
    <s v="Q2"/>
    <s v="WEGENIS"/>
    <s v="&lt;null&gt;"/>
    <n v="100"/>
    <n v="1936.25"/>
    <n v="1936.25"/>
  </r>
  <r>
    <x v="744"/>
    <x v="744"/>
    <s v="Verkeersveiligheid"/>
    <x v="4"/>
    <n v="1664"/>
    <s v="IN/001316"/>
    <s v="Verbetering oversteekvoorzieningen (olv PM studiebureau MC3; aan te stellen)"/>
    <s v="zebrapad verplaatsen; punctueel verlichten; voetpad vrij van obstakels maken"/>
    <s v="Kleine Ingreep"/>
    <s v="WL/INV/N76/27"/>
    <b v="0"/>
    <s v="Ingreep wordt niet opgevolgd in BOD"/>
    <s v="&lt;null&gt;"/>
    <s v="&lt;null&gt;"/>
    <s v="OV"/>
    <s v="&lt;null&gt;"/>
    <n v="100"/>
    <n v="20169"/>
    <n v="20169"/>
  </r>
  <r>
    <x v="1221"/>
    <x v="1221"/>
    <s v="Verkeersveiligheid"/>
    <x v="4"/>
    <n v="1665"/>
    <s v="IN/001317"/>
    <s v="Verlagen van boordstenen"/>
    <s v="uitgevoerd op relancebudget bestek oneffenheden"/>
    <s v="Kleine Ingreep"/>
    <s v="WL/INV/N730/23"/>
    <b v="0"/>
    <s v="Ingreep wordt niet opgevolgd in BOD"/>
    <n v="2021"/>
    <s v="Q3"/>
    <s v="WEGENIS"/>
    <s v="&lt;null&gt;"/>
    <n v="100"/>
    <n v="1"/>
    <n v="1"/>
  </r>
  <r>
    <x v="362"/>
    <x v="362"/>
    <s v="Verkeersveiligheid"/>
    <x v="1"/>
    <n v="1666"/>
    <s v="IN/001318"/>
    <s v="Conflictvrije fietsoversteek R30 - fietssnelweg F31"/>
    <s v="Verkeerslichten in afstemming met vlaamse waterweg"/>
    <s v="Kleine Ingreep"/>
    <s v="&lt;null&gt;"/>
    <b v="0"/>
    <s v="Ingreep wordt niet opgevolgd in BOD"/>
    <n v="2023"/>
    <s v="Q4"/>
    <s v="VRI"/>
    <s v="&lt;null&gt;"/>
    <n v="100"/>
    <n v="150000"/>
    <n v="150000"/>
  </r>
  <r>
    <x v="1222"/>
    <x v="1222"/>
    <s v="Verkeersveiligheid"/>
    <x v="5"/>
    <n v="1667"/>
    <s v="IN/001319"/>
    <s v="N327 Tielt Gruuthusestraat"/>
    <s v="Vernieuwen fietspaden, parkeerstroken in samenwerking met stad Tielt (vernieuwen voetpaden) naar aanleiding van invoeren éénrichtingsverkeer"/>
    <s v="Kleine Ingreep"/>
    <s v="WWV/INV/N327/5"/>
    <b v="1"/>
    <s v="Ingreep wordt opgevolgd in BOD"/>
    <n v="2023"/>
    <s v="&lt;null&gt;"/>
    <s v="WEGENIS"/>
    <s v="&lt;null&gt;"/>
    <n v="100"/>
    <n v="430000"/>
    <n v="430000"/>
  </r>
  <r>
    <x v="1223"/>
    <x v="1223"/>
    <s v="Fiets"/>
    <x v="0"/>
    <n v="1668"/>
    <s v="IN/001320"/>
    <s v="N311"/>
    <s v="Plaatselijke herstelling betonplaten"/>
    <s v="Kleine Ingreep"/>
    <s v="WWV/INV/N311/2"/>
    <b v="0"/>
    <s v="Ingreep wordt niet opgevolgd in BOD"/>
    <n v="2022"/>
    <s v="Q1"/>
    <s v="WEGENIS"/>
    <s v="&lt;null&gt;"/>
    <n v="100"/>
    <n v="60000"/>
    <n v="60000"/>
  </r>
  <r>
    <x v="18"/>
    <x v="18"/>
    <s v="&lt;null&gt;"/>
    <x v="3"/>
    <n v="1669"/>
    <s v="IN/001321"/>
    <s v="N36 - Plaatselijke herstel kmpnt 5.1 - 5.25 (relance)"/>
    <s v="Plaatselijk herstel fietspad thv kmpnt 5.1-5.25\n- Deels opbraak beton en vervanging door asfalt\n- Deels plaatselijk herstel betonplaten"/>
    <s v="Kleine Ingreep"/>
    <s v="WWV/INV/N36/19"/>
    <b v="0"/>
    <s v="Ingreep wordt niet opgevolgd in BOD"/>
    <n v="2022"/>
    <s v="Q1"/>
    <s v="WEGENIS"/>
    <s v="&lt;null&gt;"/>
    <m/>
    <n v="55000"/>
    <m/>
  </r>
  <r>
    <x v="1224"/>
    <x v="1224"/>
    <s v="Fiets"/>
    <x v="0"/>
    <n v="1670"/>
    <s v="IN/001322"/>
    <s v="Aanpak aanliggende fietspaden in Brugge R30 - B4 - 4.200 - 4.696 - Gentpoort - Katelijnepoort"/>
    <s v="&lt;null&gt;"/>
    <s v="Kleine Ingreep"/>
    <s v="WWV/INV/R30/11"/>
    <b v="0"/>
    <s v="Ingreep wordt niet opgevolgd in BOD"/>
    <s v="&lt;null&gt;"/>
    <s v="&lt;null&gt;"/>
    <s v="WEGENIS"/>
    <s v="&lt;null&gt;"/>
    <n v="100"/>
    <n v="357553.91999999998"/>
    <n v="357553.91999999998"/>
  </r>
  <r>
    <x v="491"/>
    <x v="491"/>
    <s v="Verkeersveiligheid"/>
    <x v="1"/>
    <n v="1671"/>
    <s v="IN/001323"/>
    <s v="Aanpassen/vernieuwing van verharding in Kortrijk : A14-E17 Richting Frankrijk Oprit 3 N8 Brussel, A14-E17 Richting Frankrijk Uitrit 3, N8 Richting Brussel"/>
    <s v="Omschrijving Doorsteken fietspaden verbreden + vernieuwen toplaag (250.000)"/>
    <s v="Kleine Ingreep"/>
    <s v="WWV/INV/N8/32"/>
    <b v="1"/>
    <s v="Ingreep wordt opgevolgd in BOD"/>
    <n v="2022"/>
    <s v="Q4"/>
    <s v="WEGENIS"/>
    <s v="&lt;null&gt;"/>
    <n v="75"/>
    <n v="250000"/>
    <n v="187500"/>
  </r>
  <r>
    <x v="806"/>
    <x v="806"/>
    <s v="Verkeersveiligheid"/>
    <x v="4"/>
    <n v="1671"/>
    <s v="IN/001323"/>
    <s v="Aanpassen/vernieuwing van verharding in Kortrijk : A14-E17 Richting Frankrijk Oprit 3 N8 Brussel, A14-E17 Richting Frankrijk Uitrit 3, N8 Richting Brussel"/>
    <s v="Omschrijving Doorsteken fietspaden verbreden + vernieuwen toplaag (250.000)"/>
    <s v="Kleine Ingreep"/>
    <s v="WWV/INV/N8/32"/>
    <b v="1"/>
    <s v="Ingreep wordt opgevolgd in BOD"/>
    <n v="2022"/>
    <s v="Q4"/>
    <s v="WEGENIS"/>
    <s v="&lt;null&gt;"/>
    <n v="25"/>
    <n v="250000"/>
    <n v="62500"/>
  </r>
  <r>
    <x v="507"/>
    <x v="507"/>
    <s v="Verkeersveiligheid"/>
    <x v="1"/>
    <n v="1672"/>
    <s v="IN/001324"/>
    <s v="VRI volgens actieplan Vierkant groen"/>
    <s v="&lt;null&gt;"/>
    <s v="Kleine Ingreep"/>
    <s v="&lt;null&gt;"/>
    <b v="0"/>
    <s v="Ingreep wordt niet opgevolgd in BOD"/>
    <n v="2022"/>
    <s v="Q3"/>
    <s v="WEGENIS"/>
    <s v="aanpassing ter ondersteuning van aanpassingen VRI"/>
    <n v="100"/>
    <n v="30000"/>
    <n v="30000"/>
  </r>
  <r>
    <x v="507"/>
    <x v="507"/>
    <s v="Verkeersveiligheid"/>
    <x v="1"/>
    <n v="1672"/>
    <s v="IN/001324"/>
    <s v="VRI volgens actieplan Vierkant groen"/>
    <s v="&lt;null&gt;"/>
    <s v="Kleine Ingreep"/>
    <s v="&lt;null&gt;"/>
    <b v="0"/>
    <s v="Ingreep wordt niet opgevolgd in BOD"/>
    <n v="2022"/>
    <s v="Q3"/>
    <s v="VRI"/>
    <s v="volgens actieplan en vierkant groen"/>
    <n v="100"/>
    <n v="225000"/>
    <n v="225000"/>
  </r>
  <r>
    <x v="1225"/>
    <x v="1225"/>
    <s v="Verkeersveiligheid"/>
    <x v="5"/>
    <n v="1673"/>
    <s v="IN/001325"/>
    <s v="N33 Zomerstraat Torhout"/>
    <s v="Oversteek fietsers ter hoogte van kruispunt"/>
    <s v="Kleine Ingreep"/>
    <s v="WWV/INV/N33/3"/>
    <b v="1"/>
    <s v="Ingreep wordt opgevolgd in BOD"/>
    <s v="&lt;null&gt;"/>
    <s v="&lt;null&gt;"/>
    <s v="WEGENIS"/>
    <s v="Onzeker gezien nog geen PCV beslissing"/>
    <n v="100"/>
    <n v="50000"/>
    <n v="50000"/>
  </r>
  <r>
    <x v="1226"/>
    <x v="1226"/>
    <s v="Verkeersveiligheid"/>
    <x v="5"/>
    <n v="1674"/>
    <s v="IN/001326"/>
    <s v="Aanpassing aansluiting Schansvijverstraat"/>
    <s v="Deze aansluiting wordt ontdubbeld om:\n- lagere inrijsnelheden te bekomen\n- minder conflict met de fietser te bekomen\n\nVerbeteren verkeersveiligheid fietser en gemotoriseerd verkeer."/>
    <s v="Kleine Ingreep"/>
    <s v="WL/INV/N72/19"/>
    <b v="1"/>
    <s v="Ingreep wordt opgevolgd in BOD"/>
    <n v="2022"/>
    <s v="Q1"/>
    <s v="WEGENIS"/>
    <s v="&lt;null&gt;"/>
    <n v="100"/>
    <n v="61000"/>
    <n v="61000"/>
  </r>
  <r>
    <x v="1227"/>
    <x v="1227"/>
    <s v="Verkeersveiligheid"/>
    <x v="4"/>
    <n v="1675"/>
    <s v="IN/001327"/>
    <s v="N446 Waasmunster Vernieuwen Durmebrug"/>
    <s v="&lt;null&gt;"/>
    <s v="Structurele Ingreep"/>
    <s v="WOV/INV/N446/3"/>
    <b v="0"/>
    <s v="Ingreep wordt niet opgevolgd in BOD"/>
    <s v="&lt;null&gt;"/>
    <s v="&lt;null&gt;"/>
    <s v="&lt;null&gt;"/>
    <s v="&lt;null&gt;"/>
    <n v="40"/>
    <m/>
    <m/>
  </r>
  <r>
    <x v="18"/>
    <x v="18"/>
    <s v="&lt;null&gt;"/>
    <x v="3"/>
    <n v="1676"/>
    <s v="IN/001328"/>
    <s v="N403 SintGillisWs heraanleg Vosdrf tot Vlasrootst"/>
    <s v="&lt;null&gt;"/>
    <s v="Structurele Ingreep"/>
    <s v="WOV/INV/N403/1"/>
    <b v="0"/>
    <s v="Ingreep wordt niet opgevolgd in BOD"/>
    <s v="&lt;null&gt;"/>
    <s v="&lt;null&gt;"/>
    <s v="&lt;null&gt;"/>
    <s v="&lt;null&gt;"/>
    <m/>
    <m/>
    <m/>
  </r>
  <r>
    <x v="1228"/>
    <x v="1228"/>
    <s v="Verkeersveiligheid"/>
    <x v="4"/>
    <n v="1677"/>
    <s v="IN/001329"/>
    <s v="N446 Waasmunster fietspaden ten zuiden complex E17"/>
    <s v="&lt;null&gt;"/>
    <s v="Structurele Ingreep"/>
    <s v="WOV/INV/N446/2"/>
    <b v="0"/>
    <s v="Ingreep wordt niet opgevolgd in BOD"/>
    <s v="&lt;null&gt;"/>
    <s v="&lt;null&gt;"/>
    <s v="&lt;null&gt;"/>
    <s v="&lt;null&gt;"/>
    <n v="20"/>
    <m/>
    <m/>
  </r>
  <r>
    <x v="1229"/>
    <x v="1229"/>
    <s v="Stimuleren Combimobiliteit"/>
    <x v="2"/>
    <n v="1678"/>
    <s v="IN/001330"/>
    <s v="N112 WIJNEGEM - overdracht"/>
    <s v="&lt;null&gt;"/>
    <s v="Structurele Ingreep"/>
    <s v="WA/INV/N112/2"/>
    <b v="0"/>
    <s v="Ingreep wordt niet opgevolgd in BOD"/>
    <s v="&lt;null&gt;"/>
    <s v="&lt;null&gt;"/>
    <s v="&lt;null&gt;"/>
    <s v="&lt;null&gt;"/>
    <n v="0"/>
    <m/>
    <m/>
  </r>
  <r>
    <x v="18"/>
    <x v="18"/>
    <s v="&lt;null&gt;"/>
    <x v="3"/>
    <n v="1679"/>
    <s v="IN/001331"/>
    <s v="N467 Berlare doortocht"/>
    <s v="&lt;null&gt;"/>
    <s v="Structurele Ingreep"/>
    <s v="WOV/INV/N467/1"/>
    <b v="0"/>
    <s v="Ingreep wordt niet opgevolgd in BOD"/>
    <s v="&lt;null&gt;"/>
    <s v="&lt;null&gt;"/>
    <s v="&lt;null&gt;"/>
    <s v="&lt;null&gt;"/>
    <m/>
    <m/>
    <m/>
  </r>
  <r>
    <x v="18"/>
    <x v="18"/>
    <s v="&lt;null&gt;"/>
    <x v="3"/>
    <n v="1680"/>
    <s v="IN/001332"/>
    <s v="N485 Kruibeke Temse heraanleg tussen E17 en N419"/>
    <s v="&lt;null&gt;"/>
    <s v="Structurele Ingreep"/>
    <s v="WOV/INV/N485/1"/>
    <b v="0"/>
    <s v="Ingreep wordt niet opgevolgd in BOD"/>
    <s v="&lt;null&gt;"/>
    <s v="&lt;null&gt;"/>
    <s v="&lt;null&gt;"/>
    <s v="&lt;null&gt;"/>
    <m/>
    <m/>
    <m/>
  </r>
  <r>
    <x v="185"/>
    <x v="185"/>
    <s v="Fiets"/>
    <x v="0"/>
    <n v="1681"/>
    <s v="IN/001333"/>
    <s v="N470 Hamme SO bij mod13   nieuwe aantakking op N41"/>
    <s v="&lt;null&gt;"/>
    <s v="Structurele Ingreep"/>
    <s v="WOV/INV/N470/2"/>
    <b v="0"/>
    <s v="Ingreep wordt niet opgevolgd in BOD"/>
    <s v="&lt;null&gt;"/>
    <s v="&lt;null&gt;"/>
    <s v="&lt;null&gt;"/>
    <s v="&lt;null&gt;"/>
    <n v="20"/>
    <m/>
    <m/>
  </r>
  <r>
    <x v="1230"/>
    <x v="1230"/>
    <s v="Verkeersveiligheid"/>
    <x v="1"/>
    <n v="1681"/>
    <s v="IN/001333"/>
    <s v="N470 Hamme SO bij mod13   nieuwe aantakking op N41"/>
    <s v="&lt;null&gt;"/>
    <s v="Structurele Ingreep"/>
    <s v="WOV/INV/N470/2"/>
    <b v="0"/>
    <s v="Ingreep wordt niet opgevolgd in BOD"/>
    <s v="&lt;null&gt;"/>
    <s v="&lt;null&gt;"/>
    <s v="&lt;null&gt;"/>
    <s v="&lt;null&gt;"/>
    <n v="30"/>
    <m/>
    <m/>
  </r>
  <r>
    <x v="18"/>
    <x v="18"/>
    <s v="&lt;null&gt;"/>
    <x v="3"/>
    <n v="1683"/>
    <s v="IN/001335"/>
    <s v="Ontsluiting parallelweg op complex Moerbeke"/>
    <s v="&lt;null&gt;"/>
    <s v="Structurele Ingreep"/>
    <s v="WOV/INV/A11/1"/>
    <b v="0"/>
    <s v="Ingreep wordt niet opgevolgd in BOD"/>
    <s v="&lt;null&gt;"/>
    <s v="&lt;null&gt;"/>
    <s v="&lt;null&gt;"/>
    <s v="&lt;null&gt;"/>
    <m/>
    <m/>
    <m/>
  </r>
  <r>
    <x v="18"/>
    <x v="18"/>
    <s v="&lt;null&gt;"/>
    <x v="3"/>
    <n v="1684"/>
    <s v="IN/001336"/>
    <s v="N470 Dendermonde heraanleg bij mod 13"/>
    <s v="&lt;null&gt;"/>
    <s v="Structurele Ingreep"/>
    <s v="WOV/INV/N470/1"/>
    <b v="0"/>
    <s v="Ingreep wordt niet opgevolgd in BOD"/>
    <s v="&lt;null&gt;"/>
    <s v="&lt;null&gt;"/>
    <s v="&lt;null&gt;"/>
    <s v="&lt;null&gt;"/>
    <m/>
    <m/>
    <m/>
  </r>
  <r>
    <x v="18"/>
    <x v="18"/>
    <s v="&lt;null&gt;"/>
    <x v="3"/>
    <n v="1685"/>
    <s v="IN/001337"/>
    <s v="N419 Kruibeke structureel onderhoud bij Aquafinpro"/>
    <s v="&lt;null&gt;"/>
    <s v="Structurele Ingreep"/>
    <s v="WOV/INV/N419/1"/>
    <b v="0"/>
    <s v="Ingreep wordt niet opgevolgd in BOD"/>
    <s v="&lt;null&gt;"/>
    <s v="&lt;null&gt;"/>
    <s v="&lt;null&gt;"/>
    <s v="&lt;null&gt;"/>
    <m/>
    <m/>
    <m/>
  </r>
  <r>
    <x v="18"/>
    <x v="18"/>
    <s v="&lt;null&gt;"/>
    <x v="3"/>
    <n v="1686"/>
    <s v="IN/001338"/>
    <s v="R42 Sint-Niklaas en Temse Oostelijke Tangent"/>
    <s v="&lt;null&gt;"/>
    <s v="Structurele Ingreep"/>
    <s v="WOV/INV/R42/1"/>
    <b v="0"/>
    <s v="Ingreep wordt niet opgevolgd in BOD"/>
    <s v="&lt;null&gt;"/>
    <s v="&lt;null&gt;"/>
    <s v="&lt;null&gt;"/>
    <s v="&lt;null&gt;"/>
    <m/>
    <m/>
    <m/>
  </r>
  <r>
    <x v="18"/>
    <x v="18"/>
    <s v="&lt;null&gt;"/>
    <x v="3"/>
    <n v="1702"/>
    <s v="IN/001339"/>
    <s v="N355 Koksijde: herinrichten Veurnevaartstraat"/>
    <s v="&lt;null&gt;"/>
    <s v="Structurele Ingreep"/>
    <s v="WWV/INV/NX/2"/>
    <b v="0"/>
    <s v="Ingreep wordt niet opgevolgd in BOD"/>
    <s v="&lt;null&gt;"/>
    <s v="&lt;null&gt;"/>
    <s v="&lt;null&gt;"/>
    <s v="&lt;null&gt;"/>
    <m/>
    <m/>
    <m/>
  </r>
  <r>
    <x v="18"/>
    <x v="18"/>
    <s v="&lt;null&gt;"/>
    <x v="3"/>
    <n v="1703"/>
    <s v="IN/001340"/>
    <s v="N8 Avelgem, aanleg fietspaden Rugge - Kerkhove"/>
    <s v="&lt;null&gt;"/>
    <s v="Structurele Ingreep"/>
    <s v="WWV/INV/N8/30"/>
    <b v="0"/>
    <s v="Ingreep wordt niet opgevolgd in BOD"/>
    <s v="&lt;null&gt;"/>
    <s v="&lt;null&gt;"/>
    <s v="&lt;null&gt;"/>
    <s v="&lt;null&gt;"/>
    <m/>
    <m/>
    <m/>
  </r>
  <r>
    <x v="18"/>
    <x v="18"/>
    <s v="&lt;null&gt;"/>
    <x v="3"/>
    <n v="1704"/>
    <s v="IN/001341"/>
    <s v="carpoolparking II Deerlijk"/>
    <s v="&lt;null&gt;"/>
    <s v="Structurele Ingreep"/>
    <s v="WWV/INV/N36/12"/>
    <b v="0"/>
    <s v="Ingreep wordt niet opgevolgd in BOD"/>
    <s v="&lt;null&gt;"/>
    <s v="&lt;null&gt;"/>
    <s v="&lt;null&gt;"/>
    <s v="&lt;null&gt;"/>
    <m/>
    <m/>
    <m/>
  </r>
  <r>
    <x v="1231"/>
    <x v="1231"/>
    <s v="Verkeersveiligheid"/>
    <x v="1"/>
    <n v="1705"/>
    <s v="IN/001342"/>
    <s v="N34/F34 Wenduine - Blankenberge"/>
    <s v="&lt;null&gt;"/>
    <s v="Structurele Ingreep"/>
    <s v="WWV/INV/N34/11"/>
    <b v="0"/>
    <s v="Ingreep wordt niet opgevolgd in BOD"/>
    <s v="&lt;null&gt;"/>
    <s v="&lt;null&gt;"/>
    <s v="&lt;null&gt;"/>
    <s v="&lt;null&gt;"/>
    <n v="10"/>
    <m/>
    <m/>
  </r>
  <r>
    <x v="18"/>
    <x v="18"/>
    <s v="&lt;null&gt;"/>
    <x v="3"/>
    <n v="1706"/>
    <s v="IN/001343"/>
    <s v="N34/F34 Blankenberge - Zeebrugge"/>
    <s v="&lt;null&gt;"/>
    <s v="Structurele Ingreep"/>
    <s v="WWV/INV/N34/12"/>
    <b v="0"/>
    <s v="Ingreep wordt niet opgevolgd in BOD"/>
    <s v="&lt;null&gt;"/>
    <s v="&lt;null&gt;"/>
    <s v="&lt;null&gt;"/>
    <s v="&lt;null&gt;"/>
    <m/>
    <m/>
    <m/>
  </r>
  <r>
    <x v="18"/>
    <x v="18"/>
    <s v="&lt;null&gt;"/>
    <x v="3"/>
    <n v="1707"/>
    <s v="IN/001344"/>
    <s v="N37 Ardooie Herinrichten BUBEKO"/>
    <s v="&lt;null&gt;"/>
    <s v="Structurele Ingreep"/>
    <s v="WWV/INV/N37/4"/>
    <b v="0"/>
    <s v="Ingreep wordt niet opgevolgd in BOD"/>
    <s v="&lt;null&gt;"/>
    <s v="&lt;null&gt;"/>
    <s v="&lt;null&gt;"/>
    <s v="&lt;null&gt;"/>
    <m/>
    <m/>
    <m/>
  </r>
  <r>
    <x v="18"/>
    <x v="18"/>
    <s v="&lt;null&gt;"/>
    <x v="3"/>
    <n v="1708"/>
    <s v="IN/001345"/>
    <s v="N78 Maaseik, Stad aan de Maas - beplanting"/>
    <s v="&lt;null&gt;"/>
    <s v="Structurele Ingreep"/>
    <s v="WL/INV/N78/25"/>
    <b v="0"/>
    <s v="Ingreep wordt niet opgevolgd in BOD"/>
    <s v="&lt;null&gt;"/>
    <s v="&lt;null&gt;"/>
    <s v="&lt;null&gt;"/>
    <s v="&lt;null&gt;"/>
    <m/>
    <m/>
    <m/>
  </r>
  <r>
    <x v="18"/>
    <x v="18"/>
    <s v="&lt;null&gt;"/>
    <x v="3"/>
    <n v="1709"/>
    <s v="IN/001346"/>
    <s v="N761 Maaseik, Pater Sangersbrug"/>
    <s v="&lt;null&gt;"/>
    <s v="Structurele Ingreep"/>
    <s v="WL/INV/N761/1"/>
    <b v="0"/>
    <s v="Ingreep wordt niet opgevolgd in BOD"/>
    <s v="&lt;null&gt;"/>
    <s v="&lt;null&gt;"/>
    <s v="&lt;null&gt;"/>
    <s v="&lt;null&gt;"/>
    <m/>
    <m/>
    <m/>
  </r>
  <r>
    <x v="1232"/>
    <x v="1232"/>
    <s v="Verkeersveiligheid"/>
    <x v="1"/>
    <n v="1710"/>
    <s v="IN/001347"/>
    <s v="Sint-Niklaas : Kettermuitstraat, N41 Richting Aalst, N41 Richting Hulst (Nl), Nieuwe Steenweg, Steenweg Hulst-Lessen"/>
    <s v="Actieplan VRI"/>
    <s v="Kleine Ingreep"/>
    <s v="&lt;null&gt;"/>
    <b v="0"/>
    <s v="Ingreep wordt niet opgevolgd in BOD"/>
    <s v="&lt;null&gt;"/>
    <s v="&lt;null&gt;"/>
    <s v="&lt;null&gt;"/>
    <s v="&lt;null&gt;"/>
    <n v="100"/>
    <m/>
    <m/>
  </r>
  <r>
    <x v="1233"/>
    <x v="1233"/>
    <s v="Verkeersveiligheid"/>
    <x v="1"/>
    <n v="1711"/>
    <s v="IN/001348"/>
    <s v="Dendermonde : Grootzand, Martelarenlaan, Zeelsebaan (Actieplan VRI)"/>
    <s v="Actieplan VRI"/>
    <s v="Kleine Ingreep"/>
    <s v="&lt;null&gt;"/>
    <b v="0"/>
    <s v="Ingreep wordt niet opgevolgd in BOD"/>
    <s v="&lt;null&gt;"/>
    <s v="&lt;null&gt;"/>
    <s v="&lt;null&gt;"/>
    <s v="&lt;null&gt;"/>
    <n v="100"/>
    <m/>
    <m/>
  </r>
  <r>
    <x v="1234"/>
    <x v="1234"/>
    <s v="Verkeersveiligheid"/>
    <x v="1"/>
    <n v="1712"/>
    <s v="IN/001349"/>
    <s v="Aalst : Albrechtlaan, Leopoldlaan, Moorselbaan, Onze Lieve Vrouwplein (Actieplan VRI)"/>
    <s v="Actieplan VRI"/>
    <s v="Kleine Ingreep"/>
    <s v="&lt;null&gt;"/>
    <b v="0"/>
    <s v="Ingreep wordt niet opgevolgd in BOD"/>
    <s v="&lt;null&gt;"/>
    <s v="&lt;null&gt;"/>
    <s v="&lt;null&gt;"/>
    <s v="&lt;null&gt;"/>
    <n v="100"/>
    <m/>
    <m/>
  </r>
  <r>
    <x v="1235"/>
    <x v="1235"/>
    <s v="Verkeersveiligheid"/>
    <x v="1"/>
    <n v="1713"/>
    <s v="IN/001350"/>
    <s v="Melle : N9 Brusselsesteenweg met op- en afrit R4 Binnenring"/>
    <s v="&lt;null&gt;"/>
    <s v="Kleine Ingreep"/>
    <s v="&lt;null&gt;"/>
    <b v="0"/>
    <s v="Ingreep wordt niet opgevolgd in BOD"/>
    <s v="&lt;null&gt;"/>
    <s v="&lt;null&gt;"/>
    <s v="&lt;null&gt;"/>
    <s v="&lt;null&gt;"/>
    <n v="100"/>
    <m/>
    <m/>
  </r>
  <r>
    <x v="450"/>
    <x v="450"/>
    <s v="Verkeersveiligheid"/>
    <x v="1"/>
    <n v="1714"/>
    <s v="IN/001351"/>
    <s v="N43 x Vlasstraat"/>
    <s v="conflictvrije fase voor voetgangers over de N43"/>
    <s v="Kleine Ingreep"/>
    <s v="WWV/INV/N43/7"/>
    <b v="0"/>
    <s v="Ingreep wordt niet opgevolgd in BOD"/>
    <s v="&lt;null&gt;"/>
    <s v="&lt;null&gt;"/>
    <s v="VRI"/>
    <s v="&lt;null&gt;"/>
    <n v="100"/>
    <n v="1"/>
    <n v="1"/>
  </r>
  <r>
    <x v="18"/>
    <x v="18"/>
    <s v="&lt;null&gt;"/>
    <x v="3"/>
    <n v="1715"/>
    <s v="IN/001352"/>
    <s v="Verbinding Zwevegem Knokke Bossuit"/>
    <s v="&lt;null&gt;"/>
    <s v="Structurele Ingreep"/>
    <s v="WWV/INV/NX/3"/>
    <b v="0"/>
    <s v="Ingreep wordt niet opgevolgd in BOD"/>
    <s v="&lt;null&gt;"/>
    <s v="&lt;null&gt;"/>
    <s v="&lt;null&gt;"/>
    <s v="&lt;null&gt;"/>
    <m/>
    <m/>
    <m/>
  </r>
  <r>
    <x v="18"/>
    <x v="18"/>
    <s v="&lt;null&gt;"/>
    <x v="3"/>
    <n v="1716"/>
    <s v="IN/001353"/>
    <s v="R0 - Faunapassage Hertenlaan (Hoeilaart)"/>
    <s v="&lt;null&gt;"/>
    <s v="Structurele Ingreep"/>
    <s v="WVB/INV/R0/6"/>
    <b v="0"/>
    <s v="Ingreep wordt niet opgevolgd in BOD"/>
    <s v="&lt;null&gt;"/>
    <s v="&lt;null&gt;"/>
    <s v="&lt;null&gt;"/>
    <s v="&lt;null&gt;"/>
    <m/>
    <m/>
    <m/>
  </r>
  <r>
    <x v="1236"/>
    <x v="1236"/>
    <s v="Verkeersveiligheid"/>
    <x v="4"/>
    <n v="1717"/>
    <s v="IN/001354"/>
    <s v="Kampenhout VVOP N21 x Rubenslaan"/>
    <s v="VVOP ter hoogte van de wijk Hutte voorzien"/>
    <s v="Kleine Ingreep"/>
    <s v="WVB/INV/N21/13"/>
    <b v="1"/>
    <s v="Ingreep wordt opgevolgd in BOD"/>
    <n v="2021"/>
    <s v="Q4"/>
    <s v="OV"/>
    <s v="Plaatsing VVOP"/>
    <n v="100"/>
    <n v="15111.39"/>
    <n v="15111.39"/>
  </r>
  <r>
    <x v="901"/>
    <x v="901"/>
    <s v="Verkeersveiligheid"/>
    <x v="4"/>
    <n v="1718"/>
    <s v="IN/001355"/>
    <s v="Ingreep schoolroute in Overijse op Waversesteenweg N4, deel tussen Grotstraat en Vossebeekweg: aanleg middeneilanden"/>
    <s v="ZIE OOK IN/000980\n\nQW1: verplaatsen bebouwde kom, verlagen snelheidslimiet naar 50 km/u"/>
    <s v="Kleine Ingreep"/>
    <s v="WVB/INV/N4/8"/>
    <b v="0"/>
    <s v="Ingreep wordt niet opgevolgd in BOD"/>
    <n v="2022"/>
    <s v="Q4"/>
    <s v="WEGENIS"/>
    <s v="&lt;null&gt;"/>
    <n v="100"/>
    <n v="500"/>
    <n v="500"/>
  </r>
  <r>
    <x v="18"/>
    <x v="18"/>
    <s v="&lt;null&gt;"/>
    <x v="3"/>
    <n v="1719"/>
    <s v="IN/001356"/>
    <s v="Ingreep schoolroute in Overijse op Waversesteenweg N4, deel tussen Grotstraat en Vossebeekweg: aanleg toeleidende fietspaden op Hertstraat"/>
    <s v="ZIE IN/000980\n\n"/>
    <s v="Kleine Ingreep"/>
    <s v="WVB/INV/N4/9"/>
    <b v="0"/>
    <s v="Ingreep wordt niet opgevolgd in BOD"/>
    <s v="&lt;null&gt;"/>
    <s v="&lt;null&gt;"/>
    <s v="WEGENIS"/>
    <s v="&lt;null&gt;"/>
    <m/>
    <n v="0.1"/>
    <m/>
  </r>
  <r>
    <x v="1237"/>
    <x v="1237"/>
    <s v="Verkeersveiligheid"/>
    <x v="4"/>
    <n v="1720"/>
    <s v="IN/001357"/>
    <s v="Steenokkerzeel VOP voorzien thv Zonneboslaan en Beukendreef"/>
    <s v="Aanpassen lichtenregeling en BOB nodig?\nVVOP of VOP + VRI voorzien?"/>
    <s v="Kleine Ingreep"/>
    <s v="&lt;null&gt;"/>
    <b v="0"/>
    <s v="Ingreep wordt niet opgevolgd in BOD"/>
    <n v="2023"/>
    <s v="Q1"/>
    <s v="OV"/>
    <s v="&lt;null&gt;"/>
    <n v="100"/>
    <n v="20000"/>
    <n v="20000"/>
  </r>
  <r>
    <x v="1238"/>
    <x v="1238"/>
    <s v="Fiets"/>
    <x v="0"/>
    <n v="1721"/>
    <s v="IN/001358"/>
    <s v="bundelbestek regio zuid"/>
    <s v="structureel onderhoud"/>
    <s v="Kleine Ingreep"/>
    <s v="&lt;null&gt;"/>
    <b v="0"/>
    <s v="Ingreep wordt niet opgevolgd in BOD"/>
    <n v="2022"/>
    <s v="Q3"/>
    <s v="WEGENIS"/>
    <s v="&lt;null&gt;"/>
    <n v="100"/>
    <n v="100000"/>
    <n v="100000"/>
  </r>
  <r>
    <x v="1239"/>
    <x v="1239"/>
    <s v="Verkeersveiligheid"/>
    <x v="1"/>
    <n v="1722"/>
    <s v="IN/001359"/>
    <s v="Antwerpen : Krijgsbaan, R11 Richting Hoboken"/>
    <s v="VLCC"/>
    <s v="Kleine Ingreep"/>
    <s v="WA/INV/R11/7"/>
    <b v="0"/>
    <s v="Ingreep wordt niet opgevolgd in BOD"/>
    <n v="2021"/>
    <s v="Q1"/>
    <s v="VRI"/>
    <s v="&lt;null&gt;"/>
    <n v="100"/>
    <n v="1"/>
    <n v="1"/>
  </r>
  <r>
    <x v="18"/>
    <x v="18"/>
    <s v="&lt;null&gt;"/>
    <x v="3"/>
    <n v="1723"/>
    <s v="IN/001360"/>
    <s v="Verbinding Ieper-Veurne"/>
    <s v="&lt;null&gt;"/>
    <s v="Structurele Ingreep"/>
    <s v="WWV/INV/N8/31"/>
    <b v="0"/>
    <s v="Ingreep wordt niet opgevolgd in BOD"/>
    <s v="&lt;null&gt;"/>
    <s v="&lt;null&gt;"/>
    <s v="&lt;null&gt;"/>
    <s v="&lt;null&gt;"/>
    <m/>
    <m/>
    <m/>
  </r>
  <r>
    <x v="18"/>
    <x v="18"/>
    <s v="&lt;null&gt;"/>
    <x v="3"/>
    <n v="1724"/>
    <s v="IN/001361"/>
    <s v="N371 Zuienkerke - heraanleg + fietspaden"/>
    <s v="&lt;null&gt;"/>
    <s v="Structurele Ingreep"/>
    <s v="WWV/INV/N371/4"/>
    <b v="0"/>
    <s v="Ingreep wordt niet opgevolgd in BOD"/>
    <s v="&lt;null&gt;"/>
    <s v="&lt;null&gt;"/>
    <s v="&lt;null&gt;"/>
    <s v="&lt;null&gt;"/>
    <m/>
    <m/>
    <m/>
  </r>
  <r>
    <x v="56"/>
    <x v="56"/>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Denderleeuw"/>
    <n v="9.85"/>
    <n v="410000"/>
    <n v="40385"/>
  </r>
  <r>
    <x v="56"/>
    <x v="56"/>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9 Aalst"/>
    <n v="9.85"/>
    <n v="840000"/>
    <n v="82740"/>
  </r>
  <r>
    <x v="56"/>
    <x v="56"/>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67 Berlare"/>
    <n v="9.85"/>
    <n v="610000"/>
    <n v="60085"/>
  </r>
  <r>
    <x v="56"/>
    <x v="56"/>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Aalst"/>
    <n v="9.85"/>
    <n v="640000"/>
    <n v="63040"/>
  </r>
  <r>
    <x v="56"/>
    <x v="56"/>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SO N41"/>
    <n v="9.85"/>
    <n v="4000000"/>
    <n v="394000"/>
  </r>
  <r>
    <x v="58"/>
    <x v="58"/>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Aalst"/>
    <n v="9.4"/>
    <n v="640000"/>
    <n v="60160"/>
  </r>
  <r>
    <x v="58"/>
    <x v="58"/>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SO N41"/>
    <n v="9.4"/>
    <n v="4000000"/>
    <n v="376000"/>
  </r>
  <r>
    <x v="58"/>
    <x v="58"/>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Denderleeuw"/>
    <n v="9.4"/>
    <n v="410000"/>
    <n v="38540"/>
  </r>
  <r>
    <x v="58"/>
    <x v="58"/>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9 Aalst"/>
    <n v="9.4"/>
    <n v="840000"/>
    <n v="78960"/>
  </r>
  <r>
    <x v="58"/>
    <x v="58"/>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67 Berlare"/>
    <n v="9.4"/>
    <n v="610000"/>
    <n v="57340"/>
  </r>
  <r>
    <x v="59"/>
    <x v="59"/>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SO N41"/>
    <n v="6.3"/>
    <n v="4000000"/>
    <n v="252000"/>
  </r>
  <r>
    <x v="59"/>
    <x v="59"/>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67 Berlare"/>
    <n v="6.3"/>
    <n v="610000"/>
    <n v="38430"/>
  </r>
  <r>
    <x v="59"/>
    <x v="59"/>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9 Aalst"/>
    <n v="6.3"/>
    <n v="840000"/>
    <n v="52920"/>
  </r>
  <r>
    <x v="59"/>
    <x v="59"/>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Aalst"/>
    <n v="6.3"/>
    <n v="640000"/>
    <n v="40320"/>
  </r>
  <r>
    <x v="59"/>
    <x v="59"/>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Denderleeuw"/>
    <n v="6.3"/>
    <n v="410000"/>
    <n v="25830"/>
  </r>
  <r>
    <x v="137"/>
    <x v="137"/>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9 Aalst"/>
    <n v="12.9"/>
    <n v="840000"/>
    <n v="108360"/>
  </r>
  <r>
    <x v="137"/>
    <x v="137"/>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67 Berlare"/>
    <n v="12.9"/>
    <n v="610000"/>
    <n v="78690"/>
  </r>
  <r>
    <x v="137"/>
    <x v="137"/>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SO N41"/>
    <n v="12.9"/>
    <n v="4000000"/>
    <n v="516000"/>
  </r>
  <r>
    <x v="137"/>
    <x v="137"/>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Denderleeuw"/>
    <n v="12.9"/>
    <n v="410000"/>
    <n v="52890"/>
  </r>
  <r>
    <x v="137"/>
    <x v="137"/>
    <s v="Fiets"/>
    <x v="0"/>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Aalst"/>
    <n v="12.9"/>
    <n v="640000"/>
    <n v="82560"/>
  </r>
  <r>
    <x v="138"/>
    <x v="138"/>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9 Aalst"/>
    <n v="0.5"/>
    <n v="840000"/>
    <n v="4200"/>
  </r>
  <r>
    <x v="138"/>
    <x v="138"/>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Denderleeuw"/>
    <n v="0.5"/>
    <n v="410000"/>
    <n v="2050"/>
  </r>
  <r>
    <x v="138"/>
    <x v="138"/>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Aalst"/>
    <n v="0.5"/>
    <n v="640000"/>
    <n v="3200"/>
  </r>
  <r>
    <x v="138"/>
    <x v="138"/>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67 Berlare"/>
    <n v="0.5"/>
    <n v="610000"/>
    <n v="3050"/>
  </r>
  <r>
    <x v="138"/>
    <x v="138"/>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SO N41"/>
    <n v="0.5"/>
    <n v="4000000"/>
    <n v="20000"/>
  </r>
  <r>
    <x v="1240"/>
    <x v="1240"/>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67 Berlare"/>
    <n v="0.5"/>
    <n v="610000"/>
    <n v="3050"/>
  </r>
  <r>
    <x v="1240"/>
    <x v="1240"/>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9 Aalst"/>
    <n v="0.5"/>
    <n v="840000"/>
    <n v="4200"/>
  </r>
  <r>
    <x v="1240"/>
    <x v="1240"/>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Aalst"/>
    <n v="0.5"/>
    <n v="640000"/>
    <n v="3200"/>
  </r>
  <r>
    <x v="1240"/>
    <x v="1240"/>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Fietsrelance N405 Denderleeuw"/>
    <n v="0.5"/>
    <n v="410000"/>
    <n v="2050"/>
  </r>
  <r>
    <x v="1240"/>
    <x v="1240"/>
    <s v="Verkeersveiligheid"/>
    <x v="4"/>
    <n v="1725"/>
    <s v="IN/001362"/>
    <s v="Bundelbestek 2022 VVR Aalst en Vlaamse Ardennen"/>
    <s v="Bundelbestek: Structureel onderhoud N41 (rijweg + fietspaden)\n\nFietsrelance:\n- Structureel Onderhoud - conforme fietspaden in Berlare op N467  2.76 - 6.56\n- Structureel Onderhoud - bijna conforme fietspaden in Aalst op N9  27.1 - 28.5\n- Structureel O"/>
    <s v="Structurele Ingreep"/>
    <s v="WOV/INV/N41/4"/>
    <b v="0"/>
    <s v="Ingreep wordt niet opgevolgd in BOD"/>
    <s v="&lt;null&gt;"/>
    <s v="&lt;null&gt;"/>
    <s v="WEGENIS"/>
    <s v="SO N41"/>
    <n v="0.5"/>
    <n v="4000000"/>
    <n v="20000"/>
  </r>
  <r>
    <x v="18"/>
    <x v="18"/>
    <s v="&lt;null&gt;"/>
    <x v="3"/>
    <n v="1726"/>
    <s v="IN/001363"/>
    <s v="N386 De Panne - aanleg fietspaden Duinhoekstraat"/>
    <s v="&lt;null&gt;"/>
    <s v="Structurele Ingreep"/>
    <s v="WWV/INV/N386/1"/>
    <b v="0"/>
    <s v="Ingreep wordt niet opgevolgd in BOD"/>
    <s v="&lt;null&gt;"/>
    <s v="&lt;null&gt;"/>
    <s v="&lt;null&gt;"/>
    <s v="&lt;null&gt;"/>
    <m/>
    <m/>
    <m/>
  </r>
  <r>
    <x v="18"/>
    <x v="18"/>
    <s v="&lt;null&gt;"/>
    <x v="3"/>
    <n v="1727"/>
    <s v="IN/001364"/>
    <s v="N34 Koksijde - herinrichting i.k.v. trambedding"/>
    <s v="&lt;null&gt;"/>
    <s v="Structurele Ingreep"/>
    <s v="WWV/INV/N34/13"/>
    <b v="0"/>
    <s v="Ingreep wordt niet opgevolgd in BOD"/>
    <s v="&lt;null&gt;"/>
    <s v="&lt;null&gt;"/>
    <s v="&lt;null&gt;"/>
    <s v="&lt;null&gt;"/>
    <m/>
    <m/>
    <m/>
  </r>
  <r>
    <x v="1241"/>
    <x v="1241"/>
    <s v="Stimuleren Combimobiliteit"/>
    <x v="7"/>
    <n v="1728"/>
    <s v="IN/001365"/>
    <s v="R4 Gent multimodale ontsluiting Eiland Zwijnaarde"/>
    <s v="&lt;null&gt;"/>
    <s v="Structurele Ingreep"/>
    <s v="WOV/INV/R4/7"/>
    <b v="0"/>
    <s v="Ingreep wordt niet opgevolgd in BOD"/>
    <s v="&lt;null&gt;"/>
    <s v="&lt;null&gt;"/>
    <s v="&lt;null&gt;"/>
    <s v="&lt;null&gt;"/>
    <n v="100"/>
    <m/>
    <m/>
  </r>
  <r>
    <x v="18"/>
    <x v="18"/>
    <s v="&lt;null&gt;"/>
    <x v="3"/>
    <n v="1729"/>
    <s v="IN/001366"/>
    <s v="N461 Gent heraanleg Antoon Catriestraat"/>
    <s v="&lt;null&gt;"/>
    <s v="Structurele Ingreep"/>
    <s v="WOV/INV/N461/1"/>
    <b v="0"/>
    <s v="Ingreep wordt niet opgevolgd in BOD"/>
    <s v="&lt;null&gt;"/>
    <s v="&lt;null&gt;"/>
    <s v="&lt;null&gt;"/>
    <s v="&lt;null&gt;"/>
    <m/>
    <m/>
    <m/>
  </r>
  <r>
    <x v="1242"/>
    <x v="1242"/>
    <s v="Verkeersveiligheid"/>
    <x v="1"/>
    <n v="1730"/>
    <s v="IN/001367"/>
    <s v="Lanaken : Maastrichterweg, Steenselbergweg"/>
    <s v="Fietspad zijstraat in rode slem\n"/>
    <s v="Kleine Ingreep"/>
    <s v="WL/INV/N77/9"/>
    <b v="0"/>
    <s v="Ingreep wordt niet opgevolgd in BOD"/>
    <n v="2022"/>
    <s v="Q2"/>
    <s v="OVERIGE"/>
    <s v="&lt;null&gt;"/>
    <n v="100"/>
    <n v="1"/>
    <n v="1"/>
  </r>
  <r>
    <x v="1242"/>
    <x v="1242"/>
    <s v="Verkeersveiligheid"/>
    <x v="1"/>
    <n v="1731"/>
    <s v="IN/001368"/>
    <s v="Lanaken : Maastrichterweg, Steenselbergweg"/>
    <s v="Trajectcontrole"/>
    <s v="Kleine Ingreep"/>
    <s v="&lt;null&gt;"/>
    <b v="0"/>
    <s v="Ingreep wordt niet opgevolgd in BOD"/>
    <s v="&lt;null&gt;"/>
    <s v="&lt;null&gt;"/>
    <s v="&lt;null&gt;"/>
    <s v="&lt;null&gt;"/>
    <n v="100"/>
    <m/>
    <m/>
  </r>
  <r>
    <x v="1243"/>
    <x v="1243"/>
    <s v="Verkeersveiligheid"/>
    <x v="1"/>
    <n v="1732"/>
    <s v="IN/001369"/>
    <s v="Antwerpen : Binnensingel, Pretoriastraat, Uitbreidingstraat, Zurenborgbrug"/>
    <s v="Uitrol VLCC"/>
    <s v="Kleine Ingreep"/>
    <s v="WA/INV/R10/6"/>
    <b v="0"/>
    <s v="Ingreep wordt niet opgevolgd in BOD"/>
    <n v="2022"/>
    <s v="Q1"/>
    <s v="VRI"/>
    <s v="&lt;null&gt;"/>
    <n v="100"/>
    <n v="1"/>
    <n v="1"/>
  </r>
  <r>
    <x v="1244"/>
    <x v="1244"/>
    <s v="Verkeersveiligheid"/>
    <x v="1"/>
    <n v="1733"/>
    <s v="IN/001370"/>
    <s v="Antwerpen : Bisschoppenhoflaan, Kruiningenstraat"/>
    <s v="&lt;null&gt;"/>
    <s v="Kleine Ingreep"/>
    <s v="WA/INV/N120/5"/>
    <b v="0"/>
    <s v="Ingreep wordt niet opgevolgd in BOD"/>
    <n v="2022"/>
    <s v="Q3"/>
    <s v="VRI"/>
    <s v="&lt;null&gt;"/>
    <n v="100"/>
    <n v="200000"/>
    <n v="200000"/>
  </r>
  <r>
    <x v="18"/>
    <x v="18"/>
    <s v="&lt;null&gt;"/>
    <x v="3"/>
    <n v="1734"/>
    <s v="IN/001371"/>
    <s v="E314 Genk Renovatie brug B19"/>
    <s v="&lt;null&gt;"/>
    <s v="Structurele Ingreep"/>
    <s v="WL/INV/A2/6"/>
    <b v="0"/>
    <s v="Ingreep wordt niet opgevolgd in BOD"/>
    <s v="&lt;null&gt;"/>
    <s v="&lt;null&gt;"/>
    <s v="&lt;null&gt;"/>
    <s v="&lt;null&gt;"/>
    <m/>
    <m/>
    <m/>
  </r>
  <r>
    <x v="18"/>
    <x v="18"/>
    <s v="&lt;null&gt;"/>
    <x v="3"/>
    <n v="1735"/>
    <s v="IN/001372"/>
    <s v="N358 Oostende - struct. ond. langs oever aMT"/>
    <s v="&lt;null&gt;"/>
    <s v="Structurele Ingreep"/>
    <s v="WWV/INV/N358/4"/>
    <b v="0"/>
    <s v="Ingreep wordt niet opgevolgd in BOD"/>
    <s v="&lt;null&gt;"/>
    <s v="&lt;null&gt;"/>
    <s v="&lt;null&gt;"/>
    <s v="&lt;null&gt;"/>
    <m/>
    <m/>
    <m/>
  </r>
  <r>
    <x v="18"/>
    <x v="18"/>
    <s v="&lt;null&gt;"/>
    <x v="3"/>
    <n v="1736"/>
    <s v="IN/001373"/>
    <s v="N419 Zwijndrecht herprofilering brug"/>
    <s v="&lt;null&gt;"/>
    <s v="Structurele Ingreep"/>
    <s v="&lt;null&gt;"/>
    <b v="0"/>
    <s v="Ingreep wordt niet opgevolgd in BOD"/>
    <s v="&lt;null&gt;"/>
    <s v="&lt;null&gt;"/>
    <s v="&lt;null&gt;"/>
    <s v="&lt;null&gt;"/>
    <m/>
    <m/>
    <m/>
  </r>
  <r>
    <x v="18"/>
    <x v="18"/>
    <s v="&lt;null&gt;"/>
    <x v="3"/>
    <n v="1737"/>
    <s v="IN/001374"/>
    <s v="Doortochtstudie N13 te Nijlen"/>
    <s v="&lt;null&gt;"/>
    <s v="Structurele Ingreep"/>
    <s v="WA/INV/N13/17"/>
    <b v="0"/>
    <s v="Ingreep wordt niet opgevolgd in BOD"/>
    <s v="&lt;null&gt;"/>
    <s v="&lt;null&gt;"/>
    <s v="&lt;null&gt;"/>
    <s v="&lt;null&gt;"/>
    <m/>
    <m/>
    <m/>
  </r>
  <r>
    <x v="18"/>
    <x v="18"/>
    <s v="&lt;null&gt;"/>
    <x v="3"/>
    <n v="1738"/>
    <s v="IN/001375"/>
    <s v="Asverschuiving en middengeleider"/>
    <s v="Asverschuiving en middengeleider"/>
    <s v="Kleine Ingreep"/>
    <s v="&lt;null&gt;"/>
    <b v="0"/>
    <s v="Ingreep wordt niet opgevolgd in BOD"/>
    <n v="2022"/>
    <s v="Q3"/>
    <s v="WEGENIS"/>
    <s v="&lt;null&gt;"/>
    <m/>
    <n v="40000"/>
    <m/>
  </r>
  <r>
    <x v="18"/>
    <x v="18"/>
    <s v="&lt;null&gt;"/>
    <x v="3"/>
    <n v="1739"/>
    <s v="IN/001376"/>
    <s v="Doortochtstudie N13 te Kessel"/>
    <s v="&lt;null&gt;"/>
    <s v="Structurele Ingreep"/>
    <s v="WA/INV/N13/18"/>
    <b v="0"/>
    <s v="Ingreep wordt niet opgevolgd in BOD"/>
    <s v="&lt;null&gt;"/>
    <s v="&lt;null&gt;"/>
    <s v="&lt;null&gt;"/>
    <s v="&lt;null&gt;"/>
    <m/>
    <m/>
    <m/>
  </r>
  <r>
    <x v="18"/>
    <x v="18"/>
    <s v="&lt;null&gt;"/>
    <x v="3"/>
    <n v="1740"/>
    <s v="IN/001377"/>
    <s v="N407 Wetteren Heraanleg"/>
    <s v="&lt;null&gt;"/>
    <s v="Structurele Ingreep"/>
    <s v="WOV/INV/N407/1"/>
    <b v="0"/>
    <s v="Ingreep wordt niet opgevolgd in BOD"/>
    <s v="&lt;null&gt;"/>
    <s v="&lt;null&gt;"/>
    <s v="&lt;null&gt;"/>
    <s v="&lt;null&gt;"/>
    <m/>
    <m/>
    <m/>
  </r>
  <r>
    <x v="18"/>
    <x v="18"/>
    <s v="&lt;null&gt;"/>
    <x v="3"/>
    <n v="1741"/>
    <s v="IN/001378"/>
    <s v="Studie voor een fietserstunnel in de R14  te Geel"/>
    <s v="&lt;null&gt;"/>
    <s v="Structurele Ingreep"/>
    <s v="WA/INV/R14/2"/>
    <b v="0"/>
    <s v="Ingreep wordt niet opgevolgd in BOD"/>
    <s v="&lt;null&gt;"/>
    <s v="&lt;null&gt;"/>
    <s v="&lt;null&gt;"/>
    <s v="&lt;null&gt;"/>
    <m/>
    <m/>
    <m/>
  </r>
  <r>
    <x v="18"/>
    <x v="18"/>
    <s v="&lt;null&gt;"/>
    <x v="3"/>
    <n v="1742"/>
    <s v="IN/001379"/>
    <s v="N415 en N435 Zwalm vervangen duikers"/>
    <s v="&lt;null&gt;"/>
    <s v="Structurele Ingreep"/>
    <s v="WOV/INV/N415/1"/>
    <b v="0"/>
    <s v="Ingreep wordt niet opgevolgd in BOD"/>
    <s v="&lt;null&gt;"/>
    <s v="&lt;null&gt;"/>
    <s v="&lt;null&gt;"/>
    <s v="&lt;null&gt;"/>
    <m/>
    <m/>
    <m/>
  </r>
  <r>
    <x v="18"/>
    <x v="18"/>
    <s v="&lt;null&gt;"/>
    <x v="3"/>
    <n v="1743"/>
    <s v="IN/001380"/>
    <s v="N8 Brakel Zegelsem Kleiberg herinrichting (mod 13)"/>
    <s v="&lt;null&gt;"/>
    <s v="Structurele Ingreep"/>
    <s v="WOV/INV/N8/5"/>
    <b v="0"/>
    <s v="Ingreep wordt niet opgevolgd in BOD"/>
    <s v="&lt;null&gt;"/>
    <s v="&lt;null&gt;"/>
    <s v="&lt;null&gt;"/>
    <s v="&lt;null&gt;"/>
    <m/>
    <m/>
    <m/>
  </r>
  <r>
    <x v="18"/>
    <x v="18"/>
    <s v="&lt;null&gt;"/>
    <x v="3"/>
    <n v="1744"/>
    <s v="IN/001381"/>
    <s v="N016 projectMER complex Puurs Bornem"/>
    <s v="&lt;null&gt;"/>
    <s v="Structurele Ingreep"/>
    <s v="WA/INV/N016/4"/>
    <b v="0"/>
    <s v="Ingreep wordt niet opgevolgd in BOD"/>
    <s v="&lt;null&gt;"/>
    <s v="&lt;null&gt;"/>
    <s v="&lt;null&gt;"/>
    <s v="&lt;null&gt;"/>
    <m/>
    <m/>
    <m/>
  </r>
  <r>
    <x v="18"/>
    <x v="18"/>
    <s v="&lt;null&gt;"/>
    <x v="3"/>
    <n v="1745"/>
    <s v="IN/001382"/>
    <s v="N416 Wichelen - Dendermonde aanleg fietspaden"/>
    <s v="&lt;null&gt;"/>
    <s v="Structurele Ingreep"/>
    <s v="WOV/INV/N416/1"/>
    <b v="0"/>
    <s v="Ingreep wordt niet opgevolgd in BOD"/>
    <s v="&lt;null&gt;"/>
    <s v="&lt;null&gt;"/>
    <s v="&lt;null&gt;"/>
    <s v="&lt;null&gt;"/>
    <m/>
    <m/>
    <m/>
  </r>
  <r>
    <x v="18"/>
    <x v="18"/>
    <s v="&lt;null&gt;"/>
    <x v="3"/>
    <n v="1746"/>
    <s v="IN/001383"/>
    <s v="N442 Lede heraanleg doortocht"/>
    <s v="&lt;null&gt;"/>
    <s v="Structurele Ingreep"/>
    <s v="WOV/INV/N442/1"/>
    <b v="0"/>
    <s v="Ingreep wordt niet opgevolgd in BOD"/>
    <s v="&lt;null&gt;"/>
    <s v="&lt;null&gt;"/>
    <s v="&lt;null&gt;"/>
    <s v="&lt;null&gt;"/>
    <m/>
    <m/>
    <m/>
  </r>
  <r>
    <x v="18"/>
    <x v="18"/>
    <s v="&lt;null&gt;"/>
    <x v="3"/>
    <n v="1747"/>
    <s v="IN/001384"/>
    <s v="N8 Geraardsbergen,Lierde,Zottegem,Brakel module 13"/>
    <s v="&lt;null&gt;"/>
    <s v="Structurele Ingreep"/>
    <s v="WOV/INV/N8/8"/>
    <b v="0"/>
    <s v="Ingreep wordt niet opgevolgd in BOD"/>
    <s v="&lt;null&gt;"/>
    <s v="&lt;null&gt;"/>
    <s v="&lt;null&gt;"/>
    <s v="&lt;null&gt;"/>
    <m/>
    <m/>
    <m/>
  </r>
  <r>
    <x v="18"/>
    <x v="18"/>
    <s v="&lt;null&gt;"/>
    <x v="3"/>
    <n v="1748"/>
    <s v="IN/001385"/>
    <s v="N444 Merelbeke Structureel onderhoud Rijweg"/>
    <s v="&lt;null&gt;"/>
    <s v="Structurele Ingreep"/>
    <s v="WOV/INV/N444/2"/>
    <b v="0"/>
    <s v="Ingreep wordt niet opgevolgd in BOD"/>
    <s v="&lt;null&gt;"/>
    <s v="&lt;null&gt;"/>
    <s v="&lt;null&gt;"/>
    <s v="&lt;null&gt;"/>
    <m/>
    <m/>
    <m/>
  </r>
  <r>
    <x v="1245"/>
    <x v="1245"/>
    <s v="Verkeersveiligheid"/>
    <x v="4"/>
    <n v="1749"/>
    <s v="IN/001386"/>
    <s v="N444 Merelbeke Ombouw kruispunt Guldensporenlaan"/>
    <s v="&lt;null&gt;"/>
    <s v="Structurele Ingreep"/>
    <s v="WOV/INV/N444/4"/>
    <b v="0"/>
    <s v="Ingreep wordt niet opgevolgd in BOD"/>
    <s v="&lt;null&gt;"/>
    <s v="&lt;null&gt;"/>
    <s v="&lt;null&gt;"/>
    <s v="&lt;null&gt;"/>
    <n v="15"/>
    <m/>
    <m/>
  </r>
  <r>
    <x v="1246"/>
    <x v="1246"/>
    <s v="Verkeersveiligheid"/>
    <x v="1"/>
    <n v="1749"/>
    <s v="IN/001386"/>
    <s v="N444 Merelbeke Ombouw kruispunt Guldensporenlaan"/>
    <s v="&lt;null&gt;"/>
    <s v="Structurele Ingreep"/>
    <s v="WOV/INV/N444/4"/>
    <b v="0"/>
    <s v="Ingreep wordt niet opgevolgd in BOD"/>
    <s v="&lt;null&gt;"/>
    <s v="&lt;null&gt;"/>
    <s v="&lt;null&gt;"/>
    <s v="&lt;null&gt;"/>
    <n v="35"/>
    <m/>
    <m/>
  </r>
  <r>
    <x v="18"/>
    <x v="18"/>
    <s v="&lt;null&gt;"/>
    <x v="3"/>
    <n v="1750"/>
    <s v="IN/001387"/>
    <s v="N290 - Verbindingsriolering Kwetsenbeek Merchtem"/>
    <s v="&lt;null&gt;"/>
    <s v="Structurele Ingreep"/>
    <s v="WVB/INV/N290/2"/>
    <b v="0"/>
    <s v="Ingreep wordt niet opgevolgd in BOD"/>
    <s v="&lt;null&gt;"/>
    <s v="&lt;null&gt;"/>
    <s v="&lt;null&gt;"/>
    <s v="&lt;null&gt;"/>
    <m/>
    <m/>
    <m/>
  </r>
  <r>
    <x v="18"/>
    <x v="18"/>
    <s v="&lt;null&gt;"/>
    <x v="3"/>
    <n v="1751"/>
    <s v="IN/001388"/>
    <s v="A13 Hoeselt ; Renovatie brug O87"/>
    <s v="&lt;null&gt;"/>
    <s v="Structurele Ingreep"/>
    <s v="WL/INV/A13/8"/>
    <b v="0"/>
    <s v="Ingreep wordt niet opgevolgd in BOD"/>
    <s v="&lt;null&gt;"/>
    <s v="&lt;null&gt;"/>
    <s v="&lt;null&gt;"/>
    <s v="&lt;null&gt;"/>
    <m/>
    <m/>
    <m/>
  </r>
  <r>
    <x v="224"/>
    <x v="224"/>
    <s v="Verkeersveiligheid"/>
    <x v="1"/>
    <n v="1752"/>
    <s v="IN/001389"/>
    <s v="Gevaarlijk Punt: N9 Aalst : lichtenregeling aanpassen"/>
    <s v="Lichtenregeling aangepast in 2019 (doorstromingsmaatregel);\nHekwerk geplaatst in 2020;\nAlfred Nichelsstraat, De Gheeststraat, De Vilanderstraat."/>
    <s v="Kleine Ingreep"/>
    <s v="WOV/INV/N9/23"/>
    <b v="0"/>
    <s v="Ingreep wordt niet opgevolgd in BOD"/>
    <n v="2021"/>
    <s v="Q1"/>
    <s v="VRI"/>
    <s v="&lt;null&gt;"/>
    <n v="100"/>
    <n v="1"/>
    <n v="1"/>
  </r>
  <r>
    <x v="18"/>
    <x v="18"/>
    <s v="&lt;null&gt;"/>
    <x v="3"/>
    <n v="1753"/>
    <s v="IN/001390"/>
    <s v="N253 VAPEO ECODUCT Huldenberg Langerode"/>
    <s v="&lt;null&gt;"/>
    <s v="Structurele Ingreep"/>
    <s v="WVB/INV/N253/11"/>
    <b v="0"/>
    <s v="Ingreep wordt niet opgevolgd in BOD"/>
    <s v="&lt;null&gt;"/>
    <s v="&lt;null&gt;"/>
    <s v="&lt;null&gt;"/>
    <s v="&lt;null&gt;"/>
    <m/>
    <m/>
    <m/>
  </r>
  <r>
    <x v="18"/>
    <x v="18"/>
    <s v="&lt;null&gt;"/>
    <x v="3"/>
    <n v="1755"/>
    <s v="IN/001392"/>
    <s v="N73 Studie ontsluiting Reigersvliet"/>
    <s v="&lt;null&gt;"/>
    <s v="Structurele Ingreep"/>
    <s v="WL/INV/N73/2"/>
    <b v="0"/>
    <s v="Ingreep wordt niet opgevolgd in BOD"/>
    <s v="&lt;null&gt;"/>
    <s v="&lt;null&gt;"/>
    <s v="&lt;null&gt;"/>
    <s v="&lt;null&gt;"/>
    <m/>
    <m/>
    <m/>
  </r>
  <r>
    <x v="492"/>
    <x v="492"/>
    <s v="Verkeersveiligheid"/>
    <x v="1"/>
    <n v="1756"/>
    <s v="IN/001393"/>
    <s v="Harelbeke: Gentsesteenweg, Kortrijksesteenweg, N395a Parallelweg R8 Noord, N43 Richting Gent, N43 Richting Moeskroen, R8 Buitenring, R8 Buitenring Oprit 5"/>
    <s v="Fietspaden buiten kruispunt getrokken"/>
    <s v="Kleine Ingreep"/>
    <s v="WWV/INV/R8/3"/>
    <b v="0"/>
    <s v="Ingreep wordt niet opgevolgd in BOD"/>
    <s v="&lt;null&gt;"/>
    <s v="&lt;null&gt;"/>
    <s v="WEGENIS"/>
    <s v="&lt;null&gt;"/>
    <n v="100"/>
    <n v="1"/>
    <n v="1"/>
  </r>
  <r>
    <x v="18"/>
    <x v="18"/>
    <s v="&lt;null&gt;"/>
    <x v="3"/>
    <n v="1757"/>
    <s v="IN/001394"/>
    <s v="N78 Renovatie rijweg Lanaken Briegden"/>
    <s v="&lt;null&gt;"/>
    <s v="Structurele Ingreep"/>
    <s v="WL/INV/N78/26"/>
    <b v="0"/>
    <s v="Ingreep wordt niet opgevolgd in BOD"/>
    <s v="&lt;null&gt;"/>
    <s v="&lt;null&gt;"/>
    <s v="&lt;null&gt;"/>
    <s v="&lt;null&gt;"/>
    <m/>
    <m/>
    <m/>
  </r>
  <r>
    <x v="18"/>
    <x v="18"/>
    <s v="&lt;null&gt;"/>
    <x v="3"/>
    <n v="1758"/>
    <s v="IN/001395"/>
    <s v="A2 Renovatie brug O6 Lummen"/>
    <s v="&lt;null&gt;"/>
    <s v="Structurele Ingreep"/>
    <s v="WL/INV/A2/7"/>
    <b v="0"/>
    <s v="Ingreep wordt niet opgevolgd in BOD"/>
    <s v="&lt;null&gt;"/>
    <s v="&lt;null&gt;"/>
    <s v="&lt;null&gt;"/>
    <s v="&lt;null&gt;"/>
    <m/>
    <m/>
    <m/>
  </r>
  <r>
    <x v="18"/>
    <x v="18"/>
    <s v="&lt;null&gt;"/>
    <x v="3"/>
    <n v="1759"/>
    <s v="IN/001396"/>
    <s v="N748: Renovatie brug Sint-Huibrechts-Lille II"/>
    <s v="&lt;null&gt;"/>
    <s v="Structurele Ingreep"/>
    <s v="WL/INV/N748/6"/>
    <b v="0"/>
    <s v="Ingreep wordt niet opgevolgd in BOD"/>
    <s v="&lt;null&gt;"/>
    <s v="&lt;null&gt;"/>
    <s v="&lt;null&gt;"/>
    <s v="&lt;null&gt;"/>
    <m/>
    <m/>
    <m/>
  </r>
  <r>
    <x v="18"/>
    <x v="18"/>
    <s v="&lt;null&gt;"/>
    <x v="3"/>
    <n v="1760"/>
    <s v="IN/001397"/>
    <s v="N458 Gent heraanleg Kluizensesteenweg"/>
    <s v="&lt;null&gt;"/>
    <s v="Structurele Ingreep"/>
    <s v="WOV/INV/N458/2"/>
    <b v="0"/>
    <s v="Ingreep wordt niet opgevolgd in BOD"/>
    <s v="&lt;null&gt;"/>
    <s v="&lt;null&gt;"/>
    <s v="&lt;null&gt;"/>
    <s v="&lt;null&gt;"/>
    <m/>
    <m/>
    <m/>
  </r>
  <r>
    <x v="18"/>
    <x v="18"/>
    <s v="&lt;null&gt;"/>
    <x v="3"/>
    <n v="1761"/>
    <s v="IN/001398"/>
    <s v="N43 St-Martens-Latem afkoppeling regenwater"/>
    <s v="&lt;null&gt;"/>
    <s v="Structurele Ingreep"/>
    <s v="WOV/INV/N43/1"/>
    <b v="0"/>
    <s v="Ingreep wordt niet opgevolgd in BOD"/>
    <s v="&lt;null&gt;"/>
    <s v="&lt;null&gt;"/>
    <s v="&lt;null&gt;"/>
    <s v="&lt;null&gt;"/>
    <m/>
    <m/>
    <m/>
  </r>
  <r>
    <x v="18"/>
    <x v="18"/>
    <s v="&lt;null&gt;"/>
    <x v="3"/>
    <n v="1762"/>
    <s v="IN/001399"/>
    <s v="N43 Gent heraanleg kruispunt Driekoningenstraat"/>
    <s v="&lt;null&gt;"/>
    <s v="Structurele Ingreep"/>
    <s v="WOV/INV/N43/3"/>
    <b v="0"/>
    <s v="Ingreep wordt niet opgevolgd in BOD"/>
    <s v="&lt;null&gt;"/>
    <s v="&lt;null&gt;"/>
    <s v="&lt;null&gt;"/>
    <s v="&lt;null&gt;"/>
    <m/>
    <m/>
    <m/>
  </r>
  <r>
    <x v="18"/>
    <x v="18"/>
    <s v="&lt;null&gt;"/>
    <x v="3"/>
    <n v="1763"/>
    <s v="IN/001400"/>
    <s v="N466 Gent aanleg fietspaden en riolering"/>
    <s v="&lt;null&gt;"/>
    <s v="Structurele Ingreep"/>
    <s v="WOV/INV/N466/2"/>
    <b v="0"/>
    <s v="Ingreep wordt niet opgevolgd in BOD"/>
    <s v="&lt;null&gt;"/>
    <s v="&lt;null&gt;"/>
    <s v="&lt;null&gt;"/>
    <s v="&lt;null&gt;"/>
    <m/>
    <m/>
    <m/>
  </r>
  <r>
    <x v="18"/>
    <x v="18"/>
    <s v="&lt;null&gt;"/>
    <x v="3"/>
    <n v="1764"/>
    <s v="IN/001401"/>
    <s v="N60 Nazareth ondertunneling rotonde Begoniastraat"/>
    <s v="&lt;null&gt;"/>
    <s v="Structurele Ingreep"/>
    <s v="WOV/INV/N60/4"/>
    <b v="0"/>
    <s v="Ingreep wordt niet opgevolgd in BOD"/>
    <s v="&lt;null&gt;"/>
    <s v="&lt;null&gt;"/>
    <s v="&lt;null&gt;"/>
    <s v="&lt;null&gt;"/>
    <m/>
    <m/>
    <m/>
  </r>
  <r>
    <x v="18"/>
    <x v="18"/>
    <s v="&lt;null&gt;"/>
    <x v="3"/>
    <n v="1765"/>
    <s v="IN/001402"/>
    <s v="N437 Nazareth structureel onderhoud bij module 13"/>
    <s v="&lt;null&gt;"/>
    <s v="Structurele Ingreep"/>
    <s v="WOV/INV/N437/4"/>
    <b v="0"/>
    <s v="Ingreep wordt niet opgevolgd in BOD"/>
    <s v="&lt;null&gt;"/>
    <s v="&lt;null&gt;"/>
    <s v="&lt;null&gt;"/>
    <s v="&lt;null&gt;"/>
    <m/>
    <m/>
    <m/>
  </r>
  <r>
    <x v="18"/>
    <x v="18"/>
    <s v="&lt;null&gt;"/>
    <x v="3"/>
    <n v="1766"/>
    <s v="IN/001403"/>
    <s v="N424 Gent structureel onderhoud Weba-Eurosilos"/>
    <s v="&lt;null&gt;"/>
    <s v="Structurele Ingreep"/>
    <s v="WOV/INV/N424/1"/>
    <b v="0"/>
    <s v="Ingreep wordt niet opgevolgd in BOD"/>
    <s v="&lt;null&gt;"/>
    <s v="&lt;null&gt;"/>
    <s v="&lt;null&gt;"/>
    <s v="&lt;null&gt;"/>
    <m/>
    <m/>
    <m/>
  </r>
  <r>
    <x v="18"/>
    <x v="18"/>
    <s v="&lt;null&gt;"/>
    <x v="3"/>
    <n v="1767"/>
    <s v="IN/001404"/>
    <s v="N723 Herinrichting stationsomgeving As"/>
    <s v="&lt;null&gt;"/>
    <s v="Structurele Ingreep"/>
    <s v="WL/INV/N723/3"/>
    <b v="0"/>
    <s v="Ingreep wordt niet opgevolgd in BOD"/>
    <s v="&lt;null&gt;"/>
    <s v="&lt;null&gt;"/>
    <s v="&lt;null&gt;"/>
    <s v="&lt;null&gt;"/>
    <m/>
    <m/>
    <m/>
  </r>
  <r>
    <x v="18"/>
    <x v="18"/>
    <s v="&lt;null&gt;"/>
    <x v="3"/>
    <n v="1768"/>
    <s v="IN/001405"/>
    <s v="A10 - Nieuwe brug Lombeekstraat (Affligem)"/>
    <s v="&lt;null&gt;"/>
    <s v="Structurele Ingreep"/>
    <s v="WVB/INV/A10/2"/>
    <b v="0"/>
    <s v="Ingreep wordt niet opgevolgd in BOD"/>
    <s v="&lt;null&gt;"/>
    <s v="&lt;null&gt;"/>
    <s v="&lt;null&gt;"/>
    <s v="&lt;null&gt;"/>
    <m/>
    <m/>
    <m/>
  </r>
  <r>
    <x v="18"/>
    <x v="18"/>
    <s v="&lt;null&gt;"/>
    <x v="3"/>
    <n v="1769"/>
    <s v="IN/001406"/>
    <s v="N447 Destelbergen aanleg fietspaden"/>
    <s v="&lt;null&gt;"/>
    <s v="Structurele Ingreep"/>
    <s v="WOV/INV/N447/1"/>
    <b v="0"/>
    <s v="Ingreep wordt niet opgevolgd in BOD"/>
    <s v="&lt;null&gt;"/>
    <s v="&lt;null&gt;"/>
    <s v="&lt;null&gt;"/>
    <s v="&lt;null&gt;"/>
    <m/>
    <m/>
    <m/>
  </r>
  <r>
    <x v="18"/>
    <x v="18"/>
    <s v="&lt;null&gt;"/>
    <x v="3"/>
    <n v="1770"/>
    <s v="IN/001407"/>
    <s v="N60 Gent heraanleg zone Bollebergen"/>
    <s v="&lt;null&gt;"/>
    <s v="Structurele Ingreep"/>
    <s v="WOV/INV/N60/5"/>
    <b v="0"/>
    <s v="Ingreep wordt niet opgevolgd in BOD"/>
    <s v="&lt;null&gt;"/>
    <s v="&lt;null&gt;"/>
    <s v="&lt;null&gt;"/>
    <s v="&lt;null&gt;"/>
    <m/>
    <m/>
    <m/>
  </r>
  <r>
    <x v="18"/>
    <x v="18"/>
    <s v="&lt;null&gt;"/>
    <x v="3"/>
    <n v="1771"/>
    <s v="IN/001408"/>
    <s v=":"/>
    <s v="&lt;null&gt;"/>
    <s v="Structurele Ingreep"/>
    <s v="WOV/INV/N60/6"/>
    <b v="0"/>
    <s v="Ingreep wordt niet opgevolgd in BOD"/>
    <s v="&lt;null&gt;"/>
    <s v="&lt;null&gt;"/>
    <s v="&lt;null&gt;"/>
    <s v="&lt;null&gt;"/>
    <m/>
    <m/>
    <m/>
  </r>
  <r>
    <x v="18"/>
    <x v="18"/>
    <s v="&lt;null&gt;"/>
    <x v="3"/>
    <n v="1772"/>
    <s v="IN/001409"/>
    <s v="N424 Gent herinrichting knooppunt met N456"/>
    <s v="&lt;null&gt;"/>
    <s v="Structurele Ingreep"/>
    <s v="WOV/INV/N424/3"/>
    <b v="0"/>
    <s v="Ingreep wordt niet opgevolgd in BOD"/>
    <s v="&lt;null&gt;"/>
    <s v="&lt;null&gt;"/>
    <s v="&lt;null&gt;"/>
    <s v="&lt;null&gt;"/>
    <m/>
    <m/>
    <m/>
  </r>
  <r>
    <x v="18"/>
    <x v="18"/>
    <s v="&lt;null&gt;"/>
    <x v="3"/>
    <n v="1773"/>
    <s v="IN/001410"/>
    <s v="N44 Maldegem ontsluiting bedrijventerrein"/>
    <s v="&lt;null&gt;"/>
    <s v="Structurele Ingreep"/>
    <s v="WOV/INV/N44/3"/>
    <b v="0"/>
    <s v="Ingreep wordt niet opgevolgd in BOD"/>
    <s v="&lt;null&gt;"/>
    <s v="&lt;null&gt;"/>
    <s v="&lt;null&gt;"/>
    <s v="&lt;null&gt;"/>
    <m/>
    <m/>
    <m/>
  </r>
  <r>
    <x v="18"/>
    <x v="18"/>
    <s v="&lt;null&gt;"/>
    <x v="3"/>
    <n v="1774"/>
    <s v="IN/001411"/>
    <s v="N458 Gent heraanleg Wiedauwkaai"/>
    <s v="&lt;null&gt;"/>
    <s v="Structurele Ingreep"/>
    <s v="WOV/INV/N458/3"/>
    <b v="0"/>
    <s v="Ingreep wordt niet opgevolgd in BOD"/>
    <s v="&lt;null&gt;"/>
    <s v="&lt;null&gt;"/>
    <s v="&lt;null&gt;"/>
    <s v="&lt;null&gt;"/>
    <m/>
    <m/>
    <m/>
  </r>
  <r>
    <x v="18"/>
    <x v="18"/>
    <s v="&lt;null&gt;"/>
    <x v="3"/>
    <n v="1775"/>
    <s v="IN/001412"/>
    <s v="N253 Fietspaden tussen E411 en Nijvelsebaan"/>
    <s v="&lt;null&gt;"/>
    <s v="Structurele Ingreep"/>
    <s v="WVB/INV/N253/12"/>
    <b v="0"/>
    <s v="Ingreep wordt niet opgevolgd in BOD"/>
    <s v="&lt;null&gt;"/>
    <s v="&lt;null&gt;"/>
    <s v="&lt;null&gt;"/>
    <s v="&lt;null&gt;"/>
    <m/>
    <m/>
    <m/>
  </r>
  <r>
    <x v="18"/>
    <x v="18"/>
    <s v="&lt;null&gt;"/>
    <x v="3"/>
    <n v="1802"/>
    <s v="IN/001417"/>
    <s v="E40 Geluidsschermen noord thv Fonteinstr/Waverseb"/>
    <s v="&lt;null&gt;"/>
    <s v="Structurele Ingreep"/>
    <s v="WVB/INV/A3/12"/>
    <b v="0"/>
    <s v="Ingreep wordt niet opgevolgd in BOD"/>
    <s v="&lt;null&gt;"/>
    <s v="&lt;null&gt;"/>
    <s v="&lt;null&gt;"/>
    <s v="&lt;null&gt;"/>
    <m/>
    <m/>
    <m/>
  </r>
  <r>
    <x v="1247"/>
    <x v="1247"/>
    <s v="Fiets"/>
    <x v="0"/>
    <n v="1803"/>
    <s v="IN/001418"/>
    <s v="omleiden fietspad achter bushaltes"/>
    <s v="&lt;null&gt;"/>
    <s v="Kleine Ingreep"/>
    <s v="WVB/INV/N207/6"/>
    <b v="1"/>
    <s v="Ingreep wordt opgevolgd in BOD"/>
    <n v="2021"/>
    <s v="Q4"/>
    <s v="WEGENIS"/>
    <s v="IBO"/>
    <n v="100"/>
    <n v="39432.300000000003"/>
    <n v="39432.300000000003"/>
  </r>
  <r>
    <x v="18"/>
    <x v="18"/>
    <s v="&lt;null&gt;"/>
    <x v="3"/>
    <n v="1804"/>
    <s v="IN/001419"/>
    <s v="R8 Kortrijk - brug in de Steenstraat"/>
    <s v="&lt;null&gt;"/>
    <s v="Structurele Ingreep"/>
    <s v="WWV/INV/R8/2"/>
    <b v="0"/>
    <s v="Ingreep wordt niet opgevolgd in BOD"/>
    <s v="&lt;null&gt;"/>
    <s v="&lt;null&gt;"/>
    <s v="&lt;null&gt;"/>
    <s v="&lt;null&gt;"/>
    <m/>
    <m/>
    <m/>
  </r>
  <r>
    <x v="18"/>
    <x v="18"/>
    <s v="&lt;null&gt;"/>
    <x v="3"/>
    <n v="1805"/>
    <s v="IN/001420"/>
    <s v="A013 - ZANDHOVEN - Vapeo Ecotunnels"/>
    <s v="&lt;null&gt;"/>
    <s v="Structurele Ingreep"/>
    <s v="WA/INV/A013/5"/>
    <b v="0"/>
    <s v="Ingreep wordt niet opgevolgd in BOD"/>
    <s v="&lt;null&gt;"/>
    <s v="&lt;null&gt;"/>
    <s v="&lt;null&gt;"/>
    <s v="&lt;null&gt;"/>
    <m/>
    <m/>
    <m/>
  </r>
  <r>
    <x v="1192"/>
    <x v="1192"/>
    <s v="Verkeersveiligheid"/>
    <x v="1"/>
    <n v="1806"/>
    <s v="IN/001421"/>
    <s v="Haaltert : N45 met Eigenstraat"/>
    <s v="Toevoegen voorseertstroken rechtsaf"/>
    <s v="Kleine Ingreep"/>
    <s v="WOV/INV/NX/2"/>
    <b v="0"/>
    <s v="Ingreep wordt niet opgevolgd in BOD"/>
    <n v="2021"/>
    <s v="Q1"/>
    <s v="OVERIGE"/>
    <s v="&lt;null&gt;"/>
    <n v="100"/>
    <n v="1200"/>
    <n v="1200"/>
  </r>
  <r>
    <x v="18"/>
    <x v="18"/>
    <s v="&lt;null&gt;"/>
    <x v="3"/>
    <n v="1807"/>
    <s v="IN/001422"/>
    <s v="A021 structureel onderhoud E34 Turnhout - NL grens"/>
    <s v="&lt;null&gt;"/>
    <s v="Structurele Ingreep"/>
    <s v="WA/INV/A021/1"/>
    <b v="0"/>
    <s v="Ingreep wordt niet opgevolgd in BOD"/>
    <s v="&lt;null&gt;"/>
    <s v="&lt;null&gt;"/>
    <s v="&lt;null&gt;"/>
    <s v="&lt;null&gt;"/>
    <m/>
    <m/>
    <m/>
  </r>
  <r>
    <x v="18"/>
    <x v="18"/>
    <s v="&lt;null&gt;"/>
    <x v="3"/>
    <n v="1808"/>
    <s v="IN/001423"/>
    <s v="A21/100 Brugvoegen Postel"/>
    <s v="&lt;null&gt;"/>
    <s v="Structurele Ingreep"/>
    <s v="WA/INV/A021/2"/>
    <b v="0"/>
    <s v="Ingreep wordt niet opgevolgd in BOD"/>
    <s v="&lt;null&gt;"/>
    <s v="&lt;null&gt;"/>
    <s v="&lt;null&gt;"/>
    <s v="&lt;null&gt;"/>
    <m/>
    <m/>
    <m/>
  </r>
  <r>
    <x v="723"/>
    <x v="723"/>
    <s v="Verkeersveiligheid"/>
    <x v="4"/>
    <n v="1809"/>
    <s v="IN/001424"/>
    <s v="Ingreep Schoolroute Zwijndrecht N70 thv nr.71-73"/>
    <s v="PCV dossier"/>
    <s v="Kleine Ingreep"/>
    <s v="&lt;null&gt;"/>
    <b v="0"/>
    <s v="Ingreep wordt niet opgevolgd in BOD"/>
    <s v="&lt;null&gt;"/>
    <s v="&lt;null&gt;"/>
    <s v="&lt;null&gt;"/>
    <s v="&lt;null&gt;"/>
    <n v="100"/>
    <m/>
    <m/>
  </r>
  <r>
    <x v="1248"/>
    <x v="1248"/>
    <s v="Stimuleren Combimobiliteit"/>
    <x v="2"/>
    <n v="1810"/>
    <s v="IN/001425"/>
    <s v="A021 Ranst Bushaltes en uitbreiding P R"/>
    <s v="&lt;null&gt;"/>
    <s v="Structurele Ingreep"/>
    <s v="WA/INV/A021/4"/>
    <b v="0"/>
    <s v="Ingreep wordt niet opgevolgd in BOD"/>
    <s v="&lt;null&gt;"/>
    <s v="&lt;null&gt;"/>
    <s v="&lt;null&gt;"/>
    <s v="&lt;null&gt;"/>
    <n v="0"/>
    <m/>
    <m/>
  </r>
  <r>
    <x v="18"/>
    <x v="18"/>
    <s v="&lt;null&gt;"/>
    <x v="3"/>
    <n v="1811"/>
    <s v="IN/001426"/>
    <s v="N001 Mechelen onderhoud tss R12 en Walem   FP"/>
    <s v="&lt;null&gt;"/>
    <s v="Structurele Ingreep"/>
    <s v="WA/INV/N001/7"/>
    <b v="0"/>
    <s v="Ingreep wordt niet opgevolgd in BOD"/>
    <s v="&lt;null&gt;"/>
    <s v="&lt;null&gt;"/>
    <s v="&lt;null&gt;"/>
    <s v="&lt;null&gt;"/>
    <m/>
    <m/>
    <m/>
  </r>
  <r>
    <x v="18"/>
    <x v="18"/>
    <s v="&lt;null&gt;"/>
    <x v="3"/>
    <n v="1812"/>
    <s v="IN/001427"/>
    <s v="A021 herinrichting van de complexen 24, 25 en 26"/>
    <s v="&lt;null&gt;"/>
    <s v="Structurele Ingreep"/>
    <s v="WA/INV/A021/5"/>
    <b v="0"/>
    <s v="Ingreep wordt niet opgevolgd in BOD"/>
    <s v="&lt;null&gt;"/>
    <s v="&lt;null&gt;"/>
    <s v="&lt;null&gt;"/>
    <s v="&lt;null&gt;"/>
    <m/>
    <m/>
    <m/>
  </r>
  <r>
    <x v="18"/>
    <x v="18"/>
    <s v="&lt;null&gt;"/>
    <x v="3"/>
    <n v="1813"/>
    <s v="IN/001428"/>
    <s v="A013 - ZANDHOVEN GELUIDSSCHERMEN 1"/>
    <s v="&lt;null&gt;"/>
    <s v="Structurele Ingreep"/>
    <s v="WA/INV/A013/6"/>
    <b v="0"/>
    <s v="Ingreep wordt niet opgevolgd in BOD"/>
    <s v="&lt;null&gt;"/>
    <s v="&lt;null&gt;"/>
    <s v="&lt;null&gt;"/>
    <s v="&lt;null&gt;"/>
    <m/>
    <m/>
    <m/>
  </r>
  <r>
    <x v="18"/>
    <x v="18"/>
    <s v="&lt;null&gt;"/>
    <x v="3"/>
    <n v="1814"/>
    <s v="IN/001429"/>
    <s v="A021 VAPEO: 10 ecotunnels en 3 ecoduikers"/>
    <s v="&lt;null&gt;"/>
    <s v="Structurele Ingreep"/>
    <s v="WA/INV/A021/3"/>
    <b v="0"/>
    <s v="Ingreep wordt niet opgevolgd in BOD"/>
    <s v="&lt;null&gt;"/>
    <s v="&lt;null&gt;"/>
    <s v="&lt;null&gt;"/>
    <s v="&lt;null&gt;"/>
    <m/>
    <m/>
    <m/>
  </r>
  <r>
    <x v="18"/>
    <x v="18"/>
    <s v="&lt;null&gt;"/>
    <x v="3"/>
    <n v="1815"/>
    <s v="IN/001430"/>
    <s v="N012/56 Beerse SO VII ontsluiting industrie"/>
    <s v="&lt;null&gt;"/>
    <s v="Structurele Ingreep"/>
    <s v="WA/INV/N012/3"/>
    <b v="0"/>
    <s v="Ingreep wordt niet opgevolgd in BOD"/>
    <s v="&lt;null&gt;"/>
    <s v="&lt;null&gt;"/>
    <s v="&lt;null&gt;"/>
    <s v="&lt;null&gt;"/>
    <m/>
    <m/>
    <m/>
  </r>
  <r>
    <x v="18"/>
    <x v="18"/>
    <s v="&lt;null&gt;"/>
    <x v="3"/>
    <n v="1816"/>
    <s v="IN/001431"/>
    <s v="N012 Ravels SO tss Ravels &amp; Weelde"/>
    <s v="&lt;null&gt;"/>
    <s v="Structurele Ingreep"/>
    <s v="WA/INV/N012/5"/>
    <b v="0"/>
    <s v="Ingreep wordt niet opgevolgd in BOD"/>
    <s v="&lt;null&gt;"/>
    <s v="&lt;null&gt;"/>
    <s v="&lt;null&gt;"/>
    <s v="&lt;null&gt;"/>
    <m/>
    <m/>
    <m/>
  </r>
  <r>
    <x v="18"/>
    <x v="18"/>
    <s v="&lt;null&gt;"/>
    <x v="3"/>
    <n v="1817"/>
    <s v="IN/001432"/>
    <s v="N012 Ravels SO tss Poppel &amp; grens NL"/>
    <s v="&lt;null&gt;"/>
    <s v="Structurele Ingreep"/>
    <s v="WA/INV/N012/6"/>
    <b v="0"/>
    <s v="Ingreep wordt niet opgevolgd in BOD"/>
    <s v="&lt;null&gt;"/>
    <s v="&lt;null&gt;"/>
    <s v="&lt;null&gt;"/>
    <s v="&lt;null&gt;"/>
    <m/>
    <m/>
    <m/>
  </r>
  <r>
    <x v="1249"/>
    <x v="1249"/>
    <s v="Verkeersveiligheid"/>
    <x v="4"/>
    <n v="1818"/>
    <s v="IN/001433"/>
    <s v="Ingreep schoolroute Wuustwezel N1 x Kruisweg"/>
    <s v="PCV dossier"/>
    <s v="Kleine Ingreep"/>
    <s v="WA/INV/N1/23"/>
    <b v="0"/>
    <s v="Ingreep wordt niet opgevolgd in BOD"/>
    <n v="2022"/>
    <s v="Q4"/>
    <s v="WEGENIS"/>
    <s v="&lt;null&gt;"/>
    <n v="100"/>
    <n v="50000"/>
    <n v="50000"/>
  </r>
  <r>
    <x v="1250"/>
    <x v="1250"/>
    <s v="Verkeersveiligheid"/>
    <x v="4"/>
    <n v="1819"/>
    <s v="IN/001434"/>
    <s v="Ingreep Schoolroute Wuustwezel N144 x Donkweg"/>
    <s v="PCV dossier"/>
    <s v="Kleine Ingreep"/>
    <s v="WA/INV/N144/1"/>
    <b v="1"/>
    <s v="Ingreep wordt opgevolgd in BOD"/>
    <n v="2022"/>
    <s v="Q4"/>
    <s v="WEGENIS"/>
    <s v="&lt;null&gt;"/>
    <n v="100"/>
    <n v="25000"/>
    <n v="25000"/>
  </r>
  <r>
    <x v="1251"/>
    <x v="1251"/>
    <s v="Fiets"/>
    <x v="0"/>
    <n v="1820"/>
    <s v="IN/001435"/>
    <s v="N211-N276"/>
    <s v="aanpassen oversteken voor fietsers en aanleggen van begin 2-richtingsfietspad tussen A12 en N276"/>
    <s v="Kleine Ingreep"/>
    <s v="WVB/INV/N211/3"/>
    <b v="1"/>
    <s v="Ingreep wordt opgevolgd in BOD"/>
    <n v="2021"/>
    <s v="Q4"/>
    <s v="WEGENIS"/>
    <s v="IBO"/>
    <n v="100"/>
    <n v="120180.68"/>
    <n v="120180.68"/>
  </r>
  <r>
    <x v="18"/>
    <x v="18"/>
    <s v="&lt;null&gt;"/>
    <x v="3"/>
    <n v="1821"/>
    <s v="IN/001436"/>
    <s v="N012 Vosselaar structureel onderhoud"/>
    <s v="&lt;null&gt;"/>
    <s v="Structurele Ingreep"/>
    <s v="WA/INV/N12/6"/>
    <b v="0"/>
    <s v="Ingreep wordt niet opgevolgd in BOD"/>
    <s v="&lt;null&gt;"/>
    <s v="&lt;null&gt;"/>
    <s v="&lt;null&gt;"/>
    <s v="&lt;null&gt;"/>
    <m/>
    <m/>
    <m/>
  </r>
  <r>
    <x v="18"/>
    <x v="18"/>
    <s v="&lt;null&gt;"/>
    <x v="3"/>
    <n v="1822"/>
    <s v="IN/001437"/>
    <s v="N012 Oud-Turnhout structureel onderhoud Oosthoven"/>
    <s v="&lt;null&gt;"/>
    <s v="Structurele Ingreep"/>
    <s v="WA/INV/N012/8"/>
    <b v="0"/>
    <s v="Ingreep wordt niet opgevolgd in BOD"/>
    <s v="&lt;null&gt;"/>
    <s v="&lt;null&gt;"/>
    <s v="&lt;null&gt;"/>
    <s v="&lt;null&gt;"/>
    <m/>
    <m/>
    <m/>
  </r>
  <r>
    <x v="18"/>
    <x v="18"/>
    <s v="&lt;null&gt;"/>
    <x v="3"/>
    <n v="1823"/>
    <s v="IN/001438"/>
    <s v="N012 Turnhout onteigeningen mod13"/>
    <s v="&lt;null&gt;"/>
    <s v="Structurele Ingreep"/>
    <s v="WA/INV/N012/9"/>
    <b v="0"/>
    <s v="Ingreep wordt niet opgevolgd in BOD"/>
    <s v="&lt;null&gt;"/>
    <s v="&lt;null&gt;"/>
    <s v="&lt;null&gt;"/>
    <s v="&lt;null&gt;"/>
    <m/>
    <m/>
    <m/>
  </r>
  <r>
    <x v="18"/>
    <x v="18"/>
    <s v="&lt;null&gt;"/>
    <x v="3"/>
    <n v="1824"/>
    <s v="IN/001439"/>
    <s v="N12 - Ravels - missing Link fietsapden"/>
    <s v="&lt;null&gt;"/>
    <s v="Structurele Ingreep"/>
    <s v="WA/INV/N012/10"/>
    <b v="0"/>
    <s v="Ingreep wordt niet opgevolgd in BOD"/>
    <s v="&lt;null&gt;"/>
    <s v="&lt;null&gt;"/>
    <s v="&lt;null&gt;"/>
    <s v="&lt;null&gt;"/>
    <m/>
    <m/>
    <m/>
  </r>
  <r>
    <x v="1252"/>
    <x v="1252"/>
    <s v="Verkeersveiligheid"/>
    <x v="5"/>
    <n v="1825"/>
    <s v="IN/001440"/>
    <s v="Lummen: N717 Schomstraat"/>
    <s v="Aanpassen van de aansluiting van de Schomstraat aan de N717 zodat deze minder verwarring veroorzaakt en de fietser hier voorrang heeft. Verbeteren verkeersveiligheid fietser."/>
    <s v="Kleine Ingreep"/>
    <s v="WL/INV/N717/6"/>
    <b v="1"/>
    <s v="Ingreep wordt opgevolgd in BOD"/>
    <n v="2022"/>
    <s v="Q1"/>
    <s v="WEGENIS"/>
    <s v="&lt;null&gt;"/>
    <n v="100"/>
    <n v="10000"/>
    <n v="10000"/>
  </r>
  <r>
    <x v="1253"/>
    <x v="1253"/>
    <s v="Verkeersveiligheid"/>
    <x v="5"/>
    <n v="1826"/>
    <s v="IN/001441"/>
    <s v="Hechtel - Eksel: N74 amfibietunnel"/>
    <s v="realiseren amfibietunnel onder gewestweg (afrit N74). Verbeteren verkeersveiligheid voetgangers (vrijwilligers)."/>
    <s v="Kleine Ingreep"/>
    <s v="WL/INV/N74/9"/>
    <b v="1"/>
    <s v="Ingreep wordt opgevolgd in BOD"/>
    <n v="2022"/>
    <s v="Q1"/>
    <s v="WEGENIS"/>
    <s v="&lt;null&gt;"/>
    <n v="100"/>
    <n v="80000"/>
    <n v="80000"/>
  </r>
  <r>
    <x v="1254"/>
    <x v="1254"/>
    <s v="Verkeersveiligheid"/>
    <x v="5"/>
    <n v="1827"/>
    <s v="IN/001442"/>
    <s v="Houthalen-Helchteren: N719 De Ramp"/>
    <s v="Verbeteren verkeersveiligheid fietser."/>
    <s v="Kleine Ingreep"/>
    <s v="WL/INV/N719/8"/>
    <b v="1"/>
    <s v="Ingreep wordt opgevolgd in BOD"/>
    <n v="2022"/>
    <s v="Q1"/>
    <s v="WEGENIS"/>
    <s v="&lt;null&gt;"/>
    <n v="100"/>
    <n v="15000"/>
    <n v="15000"/>
  </r>
  <r>
    <x v="1255"/>
    <x v="1255"/>
    <s v="Verkeersveiligheid"/>
    <x v="5"/>
    <n v="1828"/>
    <s v="IN/001443"/>
    <s v="Leopoldsburg: N72 vergroenen berm"/>
    <s v="Verwijderen van dolomietverharding en begroeiing aanbrengen om wildparkeren tegen te gaan. Verbeteren verkeersveiligheid voetganger."/>
    <s v="Kleine Ingreep"/>
    <s v="WL/INV/N72/20"/>
    <b v="1"/>
    <s v="Ingreep wordt opgevolgd in BOD"/>
    <n v="2022"/>
    <s v="Q1"/>
    <s v="WEGENIS"/>
    <s v="&lt;null&gt;"/>
    <n v="100"/>
    <n v="12000"/>
    <n v="12000"/>
  </r>
  <r>
    <x v="18"/>
    <x v="18"/>
    <s v="&lt;null&gt;"/>
    <x v="3"/>
    <n v="1829"/>
    <s v="IN/001444"/>
    <s v="N73 Ontsluiting gevangenis Leopoldsburg"/>
    <s v="&lt;null&gt;"/>
    <s v="Structurele Ingreep"/>
    <s v="WL/INV/N73/22"/>
    <b v="0"/>
    <s v="Ingreep wordt niet opgevolgd in BOD"/>
    <s v="&lt;null&gt;"/>
    <s v="&lt;null&gt;"/>
    <s v="&lt;null&gt;"/>
    <s v="&lt;null&gt;"/>
    <m/>
    <m/>
    <m/>
  </r>
  <r>
    <x v="1256"/>
    <x v="1256"/>
    <s v="Verkeersveiligheid"/>
    <x v="5"/>
    <n v="1830"/>
    <s v="IN/001445"/>
    <s v="Lommel: N71 fietstunnel"/>
    <s v="Vervangen van verharding in betonklinkers door asfalt. Herschilderen + antigraffiticoating op tunnelwanden. Verbeteren verkeersveiligheid en comfort fietser."/>
    <s v="Kleine Ingreep"/>
    <s v="WL/INV/N71/7"/>
    <b v="1"/>
    <s v="Ingreep wordt opgevolgd in BOD"/>
    <n v="2022"/>
    <s v="Q1"/>
    <s v="WEGENIS"/>
    <s v="&lt;null&gt;"/>
    <n v="100"/>
    <n v="30000"/>
    <n v="30000"/>
  </r>
  <r>
    <x v="1257"/>
    <x v="1257"/>
    <s v="Verkeersveiligheid"/>
    <x v="5"/>
    <n v="1831"/>
    <s v="IN/001446"/>
    <s v="Heusden-Zolder: E314 brug Lummenweg"/>
    <s v="Betondallen verwijderen en vervangen door asfalt zodat voetpad enerzijds veiliger wordt voor voetgangers maar de loszittende betondallen eveneens niet door vandalen op de snelweg kunnen worden gesmeten. Verbeteren verkeersveiligheid voetganger en (onderdo"/>
    <s v="Kleine Ingreep"/>
    <s v="WL/INV/A2/8"/>
    <b v="0"/>
    <s v="Ingreep wordt niet opgevolgd in BOD"/>
    <n v="2022"/>
    <s v="Q1"/>
    <s v="WEGENIS"/>
    <s v="&lt;null&gt;"/>
    <n v="100"/>
    <n v="30000"/>
    <n v="30000"/>
  </r>
  <r>
    <x v="1258"/>
    <x v="1258"/>
    <s v="Verkeersveiligheid"/>
    <x v="4"/>
    <n v="1832"/>
    <s v="IN/001447"/>
    <s v="Ingreep Schoolroute Schoten N121 x Elshoutbaan"/>
    <s v="&lt;null&gt;"/>
    <s v="Kleine Ingreep"/>
    <s v="WA/INV/N121/7"/>
    <b v="0"/>
    <s v="Ingreep wordt niet opgevolgd in BOD"/>
    <n v="2022"/>
    <s v="Q4"/>
    <s v="WEGENIS"/>
    <m/>
    <n v="100"/>
    <n v="40000"/>
    <n v="40000"/>
  </r>
  <r>
    <x v="1259"/>
    <x v="1259"/>
    <s v="Verkeersveiligheid"/>
    <x v="5"/>
    <n v="1833"/>
    <s v="IN/001448"/>
    <s v="Hechtel-Eksel: N715 fietspaden t.h.v. autokeuring"/>
    <s v="Beveiligen van de fietspaden t.h.v. de autokeuring zodat voertuigen hier niet meer op kunnen stilstaan. Verbeteren verkeersveiligheid fietser."/>
    <s v="Kleine Ingreep"/>
    <s v="WL/INV/N715/7"/>
    <b v="1"/>
    <s v="Ingreep wordt opgevolgd in BOD"/>
    <n v="2022"/>
    <s v="Q2"/>
    <s v="WEGENIS"/>
    <s v="&lt;null&gt;"/>
    <n v="100"/>
    <n v="61000"/>
    <n v="61000"/>
  </r>
  <r>
    <x v="18"/>
    <x v="18"/>
    <s v="&lt;null&gt;"/>
    <x v="3"/>
    <n v="1834"/>
    <s v="IN/001449"/>
    <s v="N014 Duffel herinrichting doortocht"/>
    <s v="&lt;null&gt;"/>
    <s v="Structurele Ingreep"/>
    <s v="WA/INV/N014/4"/>
    <b v="0"/>
    <s v="Ingreep wordt niet opgevolgd in BOD"/>
    <s v="&lt;null&gt;"/>
    <s v="&lt;null&gt;"/>
    <s v="&lt;null&gt;"/>
    <s v="&lt;null&gt;"/>
    <m/>
    <m/>
    <m/>
  </r>
  <r>
    <x v="18"/>
    <x v="18"/>
    <s v="&lt;null&gt;"/>
    <x v="3"/>
    <n v="1835"/>
    <s v="IN/001450"/>
    <s v="N016 Bornem complex bornem-industrie"/>
    <s v="&lt;null&gt;"/>
    <s v="Structurele Ingreep"/>
    <s v="WA/INV/N016/2"/>
    <b v="0"/>
    <s v="Ingreep wordt niet opgevolgd in BOD"/>
    <s v="&lt;null&gt;"/>
    <s v="&lt;null&gt;"/>
    <s v="&lt;null&gt;"/>
    <s v="&lt;null&gt;"/>
    <m/>
    <m/>
    <m/>
  </r>
  <r>
    <x v="1260"/>
    <x v="1260"/>
    <s v="Verkeersveiligheid"/>
    <x v="5"/>
    <n v="1836"/>
    <s v="IN/001451"/>
    <s v="Diest: N725 fietsbruggen"/>
    <s v="aanbrengen antislipcoating. Verbeteren verkeersveiligheid fietser."/>
    <s v="Kleine Ingreep"/>
    <s v="WL/INV/N725/11"/>
    <b v="0"/>
    <s v="Ingreep wordt niet opgevolgd in BOD"/>
    <n v="2022"/>
    <s v="Q1"/>
    <s v="WEGENIS"/>
    <s v="&lt;null&gt;"/>
    <n v="100"/>
    <n v="9600"/>
    <n v="9600"/>
  </r>
  <r>
    <x v="1261"/>
    <x v="1261"/>
    <s v="Verkeersveiligheid"/>
    <x v="5"/>
    <n v="1837"/>
    <s v="IN/001452"/>
    <s v="Beringen: N72 fietsbruggen"/>
    <s v="aanbrengen antislipcoating. Verbeteren verkeersveiligheid fietser."/>
    <s v="Kleine Ingreep"/>
    <s v="WL/INV/N72/21"/>
    <b v="1"/>
    <s v="Ingreep wordt opgevolgd in BOD"/>
    <n v="2022"/>
    <s v="Q1"/>
    <s v="WEGENIS"/>
    <s v="&lt;null&gt;"/>
    <n v="100"/>
    <n v="2400"/>
    <n v="2400"/>
  </r>
  <r>
    <x v="1262"/>
    <x v="1262"/>
    <s v="Verkeersveiligheid"/>
    <x v="5"/>
    <n v="1838"/>
    <s v="IN/001453"/>
    <s v="Lummen: N717 fietsbruggen"/>
    <s v="aanbrengen antislipcoating. Verbeteren verkeersveiligheid fietser."/>
    <s v="Kleine Ingreep"/>
    <s v="WL/INV/N717/7"/>
    <b v="0"/>
    <s v="Ingreep wordt niet opgevolgd in BOD"/>
    <n v="2022"/>
    <s v="Q1"/>
    <s v="WEGENIS"/>
    <s v="&lt;null&gt;"/>
    <n v="100"/>
    <n v="2400"/>
    <n v="2400"/>
  </r>
  <r>
    <x v="1263"/>
    <x v="1263"/>
    <s v="Verkeersveiligheid"/>
    <x v="5"/>
    <n v="1839"/>
    <s v="IN/001454"/>
    <s v="Hamont-Achel: N76 fietsbruggen"/>
    <s v="aanbrengen antislipcoating. Verbeteren verkeersveiligheid fietser."/>
    <s v="Kleine Ingreep"/>
    <s v="WL/INV/N76/26"/>
    <b v="0"/>
    <s v="Ingreep wordt niet opgevolgd in BOD"/>
    <n v="2022"/>
    <s v="Q1"/>
    <s v="WEGENIS"/>
    <s v="&lt;null&gt;"/>
    <n v="100"/>
    <n v="19200"/>
    <n v="19200"/>
  </r>
  <r>
    <x v="1264"/>
    <x v="1264"/>
    <s v="Verkeersveiligheid"/>
    <x v="5"/>
    <n v="1840"/>
    <s v="IN/001455"/>
    <s v="Hamont-Achel: N71 fietsbruggen"/>
    <s v="aanbrengen antislipcoating. Verbeteren verkeersveiligheid fietser."/>
    <s v="Kleine Ingreep"/>
    <s v="WL/INV/N71/8"/>
    <b v="1"/>
    <s v="Ingreep wordt opgevolgd in BOD"/>
    <n v="2022"/>
    <s v="Q1"/>
    <s v="WEGENIS"/>
    <s v="&lt;null&gt;"/>
    <n v="100"/>
    <n v="18000"/>
    <n v="18000"/>
  </r>
  <r>
    <x v="1265"/>
    <x v="1265"/>
    <s v="Verkeersveiligheid"/>
    <x v="5"/>
    <n v="1841"/>
    <s v="IN/001456"/>
    <s v="Beringen: N29 verlichting middenberm en parking"/>
    <s v="Aanbrengen van plantvakken rond vrijstaande verlichtingspalen in middenberm zodat deze beter zichtbaar zijn en minder frequent aangereden worden.\nOntsluiting parking de Wissel wijzigen zodat het in- en uitrijden hiervan makkelijker en veiliger kan verlop"/>
    <s v="Kleine Ingreep"/>
    <s v="WL/INV/N29/4"/>
    <b v="1"/>
    <s v="Ingreep wordt opgevolgd in BOD"/>
    <n v="2022"/>
    <s v="Q1"/>
    <s v="WEGENIS"/>
    <s v="&lt;null&gt;"/>
    <n v="100"/>
    <n v="61000"/>
    <n v="61000"/>
  </r>
  <r>
    <x v="1266"/>
    <x v="1266"/>
    <s v="Verkeersveiligheid"/>
    <x v="5"/>
    <n v="1842"/>
    <s v="IN/001457"/>
    <s v="Halen: N2 rotonde"/>
    <s v="Aanleggen van dubbelrichtingsfietspaden. Verbeteren verkeersveiligheid voor de fietser."/>
    <s v="Kleine Ingreep"/>
    <s v="WL/INV/N2/15"/>
    <b v="1"/>
    <s v="Ingreep wordt opgevolgd in BOD"/>
    <n v="2022"/>
    <s v="Q1"/>
    <s v="WEGENIS"/>
    <s v="&lt;null&gt;"/>
    <n v="100"/>
    <n v="123000"/>
    <n v="123000"/>
  </r>
  <r>
    <x v="1267"/>
    <x v="1267"/>
    <s v="Verkeersveiligheid"/>
    <x v="5"/>
    <n v="1843"/>
    <s v="IN/001458"/>
    <s v="Ham: N110 x Nikelaan"/>
    <s v="Aanleggen ontbrekend stuk fietspad onderaan talud N110 (ter hoogte van Nikelaan)"/>
    <s v="Kleine Ingreep"/>
    <s v="WL/INV/N110/2"/>
    <b v="1"/>
    <s v="Ingreep wordt opgevolgd in BOD"/>
    <n v="2022"/>
    <s v="Q2"/>
    <s v="WEGENIS"/>
    <s v="&lt;null&gt;"/>
    <n v="100"/>
    <n v="24000"/>
    <n v="24000"/>
  </r>
  <r>
    <x v="1268"/>
    <x v="1268"/>
    <s v="Verkeersveiligheid"/>
    <x v="5"/>
    <n v="1844"/>
    <s v="IN/001459"/>
    <s v="Pelt: N712 kruispunt en spooronderdoorgang"/>
    <s v="Voetpad wijzigen naar gemengd voet/fietspad tussen Boseind en Oude Kerkhofstraat. Verbeteren verkeersveiligheid voor de fietser."/>
    <s v="Kleine Ingreep"/>
    <s v="WL/INV/N712/10"/>
    <b v="1"/>
    <s v="Ingreep wordt opgevolgd in BOD"/>
    <n v="2022"/>
    <s v="Q3"/>
    <s v="WEGENIS"/>
    <s v="&lt;null&gt;"/>
    <n v="100"/>
    <n v="61000"/>
    <n v="61000"/>
  </r>
  <r>
    <x v="1269"/>
    <x v="1269"/>
    <s v="Verkeersveiligheid"/>
    <x v="5"/>
    <n v="1845"/>
    <s v="IN/001460"/>
    <s v="Dilsen-Stokkem: N78 oversteek"/>
    <s v="Verbreden van middeneiland zodat fietser zich hier comfortabel kan opstellen. Verbeteren verkeersveiligheid voor de fietser.\n"/>
    <s v="Kleine Ingreep"/>
    <s v="WL/INV/N78/27"/>
    <b v="1"/>
    <s v="Ingreep wordt opgevolgd in BOD"/>
    <n v="2022"/>
    <s v="Q2"/>
    <s v="WEGENIS"/>
    <s v="&lt;null&gt;"/>
    <n v="100"/>
    <n v="66000"/>
    <n v="66000"/>
  </r>
  <r>
    <x v="1270"/>
    <x v="1270"/>
    <s v="Verkeersveiligheid"/>
    <x v="5"/>
    <n v="1846"/>
    <s v="IN/001461"/>
    <s v="As: N723 afwikkeling kruispunt"/>
    <s v="Het verkeer komende van Genk via de rotonde laten passeren zodat de middenstrook enkel dient om het verkeer richting Dilsen/Maasmechelen te leiden. Eventueel ook een FOP voorzien? \nVerbeteren verkeersveiligheid voor gemotoriseerd verkeer."/>
    <s v="Kleine Ingreep"/>
    <s v="WL/INV/N723/4"/>
    <b v="1"/>
    <s v="Ingreep wordt opgevolgd in BOD"/>
    <n v="2022"/>
    <s v="Q2"/>
    <s v="WEGENIS"/>
    <s v="&lt;null&gt;"/>
    <n v="100"/>
    <n v="123000"/>
    <n v="123000"/>
  </r>
  <r>
    <x v="1271"/>
    <x v="1271"/>
    <s v="Verkeersveiligheid"/>
    <x v="5"/>
    <n v="1847"/>
    <s v="IN/001462"/>
    <s v="As: N730 Ziepstraat"/>
    <s v="realiseren van veilige fietsoversteek. Verbeteren verkeersveiligheid voor de fietser."/>
    <s v="Kleine Ingreep"/>
    <s v="WL/INV/N730/19"/>
    <b v="1"/>
    <s v="Ingreep wordt opgevolgd in BOD"/>
    <n v="2022"/>
    <s v="&lt;null&gt;"/>
    <s v="WEGENIS"/>
    <s v="&lt;null&gt;"/>
    <n v="100"/>
    <n v="123000"/>
    <n v="123000"/>
  </r>
  <r>
    <x v="1272"/>
    <x v="1272"/>
    <s v="Verkeersveiligheid"/>
    <x v="5"/>
    <n v="1848"/>
    <s v="IN/001463"/>
    <s v="Lanaken: N77 dubbelrichtingsfietspad"/>
    <s v="Uitbreiden van het fietspad naar een dubbelrichtingsfietspad tussen rotonde en Broekstraat. Verbeteren verkeersveiligheid en comfort voor de fietser."/>
    <s v="Kleine Ingreep"/>
    <s v="WL/INV/N77/5"/>
    <b v="1"/>
    <s v="Ingreep wordt opgevolgd in BOD"/>
    <n v="2022"/>
    <s v="Q1"/>
    <s v="WEGENIS"/>
    <s v="&lt;null&gt;"/>
    <n v="100"/>
    <n v="66000"/>
    <n v="66000"/>
  </r>
  <r>
    <x v="1273"/>
    <x v="1273"/>
    <s v="Verkeersveiligheid"/>
    <x v="4"/>
    <n v="1849"/>
    <s v="IN/001464"/>
    <s v="Lanaken: N77b fietsbrug en kruispunt"/>
    <s v="Aanbrengen nieuwe anti-sliplaag op brug. Kruispunt uit te voeren conform PCV (verkeerslichten). Verbeteren verkeersveiligheid voor fietsers."/>
    <s v="Kleine Ingreep"/>
    <s v="WL/INV/N77/6"/>
    <b v="1"/>
    <s v="Ingreep wordt opgevolgd in BOD"/>
    <n v="2022"/>
    <s v="Q2"/>
    <s v="WEGENIS"/>
    <s v="&lt;null&gt;"/>
    <n v="50"/>
    <n v="165000"/>
    <n v="82500"/>
  </r>
  <r>
    <x v="1274"/>
    <x v="1274"/>
    <s v="Verkeersveiligheid"/>
    <x v="5"/>
    <n v="1849"/>
    <s v="IN/001464"/>
    <s v="Lanaken: N77b fietsbrug en kruispunt"/>
    <s v="Aanbrengen nieuwe anti-sliplaag op brug. Kruispunt uit te voeren conform PCV (verkeerslichten). Verbeteren verkeersveiligheid voor fietsers."/>
    <s v="Kleine Ingreep"/>
    <s v="WL/INV/N77/6"/>
    <b v="1"/>
    <s v="Ingreep wordt opgevolgd in BOD"/>
    <n v="2022"/>
    <s v="Q2"/>
    <s v="WEGENIS"/>
    <s v="&lt;null&gt;"/>
    <n v="50"/>
    <n v="165000"/>
    <n v="82500"/>
  </r>
  <r>
    <x v="1275"/>
    <x v="1275"/>
    <s v="Verkeersveiligheid"/>
    <x v="5"/>
    <n v="1850"/>
    <s v="IN/001465"/>
    <s v="Lanaken: N78 spoorvorming"/>
    <s v="Spoorvorming aanpakken ter verbetering verkeersveiligheid voor gemotoriseerd verkeer"/>
    <s v="Kleine Ingreep"/>
    <s v="WL/INV/N78/28"/>
    <b v="1"/>
    <s v="Ingreep wordt opgevolgd in BOD"/>
    <n v="2022"/>
    <s v="Q2"/>
    <s v="WEGENIS"/>
    <s v="&lt;null&gt;"/>
    <n v="100"/>
    <n v="123000"/>
    <n v="123000"/>
  </r>
  <r>
    <x v="1276"/>
    <x v="1276"/>
    <s v="Verkeersveiligheid"/>
    <x v="5"/>
    <n v="1851"/>
    <s v="IN/001466"/>
    <s v="Maasmechelen: N763 fiets- en menoversteek"/>
    <s v="Veilige oversteek uitwerken voor menroute, fietsers en wandelaars."/>
    <s v="Kleine Ingreep"/>
    <s v="WL/INV/N763/2"/>
    <b v="1"/>
    <s v="Ingreep wordt opgevolgd in BOD"/>
    <n v="2022"/>
    <s v="Q2"/>
    <s v="WEGENIS"/>
    <s v="&lt;null&gt;"/>
    <n v="100"/>
    <n v="165000"/>
    <n v="165000"/>
  </r>
  <r>
    <x v="18"/>
    <x v="18"/>
    <s v="&lt;null&gt;"/>
    <x v="3"/>
    <n v="1852"/>
    <s v="IN/001467"/>
    <s v="E313 Hasselt kruispunt N20"/>
    <s v="&lt;null&gt;"/>
    <s v="Structurele Ingreep"/>
    <s v="WL/INV/N20/3"/>
    <b v="0"/>
    <s v="Ingreep wordt niet opgevolgd in BOD"/>
    <s v="&lt;null&gt;"/>
    <s v="&lt;null&gt;"/>
    <s v="&lt;null&gt;"/>
    <s v="&lt;null&gt;"/>
    <m/>
    <m/>
    <m/>
  </r>
  <r>
    <x v="18"/>
    <x v="18"/>
    <s v="&lt;null&gt;"/>
    <x v="3"/>
    <n v="1853"/>
    <s v="IN/001468"/>
    <s v="E313 herinrichting complex 25 Ham"/>
    <s v="&lt;null&gt;"/>
    <s v="Structurele Ingreep"/>
    <s v="WL/INV/N141/1"/>
    <b v="0"/>
    <s v="Ingreep wordt niet opgevolgd in BOD"/>
    <s v="&lt;null&gt;"/>
    <s v="&lt;null&gt;"/>
    <s v="&lt;null&gt;"/>
    <s v="&lt;null&gt;"/>
    <m/>
    <m/>
    <m/>
  </r>
  <r>
    <x v="18"/>
    <x v="18"/>
    <s v="&lt;null&gt;"/>
    <x v="3"/>
    <n v="1854"/>
    <s v="IN/001469"/>
    <s v="N723 Genk Welzijnscampus / Portavida"/>
    <s v="&lt;null&gt;"/>
    <s v="Structurele Ingreep"/>
    <s v="WL/INV/N723/1"/>
    <b v="0"/>
    <s v="Ingreep wordt niet opgevolgd in BOD"/>
    <s v="&lt;null&gt;"/>
    <s v="&lt;null&gt;"/>
    <s v="&lt;null&gt;"/>
    <s v="&lt;null&gt;"/>
    <m/>
    <m/>
    <m/>
  </r>
  <r>
    <x v="18"/>
    <x v="18"/>
    <s v="&lt;null&gt;"/>
    <x v="3"/>
    <n v="1855"/>
    <s v="IN/001470"/>
    <s v="E313 Lummen Hasselt-Oost project-MER spitsstroken"/>
    <s v="&lt;null&gt;"/>
    <s v="Structurele Ingreep"/>
    <s v="WL/INV/A13/2"/>
    <b v="0"/>
    <s v="Ingreep wordt niet opgevolgd in BOD"/>
    <s v="&lt;null&gt;"/>
    <s v="&lt;null&gt;"/>
    <s v="&lt;null&gt;"/>
    <s v="&lt;null&gt;"/>
    <m/>
    <m/>
    <m/>
  </r>
  <r>
    <x v="18"/>
    <x v="18"/>
    <s v="&lt;null&gt;"/>
    <x v="3"/>
    <n v="1856"/>
    <s v="IN/001471"/>
    <s v="R71 Hasselt fietsbrug FSW over Kanaalkom"/>
    <s v="&lt;null&gt;"/>
    <s v="Structurele Ingreep"/>
    <s v="WL/INV/R71/5"/>
    <b v="0"/>
    <s v="Ingreep wordt niet opgevolgd in BOD"/>
    <s v="&lt;null&gt;"/>
    <s v="&lt;null&gt;"/>
    <s v="&lt;null&gt;"/>
    <s v="&lt;null&gt;"/>
    <m/>
    <m/>
    <m/>
  </r>
  <r>
    <x v="18"/>
    <x v="18"/>
    <s v="&lt;null&gt;"/>
    <x v="3"/>
    <n v="1857"/>
    <s v="IN/001472"/>
    <s v="N750 Genk Ontsluiting ZOL"/>
    <s v="&lt;null&gt;"/>
    <s v="Structurele Ingreep"/>
    <s v="WL/INV/N750/2"/>
    <b v="0"/>
    <s v="Ingreep wordt niet opgevolgd in BOD"/>
    <s v="&lt;null&gt;"/>
    <s v="&lt;null&gt;"/>
    <s v="&lt;null&gt;"/>
    <s v="&lt;null&gt;"/>
    <m/>
    <m/>
    <m/>
  </r>
  <r>
    <x v="18"/>
    <x v="18"/>
    <s v="&lt;null&gt;"/>
    <x v="3"/>
    <n v="1858"/>
    <s v="IN/001473"/>
    <s v="N2 Herk-de-Stad Kruispunt Kapelstraat Bosstraat"/>
    <s v="&lt;null&gt;"/>
    <s v="Structurele Ingreep"/>
    <s v="WL/INV/N2/4"/>
    <b v="0"/>
    <s v="Ingreep wordt niet opgevolgd in BOD"/>
    <s v="&lt;null&gt;"/>
    <s v="&lt;null&gt;"/>
    <s v="&lt;null&gt;"/>
    <s v="&lt;null&gt;"/>
    <m/>
    <m/>
    <m/>
  </r>
  <r>
    <x v="18"/>
    <x v="18"/>
    <s v="&lt;null&gt;"/>
    <x v="3"/>
    <n v="1859"/>
    <s v="IN/001474"/>
    <s v="N724 Tessenderlo Rotonde Industrieweg"/>
    <s v="&lt;null&gt;"/>
    <s v="Structurele Ingreep"/>
    <s v="WL/INV/N724/1"/>
    <b v="0"/>
    <s v="Ingreep wordt niet opgevolgd in BOD"/>
    <s v="&lt;null&gt;"/>
    <s v="&lt;null&gt;"/>
    <s v="&lt;null&gt;"/>
    <s v="&lt;null&gt;"/>
    <m/>
    <m/>
    <m/>
  </r>
  <r>
    <x v="18"/>
    <x v="18"/>
    <s v="&lt;null&gt;"/>
    <x v="3"/>
    <n v="1860"/>
    <s v="IN/001475"/>
    <s v="N2 Diepenbeek kruispunt Nierstraat"/>
    <s v="&lt;null&gt;"/>
    <s v="Structurele Ingreep"/>
    <s v="WL/INV/N2/10"/>
    <b v="0"/>
    <s v="Ingreep wordt niet opgevolgd in BOD"/>
    <s v="&lt;null&gt;"/>
    <s v="&lt;null&gt;"/>
    <s v="&lt;null&gt;"/>
    <s v="&lt;null&gt;"/>
    <m/>
    <m/>
    <m/>
  </r>
  <r>
    <x v="18"/>
    <x v="18"/>
    <s v="&lt;null&gt;"/>
    <x v="3"/>
    <n v="1866"/>
    <s v="IN/001481"/>
    <s v="Aanleg fietspaden N126 Laakdal"/>
    <s v="&lt;null&gt;"/>
    <s v="Structurele Ingreep"/>
    <s v="WA/INV/N126/3"/>
    <b v="0"/>
    <s v="Ingreep wordt niet opgevolgd in BOD"/>
    <s v="&lt;null&gt;"/>
    <s v="&lt;null&gt;"/>
    <s v="&lt;null&gt;"/>
    <s v="&lt;null&gt;"/>
    <m/>
    <m/>
    <m/>
  </r>
  <r>
    <x v="18"/>
    <x v="18"/>
    <s v="&lt;null&gt;"/>
    <x v="3"/>
    <n v="1867"/>
    <s v="IN/001482"/>
    <s v="N2 Hasselt - ontsluiting KMO/sportzone Pietelbeek"/>
    <s v="&lt;null&gt;"/>
    <s v="Structurele Ingreep"/>
    <s v="WL/INV/N2/8"/>
    <b v="0"/>
    <s v="Ingreep wordt niet opgevolgd in BOD"/>
    <s v="&lt;null&gt;"/>
    <s v="&lt;null&gt;"/>
    <s v="&lt;null&gt;"/>
    <s v="&lt;null&gt;"/>
    <m/>
    <m/>
    <m/>
  </r>
  <r>
    <x v="1277"/>
    <x v="1277"/>
    <s v="Stimuleren Combimobiliteit"/>
    <x v="2"/>
    <n v="1868"/>
    <s v="IN/001483"/>
    <s v="N73 Hechtel-Eksel en Pelt mobipunten"/>
    <s v="&lt;null&gt;"/>
    <s v="Structurele Ingreep"/>
    <s v="WL/INV/N73/12"/>
    <b v="0"/>
    <s v="Ingreep wordt niet opgevolgd in BOD"/>
    <s v="&lt;null&gt;"/>
    <s v="&lt;null&gt;"/>
    <s v="&lt;null&gt;"/>
    <s v="&lt;null&gt;"/>
    <n v="62"/>
    <m/>
    <m/>
  </r>
  <r>
    <x v="1278"/>
    <x v="1278"/>
    <s v="Stimuleren Combimobiliteit"/>
    <x v="2"/>
    <n v="1868"/>
    <s v="IN/001483"/>
    <s v="N73 Hechtel-Eksel en Pelt mobipunten"/>
    <s v="&lt;null&gt;"/>
    <s v="Structurele Ingreep"/>
    <s v="WL/INV/N73/12"/>
    <b v="0"/>
    <s v="Ingreep wordt niet opgevolgd in BOD"/>
    <s v="&lt;null&gt;"/>
    <s v="&lt;null&gt;"/>
    <s v="&lt;null&gt;"/>
    <s v="&lt;null&gt;"/>
    <n v="38"/>
    <m/>
    <m/>
  </r>
  <r>
    <x v="18"/>
    <x v="18"/>
    <s v="&lt;null&gt;"/>
    <x v="3"/>
    <n v="1869"/>
    <s v="IN/001484"/>
    <s v="N141 Ham Heppensestw toegankelijkehaltes DeWarande"/>
    <s v="&lt;null&gt;"/>
    <s v="Structurele Ingreep"/>
    <s v="WL/INV/N141/6"/>
    <b v="0"/>
    <s v="Ingreep wordt niet opgevolgd in BOD"/>
    <s v="&lt;null&gt;"/>
    <s v="&lt;null&gt;"/>
    <s v="&lt;null&gt;"/>
    <s v="&lt;null&gt;"/>
    <m/>
    <m/>
    <m/>
  </r>
  <r>
    <x v="18"/>
    <x v="18"/>
    <s v="&lt;null&gt;"/>
    <x v="3"/>
    <n v="1870"/>
    <s v="IN/001485"/>
    <s v="N72-Stationsstraat Beringen: herinrichting kruispu"/>
    <s v="&lt;null&gt;"/>
    <s v="Structurele Ingreep"/>
    <s v="WL/INV/N72/8"/>
    <b v="0"/>
    <s v="Ingreep wordt niet opgevolgd in BOD"/>
    <s v="&lt;null&gt;"/>
    <s v="&lt;null&gt;"/>
    <s v="&lt;null&gt;"/>
    <s v="&lt;null&gt;"/>
    <m/>
    <m/>
    <m/>
  </r>
  <r>
    <x v="1279"/>
    <x v="1279"/>
    <s v="Verkeersveiligheid"/>
    <x v="4"/>
    <n v="1871"/>
    <s v="IN/001486"/>
    <s v="SRK: N9 Melle: opfrissen markeringen ( x Kapellestraat)"/>
    <s v="&lt;null&gt;"/>
    <s v="Kleine Ingreep"/>
    <s v="WOV/INV/N9/24"/>
    <b v="1"/>
    <s v="Ingreep wordt opgevolgd in BOD"/>
    <n v="2022"/>
    <s v="Q2"/>
    <s v="WEGENIS"/>
    <s v="&lt;null&gt;"/>
    <n v="100"/>
    <n v="2000"/>
    <n v="2000"/>
  </r>
  <r>
    <x v="18"/>
    <x v="18"/>
    <s v="&lt;null&gt;"/>
    <x v="3"/>
    <n v="1872"/>
    <s v="IN/001487"/>
    <s v="R22 - Machelen - Herinrichting Woluwelaan"/>
    <s v="&lt;null&gt;"/>
    <s v="Structurele Ingreep"/>
    <s v="WVB/INV/R22/1"/>
    <b v="1"/>
    <s v="Ingreep wordt opgevolgd in BOD"/>
    <s v="&lt;null&gt;"/>
    <s v="&lt;null&gt;"/>
    <s v="&lt;null&gt;"/>
    <s v="&lt;null&gt;"/>
    <m/>
    <m/>
    <m/>
  </r>
  <r>
    <x v="18"/>
    <x v="18"/>
    <s v="&lt;null&gt;"/>
    <x v="3"/>
    <n v="1873"/>
    <s v="IN/001488"/>
    <s v="N364 Alveringem herinrichting"/>
    <s v="&lt;null&gt;"/>
    <s v="Structurele Ingreep"/>
    <s v="WWV/INV/N364/1"/>
    <b v="0"/>
    <s v="Ingreep wordt niet opgevolgd in BOD"/>
    <s v="&lt;null&gt;"/>
    <s v="&lt;null&gt;"/>
    <s v="&lt;null&gt;"/>
    <s v="&lt;null&gt;"/>
    <m/>
    <m/>
    <m/>
  </r>
  <r>
    <x v="18"/>
    <x v="18"/>
    <s v="&lt;null&gt;"/>
    <x v="3"/>
    <n v="1874"/>
    <s v="IN/001489"/>
    <s v="N16 Mechelen afschermende contstructies"/>
    <s v="&lt;null&gt;"/>
    <s v="Structurele Ingreep"/>
    <s v="WA/INV/N16/6"/>
    <b v="0"/>
    <s v="Ingreep wordt niet opgevolgd in BOD"/>
    <s v="&lt;null&gt;"/>
    <s v="&lt;null&gt;"/>
    <s v="&lt;null&gt;"/>
    <s v="&lt;null&gt;"/>
    <m/>
    <m/>
    <m/>
  </r>
  <r>
    <x v="18"/>
    <x v="18"/>
    <s v="&lt;null&gt;"/>
    <x v="3"/>
    <n v="1875"/>
    <s v="IN/001490"/>
    <s v="N275 Hoeilaart: Terhulpensestwg"/>
    <s v="Volledige herinrichting gewestweg (incl. Aanliggend dubbel richtingsfietspad, afschermende constructie en vleermuisvriendelijke verlichting)"/>
    <s v="Structurele Ingreep"/>
    <s v="WVB/INV/N275/1"/>
    <b v="0"/>
    <s v="Ingreep wordt niet opgevolgd in BOD"/>
    <s v="&lt;null&gt;"/>
    <s v="&lt;null&gt;"/>
    <s v="&lt;null&gt;"/>
    <s v="&lt;null&gt;"/>
    <m/>
    <m/>
    <m/>
  </r>
  <r>
    <x v="1280"/>
    <x v="1280"/>
    <s v="Verkeersveiligheid"/>
    <x v="4"/>
    <n v="1876"/>
    <s v="IN/001491"/>
    <s v="Ingreep Schoolroute Olen N3 x Sint-Sebastiaanstraat"/>
    <s v="PCV dossier: V-plan"/>
    <s v="Kleine Ingreep"/>
    <s v="&lt;null&gt;"/>
    <b v="0"/>
    <s v="Ingreep wordt niet opgevolgd in BOD"/>
    <s v="&lt;null&gt;"/>
    <s v="&lt;null&gt;"/>
    <s v="&lt;null&gt;"/>
    <s v="&lt;null&gt;"/>
    <n v="100"/>
    <m/>
    <m/>
  </r>
  <r>
    <x v="1257"/>
    <x v="1257"/>
    <s v="Verkeersveiligheid"/>
    <x v="5"/>
    <n v="1877"/>
    <s v="IN/001492"/>
    <s v="Renovatie brug B2 Heusden Zolder (E314)"/>
    <s v="&lt;null&gt;"/>
    <s v="Structurele Ingreep"/>
    <s v="WL/INV/A2/9"/>
    <b v="0"/>
    <s v="Ingreep wordt niet opgevolgd in BOD"/>
    <s v="&lt;null&gt;"/>
    <s v="&lt;null&gt;"/>
    <s v="&lt;null&gt;"/>
    <s v="&lt;null&gt;"/>
    <n v="10"/>
    <m/>
    <m/>
  </r>
  <r>
    <x v="18"/>
    <x v="18"/>
    <s v="&lt;null&gt;"/>
    <x v="3"/>
    <n v="1878"/>
    <s v="IN/001493"/>
    <s v="N78 Renovatie asfalt Europalaan Lanaken"/>
    <s v="&lt;null&gt;"/>
    <s v="Structurele Ingreep"/>
    <s v="WL/INV/N78/29"/>
    <b v="0"/>
    <s v="Ingreep wordt niet opgevolgd in BOD"/>
    <s v="&lt;null&gt;"/>
    <s v="&lt;null&gt;"/>
    <s v="&lt;null&gt;"/>
    <s v="&lt;null&gt;"/>
    <m/>
    <m/>
    <m/>
  </r>
  <r>
    <x v="18"/>
    <x v="18"/>
    <s v="&lt;null&gt;"/>
    <x v="3"/>
    <n v="1879"/>
    <s v="IN/001494"/>
    <s v="R25 Aarschot: Rotonde, Wegenis, Fietspaden"/>
    <s v="Vernieuwing wegvak"/>
    <s v="Structurele Ingreep"/>
    <s v="WVB/INV/R25/1"/>
    <b v="0"/>
    <s v="Ingreep wordt niet opgevolgd in BOD"/>
    <s v="&lt;null&gt;"/>
    <s v="&lt;null&gt;"/>
    <s v="&lt;null&gt;"/>
    <s v="&lt;null&gt;"/>
    <m/>
    <m/>
    <m/>
  </r>
  <r>
    <x v="18"/>
    <x v="18"/>
    <s v="&lt;null&gt;"/>
    <x v="3"/>
    <n v="1880"/>
    <s v="IN/001495"/>
    <s v="N29/24 str.ond. weg fp, incl kruisp Klipg"/>
    <s v="Vernieuwing wegenis (incl. fietspaden) en herinrichting kruispunt Klipgaardenstraat"/>
    <s v="Structurele Ingreep"/>
    <s v="WVB/INV/N29/1"/>
    <b v="0"/>
    <s v="Ingreep wordt niet opgevolgd in BOD"/>
    <s v="&lt;null&gt;"/>
    <s v="&lt;null&gt;"/>
    <s v="&lt;null&gt;"/>
    <s v="&lt;null&gt;"/>
    <m/>
    <m/>
    <m/>
  </r>
  <r>
    <x v="18"/>
    <x v="18"/>
    <s v="&lt;null&gt;"/>
    <x v="3"/>
    <n v="1887"/>
    <s v="IN/001502"/>
    <s v="X21/N025/9 DP3  Structureel onderhoud N251"/>
    <s v="Aanleg wegenis (incl. fietspaden) en vleermuisvriendelijke verlichting. Herinrichting kruispunt N251/Duivenstraat/Brainestraat"/>
    <s v="Structurele Ingreep"/>
    <s v="WVB/INV/N25/1"/>
    <b v="0"/>
    <s v="Ingreep wordt niet opgevolgd in BOD"/>
    <s v="&lt;null&gt;"/>
    <s v="&lt;null&gt;"/>
    <s v="&lt;null&gt;"/>
    <s v="&lt;null&gt;"/>
    <m/>
    <m/>
    <m/>
  </r>
  <r>
    <x v="18"/>
    <x v="18"/>
    <s v="&lt;null&gt;"/>
    <x v="3"/>
    <n v="1888"/>
    <s v="IN/001503"/>
    <s v="N441 Oudenaarde GrVLandaststraat"/>
    <s v="&lt;null&gt;"/>
    <s v="Structurele Ingreep"/>
    <s v="WOV/INV/N441/1"/>
    <b v="0"/>
    <s v="Ingreep wordt niet opgevolgd in BOD"/>
    <s v="&lt;null&gt;"/>
    <s v="&lt;null&gt;"/>
    <s v="&lt;null&gt;"/>
    <s v="&lt;null&gt;"/>
    <m/>
    <m/>
    <m/>
  </r>
  <r>
    <x v="18"/>
    <x v="18"/>
    <s v="&lt;null&gt;"/>
    <x v="3"/>
    <n v="1889"/>
    <s v="IN/001504"/>
    <s v="X21/R023/25 Gasthuisberg fase 4: Rennessingel"/>
    <s v="Aanleg fietspaden"/>
    <s v="Structurele Ingreep"/>
    <s v="WVB/INV/R23/1"/>
    <b v="0"/>
    <s v="Ingreep wordt niet opgevolgd in BOD"/>
    <s v="&lt;null&gt;"/>
    <s v="&lt;null&gt;"/>
    <s v="&lt;null&gt;"/>
    <s v="&lt;null&gt;"/>
    <m/>
    <m/>
    <m/>
  </r>
  <r>
    <x v="18"/>
    <x v="18"/>
    <s v="&lt;null&gt;"/>
    <x v="3"/>
    <n v="1890"/>
    <s v="IN/001505"/>
    <s v="N441 Oudenaarde doortocht Nedernename"/>
    <s v="&lt;null&gt;"/>
    <s v="Structurele Ingreep"/>
    <s v="WOV/INV/N441/2"/>
    <b v="0"/>
    <s v="Ingreep wordt niet opgevolgd in BOD"/>
    <s v="&lt;null&gt;"/>
    <s v="&lt;null&gt;"/>
    <s v="&lt;null&gt;"/>
    <s v="&lt;null&gt;"/>
    <m/>
    <m/>
    <m/>
  </r>
  <r>
    <x v="18"/>
    <x v="18"/>
    <s v="&lt;null&gt;"/>
    <x v="3"/>
    <n v="1892"/>
    <s v="IN/001507"/>
    <s v="N60 Bouwen Fietsbrug thv kruispunt N457 Schorissew"/>
    <s v="&lt;null&gt;"/>
    <s v="Structurele Ingreep"/>
    <s v="WOV/INV/N60/2"/>
    <b v="0"/>
    <s v="Ingreep wordt niet opgevolgd in BOD"/>
    <s v="&lt;null&gt;"/>
    <s v="&lt;null&gt;"/>
    <s v="&lt;null&gt;"/>
    <s v="&lt;null&gt;"/>
    <m/>
    <m/>
    <m/>
  </r>
  <r>
    <x v="18"/>
    <x v="18"/>
    <s v="&lt;null&gt;"/>
    <x v="3"/>
    <n v="1893"/>
    <s v="IN/001508"/>
    <s v="N21 Kampenhout: Carpoolparking F1"/>
    <s v="&lt;null&gt;"/>
    <s v="Structurele Ingreep"/>
    <s v="WVB/INV/N21/4"/>
    <b v="0"/>
    <s v="Ingreep wordt niet opgevolgd in BOD"/>
    <s v="&lt;null&gt;"/>
    <s v="&lt;null&gt;"/>
    <s v="&lt;null&gt;"/>
    <s v="&lt;null&gt;"/>
    <m/>
    <m/>
    <m/>
  </r>
  <r>
    <x v="18"/>
    <x v="18"/>
    <s v="&lt;null&gt;"/>
    <x v="3"/>
    <n v="1894"/>
    <s v="IN/001509"/>
    <s v="N454 Zwalm Rotonde N415 Den Os"/>
    <s v="&lt;null&gt;"/>
    <s v="Structurele Ingreep"/>
    <s v="WOV/INV/N454/2"/>
    <b v="0"/>
    <s v="Ingreep wordt niet opgevolgd in BOD"/>
    <s v="&lt;null&gt;"/>
    <s v="&lt;null&gt;"/>
    <s v="&lt;null&gt;"/>
    <s v="&lt;null&gt;"/>
    <m/>
    <m/>
    <m/>
  </r>
  <r>
    <x v="18"/>
    <x v="18"/>
    <s v="&lt;null&gt;"/>
    <x v="3"/>
    <n v="1895"/>
    <s v="IN/001510"/>
    <s v="N46 Zottegem/Velzeke Herinrichting Provinciebaan"/>
    <s v="&lt;null&gt;"/>
    <s v="Structurele Ingreep"/>
    <s v="WOV/INV/N46/3"/>
    <b v="0"/>
    <s v="Ingreep wordt niet opgevolgd in BOD"/>
    <s v="&lt;null&gt;"/>
    <s v="&lt;null&gt;"/>
    <s v="&lt;null&gt;"/>
    <s v="&lt;null&gt;"/>
    <m/>
    <m/>
    <m/>
  </r>
  <r>
    <x v="1281"/>
    <x v="1281"/>
    <s v="Verkeersveiligheid"/>
    <x v="4"/>
    <n v="1896"/>
    <s v="IN/001511"/>
    <s v="N437 Kruisem/Nazareth heraanleg met fietspaden"/>
    <s v="&lt;null&gt;"/>
    <s v="Structurele Ingreep"/>
    <s v="WOV/INV/N437/2"/>
    <b v="0"/>
    <s v="Ingreep wordt niet opgevolgd in BOD"/>
    <s v="&lt;null&gt;"/>
    <s v="&lt;null&gt;"/>
    <s v="&lt;null&gt;"/>
    <s v="&lt;null&gt;"/>
    <n v="10"/>
    <m/>
    <m/>
  </r>
  <r>
    <x v="18"/>
    <x v="18"/>
    <s v="&lt;null&gt;"/>
    <x v="3"/>
    <n v="1897"/>
    <s v="IN/001512"/>
    <s v="N435 Kruisem Zingem herinrichting spoorovergang SO"/>
    <s v="&lt;null&gt;"/>
    <s v="Structurele Ingreep"/>
    <s v="WOV/INV/N435/1"/>
    <b v="0"/>
    <s v="Ingreep wordt niet opgevolgd in BOD"/>
    <s v="&lt;null&gt;"/>
    <s v="&lt;null&gt;"/>
    <s v="&lt;null&gt;"/>
    <s v="&lt;null&gt;"/>
    <m/>
    <m/>
    <m/>
  </r>
  <r>
    <x v="18"/>
    <x v="18"/>
    <s v="&lt;null&gt;"/>
    <x v="3"/>
    <n v="1898"/>
    <s v="IN/001513"/>
    <s v="N494 Heraanleg Deinsesteenweg met fietspaden"/>
    <s v="&lt;null&gt;"/>
    <s v="Structurele Ingreep"/>
    <s v="WOV/INV/N494/1"/>
    <b v="0"/>
    <s v="Ingreep wordt niet opgevolgd in BOD"/>
    <s v="&lt;null&gt;"/>
    <s v="&lt;null&gt;"/>
    <s v="&lt;null&gt;"/>
    <s v="&lt;null&gt;"/>
    <m/>
    <m/>
    <m/>
  </r>
  <r>
    <x v="18"/>
    <x v="18"/>
    <s v="&lt;null&gt;"/>
    <x v="3"/>
    <n v="1899"/>
    <s v="IN/001514"/>
    <s v="N435 Kruisem aanleg missinglink fietspaden"/>
    <s v="&lt;null&gt;"/>
    <s v="Structurele Ingreep"/>
    <s v="WOV/INV/N435/2"/>
    <b v="0"/>
    <s v="Ingreep wordt niet opgevolgd in BOD"/>
    <s v="&lt;null&gt;"/>
    <s v="&lt;null&gt;"/>
    <s v="&lt;null&gt;"/>
    <s v="&lt;null&gt;"/>
    <m/>
    <m/>
    <m/>
  </r>
  <r>
    <x v="18"/>
    <x v="18"/>
    <s v="&lt;null&gt;"/>
    <x v="3"/>
    <n v="1900"/>
    <s v="IN/001515"/>
    <s v="N454 RonseMaarkedal heraanleg SavooistrNitterveld"/>
    <s v="&lt;null&gt;"/>
    <s v="Structurele Ingreep"/>
    <s v="WOV/INV/N454/3"/>
    <b v="0"/>
    <s v="Ingreep wordt niet opgevolgd in BOD"/>
    <s v="&lt;null&gt;"/>
    <s v="&lt;null&gt;"/>
    <s v="&lt;null&gt;"/>
    <s v="&lt;null&gt;"/>
    <m/>
    <m/>
    <m/>
  </r>
  <r>
    <x v="18"/>
    <x v="18"/>
    <s v="&lt;null&gt;"/>
    <x v="3"/>
    <n v="1901"/>
    <s v="IN/001516"/>
    <s v="N425 Ronse Kluisbergen fietspadenprojectZandstraat"/>
    <s v="&lt;null&gt;"/>
    <s v="Structurele Ingreep"/>
    <s v="WOV/INV/N425/1"/>
    <b v="0"/>
    <s v="Ingreep wordt niet opgevolgd in BOD"/>
    <s v="&lt;null&gt;"/>
    <s v="&lt;null&gt;"/>
    <s v="&lt;null&gt;"/>
    <s v="&lt;null&gt;"/>
    <m/>
    <m/>
    <m/>
  </r>
  <r>
    <x v="18"/>
    <x v="18"/>
    <s v="&lt;null&gt;"/>
    <x v="3"/>
    <n v="1902"/>
    <s v="IN/001517"/>
    <s v="N425 RonseMaarkedal Ommegangsstraat heraanleg"/>
    <s v="&lt;null&gt;"/>
    <s v="Structurele Ingreep"/>
    <s v="WOV/INV/N425/2"/>
    <b v="0"/>
    <s v="Ingreep wordt niet opgevolgd in BOD"/>
    <s v="&lt;null&gt;"/>
    <s v="&lt;null&gt;"/>
    <s v="&lt;null&gt;"/>
    <s v="&lt;null&gt;"/>
    <m/>
    <m/>
    <m/>
  </r>
  <r>
    <x v="18"/>
    <x v="18"/>
    <s v="&lt;null&gt;"/>
    <x v="3"/>
    <n v="1903"/>
    <s v="IN/001518"/>
    <s v="N454 RonseMaarkedal LouiseMarieKoekamer heraanleg"/>
    <s v="&lt;null&gt;"/>
    <s v="Structurele Ingreep"/>
    <s v="WOV/INV/N454/4"/>
    <b v="0"/>
    <s v="Ingreep wordt niet opgevolgd in BOD"/>
    <s v="&lt;null&gt;"/>
    <s v="&lt;null&gt;"/>
    <s v="&lt;null&gt;"/>
    <s v="&lt;null&gt;"/>
    <m/>
    <m/>
    <m/>
  </r>
  <r>
    <x v="18"/>
    <x v="18"/>
    <s v="&lt;null&gt;"/>
    <x v="3"/>
    <n v="1904"/>
    <s v="IN/001519"/>
    <s v="N437 WaregemKruisem herinrichting Waregemsstwg"/>
    <s v="&lt;null&gt;"/>
    <s v="Structurele Ingreep"/>
    <s v="WOV/INV/N437/5"/>
    <b v="0"/>
    <s v="Ingreep wordt niet opgevolgd in BOD"/>
    <s v="&lt;null&gt;"/>
    <s v="&lt;null&gt;"/>
    <s v="&lt;null&gt;"/>
    <s v="&lt;null&gt;"/>
    <m/>
    <m/>
    <m/>
  </r>
  <r>
    <x v="18"/>
    <x v="18"/>
    <s v="&lt;null&gt;"/>
    <x v="3"/>
    <n v="1905"/>
    <s v="IN/001520"/>
    <s v="N60 Oudenaarde renovatie 4onderbruggen"/>
    <s v="&lt;null&gt;"/>
    <s v="Structurele Ingreep"/>
    <s v="WOV/INV/N60/7"/>
    <b v="0"/>
    <s v="Ingreep wordt niet opgevolgd in BOD"/>
    <s v="&lt;null&gt;"/>
    <s v="&lt;null&gt;"/>
    <s v="&lt;null&gt;"/>
    <s v="&lt;null&gt;"/>
    <m/>
    <m/>
    <m/>
  </r>
  <r>
    <x v="18"/>
    <x v="18"/>
    <s v="&lt;null&gt;"/>
    <x v="3"/>
    <n v="1906"/>
    <s v="IN/001521"/>
    <s v="N409 Deinze Herinrichting Vinktstraat"/>
    <s v="&lt;null&gt;"/>
    <s v="Structurele Ingreep"/>
    <s v="WOV/INV/N409/1"/>
    <b v="0"/>
    <s v="Ingreep wordt niet opgevolgd in BOD"/>
    <s v="&lt;null&gt;"/>
    <s v="&lt;null&gt;"/>
    <s v="&lt;null&gt;"/>
    <s v="&lt;null&gt;"/>
    <m/>
    <m/>
    <m/>
  </r>
  <r>
    <x v="18"/>
    <x v="18"/>
    <s v="&lt;null&gt;"/>
    <x v="3"/>
    <n v="1907"/>
    <s v="IN/001522"/>
    <s v="N441 Oudenaarde Holleweg"/>
    <s v="&lt;null&gt;"/>
    <s v="Structurele Ingreep"/>
    <s v="WOV/INV/N441/3"/>
    <b v="0"/>
    <s v="Ingreep wordt niet opgevolgd in BOD"/>
    <s v="&lt;null&gt;"/>
    <s v="&lt;null&gt;"/>
    <s v="&lt;null&gt;"/>
    <s v="&lt;null&gt;"/>
    <m/>
    <m/>
    <m/>
  </r>
  <r>
    <x v="18"/>
    <x v="18"/>
    <s v="&lt;null&gt;"/>
    <x v="3"/>
    <n v="1908"/>
    <s v="IN/001523"/>
    <s v="N462 Brakel Kasteeldreef fietspadenproject"/>
    <s v="&lt;null&gt;"/>
    <s v="Structurele Ingreep"/>
    <s v="WOV/INV/N462/2"/>
    <b v="0"/>
    <s v="Ingreep wordt niet opgevolgd in BOD"/>
    <s v="&lt;null&gt;"/>
    <s v="&lt;null&gt;"/>
    <s v="&lt;null&gt;"/>
    <s v="&lt;null&gt;"/>
    <m/>
    <m/>
    <m/>
  </r>
  <r>
    <x v="18"/>
    <x v="18"/>
    <s v="&lt;null&gt;"/>
    <x v="3"/>
    <n v="1909"/>
    <s v="IN/001524"/>
    <s v="N454 Zwalm Herinrichting Boekelbaan"/>
    <s v="&lt;null&gt;"/>
    <s v="Structurele Ingreep"/>
    <s v="WOV/INV/N454/5"/>
    <b v="0"/>
    <s v="Ingreep wordt niet opgevolgd in BOD"/>
    <s v="&lt;null&gt;"/>
    <s v="&lt;null&gt;"/>
    <s v="&lt;null&gt;"/>
    <s v="&lt;null&gt;"/>
    <m/>
    <m/>
    <m/>
  </r>
  <r>
    <x v="18"/>
    <x v="18"/>
    <s v="&lt;null&gt;"/>
    <x v="3"/>
    <n v="1910"/>
    <s v="IN/001525"/>
    <s v="N8 Oudenaarde Horebeke Herinrichting  N454"/>
    <s v="&lt;null&gt;"/>
    <s v="Structurele Ingreep"/>
    <s v="WOV/INV/N8/7"/>
    <b v="0"/>
    <s v="Ingreep wordt niet opgevolgd in BOD"/>
    <s v="&lt;null&gt;"/>
    <s v="&lt;null&gt;"/>
    <s v="&lt;null&gt;"/>
    <s v="&lt;null&gt;"/>
    <m/>
    <m/>
    <m/>
  </r>
  <r>
    <x v="1282"/>
    <x v="1282"/>
    <s v="Verkeersveiligheid"/>
    <x v="1"/>
    <n v="1911"/>
    <s v="IN/001526"/>
    <s v="N229 tussen rondpunt en E314 Rotselaar/leuven"/>
    <s v="Volledige herinrichting van het wegvak"/>
    <s v="Structurele Ingreep"/>
    <s v="WVB/INV/N229/1"/>
    <b v="0"/>
    <s v="Ingreep wordt niet opgevolgd in BOD"/>
    <s v="&lt;null&gt;"/>
    <s v="&lt;null&gt;"/>
    <s v="&lt;null&gt;"/>
    <s v="&lt;null&gt;"/>
    <n v="10"/>
    <m/>
    <m/>
  </r>
  <r>
    <x v="18"/>
    <x v="18"/>
    <s v="&lt;null&gt;"/>
    <x v="3"/>
    <n v="1912"/>
    <s v="IN/001527"/>
    <s v="N10/34 vernieuwing toplaag rijweg en fietspad"/>
    <s v="Plaatsing bestrijking en/of slemlaag + verbetering comfort fietspaden"/>
    <s v="Structurele Ingreep"/>
    <s v="WVB/INV/N10/1"/>
    <b v="0"/>
    <s v="Ingreep wordt niet opgevolgd in BOD"/>
    <s v="&lt;null&gt;"/>
    <s v="&lt;null&gt;"/>
    <s v="&lt;null&gt;"/>
    <s v="&lt;null&gt;"/>
    <m/>
    <m/>
    <m/>
  </r>
  <r>
    <x v="18"/>
    <x v="18"/>
    <s v="&lt;null&gt;"/>
    <x v="3"/>
    <n v="1913"/>
    <s v="IN/001528"/>
    <s v="N19 Rotselaar: Doortocht Wezemaal"/>
    <s v="Volledige herinrichting van het wegvak"/>
    <s v="Structurele Ingreep"/>
    <s v="WVB/INV/N19/1"/>
    <b v="0"/>
    <s v="Ingreep wordt niet opgevolgd in BOD"/>
    <s v="&lt;null&gt;"/>
    <s v="&lt;null&gt;"/>
    <s v="&lt;null&gt;"/>
    <s v="&lt;null&gt;"/>
    <m/>
    <m/>
    <m/>
  </r>
  <r>
    <x v="18"/>
    <x v="18"/>
    <s v="&lt;null&gt;"/>
    <x v="3"/>
    <n v="1914"/>
    <s v="IN/001529"/>
    <s v="N26 Herent: Mechelsestwg F2b - KMO-zone Hambos"/>
    <s v="Herinrichting  gewestweg (incl. aanleg nieuwe aansluiting Molenweg)"/>
    <s v="Structurele Ingreep"/>
    <s v="WVB/INV/N26/1"/>
    <b v="0"/>
    <s v="Ingreep wordt niet opgevolgd in BOD"/>
    <s v="&lt;null&gt;"/>
    <s v="&lt;null&gt;"/>
    <s v="&lt;null&gt;"/>
    <s v="&lt;null&gt;"/>
    <m/>
    <m/>
    <m/>
  </r>
  <r>
    <x v="18"/>
    <x v="18"/>
    <s v="&lt;null&gt;"/>
    <x v="3"/>
    <n v="1915"/>
    <s v="IN/001530"/>
    <s v="N3 Tervuren: Herinrichting Leuvensesteenweg"/>
    <s v="Volledige herinrichting wegvak"/>
    <s v="Structurele Ingreep"/>
    <s v="WVB/INV/N3/1"/>
    <b v="0"/>
    <s v="Ingreep wordt niet opgevolgd in BOD"/>
    <s v="&lt;null&gt;"/>
    <s v="&lt;null&gt;"/>
    <s v="&lt;null&gt;"/>
    <s v="&lt;null&gt;"/>
    <m/>
    <m/>
    <m/>
  </r>
  <r>
    <x v="18"/>
    <x v="18"/>
    <s v="&lt;null&gt;"/>
    <x v="3"/>
    <n v="1916"/>
    <s v="IN/001531"/>
    <s v="N229 Rotselaar: Doortocht Rotselaar"/>
    <s v="Volledige herinrichting van het wegvak"/>
    <s v="Structurele Ingreep"/>
    <s v="WVB/INV/N229/2"/>
    <b v="0"/>
    <s v="Ingreep wordt niet opgevolgd in BOD"/>
    <s v="&lt;null&gt;"/>
    <s v="&lt;null&gt;"/>
    <s v="&lt;null&gt;"/>
    <s v="&lt;null&gt;"/>
    <m/>
    <m/>
    <m/>
  </r>
  <r>
    <x v="1283"/>
    <x v="1283"/>
    <s v="Verkeersveiligheid"/>
    <x v="4"/>
    <n v="1917"/>
    <s v="IN/001532"/>
    <s v="X21/N026/16"/>
    <s v="Volledige herinrichting van het wegvak"/>
    <s v="Structurele Ingreep"/>
    <s v="WVB/INV/N26/2"/>
    <b v="0"/>
    <s v="Ingreep wordt niet opgevolgd in BOD"/>
    <s v="&lt;null&gt;"/>
    <s v="&lt;null&gt;"/>
    <s v="&lt;null&gt;"/>
    <s v="&lt;null&gt;"/>
    <n v="100"/>
    <m/>
    <m/>
  </r>
  <r>
    <x v="18"/>
    <x v="18"/>
    <s v="&lt;null&gt;"/>
    <x v="3"/>
    <n v="1918"/>
    <s v="IN/001533"/>
    <s v="X21/N003/43 fietspaden Lovenjoel - Boutersem"/>
    <s v="Herinrichting volledig wegvak"/>
    <s v="Structurele Ingreep"/>
    <s v="WVB/INV/N3/5"/>
    <b v="0"/>
    <s v="Ingreep wordt niet opgevolgd in BOD"/>
    <s v="&lt;null&gt;"/>
    <s v="&lt;null&gt;"/>
    <s v="&lt;null&gt;"/>
    <s v="&lt;null&gt;"/>
    <m/>
    <m/>
    <m/>
  </r>
  <r>
    <x v="18"/>
    <x v="18"/>
    <s v="&lt;null&gt;"/>
    <x v="3"/>
    <n v="1919"/>
    <s v="IN/001534"/>
    <s v="N016 Puurs complex Puurs"/>
    <s v="&lt;null&gt;"/>
    <s v="Structurele Ingreep"/>
    <s v="WA/INV/N016/3"/>
    <b v="0"/>
    <s v="Ingreep wordt niet opgevolgd in BOD"/>
    <s v="&lt;null&gt;"/>
    <s v="&lt;null&gt;"/>
    <s v="&lt;null&gt;"/>
    <s v="&lt;null&gt;"/>
    <m/>
    <m/>
    <m/>
  </r>
  <r>
    <x v="18"/>
    <x v="18"/>
    <s v="&lt;null&gt;"/>
    <x v="3"/>
    <n v="1920"/>
    <s v="IN/001535"/>
    <s v="N016 - Herinrichting kruispunt Blaasveldstraat - T"/>
    <s v="&lt;null&gt;"/>
    <s v="Structurele Ingreep"/>
    <s v="WA/INV/N016/5"/>
    <b v="0"/>
    <s v="Ingreep wordt niet opgevolgd in BOD"/>
    <s v="&lt;null&gt;"/>
    <s v="&lt;null&gt;"/>
    <s v="&lt;null&gt;"/>
    <s v="&lt;null&gt;"/>
    <m/>
    <m/>
    <m/>
  </r>
  <r>
    <x v="1284"/>
    <x v="1284"/>
    <s v="Stimuleren Combimobiliteit"/>
    <x v="7"/>
    <n v="1921"/>
    <s v="IN/001536"/>
    <s v="Relance bushaltes Heverlee De Jacht (907040 en 907041)  Naamsesteenweg (N251) thv Huttelaan"/>
    <s v="Aanpassen kruispunt en bushaltes uitstulpend maken"/>
    <s v="Kleine Ingreep"/>
    <s v="WVB/INV/N251/4"/>
    <b v="1"/>
    <s v="Ingreep wordt opgevolgd in BOD"/>
    <n v="2022"/>
    <s v="Q2"/>
    <s v="OVERIGE"/>
    <s v="&lt;null&gt;"/>
    <n v="100"/>
    <n v="200000"/>
    <n v="200000"/>
  </r>
  <r>
    <x v="18"/>
    <x v="18"/>
    <s v="&lt;null&gt;"/>
    <x v="3"/>
    <n v="1922"/>
    <s v="IN/001537"/>
    <s v="N49 fietstunnel Nonnendijk"/>
    <s v="&lt;null&gt;"/>
    <s v="Structurele Ingreep"/>
    <s v="WWV/INV/A11/2"/>
    <b v="0"/>
    <s v="Ingreep wordt niet opgevolgd in BOD"/>
    <s v="&lt;null&gt;"/>
    <s v="&lt;null&gt;"/>
    <s v="&lt;null&gt;"/>
    <s v="&lt;null&gt;"/>
    <m/>
    <m/>
    <m/>
  </r>
  <r>
    <x v="18"/>
    <x v="18"/>
    <s v="&lt;null&gt;"/>
    <x v="3"/>
    <n v="1923"/>
    <s v="IN/001538"/>
    <s v="N44 Knesselare Knokseweg"/>
    <s v="&lt;null&gt;"/>
    <s v="Structurele Ingreep"/>
    <s v="WOV/INV/N44/1"/>
    <b v="0"/>
    <s v="Ingreep wordt niet opgevolgd in BOD"/>
    <s v="&lt;null&gt;"/>
    <s v="&lt;null&gt;"/>
    <s v="&lt;null&gt;"/>
    <s v="&lt;null&gt;"/>
    <m/>
    <m/>
    <m/>
  </r>
  <r>
    <x v="18"/>
    <x v="18"/>
    <s v="&lt;null&gt;"/>
    <x v="3"/>
    <n v="1924"/>
    <s v="IN/001539"/>
    <s v="N018 Dessel-Retie structureel onderhoud"/>
    <s v="&lt;null&gt;"/>
    <s v="Structurele Ingreep"/>
    <s v="WA/INV/N018/1"/>
    <b v="0"/>
    <s v="Ingreep wordt niet opgevolgd in BOD"/>
    <s v="&lt;null&gt;"/>
    <s v="&lt;null&gt;"/>
    <s v="&lt;null&gt;"/>
    <s v="&lt;null&gt;"/>
    <m/>
    <m/>
    <m/>
  </r>
  <r>
    <x v="18"/>
    <x v="18"/>
    <s v="&lt;null&gt;"/>
    <x v="3"/>
    <n v="1925"/>
    <s v="IN/001540"/>
    <s v="N018 Oud-Turnhout aanleg rotonde krspt N18 en N139"/>
    <s v="&lt;null&gt;"/>
    <s v="Structurele Ingreep"/>
    <s v="WA/INV/N018/2"/>
    <b v="0"/>
    <s v="Ingreep wordt niet opgevolgd in BOD"/>
    <s v="&lt;null&gt;"/>
    <s v="&lt;null&gt;"/>
    <s v="&lt;null&gt;"/>
    <s v="&lt;null&gt;"/>
    <m/>
    <m/>
    <m/>
  </r>
  <r>
    <x v="18"/>
    <x v="18"/>
    <s v="&lt;null&gt;"/>
    <x v="3"/>
    <n v="1926"/>
    <s v="IN/001541"/>
    <s v="N018 Retie-Dessel - SOVI aanleg fietspaden"/>
    <s v="&lt;null&gt;"/>
    <s v="Structurele Ingreep"/>
    <s v="WA/INV/N018/3"/>
    <b v="0"/>
    <s v="Ingreep wordt niet opgevolgd in BOD"/>
    <s v="&lt;null&gt;"/>
    <s v="&lt;null&gt;"/>
    <s v="&lt;null&gt;"/>
    <s v="&lt;null&gt;"/>
    <m/>
    <m/>
    <m/>
  </r>
  <r>
    <x v="18"/>
    <x v="18"/>
    <s v="&lt;null&gt;"/>
    <x v="3"/>
    <n v="1927"/>
    <s v="IN/001542"/>
    <s v="R16 - LIER - Aanleg vrijliggende Fietspaden"/>
    <s v="&lt;null&gt;"/>
    <s v="Structurele Ingreep"/>
    <s v="WA/INV/R16/3"/>
    <b v="0"/>
    <s v="Ingreep wordt niet opgevolgd in BOD"/>
    <s v="&lt;null&gt;"/>
    <s v="&lt;null&gt;"/>
    <s v="&lt;null&gt;"/>
    <s v="&lt;null&gt;"/>
    <m/>
    <m/>
    <m/>
  </r>
  <r>
    <x v="18"/>
    <x v="18"/>
    <s v="&lt;null&gt;"/>
    <x v="3"/>
    <n v="1928"/>
    <s v="IN/001543"/>
    <s v="N116 Nijlen Broechemsesteenweg"/>
    <s v="&lt;null&gt;"/>
    <s v="Structurele Ingreep"/>
    <s v="WA/INV/N116/3"/>
    <b v="0"/>
    <s v="Ingreep wordt niet opgevolgd in BOD"/>
    <s v="&lt;null&gt;"/>
    <s v="&lt;null&gt;"/>
    <s v="&lt;null&gt;"/>
    <s v="&lt;null&gt;"/>
    <m/>
    <m/>
    <m/>
  </r>
  <r>
    <x v="18"/>
    <x v="18"/>
    <s v="&lt;null&gt;"/>
    <x v="3"/>
    <n v="1929"/>
    <s v="IN/001544"/>
    <s v="N118/12 Arendonk-Retie ontdubbeling fietspad"/>
    <s v="&lt;null&gt;"/>
    <s v="Structurele Ingreep"/>
    <s v="WA/INV/N118/1"/>
    <b v="0"/>
    <s v="Ingreep wordt niet opgevolgd in BOD"/>
    <s v="&lt;null&gt;"/>
    <s v="&lt;null&gt;"/>
    <s v="&lt;null&gt;"/>
    <s v="&lt;null&gt;"/>
    <m/>
    <m/>
    <m/>
  </r>
  <r>
    <x v="18"/>
    <x v="18"/>
    <s v="&lt;null&gt;"/>
    <x v="3"/>
    <n v="1930"/>
    <s v="IN/001545"/>
    <s v="N118/19 Ravels - Eel MOD13"/>
    <s v="&lt;null&gt;"/>
    <s v="Structurele Ingreep"/>
    <s v="WA/INV/N118/2"/>
    <b v="0"/>
    <s v="Ingreep wordt niet opgevolgd in BOD"/>
    <s v="&lt;null&gt;"/>
    <s v="&lt;null&gt;"/>
    <s v="&lt;null&gt;"/>
    <s v="&lt;null&gt;"/>
    <m/>
    <m/>
    <m/>
  </r>
  <r>
    <x v="18"/>
    <x v="18"/>
    <s v="&lt;null&gt;"/>
    <x v="3"/>
    <n v="1931"/>
    <s v="IN/001546"/>
    <s v="N118 Arendonk-Retie vernieuwen toplaag"/>
    <s v="&lt;null&gt;"/>
    <s v="Structurele Ingreep"/>
    <s v="WA/INV/N118/3"/>
    <b v="0"/>
    <s v="Ingreep wordt niet opgevolgd in BOD"/>
    <s v="&lt;null&gt;"/>
    <s v="&lt;null&gt;"/>
    <s v="&lt;null&gt;"/>
    <s v="&lt;null&gt;"/>
    <m/>
    <m/>
    <m/>
  </r>
  <r>
    <x v="18"/>
    <x v="18"/>
    <s v="&lt;null&gt;"/>
    <x v="3"/>
    <n v="1932"/>
    <s v="IN/001547"/>
    <s v="N36 Izegem structureel onderhoud bij relance fiets"/>
    <s v="&lt;null&gt;"/>
    <s v="Structurele Ingreep"/>
    <s v="WWV/INV/N36/13"/>
    <b v="0"/>
    <s v="Ingreep wordt niet opgevolgd in BOD"/>
    <s v="&lt;null&gt;"/>
    <s v="&lt;null&gt;"/>
    <s v="&lt;null&gt;"/>
    <s v="&lt;null&gt;"/>
    <m/>
    <m/>
    <m/>
  </r>
  <r>
    <x v="18"/>
    <x v="18"/>
    <s v="&lt;null&gt;"/>
    <x v="3"/>
    <n v="1933"/>
    <s v="IN/001548"/>
    <s v="N9 Gent  aanpassing trambedding naar busbaan"/>
    <s v="&lt;null&gt;"/>
    <s v="Structurele Ingreep"/>
    <s v="WOV/INV/N9/25"/>
    <b v="0"/>
    <s v="Ingreep wordt niet opgevolgd in BOD"/>
    <n v="2023"/>
    <s v="Q4"/>
    <s v="WEGENIS"/>
    <s v="Werken door De Lijn"/>
    <m/>
    <n v="800000"/>
    <m/>
  </r>
  <r>
    <x v="18"/>
    <x v="18"/>
    <s v="&lt;null&gt;"/>
    <x v="3"/>
    <n v="1934"/>
    <s v="IN/001549"/>
    <s v="A2 verbreding 3e rijstrook MER"/>
    <s v="&lt;null&gt;"/>
    <s v="Structurele Ingreep"/>
    <s v="WL/INV/A2/2"/>
    <b v="0"/>
    <s v="Ingreep wordt niet opgevolgd in BOD"/>
    <s v="&lt;null&gt;"/>
    <s v="&lt;null&gt;"/>
    <s v="&lt;null&gt;"/>
    <s v="&lt;null&gt;"/>
    <m/>
    <m/>
    <m/>
  </r>
  <r>
    <x v="18"/>
    <x v="18"/>
    <s v="&lt;null&gt;"/>
    <x v="3"/>
    <n v="1935"/>
    <s v="IN/001550"/>
    <s v="N115 Merksem Oudebareellei"/>
    <s v="&lt;null&gt;"/>
    <s v="Structurele Ingreep"/>
    <s v="WA/INV/N115/1"/>
    <b v="0"/>
    <s v="Ingreep wordt niet opgevolgd in BOD"/>
    <s v="&lt;null&gt;"/>
    <s v="&lt;null&gt;"/>
    <s v="&lt;null&gt;"/>
    <s v="&lt;null&gt;"/>
    <m/>
    <m/>
    <m/>
  </r>
  <r>
    <x v="18"/>
    <x v="18"/>
    <s v="&lt;null&gt;"/>
    <x v="3"/>
    <n v="1936"/>
    <s v="IN/001551"/>
    <s v="N450 Melsele aanleg fietspaden"/>
    <s v="&lt;null&gt;"/>
    <s v="Structurele Ingreep"/>
    <s v="WA/INV/N450/1"/>
    <b v="0"/>
    <s v="Ingreep wordt niet opgevolgd in BOD"/>
    <s v="&lt;null&gt;"/>
    <s v="&lt;null&gt;"/>
    <s v="&lt;null&gt;"/>
    <s v="&lt;null&gt;"/>
    <m/>
    <m/>
    <m/>
  </r>
  <r>
    <x v="18"/>
    <x v="18"/>
    <s v="&lt;null&gt;"/>
    <x v="3"/>
    <n v="1940"/>
    <s v="IN/001555"/>
    <s v="R10 Antwerpen Borsbeeksebrug"/>
    <s v="&lt;null&gt;"/>
    <s v="Structurele Ingreep"/>
    <s v="WA/INV/R10/2"/>
    <b v="0"/>
    <s v="Ingreep wordt niet opgevolgd in BOD"/>
    <s v="&lt;null&gt;"/>
    <s v="&lt;null&gt;"/>
    <s v="&lt;null&gt;"/>
    <s v="&lt;null&gt;"/>
    <m/>
    <m/>
    <m/>
  </r>
  <r>
    <x v="1285"/>
    <x v="1285"/>
    <s v="Stimuleren Combimobiliteit"/>
    <x v="2"/>
    <n v="1941"/>
    <s v="IN/001556"/>
    <s v="N114 Hoevenen Ekeren Doortocht Heraanleg"/>
    <s v="&lt;null&gt;"/>
    <s v="Structurele Ingreep"/>
    <s v="WA/INV/N114/1"/>
    <b v="0"/>
    <s v="Ingreep wordt niet opgevolgd in BOD"/>
    <s v="&lt;null&gt;"/>
    <s v="&lt;null&gt;"/>
    <s v="&lt;null&gt;"/>
    <s v="&lt;null&gt;"/>
    <n v="50"/>
    <m/>
    <m/>
  </r>
  <r>
    <x v="1286"/>
    <x v="1286"/>
    <s v="Stimuleren Combimobiliteit"/>
    <x v="2"/>
    <n v="1941"/>
    <s v="IN/001556"/>
    <s v="N114 Hoevenen Ekeren Doortocht Heraanleg"/>
    <s v="&lt;null&gt;"/>
    <s v="Structurele Ingreep"/>
    <s v="WA/INV/N114/1"/>
    <b v="0"/>
    <s v="Ingreep wordt niet opgevolgd in BOD"/>
    <s v="&lt;null&gt;"/>
    <s v="&lt;null&gt;"/>
    <s v="&lt;null&gt;"/>
    <s v="&lt;null&gt;"/>
    <n v="50"/>
    <m/>
    <m/>
  </r>
  <r>
    <x v="18"/>
    <x v="18"/>
    <s v="&lt;null&gt;"/>
    <x v="3"/>
    <n v="1942"/>
    <s v="IN/001557"/>
    <s v="R10 N150 Antwerpen Herinrichting Le Grellelaan"/>
    <s v="&lt;null&gt;"/>
    <s v="Structurele Ingreep"/>
    <s v="WA/INV/R10/3"/>
    <b v="0"/>
    <s v="Ingreep wordt niet opgevolgd in BOD"/>
    <s v="&lt;null&gt;"/>
    <s v="&lt;null&gt;"/>
    <s v="&lt;null&gt;"/>
    <s v="&lt;null&gt;"/>
    <m/>
    <m/>
    <m/>
  </r>
  <r>
    <x v="18"/>
    <x v="18"/>
    <s v="&lt;null&gt;"/>
    <x v="3"/>
    <n v="1943"/>
    <s v="IN/001558"/>
    <s v="N70 Melsele doortocht"/>
    <s v="&lt;null&gt;"/>
    <s v="Structurele Ingreep"/>
    <s v="WA/INV/N70/1"/>
    <b v="0"/>
    <s v="Ingreep wordt niet opgevolgd in BOD"/>
    <s v="&lt;null&gt;"/>
    <s v="&lt;null&gt;"/>
    <s v="&lt;null&gt;"/>
    <s v="&lt;null&gt;"/>
    <m/>
    <m/>
    <m/>
  </r>
  <r>
    <x v="18"/>
    <x v="18"/>
    <s v="&lt;null&gt;"/>
    <x v="3"/>
    <n v="1944"/>
    <s v="IN/001559"/>
    <s v="R1 Antwerpen NGCS"/>
    <s v="&lt;null&gt;"/>
    <s v="Structurele Ingreep"/>
    <s v="WA/INV/R1/5"/>
    <b v="0"/>
    <s v="Ingreep wordt niet opgevolgd in BOD"/>
    <s v="&lt;null&gt;"/>
    <s v="&lt;null&gt;"/>
    <s v="&lt;null&gt;"/>
    <s v="&lt;null&gt;"/>
    <m/>
    <m/>
    <m/>
  </r>
  <r>
    <x v="18"/>
    <x v="18"/>
    <s v="&lt;null&gt;"/>
    <x v="3"/>
    <n v="1945"/>
    <s v="IN/001560"/>
    <s v="N101 Herstelling aanloophelling Straatsburgbrug"/>
    <s v="&lt;null&gt;"/>
    <s v="Structurele Ingreep"/>
    <s v="WA/INV/N101/4"/>
    <b v="0"/>
    <s v="Ingreep wordt niet opgevolgd in BOD"/>
    <s v="&lt;null&gt;"/>
    <s v="&lt;null&gt;"/>
    <s v="&lt;null&gt;"/>
    <s v="&lt;null&gt;"/>
    <m/>
    <m/>
    <m/>
  </r>
  <r>
    <x v="18"/>
    <x v="18"/>
    <s v="&lt;null&gt;"/>
    <x v="3"/>
    <n v="1946"/>
    <s v="IN/001561"/>
    <s v="N12 Antwerpen Fietsstraat"/>
    <s v="&lt;null&gt;"/>
    <s v="Structurele Ingreep"/>
    <s v="WA/INV/N12/16"/>
    <b v="0"/>
    <s v="Ingreep wordt niet opgevolgd in BOD"/>
    <s v="&lt;null&gt;"/>
    <s v="&lt;null&gt;"/>
    <s v="&lt;null&gt;"/>
    <s v="&lt;null&gt;"/>
    <m/>
    <m/>
    <m/>
  </r>
  <r>
    <x v="18"/>
    <x v="18"/>
    <s v="&lt;null&gt;"/>
    <x v="3"/>
    <n v="1947"/>
    <s v="IN/001562"/>
    <s v="N111 Stabroek Fase 2"/>
    <s v="&lt;null&gt;"/>
    <s v="Structurele Ingreep"/>
    <s v="WA/INV/N111/1"/>
    <b v="0"/>
    <s v="Ingreep wordt niet opgevolgd in BOD"/>
    <s v="&lt;null&gt;"/>
    <s v="&lt;null&gt;"/>
    <s v="&lt;null&gt;"/>
    <s v="&lt;null&gt;"/>
    <m/>
    <m/>
    <m/>
  </r>
  <r>
    <x v="18"/>
    <x v="18"/>
    <s v="&lt;null&gt;"/>
    <x v="3"/>
    <n v="1948"/>
    <s v="IN/001563"/>
    <s v="N1 Mortsel Schoolomgeving"/>
    <s v="&lt;null&gt;"/>
    <s v="Structurele Ingreep"/>
    <s v="WA/INV/N1/2"/>
    <b v="0"/>
    <s v="Ingreep wordt niet opgevolgd in BOD"/>
    <s v="&lt;null&gt;"/>
    <s v="&lt;null&gt;"/>
    <s v="&lt;null&gt;"/>
    <s v="&lt;null&gt;"/>
    <m/>
    <m/>
    <m/>
  </r>
  <r>
    <x v="1287"/>
    <x v="1287"/>
    <s v="Verkeersveiligheid"/>
    <x v="1"/>
    <n v="1949"/>
    <s v="IN/001564"/>
    <s v="Uitvoering PCV-beslissing n.a.v. gevaarlijke punten en knelpunt schoolroutes (olv PM Peter Wouters Sweco)"/>
    <s v="Kruispuntaanpassing (fietsinfrastructuur en rijstrookconfiguratie) + slimme lichtenregeling"/>
    <s v="Kleine Ingreep"/>
    <s v="WL/INV/N712/13"/>
    <b v="0"/>
    <s v="Ingreep wordt niet opgevolgd in BOD"/>
    <n v="2023"/>
    <s v="Q2"/>
    <s v="WEGENIS"/>
    <s v="&lt;null&gt;"/>
    <n v="100"/>
    <n v="30000"/>
    <n v="30000"/>
  </r>
  <r>
    <x v="1288"/>
    <x v="1288"/>
    <s v="Verkeersveiligheid"/>
    <x v="4"/>
    <n v="1949"/>
    <s v="IN/001564"/>
    <s v="Uitvoering PCV-beslissing n.a.v. gevaarlijke punten en knelpunt schoolroutes (olv PM Peter Wouters Sweco)"/>
    <s v="Kruispuntaanpassing (fietsinfrastructuur en rijstrookconfiguratie) + slimme lichtenregeling"/>
    <s v="Kleine Ingreep"/>
    <s v="WL/INV/N712/13"/>
    <b v="0"/>
    <s v="Ingreep wordt niet opgevolgd in BOD"/>
    <n v="2023"/>
    <s v="Q2"/>
    <s v="WEGENIS"/>
    <s v="&lt;null&gt;"/>
    <n v="0"/>
    <n v="30000"/>
    <n v="0"/>
  </r>
  <r>
    <x v="18"/>
    <x v="18"/>
    <s v="&lt;null&gt;"/>
    <x v="3"/>
    <n v="1950"/>
    <s v="IN/001565"/>
    <s v="R11 Wilrijk Jules Moretuslei"/>
    <s v="&lt;null&gt;"/>
    <s v="Structurele Ingreep"/>
    <s v="WA/INV/R11/4"/>
    <b v="0"/>
    <s v="Ingreep wordt niet opgevolgd in BOD"/>
    <s v="&lt;null&gt;"/>
    <s v="&lt;null&gt;"/>
    <s v="&lt;null&gt;"/>
    <s v="&lt;null&gt;"/>
    <m/>
    <m/>
    <m/>
  </r>
  <r>
    <x v="1289"/>
    <x v="1289"/>
    <s v="Verkeersveiligheid"/>
    <x v="1"/>
    <n v="1951"/>
    <s v="IN/001566"/>
    <s v="Verlengen linksafslagstrook"/>
    <s v="&lt;null&gt;"/>
    <s v="Kleine Ingreep"/>
    <s v="&lt;null&gt;"/>
    <b v="0"/>
    <s v="Ingreep wordt niet opgevolgd in BOD"/>
    <s v="&lt;null&gt;"/>
    <s v="&lt;null&gt;"/>
    <s v="&lt;null&gt;"/>
    <s v="&lt;null&gt;"/>
    <n v="100"/>
    <m/>
    <m/>
  </r>
  <r>
    <x v="18"/>
    <x v="18"/>
    <s v="&lt;null&gt;"/>
    <x v="3"/>
    <n v="1952"/>
    <s v="IN/001567"/>
    <s v="N177 Wilrijk herstellen of vervangen riolering"/>
    <s v="&lt;null&gt;"/>
    <s v="Structurele Ingreep"/>
    <s v="WA/INV/N177/2"/>
    <b v="0"/>
    <s v="Ingreep wordt niet opgevolgd in BOD"/>
    <s v="&lt;null&gt;"/>
    <s v="&lt;null&gt;"/>
    <s v="&lt;null&gt;"/>
    <s v="&lt;null&gt;"/>
    <m/>
    <m/>
    <m/>
  </r>
  <r>
    <x v="1289"/>
    <x v="1289"/>
    <s v="Verkeersveiligheid"/>
    <x v="1"/>
    <n v="1953"/>
    <s v="IN/001568"/>
    <s v="structurele oplossing: herinrichting doortocht Kortessem"/>
    <s v="&lt;null&gt;"/>
    <s v="Kleine Ingreep"/>
    <s v="&lt;null&gt;"/>
    <b v="0"/>
    <s v="Ingreep wordt niet opgevolgd in BOD"/>
    <s v="&lt;null&gt;"/>
    <s v="&lt;null&gt;"/>
    <s v="&lt;null&gt;"/>
    <s v="&lt;null&gt;"/>
    <n v="100"/>
    <m/>
    <m/>
  </r>
  <r>
    <x v="1290"/>
    <x v="1290"/>
    <s v="Verkeersveiligheid"/>
    <x v="1"/>
    <n v="1954"/>
    <s v="IN/001569"/>
    <s v="Aanpassing vangrails"/>
    <s v="&lt;null&gt;"/>
    <s v="Kleine Ingreep"/>
    <s v="WL/INV/N715/9"/>
    <b v="0"/>
    <s v="Ingreep wordt niet opgevolgd in BOD"/>
    <n v="2022"/>
    <s v="Q1"/>
    <s v="WEGENIS"/>
    <s v="&lt;null&gt;"/>
    <n v="100"/>
    <n v="1"/>
    <n v="1"/>
  </r>
  <r>
    <x v="18"/>
    <x v="18"/>
    <s v="&lt;null&gt;"/>
    <x v="3"/>
    <n v="1955"/>
    <s v="IN/001570"/>
    <s v="N173 Berchem Floraliënlaan"/>
    <s v="&lt;null&gt;"/>
    <s v="Structurele Ingreep"/>
    <s v="WA/INV/N173/1"/>
    <b v="0"/>
    <s v="Ingreep wordt niet opgevolgd in BOD"/>
    <s v="&lt;null&gt;"/>
    <s v="&lt;null&gt;"/>
    <s v="&lt;null&gt;"/>
    <s v="&lt;null&gt;"/>
    <m/>
    <m/>
    <m/>
  </r>
  <r>
    <x v="18"/>
    <x v="18"/>
    <s v="&lt;null&gt;"/>
    <x v="3"/>
    <n v="1956"/>
    <s v="IN/001571"/>
    <s v="N3/45 herinrichting noordelijke Tiense vesten"/>
    <s v="Volledige herinrichting wegvak"/>
    <s v="Structurele Ingreep"/>
    <s v="&lt;null&gt;"/>
    <b v="0"/>
    <s v="Ingreep wordt niet opgevolgd in BOD"/>
    <s v="&lt;null&gt;"/>
    <s v="&lt;null&gt;"/>
    <s v="&lt;null&gt;"/>
    <s v="&lt;null&gt;"/>
    <m/>
    <m/>
    <m/>
  </r>
  <r>
    <x v="248"/>
    <x v="248"/>
    <s v="Verkeersveiligheid"/>
    <x v="1"/>
    <n v="1957"/>
    <s v="IN/001572"/>
    <s v="N116 Antwerpen heraanleg Boterlaanbaan"/>
    <s v="&lt;null&gt;"/>
    <s v="Structurele Ingreep"/>
    <s v="WA/INV/N116/4"/>
    <b v="0"/>
    <s v="Ingreep wordt niet opgevolgd in BOD"/>
    <s v="&lt;null&gt;"/>
    <s v="&lt;null&gt;"/>
    <s v="&lt;null&gt;"/>
    <s v="&lt;null&gt;"/>
    <n v="0"/>
    <m/>
    <m/>
  </r>
  <r>
    <x v="1291"/>
    <x v="1291"/>
    <s v="Stimuleren Combimobiliteit"/>
    <x v="2"/>
    <n v="1957"/>
    <s v="IN/001572"/>
    <s v="N116 Antwerpen heraanleg Boterlaanbaan"/>
    <s v="&lt;null&gt;"/>
    <s v="Structurele Ingreep"/>
    <s v="WA/INV/N116/4"/>
    <b v="0"/>
    <s v="Ingreep wordt niet opgevolgd in BOD"/>
    <s v="&lt;null&gt;"/>
    <s v="&lt;null&gt;"/>
    <s v="&lt;null&gt;"/>
    <s v="&lt;null&gt;"/>
    <n v="0"/>
    <m/>
    <m/>
  </r>
  <r>
    <x v="18"/>
    <x v="18"/>
    <s v="&lt;null&gt;"/>
    <x v="3"/>
    <n v="1958"/>
    <s v="IN/001573"/>
    <s v="R43 Eeklo fase 2 Fietstunnel Raverschootstraat"/>
    <s v="&lt;null&gt;"/>
    <s v="Structurele Ingreep"/>
    <s v="WOV/INV/R43/2"/>
    <b v="0"/>
    <s v="Ingreep wordt niet opgevolgd in BOD"/>
    <s v="&lt;null&gt;"/>
    <s v="&lt;null&gt;"/>
    <s v="&lt;null&gt;"/>
    <s v="&lt;null&gt;"/>
    <m/>
    <m/>
    <m/>
  </r>
  <r>
    <x v="18"/>
    <x v="18"/>
    <s v="&lt;null&gt;"/>
    <x v="3"/>
    <n v="1959"/>
    <s v="IN/001574"/>
    <s v="N757 Kinrooi Maaseik: veiligheidsingrepen"/>
    <s v="&lt;null&gt;"/>
    <s v="Structurele Ingreep"/>
    <s v="WL/INV/N757/1"/>
    <b v="0"/>
    <s v="Ingreep wordt niet opgevolgd in BOD"/>
    <s v="&lt;null&gt;"/>
    <s v="&lt;null&gt;"/>
    <s v="&lt;null&gt;"/>
    <s v="&lt;null&gt;"/>
    <m/>
    <m/>
    <m/>
  </r>
  <r>
    <x v="18"/>
    <x v="18"/>
    <s v="&lt;null&gt;"/>
    <x v="3"/>
    <n v="1964"/>
    <s v="IN/001579"/>
    <s v="N141 Fietstunnel in FSW"/>
    <s v="&lt;null&gt;"/>
    <s v="Structurele Ingreep"/>
    <s v="WL/INV/N141/5"/>
    <b v="0"/>
    <s v="Ingreep wordt niet opgevolgd in BOD"/>
    <s v="&lt;null&gt;"/>
    <s v="&lt;null&gt;"/>
    <s v="&lt;null&gt;"/>
    <s v="&lt;null&gt;"/>
    <m/>
    <m/>
    <m/>
  </r>
  <r>
    <x v="18"/>
    <x v="18"/>
    <s v="&lt;null&gt;"/>
    <x v="3"/>
    <n v="1965"/>
    <s v="IN/001580"/>
    <s v="N21 - Herinrichting rotondes Kampenhout-Sas"/>
    <s v="&lt;null&gt;"/>
    <s v="Structurele Ingreep"/>
    <s v="WVB/INV/N21/3"/>
    <b v="0"/>
    <s v="Ingreep wordt niet opgevolgd in BOD"/>
    <s v="&lt;null&gt;"/>
    <s v="&lt;null&gt;"/>
    <s v="&lt;null&gt;"/>
    <s v="&lt;null&gt;"/>
    <m/>
    <m/>
    <m/>
  </r>
  <r>
    <x v="18"/>
    <x v="18"/>
    <s v="&lt;null&gt;"/>
    <x v="3"/>
    <n v="1966"/>
    <s v="IN/001581"/>
    <s v="N211 - Grimbergen"/>
    <s v="&lt;null&gt;"/>
    <s v="Structurele Ingreep"/>
    <s v="WVB/INV/N211/2"/>
    <b v="0"/>
    <s v="Ingreep wordt niet opgevolgd in BOD"/>
    <s v="&lt;null&gt;"/>
    <s v="&lt;null&gt;"/>
    <s v="&lt;null&gt;"/>
    <s v="&lt;null&gt;"/>
    <m/>
    <m/>
    <m/>
  </r>
  <r>
    <x v="18"/>
    <x v="18"/>
    <s v="&lt;null&gt;"/>
    <x v="3"/>
    <n v="1967"/>
    <s v="IN/001582"/>
    <s v="N47 - overlaging Opwijk"/>
    <s v="&lt;null&gt;"/>
    <s v="Structurele Ingreep"/>
    <s v="WVB/INV/N47/2"/>
    <b v="0"/>
    <s v="Ingreep wordt niet opgevolgd in BOD"/>
    <s v="&lt;null&gt;"/>
    <s v="&lt;null&gt;"/>
    <s v="&lt;null&gt;"/>
    <s v="&lt;null&gt;"/>
    <m/>
    <m/>
    <m/>
  </r>
  <r>
    <x v="18"/>
    <x v="18"/>
    <s v="&lt;null&gt;"/>
    <x v="3"/>
    <n v="1968"/>
    <s v="IN/001583"/>
    <s v="R23 - Heraanleg Tervuursevest"/>
    <s v="&lt;null&gt;"/>
    <s v="Structurele Ingreep"/>
    <s v="WVB/INV/R23/7"/>
    <b v="0"/>
    <s v="Ingreep wordt niet opgevolgd in BOD"/>
    <s v="&lt;null&gt;"/>
    <s v="&lt;null&gt;"/>
    <s v="&lt;null&gt;"/>
    <s v="&lt;null&gt;"/>
    <m/>
    <m/>
    <m/>
  </r>
  <r>
    <x v="18"/>
    <x v="18"/>
    <s v="&lt;null&gt;"/>
    <x v="3"/>
    <n v="1969"/>
    <s v="IN/001584"/>
    <s v="N123 Kasterlee 18 Studie 22 Uitvoering De Met"/>
    <s v="&lt;null&gt;"/>
    <s v="Structurele Ingreep"/>
    <s v="WA/INV/N123/1"/>
    <b v="0"/>
    <s v="Ingreep wordt niet opgevolgd in BOD"/>
    <s v="&lt;null&gt;"/>
    <s v="&lt;null&gt;"/>
    <s v="&lt;null&gt;"/>
    <s v="&lt;null&gt;"/>
    <m/>
    <m/>
    <m/>
  </r>
  <r>
    <x v="18"/>
    <x v="18"/>
    <s v="&lt;null&gt;"/>
    <x v="3"/>
    <n v="1970"/>
    <s v="IN/001585"/>
    <s v="N123 Kasterlee Betonverharding vervangen door KWS"/>
    <s v="&lt;null&gt;"/>
    <s v="Structurele Ingreep"/>
    <s v="WA/INV/N123/2"/>
    <b v="0"/>
    <s v="Ingreep wordt niet opgevolgd in BOD"/>
    <s v="&lt;null&gt;"/>
    <s v="&lt;null&gt;"/>
    <s v="&lt;null&gt;"/>
    <s v="&lt;null&gt;"/>
    <m/>
    <m/>
    <m/>
  </r>
  <r>
    <x v="18"/>
    <x v="18"/>
    <s v="&lt;null&gt;"/>
    <x v="3"/>
    <n v="1972"/>
    <s v="IN/001587"/>
    <s v="N123 Kasterlee SO schoolomgeving"/>
    <s v="&lt;null&gt;"/>
    <s v="Structurele Ingreep"/>
    <s v="WA/INV/N123/3"/>
    <b v="0"/>
    <s v="Ingreep wordt niet opgevolgd in BOD"/>
    <s v="&lt;null&gt;"/>
    <s v="&lt;null&gt;"/>
    <s v="&lt;null&gt;"/>
    <s v="&lt;null&gt;"/>
    <m/>
    <m/>
    <m/>
  </r>
  <r>
    <x v="18"/>
    <x v="18"/>
    <s v="&lt;null&gt;"/>
    <x v="3"/>
    <n v="1974"/>
    <s v="IN/001589"/>
    <s v="N123 Kasterlee Retie ontdubbelen FP verbreden weg"/>
    <s v="&lt;null&gt;"/>
    <s v="Structurele Ingreep"/>
    <s v="WA/INV/N123/4"/>
    <b v="0"/>
    <s v="Ingreep wordt niet opgevolgd in BOD"/>
    <s v="&lt;null&gt;"/>
    <s v="&lt;null&gt;"/>
    <s v="&lt;null&gt;"/>
    <s v="&lt;null&gt;"/>
    <m/>
    <m/>
    <m/>
  </r>
  <r>
    <x v="18"/>
    <x v="18"/>
    <s v="&lt;null&gt;"/>
    <x v="3"/>
    <n v="1976"/>
    <s v="IN/001591"/>
    <s v="N123 Retie vernieuwen toplaag"/>
    <s v="&lt;null&gt;"/>
    <s v="Structurele Ingreep"/>
    <s v="WA/INV/N123/6"/>
    <b v="0"/>
    <s v="Ingreep wordt niet opgevolgd in BOD"/>
    <s v="&lt;null&gt;"/>
    <s v="&lt;null&gt;"/>
    <s v="&lt;null&gt;"/>
    <s v="&lt;null&gt;"/>
    <m/>
    <m/>
    <m/>
  </r>
  <r>
    <x v="18"/>
    <x v="18"/>
    <s v="&lt;null&gt;"/>
    <x v="3"/>
    <n v="1977"/>
    <s v="IN/001592"/>
    <s v="X10/N124/13 Hoogstraten aanleg fietspaden"/>
    <s v="&lt;null&gt;"/>
    <s v="Structurele Ingreep"/>
    <s v="WA/INV/N124/1"/>
    <b v="0"/>
    <s v="Ingreep wordt niet opgevolgd in BOD"/>
    <s v="&lt;null&gt;"/>
    <s v="&lt;null&gt;"/>
    <s v="&lt;null&gt;"/>
    <s v="&lt;null&gt;"/>
    <m/>
    <m/>
    <m/>
  </r>
  <r>
    <x v="18"/>
    <x v="18"/>
    <s v="&lt;null&gt;"/>
    <x v="3"/>
    <n v="1978"/>
    <s v="IN/001593"/>
    <s v="N124 Merkplas structureel onderhoud"/>
    <s v="&lt;null&gt;"/>
    <s v="Structurele Ingreep"/>
    <s v="WA/INV/N124/3"/>
    <b v="0"/>
    <s v="Ingreep wordt niet opgevolgd in BOD"/>
    <s v="&lt;null&gt;"/>
    <s v="&lt;null&gt;"/>
    <s v="&lt;null&gt;"/>
    <s v="&lt;null&gt;"/>
    <m/>
    <m/>
    <m/>
  </r>
  <r>
    <x v="18"/>
    <x v="18"/>
    <s v="&lt;null&gt;"/>
    <x v="3"/>
    <n v="1979"/>
    <s v="IN/001594"/>
    <s v="N124 Hoogstraten structureel onderhoud"/>
    <s v="&lt;null&gt;"/>
    <s v="Structurele Ingreep"/>
    <s v="WA/INV/N124/4"/>
    <b v="0"/>
    <s v="Ingreep wordt niet opgevolgd in BOD"/>
    <s v="&lt;null&gt;"/>
    <s v="&lt;null&gt;"/>
    <s v="&lt;null&gt;"/>
    <s v="&lt;null&gt;"/>
    <m/>
    <m/>
    <m/>
  </r>
  <r>
    <x v="18"/>
    <x v="18"/>
    <s v="&lt;null&gt;"/>
    <x v="3"/>
    <n v="1980"/>
    <s v="IN/001595"/>
    <s v="N131 Rijkevorsel structureel onderhoud"/>
    <s v="&lt;null&gt;"/>
    <s v="Structurele Ingreep"/>
    <s v="WA/INV/N131/1"/>
    <b v="0"/>
    <s v="Ingreep wordt niet opgevolgd in BOD"/>
    <s v="&lt;null&gt;"/>
    <s v="&lt;null&gt;"/>
    <s v="&lt;null&gt;"/>
    <s v="&lt;null&gt;"/>
    <m/>
    <m/>
    <m/>
  </r>
  <r>
    <x v="1292"/>
    <x v="1292"/>
    <s v="Verkeersveiligheid"/>
    <x v="4"/>
    <n v="1981"/>
    <s v="IN/001596"/>
    <s v="Ingreep schoolroute in Boortmeerbeek op Kruispunt N267 x Terlindenlaan"/>
    <s v="&lt;null&gt;"/>
    <s v="Kleine Ingreep"/>
    <s v="WVB/INV/N267/4"/>
    <b v="1"/>
    <s v="Ingreep wordt opgevolgd in BOD"/>
    <n v="2022"/>
    <s v="Q2"/>
    <s v="OVERIGE"/>
    <m/>
    <n v="100"/>
    <n v="25000"/>
    <n v="25000"/>
  </r>
  <r>
    <x v="18"/>
    <x v="18"/>
    <s v="&lt;null&gt;"/>
    <x v="3"/>
    <n v="1982"/>
    <s v="IN/001597"/>
    <s v="SO distr Vosselaar  - vervangen klinkers Arendonk"/>
    <s v="&lt;null&gt;"/>
    <s v="Structurele Ingreep"/>
    <s v="WA/INV/N118/10"/>
    <b v="0"/>
    <s v="Ingreep wordt niet opgevolgd in BOD"/>
    <s v="&lt;null&gt;"/>
    <s v="&lt;null&gt;"/>
    <s v="&lt;null&gt;"/>
    <s v="&lt;null&gt;"/>
    <m/>
    <m/>
    <m/>
  </r>
  <r>
    <x v="18"/>
    <x v="18"/>
    <s v="&lt;null&gt;"/>
    <x v="3"/>
    <n v="1983"/>
    <s v="IN/001598"/>
    <s v="N134 Lichtaart-Poederlee structureel onderhoud"/>
    <s v="&lt;null&gt;"/>
    <s v="Structurele Ingreep"/>
    <s v="WA/INV/N134/1"/>
    <b v="0"/>
    <s v="Ingreep wordt niet opgevolgd in BOD"/>
    <s v="&lt;null&gt;"/>
    <s v="&lt;null&gt;"/>
    <s v="&lt;null&gt;"/>
    <s v="&lt;null&gt;"/>
    <m/>
    <m/>
    <m/>
  </r>
  <r>
    <x v="1284"/>
    <x v="1284"/>
    <s v="Stimuleren Combimobiliteit"/>
    <x v="7"/>
    <n v="1984"/>
    <s v="IN/001599"/>
    <s v="X21/N251/5 Herinrichting Naamsestwg tsn R23 en E40"/>
    <s v="&lt;null&gt;"/>
    <s v="Structurele Ingreep"/>
    <s v="WVB/INV/N251/2"/>
    <b v="0"/>
    <s v="Ingreep wordt niet opgevolgd in BOD"/>
    <s v="&lt;null&gt;"/>
    <s v="&lt;null&gt;"/>
    <s v="&lt;null&gt;"/>
    <s v="&lt;null&gt;"/>
    <n v="5"/>
    <m/>
    <m/>
  </r>
  <r>
    <x v="18"/>
    <x v="18"/>
    <s v="&lt;null&gt;"/>
    <x v="3"/>
    <n v="1985"/>
    <s v="IN/001600"/>
    <s v="N137 Ravels onderhoud voorafgaandelijk overdracht"/>
    <s v="&lt;null&gt;"/>
    <s v="Structurele Ingreep"/>
    <s v="WA/INV/N137/1"/>
    <b v="0"/>
    <s v="Ingreep wordt niet opgevolgd in BOD"/>
    <s v="&lt;null&gt;"/>
    <s v="&lt;null&gt;"/>
    <s v="&lt;null&gt;"/>
    <s v="&lt;null&gt;"/>
    <m/>
    <m/>
    <m/>
  </r>
  <r>
    <x v="18"/>
    <x v="18"/>
    <s v="&lt;null&gt;"/>
    <x v="3"/>
    <n v="1986"/>
    <s v="IN/001601"/>
    <s v="N139 Arendonk structureel onderhoud"/>
    <s v="&lt;null&gt;"/>
    <s v="Structurele Ingreep"/>
    <s v="WA/INV/N139/1"/>
    <b v="0"/>
    <s v="Ingreep wordt niet opgevolgd in BOD"/>
    <s v="&lt;null&gt;"/>
    <s v="&lt;null&gt;"/>
    <s v="&lt;null&gt;"/>
    <s v="&lt;null&gt;"/>
    <m/>
    <m/>
    <m/>
  </r>
  <r>
    <x v="18"/>
    <x v="18"/>
    <s v="&lt;null&gt;"/>
    <x v="3"/>
    <n v="1987"/>
    <s v="IN/001602"/>
    <s v="N139 Arendonk Mod13"/>
    <s v="&lt;null&gt;"/>
    <s v="Structurele Ingreep"/>
    <s v="WA/INV/N139/2"/>
    <b v="0"/>
    <s v="Ingreep wordt niet opgevolgd in BOD"/>
    <s v="&lt;null&gt;"/>
    <s v="&lt;null&gt;"/>
    <s v="&lt;null&gt;"/>
    <s v="&lt;null&gt;"/>
    <m/>
    <m/>
    <m/>
  </r>
  <r>
    <x v="18"/>
    <x v="18"/>
    <s v="&lt;null&gt;"/>
    <x v="3"/>
    <n v="1988"/>
    <s v="IN/001603"/>
    <s v="N139 Arendonk Renovatie brug 5"/>
    <s v="&lt;null&gt;"/>
    <s v="Structurele Ingreep"/>
    <s v="WA/INV/N139/3"/>
    <b v="0"/>
    <s v="Ingreep wordt niet opgevolgd in BOD"/>
    <s v="&lt;null&gt;"/>
    <s v="&lt;null&gt;"/>
    <s v="&lt;null&gt;"/>
    <s v="&lt;null&gt;"/>
    <m/>
    <m/>
    <m/>
  </r>
  <r>
    <x v="18"/>
    <x v="18"/>
    <s v="&lt;null&gt;"/>
    <x v="3"/>
    <n v="1989"/>
    <s v="IN/001604"/>
    <s v="N139 dringende herstelling brug 5 Arendonk"/>
    <s v="&lt;null&gt;"/>
    <s v="Structurele Ingreep"/>
    <s v="WA/INV/N139/4"/>
    <b v="0"/>
    <s v="Ingreep wordt niet opgevolgd in BOD"/>
    <s v="&lt;null&gt;"/>
    <s v="&lt;null&gt;"/>
    <s v="&lt;null&gt;"/>
    <s v="&lt;null&gt;"/>
    <m/>
    <m/>
    <m/>
  </r>
  <r>
    <x v="18"/>
    <x v="18"/>
    <s v="&lt;null&gt;"/>
    <x v="3"/>
    <n v="1990"/>
    <s v="IN/001605"/>
    <s v="N140 - Vosselaar - Herinrichting kruispunt Veedijk"/>
    <s v="&lt;null&gt;"/>
    <s v="Structurele Ingreep"/>
    <s v="WA/INV/N140/1"/>
    <b v="0"/>
    <s v="Ingreep wordt niet opgevolgd in BOD"/>
    <s v="&lt;null&gt;"/>
    <s v="&lt;null&gt;"/>
    <s v="&lt;null&gt;"/>
    <s v="&lt;null&gt;"/>
    <m/>
    <m/>
    <m/>
  </r>
  <r>
    <x v="18"/>
    <x v="18"/>
    <s v="&lt;null&gt;"/>
    <x v="3"/>
    <n v="1991"/>
    <s v="IN/001606"/>
    <s v="A10 - vervanging brug J. Mertensstraat (Dilbeek)"/>
    <s v="&lt;null&gt;"/>
    <s v="Structurele Ingreep"/>
    <s v="WVB/INV/A10/1"/>
    <b v="0"/>
    <s v="Ingreep wordt niet opgevolgd in BOD"/>
    <s v="&lt;null&gt;"/>
    <s v="&lt;null&gt;"/>
    <s v="&lt;null&gt;"/>
    <s v="&lt;null&gt;"/>
    <m/>
    <m/>
    <m/>
  </r>
  <r>
    <x v="18"/>
    <x v="18"/>
    <s v="&lt;null&gt;"/>
    <x v="3"/>
    <n v="1992"/>
    <s v="IN/001607"/>
    <s v="A10 - Vervanging onderbrug A10-N285 (Ternat)"/>
    <s v="&lt;null&gt;"/>
    <s v="Structurele Ingreep"/>
    <s v="WVB/INV/A10/3"/>
    <b v="0"/>
    <s v="Ingreep wordt niet opgevolgd in BOD"/>
    <s v="&lt;null&gt;"/>
    <s v="&lt;null&gt;"/>
    <s v="&lt;null&gt;"/>
    <s v="&lt;null&gt;"/>
    <m/>
    <m/>
    <m/>
  </r>
  <r>
    <x v="530"/>
    <x v="530"/>
    <s v="Verkeersveiligheid"/>
    <x v="1"/>
    <n v="1993"/>
    <s v="IN/001608"/>
    <s v="A12.DP01 - Aanleg knooppunt Londerzeel-Zuid"/>
    <s v="&lt;null&gt;"/>
    <s v="Structurele Ingreep"/>
    <s v="WVB/INV/A12/1"/>
    <b v="0"/>
    <s v="Ingreep wordt niet opgevolgd in BOD"/>
    <s v="&lt;null&gt;"/>
    <s v="&lt;null&gt;"/>
    <s v="&lt;null&gt;"/>
    <s v="&lt;null&gt;"/>
    <n v="100"/>
    <m/>
    <m/>
  </r>
  <r>
    <x v="1293"/>
    <x v="1293"/>
    <s v="Verkeersveiligheid"/>
    <x v="4"/>
    <n v="2002"/>
    <s v="IN/001609"/>
    <s v="Overijse Oversteek N253 Dreef x Kouterstraat"/>
    <s v="Plan op te maken.\nIn het verleden werd afgesproken dat gemeente Overijse ervoor zou zorgen dat er voldoende ruimte zou vrijblijven bij hertracering IJse om een oversteek met middenberm aan te brengen. \n\nDossier IJse loopt vertraging op.\nAfspraak: AWV "/>
    <s v="Kleine Ingreep"/>
    <s v="&lt;null&gt;"/>
    <b v="0"/>
    <s v="Ingreep wordt niet opgevolgd in BOD"/>
    <s v="&lt;null&gt;"/>
    <s v="&lt;null&gt;"/>
    <s v="OVERIGE"/>
    <s v="&lt;null&gt;"/>
    <n v="100"/>
    <n v="500000"/>
    <n v="500000"/>
  </r>
  <r>
    <x v="18"/>
    <x v="18"/>
    <s v="&lt;null&gt;"/>
    <x v="3"/>
    <n v="2003"/>
    <s v="IN/001610"/>
    <s v="R36 Kortrijk - pleinafwerking KOS015"/>
    <s v="&lt;null&gt;"/>
    <s v="Structurele Ingreep"/>
    <s v="WWV/INV/R36/3"/>
    <b v="0"/>
    <s v="Ingreep wordt niet opgevolgd in BOD"/>
    <n v="2022"/>
    <s v="Q3"/>
    <s v="WEGENIS"/>
    <s v="aandeel AWV, NMBS aanbestedende  overheid"/>
    <m/>
    <n v="499000"/>
    <m/>
  </r>
  <r>
    <x v="18"/>
    <x v="18"/>
    <s v="&lt;null&gt;"/>
    <x v="3"/>
    <n v="2004"/>
    <s v="IN/001611"/>
    <s v="N253-Herinrichting E40-Vloedgroebe (Leuven-Bertem)"/>
    <s v="&lt;null&gt;"/>
    <s v="Structurele Ingreep"/>
    <s v="WVB/INV/N253/1"/>
    <b v="0"/>
    <s v="Ingreep wordt niet opgevolgd in BOD"/>
    <s v="&lt;null&gt;"/>
    <s v="&lt;null&gt;"/>
    <s v="&lt;null&gt;"/>
    <s v="&lt;null&gt;"/>
    <m/>
    <m/>
    <m/>
  </r>
  <r>
    <x v="1294"/>
    <x v="1294"/>
    <s v="Verkeersveiligheid"/>
    <x v="4"/>
    <n v="2005"/>
    <s v="IN/001612"/>
    <s v="Aanleg dubbelrichtingsfietspad westzijde N78"/>
    <s v="&lt;null&gt;"/>
    <s v="Kleine Ingreep"/>
    <s v="WL/INV/N78/32"/>
    <b v="1"/>
    <s v="Ingreep wordt opgevolgd in BOD"/>
    <s v="&lt;null&gt;"/>
    <s v="&lt;null&gt;"/>
    <s v="WEGENIS"/>
    <s v="&lt;null&gt;"/>
    <n v="100"/>
    <n v="38765"/>
    <n v="38765"/>
  </r>
  <r>
    <x v="18"/>
    <x v="18"/>
    <s v="&lt;null&gt;"/>
    <x v="3"/>
    <n v="2006"/>
    <s v="IN/001613"/>
    <s v="A12.DP02 - Aanpassing complex 3 Wolvertem (Meise)"/>
    <s v="&lt;null&gt;"/>
    <s v="Structurele Ingreep"/>
    <s v="WVB/INV/A12/4"/>
    <b v="0"/>
    <s v="Ingreep wordt niet opgevolgd in BOD"/>
    <s v="&lt;null&gt;"/>
    <s v="&lt;null&gt;"/>
    <s v="&lt;null&gt;"/>
    <s v="&lt;null&gt;"/>
    <m/>
    <m/>
    <m/>
  </r>
  <r>
    <x v="18"/>
    <x v="18"/>
    <s v="&lt;null&gt;"/>
    <x v="3"/>
    <n v="2007"/>
    <s v="IN/001614"/>
    <s v="A12.DP03 - Ecoduct Neromhof (Meise)"/>
    <s v="&lt;null&gt;"/>
    <s v="Structurele Ingreep"/>
    <s v="WVB/INV/A12/3"/>
    <b v="0"/>
    <s v="Ingreep wordt niet opgevolgd in BOD"/>
    <s v="&lt;null&gt;"/>
    <s v="&lt;null&gt;"/>
    <s v="&lt;null&gt;"/>
    <s v="&lt;null&gt;"/>
    <m/>
    <m/>
    <m/>
  </r>
  <r>
    <x v="146"/>
    <x v="146"/>
    <s v="Fiets"/>
    <x v="0"/>
    <n v="2008"/>
    <s v="IN/001615"/>
    <s v="A12.DP04 - Fietssnelweg F28 Wolvertem-Londerzeel"/>
    <s v="&lt;null&gt;"/>
    <s v="Structurele Ingreep"/>
    <s v="WVB/INV/A12/5"/>
    <b v="0"/>
    <s v="Ingreep wordt niet opgevolgd in BOD"/>
    <s v="&lt;null&gt;"/>
    <s v="&lt;null&gt;"/>
    <s v="&lt;null&gt;"/>
    <s v="&lt;null&gt;"/>
    <n v="100"/>
    <m/>
    <m/>
  </r>
  <r>
    <x v="18"/>
    <x v="18"/>
    <s v="&lt;null&gt;"/>
    <x v="3"/>
    <n v="2009"/>
    <s v="IN/001616"/>
    <s v="A12.DP06 - Aanleg knooppunt Londerzeel-Noord"/>
    <s v="&lt;null&gt;"/>
    <s v="Structurele Ingreep"/>
    <s v="WVB/INV/A12/2"/>
    <b v="0"/>
    <s v="Ingreep wordt niet opgevolgd in BOD"/>
    <s v="&lt;null&gt;"/>
    <s v="&lt;null&gt;"/>
    <s v="&lt;null&gt;"/>
    <s v="&lt;null&gt;"/>
    <m/>
    <m/>
    <m/>
  </r>
  <r>
    <x v="1295"/>
    <x v="1295"/>
    <s v="Verkeersveiligheid"/>
    <x v="4"/>
    <n v="2010"/>
    <s v="IN/001617"/>
    <s v="Aanleg VOP  + verlagen boordstenen"/>
    <s v="&lt;null&gt;"/>
    <s v="Kleine Ingreep"/>
    <s v="WL/INV/N746/6"/>
    <b v="0"/>
    <s v="Ingreep wordt niet opgevolgd in BOD"/>
    <s v="&lt;null&gt;"/>
    <s v="&lt;null&gt;"/>
    <s v="OVERIGE"/>
    <s v="&lt;null&gt;"/>
    <n v="100"/>
    <n v="5000"/>
    <n v="5000"/>
  </r>
  <r>
    <x v="558"/>
    <x v="558"/>
    <s v="Verkeersveiligheid"/>
    <x v="1"/>
    <n v="2011"/>
    <s v="IN/001618"/>
    <s v="A12.DP07 - Omvorming: Kruispunt Duvel + N16 Oost"/>
    <s v="&lt;null&gt;"/>
    <s v="Structurele Ingreep"/>
    <s v="WA/INV/A12/8"/>
    <b v="0"/>
    <s v="Ingreep wordt niet opgevolgd in BOD"/>
    <s v="&lt;null&gt;"/>
    <s v="&lt;null&gt;"/>
    <s v="&lt;null&gt;"/>
    <s v="&lt;null&gt;"/>
    <n v="80"/>
    <m/>
    <m/>
  </r>
  <r>
    <x v="1296"/>
    <x v="1296"/>
    <s v="Verkeersveiligheid"/>
    <x v="4"/>
    <n v="2012"/>
    <s v="IN/001619"/>
    <s v="dubbelrichtingsfietspad + FOP in fietslogoverbinding (PM via MC3 nog aan te stellen)"/>
    <s v="meer complex doordat spoorovergang aangepast dient te worden)"/>
    <s v="Kleine Ingreep"/>
    <s v="WL/INV/N746/9"/>
    <b v="0"/>
    <s v="Ingreep wordt niet opgevolgd in BOD"/>
    <s v="&lt;null&gt;"/>
    <s v="&lt;null&gt;"/>
    <s v="OVERIGE"/>
    <s v="&lt;null&gt;"/>
    <n v="100"/>
    <n v="35800"/>
    <n v="35800"/>
  </r>
  <r>
    <x v="18"/>
    <x v="18"/>
    <s v="&lt;null&gt;"/>
    <x v="3"/>
    <n v="2014"/>
    <s v="IN/001621"/>
    <s v="A4 - Geluidsschermen Jezus-Eik (Overijse)"/>
    <s v="&lt;null&gt;"/>
    <s v="Structurele Ingreep"/>
    <s v="WVB/INV/A4/1"/>
    <b v="0"/>
    <s v="Ingreep wordt niet opgevolgd in BOD"/>
    <s v="&lt;null&gt;"/>
    <s v="&lt;null&gt;"/>
    <s v="&lt;null&gt;"/>
    <s v="&lt;null&gt;"/>
    <m/>
    <m/>
    <m/>
  </r>
  <r>
    <x v="447"/>
    <x v="447"/>
    <s v="Verkeersveiligheid"/>
    <x v="1"/>
    <n v="2015"/>
    <s v="IN/001622"/>
    <s v="A8 - Bouw voetgangersbruggen (Halle)"/>
    <s v="&lt;null&gt;"/>
    <s v="Structurele Ingreep"/>
    <s v="WVB/INV/A8/1"/>
    <b v="0"/>
    <s v="Ingreep wordt niet opgevolgd in BOD"/>
    <s v="&lt;null&gt;"/>
    <s v="&lt;null&gt;"/>
    <s v="&lt;null&gt;"/>
    <s v="&lt;null&gt;"/>
    <n v="100"/>
    <m/>
    <m/>
  </r>
  <r>
    <x v="1297"/>
    <x v="1297"/>
    <s v="Verkeersveiligheid"/>
    <x v="4"/>
    <n v="2016"/>
    <s v="IN/001623"/>
    <s v="Greppel opvullen bij fietspad (door district West Limburg)"/>
    <s v="&lt;null&gt;"/>
    <s v="Kleine Ingreep"/>
    <s v="WL/INV/N746/2"/>
    <b v="1"/>
    <s v="Ingreep wordt opgevolgd in BOD"/>
    <s v="&lt;null&gt;"/>
    <s v="&lt;null&gt;"/>
    <s v="OVERIGE"/>
    <s v="&lt;null&gt;"/>
    <n v="100"/>
    <n v="2276"/>
    <n v="2276"/>
  </r>
  <r>
    <x v="18"/>
    <x v="18"/>
    <s v="&lt;null&gt;"/>
    <x v="3"/>
    <n v="2017"/>
    <s v="IN/001624"/>
    <s v="E314 - Herinrichting afrit 20 Vuntcomplex (Leuven)"/>
    <s v="&lt;null&gt;"/>
    <s v="Structurele Ingreep"/>
    <s v="WVB/INV/N019E/1"/>
    <b v="0"/>
    <s v="Ingreep wordt niet opgevolgd in BOD"/>
    <s v="&lt;null&gt;"/>
    <s v="&lt;null&gt;"/>
    <s v="&lt;null&gt;"/>
    <s v="&lt;null&gt;"/>
    <m/>
    <m/>
    <m/>
  </r>
  <r>
    <x v="1298"/>
    <x v="1298"/>
    <s v="Verkeersveiligheid"/>
    <x v="6"/>
    <n v="2018"/>
    <s v="IN/001625"/>
    <s v="N208 - Aanpassing complex A10 (Affligem)"/>
    <s v="Op- en afrittecomplex aanpassen door aanleg van een rotonde/keerpunt.\n"/>
    <s v="Structurele Ingreep"/>
    <s v="WVB/INV/N208/1"/>
    <b v="1"/>
    <s v="Ingreep wordt opgevolgd in BOD"/>
    <s v="&lt;null&gt;"/>
    <s v="&lt;null&gt;"/>
    <s v="WEGENIS"/>
    <s v="&lt;null&gt;"/>
    <n v="100"/>
    <n v="600000"/>
    <n v="600000"/>
  </r>
  <r>
    <x v="1299"/>
    <x v="1299"/>
    <s v="Verkeersveiligheid"/>
    <x v="4"/>
    <n v="2019"/>
    <s v="IN/001626"/>
    <s v="Verplaatsen VOP"/>
    <s v="&lt;null&gt;"/>
    <s v="Kleine Ingreep"/>
    <s v="WL/INV/N730/25"/>
    <b v="1"/>
    <s v="Ingreep wordt opgevolgd in BOD"/>
    <n v="2022"/>
    <s v="Q3"/>
    <s v="WEGENIS"/>
    <m/>
    <n v="100"/>
    <n v="16000"/>
    <n v="16000"/>
  </r>
  <r>
    <x v="18"/>
    <x v="18"/>
    <s v="&lt;null&gt;"/>
    <x v="3"/>
    <n v="2020"/>
    <s v="IN/001627"/>
    <s v="R0 - Geluidsschermen (Wezembeek-Oppem &amp; Kraainem)"/>
    <s v="&lt;null&gt;"/>
    <s v="Structurele Ingreep"/>
    <s v="WVB/INV/R0/1"/>
    <b v="0"/>
    <s v="Ingreep wordt niet opgevolgd in BOD"/>
    <s v="&lt;null&gt;"/>
    <s v="&lt;null&gt;"/>
    <s v="&lt;null&gt;"/>
    <s v="&lt;null&gt;"/>
    <m/>
    <m/>
    <m/>
  </r>
  <r>
    <x v="18"/>
    <x v="18"/>
    <s v="&lt;null&gt;"/>
    <x v="3"/>
    <n v="2021"/>
    <s v="IN/001628"/>
    <s v="R0 - Ingrepen afwatering Tervuren"/>
    <s v="&lt;null&gt;"/>
    <s v="Structurele Ingreep"/>
    <s v="WVB/INV/R0/3"/>
    <b v="0"/>
    <s v="Ingreep wordt niet opgevolgd in BOD"/>
    <s v="&lt;null&gt;"/>
    <s v="&lt;null&gt;"/>
    <s v="&lt;null&gt;"/>
    <s v="&lt;null&gt;"/>
    <m/>
    <m/>
    <m/>
  </r>
  <r>
    <x v="18"/>
    <x v="18"/>
    <s v="&lt;null&gt;"/>
    <x v="3"/>
    <n v="2022"/>
    <s v="IN/001629"/>
    <s v="R0 - Vervanging geluidschermen (Beersel-Drogenbos)"/>
    <s v="&lt;null&gt;"/>
    <s v="Structurele Ingreep"/>
    <s v="WVB/INV/R0/2"/>
    <b v="0"/>
    <s v="Ingreep wordt niet opgevolgd in BOD"/>
    <s v="&lt;null&gt;"/>
    <s v="&lt;null&gt;"/>
    <s v="&lt;null&gt;"/>
    <s v="&lt;null&gt;"/>
    <m/>
    <m/>
    <m/>
  </r>
  <r>
    <x v="18"/>
    <x v="18"/>
    <s v="&lt;null&gt;"/>
    <x v="3"/>
    <n v="2023"/>
    <s v="IN/001630"/>
    <s v="R22 - Aanleg F214 &amp; aanpassing rotonde 'De Vuist'"/>
    <s v="&lt;null&gt;"/>
    <s v="Structurele Ingreep"/>
    <s v="WVB/INV/R22/2"/>
    <b v="0"/>
    <s v="Ingreep wordt niet opgevolgd in BOD"/>
    <s v="&lt;null&gt;"/>
    <s v="&lt;null&gt;"/>
    <s v="&lt;null&gt;"/>
    <s v="&lt;null&gt;"/>
    <m/>
    <m/>
    <m/>
  </r>
  <r>
    <x v="18"/>
    <x v="18"/>
    <s v="&lt;null&gt;"/>
    <x v="3"/>
    <n v="2024"/>
    <s v="IN/001631"/>
    <s v="structureel onderhoud rijweg en FP VVR Kempen"/>
    <s v="&lt;null&gt;"/>
    <s v="Structurele Ingreep"/>
    <s v="WA/INV/VVR/1"/>
    <b v="0"/>
    <s v="Ingreep wordt niet opgevolgd in BOD"/>
    <s v="&lt;null&gt;"/>
    <s v="&lt;null&gt;"/>
    <s v="&lt;null&gt;"/>
    <s v="&lt;null&gt;"/>
    <m/>
    <m/>
    <m/>
  </r>
  <r>
    <x v="18"/>
    <x v="18"/>
    <s v="&lt;null&gt;"/>
    <x v="3"/>
    <n v="2025"/>
    <s v="IN/001632"/>
    <s v="structureel onderhoud rijweg en fietspaden VVR Kem"/>
    <s v="WA/INV/2022/1"/>
    <s v="Structurele Ingreep"/>
    <s v="&lt;null&gt;"/>
    <b v="0"/>
    <s v="Ingreep wordt niet opgevolgd in BOD"/>
    <s v="&lt;null&gt;"/>
    <s v="&lt;null&gt;"/>
    <s v="&lt;null&gt;"/>
    <s v="&lt;null&gt;"/>
    <m/>
    <m/>
    <m/>
  </r>
  <r>
    <x v="1300"/>
    <x v="1300"/>
    <s v="Fiets"/>
    <x v="0"/>
    <n v="2026"/>
    <s v="IN/001633"/>
    <s v="N2 - Herent Fietspaden Termere - Oikotenweg"/>
    <s v="&lt;null&gt;"/>
    <s v="Structurele Ingreep"/>
    <s v="WVB/INV/N2/4"/>
    <b v="0"/>
    <s v="Ingreep wordt niet opgevolgd in BOD"/>
    <s v="&lt;null&gt;"/>
    <s v="&lt;null&gt;"/>
    <s v="&lt;null&gt;"/>
    <s v="&lt;null&gt;"/>
    <n v="100"/>
    <m/>
    <m/>
  </r>
  <r>
    <x v="1301"/>
    <x v="1301"/>
    <s v="Verkeersveiligheid"/>
    <x v="4"/>
    <n v="2027"/>
    <s v="IN/001634"/>
    <s v="Aanpassen bushalte + aanleg voetpad bushalte-kruispunt (aan te stellen PM studiebureau via MC3)"/>
    <s v="Bus zal gaan halteren op de rijbaan om veiligvoetpad naar kruispunt te creëren"/>
    <s v="Kleine Ingreep"/>
    <s v="WL/INV/N78/33"/>
    <b v="0"/>
    <s v="Ingreep wordt niet opgevolgd in BOD"/>
    <s v="&lt;null&gt;"/>
    <s v="&lt;null&gt;"/>
    <s v="OVERIGE"/>
    <s v="&lt;null&gt;"/>
    <n v="100"/>
    <n v="45440"/>
    <n v="45440"/>
  </r>
  <r>
    <x v="1302"/>
    <x v="1302"/>
    <s v="Verkeersveiligheid"/>
    <x v="4"/>
    <n v="2028"/>
    <s v="IN/001635"/>
    <s v="Fietsers uit de voorrang op rotonde (PM studiebureau aan te stellen via MC3)"/>
    <s v="Fietsers uit de voorrang op rotonde."/>
    <s v="Kleine Ingreep"/>
    <s v="WL/INV/N719/11"/>
    <b v="0"/>
    <s v="Ingreep wordt niet opgevolgd in BOD"/>
    <n v="2023"/>
    <s v="Q2"/>
    <s v="WEGENIS"/>
    <s v="&lt;null&gt;"/>
    <n v="100"/>
    <n v="50000"/>
    <n v="50000"/>
  </r>
  <r>
    <x v="63"/>
    <x v="63"/>
    <s v="Fiets"/>
    <x v="0"/>
    <n v="2029"/>
    <s v="IN/001636"/>
    <s v="X21/N25/14 - Str.ond. en optimalisatie bus/fiets"/>
    <s v="&lt;null&gt;"/>
    <s v="Structurele Ingreep"/>
    <s v="WVB/INV/N25/3"/>
    <b v="0"/>
    <s v="Ingreep wordt niet opgevolgd in BOD"/>
    <s v="&lt;null&gt;"/>
    <s v="&lt;null&gt;"/>
    <s v="&lt;null&gt;"/>
    <s v="&lt;null&gt;"/>
    <n v="20"/>
    <m/>
    <m/>
  </r>
  <r>
    <x v="1303"/>
    <x v="1303"/>
    <s v="Verkeersveiligheid"/>
    <x v="4"/>
    <n v="2030"/>
    <s v="IN/001637"/>
    <s v="kruispunt herinrichten (PM Sweco Jente Vercammen)"/>
    <s v="Herinrichting: voorrangsplein of verbrede middenberm"/>
    <s v="Kleine Ingreep"/>
    <s v="WL/INV/N72/23"/>
    <b v="0"/>
    <s v="Ingreep wordt niet opgevolgd in BOD"/>
    <n v="2023"/>
    <s v="&lt;null&gt;"/>
    <s v="WEGENIS"/>
    <s v="&lt;null&gt;"/>
    <n v="100"/>
    <n v="400000"/>
    <n v="400000"/>
  </r>
  <r>
    <x v="18"/>
    <x v="18"/>
    <s v="&lt;null&gt;"/>
    <x v="3"/>
    <n v="2031"/>
    <s v="IN/001638"/>
    <s v="N10 - Begijnendijk: Herinrichting Liersesteenweg"/>
    <s v="&lt;null&gt;"/>
    <s v="Structurele Ingreep"/>
    <s v="WVB/INV/N10/4"/>
    <b v="0"/>
    <s v="Ingreep wordt niet opgevolgd in BOD"/>
    <s v="&lt;null&gt;"/>
    <s v="&lt;null&gt;"/>
    <s v="&lt;null&gt;"/>
    <s v="&lt;null&gt;"/>
    <m/>
    <m/>
    <m/>
  </r>
  <r>
    <x v="18"/>
    <x v="18"/>
    <s v="&lt;null&gt;"/>
    <x v="3"/>
    <n v="2032"/>
    <s v="IN/001639"/>
    <s v="N2 - Doortocht Kortenberg"/>
    <s v="&lt;null&gt;"/>
    <s v="Structurele Ingreep"/>
    <s v="WVB/INV/N2/3"/>
    <b v="0"/>
    <s v="Ingreep wordt niet opgevolgd in BOD"/>
    <s v="&lt;null&gt;"/>
    <s v="&lt;null&gt;"/>
    <s v="&lt;null&gt;"/>
    <s v="&lt;null&gt;"/>
    <m/>
    <m/>
    <m/>
  </r>
  <r>
    <x v="337"/>
    <x v="337"/>
    <s v="Verkeersveiligheid"/>
    <x v="1"/>
    <n v="2033"/>
    <s v="IN/001640"/>
    <s v="N26 - Boortmeerbeek - Trianonlaan x Stationstraat"/>
    <s v="&lt;null&gt;"/>
    <s v="Structurele Ingreep"/>
    <s v="WVB/INV/N26/7"/>
    <b v="1"/>
    <s v="Ingreep wordt opgevolgd in BOD"/>
    <s v="&lt;null&gt;"/>
    <s v="&lt;null&gt;"/>
    <s v="&lt;null&gt;"/>
    <s v="&lt;null&gt;"/>
    <n v="30"/>
    <m/>
    <m/>
  </r>
  <r>
    <x v="18"/>
    <x v="18"/>
    <s v="&lt;null&gt;"/>
    <x v="3"/>
    <n v="2034"/>
    <s v="IN/001641"/>
    <s v="R23 - HeRINGrichting Leuven"/>
    <s v="&lt;null&gt;"/>
    <s v="Structurele Ingreep"/>
    <s v="WVB/INV/R23/6"/>
    <b v="0"/>
    <s v="Ingreep wordt niet opgevolgd in BOD"/>
    <s v="&lt;null&gt;"/>
    <s v="&lt;null&gt;"/>
    <s v="&lt;null&gt;"/>
    <s v="&lt;null&gt;"/>
    <m/>
    <m/>
    <m/>
  </r>
  <r>
    <x v="18"/>
    <x v="18"/>
    <s v="&lt;null&gt;"/>
    <x v="3"/>
    <n v="2035"/>
    <s v="IN/001642"/>
    <s v="N80 Landen fietspaden en uitbreiding carpoolparkin"/>
    <s v="&lt;null&gt;"/>
    <s v="Structurele Ingreep"/>
    <s v="WVB/INV/N80/2"/>
    <b v="0"/>
    <s v="Ingreep wordt niet opgevolgd in BOD"/>
    <s v="&lt;null&gt;"/>
    <s v="&lt;null&gt;"/>
    <s v="&lt;null&gt;"/>
    <s v="&lt;null&gt;"/>
    <m/>
    <m/>
    <m/>
  </r>
  <r>
    <x v="18"/>
    <x v="18"/>
    <s v="&lt;null&gt;"/>
    <x v="3"/>
    <n v="2036"/>
    <s v="IN/001643"/>
    <s v="N21 - Haachtsesteenweg N227-Stationslaan"/>
    <s v="&lt;null&gt;"/>
    <s v="Structurele Ingreep"/>
    <s v="WVB/INV/N21/2"/>
    <b v="0"/>
    <s v="Ingreep wordt niet opgevolgd in BOD"/>
    <s v="&lt;null&gt;"/>
    <s v="&lt;null&gt;"/>
    <s v="&lt;null&gt;"/>
    <s v="&lt;null&gt;"/>
    <m/>
    <m/>
    <m/>
  </r>
  <r>
    <x v="789"/>
    <x v="789"/>
    <s v="Verkeersveiligheid"/>
    <x v="4"/>
    <n v="2037"/>
    <s v="IN/001644"/>
    <s v="Ingreep Schoolroute Kalmthout N122"/>
    <s v="&lt;null&gt;"/>
    <s v="Kleine Ingreep"/>
    <s v="&lt;null&gt;"/>
    <b v="0"/>
    <s v="Ingreep wordt niet opgevolgd in BOD"/>
    <s v="&lt;null&gt;"/>
    <s v="&lt;null&gt;"/>
    <s v="&lt;null&gt;"/>
    <s v="&lt;null&gt;"/>
    <n v="100"/>
    <m/>
    <m/>
  </r>
  <r>
    <x v="18"/>
    <x v="18"/>
    <s v="&lt;null&gt;"/>
    <x v="3"/>
    <n v="2038"/>
    <s v="IN/001645"/>
    <s v="R23 - Bodart Leuven"/>
    <s v="&lt;null&gt;"/>
    <s v="Structurele Ingreep"/>
    <s v="WVB/INV/R23/12"/>
    <b v="0"/>
    <s v="Ingreep wordt niet opgevolgd in BOD"/>
    <s v="&lt;null&gt;"/>
    <s v="&lt;null&gt;"/>
    <s v="&lt;null&gt;"/>
    <s v="&lt;null&gt;"/>
    <m/>
    <m/>
    <m/>
  </r>
  <r>
    <x v="18"/>
    <x v="18"/>
    <s v="&lt;null&gt;"/>
    <x v="3"/>
    <n v="2039"/>
    <s v="IN/001646"/>
    <s v="N2 - Herent Garageboulevard"/>
    <s v="&lt;null&gt;"/>
    <s v="Structurele Ingreep"/>
    <s v="WVB/INV/N2/6"/>
    <b v="0"/>
    <s v="Ingreep wordt niet opgevolgd in BOD"/>
    <s v="&lt;null&gt;"/>
    <s v="&lt;null&gt;"/>
    <s v="&lt;null&gt;"/>
    <s v="&lt;null&gt;"/>
    <m/>
    <m/>
    <m/>
  </r>
  <r>
    <x v="18"/>
    <x v="18"/>
    <s v="&lt;null&gt;"/>
    <x v="3"/>
    <n v="2040"/>
    <s v="IN/001647"/>
    <s v="Betonherstellingen op A - wegen in OVL"/>
    <s v="&lt;null&gt;"/>
    <s v="Structurele Ingreep"/>
    <s v="WOV/INV/A14/6"/>
    <b v="0"/>
    <s v="Ingreep wordt niet opgevolgd in BOD"/>
    <s v="&lt;null&gt;"/>
    <s v="&lt;null&gt;"/>
    <s v="&lt;null&gt;"/>
    <s v="&lt;null&gt;"/>
    <m/>
    <m/>
    <m/>
  </r>
  <r>
    <x v="18"/>
    <x v="18"/>
    <s v="&lt;null&gt;"/>
    <x v="3"/>
    <n v="2041"/>
    <s v="IN/001648"/>
    <s v="Veiligheidsinrichtingen op snelwegen in OVL"/>
    <s v="&lt;null&gt;"/>
    <s v="Structurele Ingreep"/>
    <s v="WOV/INV/A14/7"/>
    <b v="0"/>
    <s v="Ingreep wordt niet opgevolgd in BOD"/>
    <s v="&lt;null&gt;"/>
    <s v="&lt;null&gt;"/>
    <s v="&lt;null&gt;"/>
    <s v="&lt;null&gt;"/>
    <m/>
    <m/>
    <m/>
  </r>
  <r>
    <x v="18"/>
    <x v="18"/>
    <s v="&lt;null&gt;"/>
    <x v="3"/>
    <n v="2042"/>
    <s v="IN/001649"/>
    <s v="Asfaltherstellingen op A - wegen in OVL"/>
    <s v="&lt;null&gt;"/>
    <s v="Structurele Ingreep"/>
    <s v="WOV/INV/A14/8"/>
    <b v="0"/>
    <s v="Ingreep wordt niet opgevolgd in BOD"/>
    <s v="&lt;null&gt;"/>
    <s v="&lt;null&gt;"/>
    <s v="&lt;null&gt;"/>
    <s v="&lt;null&gt;"/>
    <m/>
    <m/>
    <m/>
  </r>
  <r>
    <x v="18"/>
    <x v="18"/>
    <s v="&lt;null&gt;"/>
    <x v="3"/>
    <n v="2043"/>
    <s v="IN/001650"/>
    <s v="E17 Menen - bodemsanering LAR Rekkem"/>
    <s v="Sanering historische chroomverontreiniging (van tijdens de aanleg destijds)"/>
    <s v="Structurele Ingreep"/>
    <s v="WWV/INV/E17/7"/>
    <b v="0"/>
    <s v="Ingreep wordt niet opgevolgd in BOD"/>
    <s v="&lt;null&gt;"/>
    <s v="&lt;null&gt;"/>
    <s v="&lt;null&gt;"/>
    <s v="&lt;null&gt;"/>
    <m/>
    <m/>
    <m/>
  </r>
  <r>
    <x v="1304"/>
    <x v="1304"/>
    <s v="Fiets"/>
    <x v="0"/>
    <n v="2044"/>
    <s v="IN/001651"/>
    <s v="Fiets: N47 Zele aansluiting fietspad optimaliseren thv kruispunt, PCV beslissing deel 1"/>
    <s v="aansluiting fietspad optimaliseren thv kruispunt"/>
    <s v="Kleine Ingreep"/>
    <s v="WOV/INV/N47/8"/>
    <b v="1"/>
    <s v="Ingreep wordt opgevolgd in BOD"/>
    <n v="2022"/>
    <s v="Q1"/>
    <s v="WEGENIS"/>
    <s v="&lt;null&gt;"/>
    <n v="100"/>
    <n v="6504.6"/>
    <n v="6504.6"/>
  </r>
  <r>
    <x v="1305"/>
    <x v="1305"/>
    <s v="Verkeersveiligheid"/>
    <x v="4"/>
    <n v="2045"/>
    <s v="IN/001652"/>
    <s v="SRK: N495a Geraardsbergen: aanbrengen fietslogo's"/>
    <s v="aanbrengen van fietslogo's tussen overgang fietspad en Sint amandusplein in beide richtingen"/>
    <s v="Kleine Ingreep"/>
    <s v="WOV/INV/N495/5"/>
    <b v="0"/>
    <s v="Ingreep wordt niet opgevolgd in BOD"/>
    <n v="2022"/>
    <s v="Q2"/>
    <s v="OVERIGE"/>
    <s v="AWV/INV/2021/3 P4"/>
    <n v="50"/>
    <n v="300"/>
    <n v="150"/>
  </r>
  <r>
    <x v="1306"/>
    <x v="1306"/>
    <s v="Verkeersveiligheid"/>
    <x v="4"/>
    <n v="2045"/>
    <s v="IN/001652"/>
    <s v="SRK: N495a Geraardsbergen: aanbrengen fietslogo's"/>
    <s v="aanbrengen van fietslogo's tussen overgang fietspad en Sint amandusplein in beide richtingen"/>
    <s v="Kleine Ingreep"/>
    <s v="WOV/INV/N495/5"/>
    <b v="0"/>
    <s v="Ingreep wordt niet opgevolgd in BOD"/>
    <n v="2022"/>
    <s v="Q2"/>
    <s v="OVERIGE"/>
    <s v="AWV/INV/2021/3 P4"/>
    <n v="50"/>
    <n v="300"/>
    <n v="150"/>
  </r>
  <r>
    <x v="18"/>
    <x v="18"/>
    <s v="&lt;null&gt;"/>
    <x v="3"/>
    <n v="2046"/>
    <s v="IN/001653"/>
    <s v="Aanleg VOP"/>
    <s v="Aanleggen VOP volgens beslissing"/>
    <s v="Kleine Ingreep"/>
    <s v="WOV/INV/N445/6"/>
    <b v="0"/>
    <s v="Ingreep wordt niet opgevolgd in BOD"/>
    <n v="2022"/>
    <s v="Q2"/>
    <s v="WEGENIS"/>
    <s v="&lt;null&gt;"/>
    <m/>
    <n v="1000"/>
    <m/>
  </r>
  <r>
    <x v="1307"/>
    <x v="1307"/>
    <s v="Structureel Onderhoud"/>
    <x v="8"/>
    <n v="2047"/>
    <s v="IN/001654"/>
    <s v="A8 - Structureel onderhoud brug N7 (Halle)"/>
    <s v="&lt;null&gt;"/>
    <s v="Structurele Ingreep"/>
    <s v="WVB/INV/A8/4"/>
    <b v="0"/>
    <s v="Ingreep wordt niet opgevolgd in BOD"/>
    <s v="&lt;null&gt;"/>
    <s v="&lt;null&gt;"/>
    <s v="&lt;null&gt;"/>
    <s v="&lt;null&gt;"/>
    <n v="100"/>
    <m/>
    <m/>
  </r>
  <r>
    <x v="1308"/>
    <x v="1308"/>
    <s v="Verkeersveiligheid"/>
    <x v="4"/>
    <n v="2048"/>
    <s v="IN/001655"/>
    <s v="Ingreep Schoolroute N115 Brecht"/>
    <s v="PCV dossier"/>
    <s v="Kleine Ingreep"/>
    <s v="WA/INV/N115/8"/>
    <b v="0"/>
    <s v="Ingreep wordt niet opgevolgd in BOD"/>
    <n v="2022"/>
    <s v="Q4"/>
    <s v="WEGENIS"/>
    <s v="&lt;null&gt;"/>
    <n v="100"/>
    <n v="40000"/>
    <n v="40000"/>
  </r>
  <r>
    <x v="54"/>
    <x v="54"/>
    <s v="Fiets"/>
    <x v="0"/>
    <n v="2049"/>
    <s v="IN/001656"/>
    <s v="N73 Hechtel-Eksel, structureel onderhoud fietspad"/>
    <s v="&lt;null&gt;"/>
    <s v="Structurele Ingreep"/>
    <s v="WL/INV/N73/23"/>
    <b v="0"/>
    <s v="Ingreep wordt niet opgevolgd in BOD"/>
    <s v="&lt;null&gt;"/>
    <s v="&lt;null&gt;"/>
    <s v="&lt;null&gt;"/>
    <s v="&lt;null&gt;"/>
    <n v="100"/>
    <m/>
    <m/>
  </r>
  <r>
    <x v="18"/>
    <x v="18"/>
    <s v="&lt;null&gt;"/>
    <x v="3"/>
    <n v="2050"/>
    <s v="IN/001657"/>
    <s v="N9 Adegem - vernieuwen brug over Afleidingskanaal"/>
    <s v="&lt;null&gt;"/>
    <s v="Structurele Ingreep"/>
    <s v="WOV/INV/N9/7"/>
    <b v="0"/>
    <s v="Ingreep wordt niet opgevolgd in BOD"/>
    <n v="2023"/>
    <s v="Q2"/>
    <s v="OVERIGE"/>
    <s v="&lt;null&gt;"/>
    <m/>
    <n v="3500000"/>
    <m/>
  </r>
  <r>
    <x v="968"/>
    <x v="968"/>
    <s v="Verkeersveiligheid"/>
    <x v="4"/>
    <n v="2051"/>
    <s v="IN/001658"/>
    <s v="PCV 957 - beveiligen aansluiting Gouden Hoofdstraat"/>
    <s v="Middengeleider, oversteek fietsers, insnoeren G.Hoofdstraat"/>
    <s v="Kleine Ingreep"/>
    <s v="WWV/INV/N35/10"/>
    <b v="1"/>
    <s v="Ingreep wordt opgevolgd in BOD"/>
    <n v="2022"/>
    <s v="Q4"/>
    <s v="WEGENIS"/>
    <s v="onder voorbehoud planning aannemer"/>
    <n v="100"/>
    <n v="150000"/>
    <n v="150000"/>
  </r>
  <r>
    <x v="1309"/>
    <x v="1309"/>
    <s v="Verkeersveiligheid"/>
    <x v="4"/>
    <n v="2052"/>
    <s v="IN/001659"/>
    <s v="Knelpunt op schoolroutes wordt aangepakt door ombouw VRI volgens actieplan"/>
    <s v="&lt;null&gt;"/>
    <s v="Kleine Ingreep"/>
    <s v="&lt;null&gt;"/>
    <b v="0"/>
    <s v="Ingreep wordt niet opgevolgd in BOD"/>
    <s v="&lt;null&gt;"/>
    <s v="&lt;null&gt;"/>
    <s v="&lt;null&gt;"/>
    <s v="&lt;null&gt;"/>
    <n v="100"/>
    <m/>
    <m/>
  </r>
  <r>
    <x v="1310"/>
    <x v="1310"/>
    <s v="Verkeersveiligheid"/>
    <x v="4"/>
    <n v="2053"/>
    <s v="IN/001660"/>
    <s v="Markeringen"/>
    <s v="Markeren parkeervakken om zichtbaarheid te verhogen"/>
    <s v="Kleine Ingreep"/>
    <s v="WWV/INV/N368/13"/>
    <b v="0"/>
    <s v="Ingreep wordt niet opgevolgd in BOD"/>
    <n v="2021"/>
    <s v="Q4"/>
    <s v="WEGENIS"/>
    <s v="uitgevoerd op onderhoudsbestek markering"/>
    <n v="100"/>
    <n v="500"/>
    <n v="500"/>
  </r>
  <r>
    <x v="1047"/>
    <x v="1047"/>
    <s v="Verkeersveiligheid"/>
    <x v="4"/>
    <n v="2054"/>
    <s v="IN/001661"/>
    <s v="Aanpassen parkeerplaatsen"/>
    <s v="wegnemen verkeersplateau, parkeerplaatsen, tijdelijk parkeerverbod begin- en einde schooltijd\n"/>
    <s v="Kleine Ingreep"/>
    <s v="WL/INV/N789/2"/>
    <b v="0"/>
    <s v="Ingreep wordt niet opgevolgd in BOD"/>
    <n v="2023"/>
    <s v="Q2"/>
    <s v="OVERIGE"/>
    <s v="&lt;null&gt;"/>
    <n v="100"/>
    <n v="50000"/>
    <n v="50000"/>
  </r>
  <r>
    <x v="1311"/>
    <x v="1311"/>
    <s v="Verkeersveiligheid"/>
    <x v="4"/>
    <n v="2055"/>
    <s v="IN/001662"/>
    <s v="PCV 851 - R33 Zuidlaan x N304 Renigelstseweg / Deken De Bolaan"/>
    <s v="fietspaden vrijliggend brengen op de rotonde"/>
    <s v="Kleine Ingreep"/>
    <s v="WWV/INV/R33/1"/>
    <b v="1"/>
    <s v="Ingreep wordt opgevolgd in BOD"/>
    <n v="2023"/>
    <s v="Q2"/>
    <s v="WEGENIS"/>
    <s v="onder voorbehoud planning aannemer"/>
    <n v="100"/>
    <n v="150000"/>
    <n v="150000"/>
  </r>
  <r>
    <x v="1311"/>
    <x v="1311"/>
    <s v="Verkeersveiligheid"/>
    <x v="4"/>
    <n v="2056"/>
    <s v="IN/001663"/>
    <s v="PCV 944 - R33 Zuidlaan x N333 Abeelseweg / Casselstraat."/>
    <s v="fietsers buiten de rotonde brengen"/>
    <s v="Kleine Ingreep"/>
    <s v="WWV/INV/R33/2"/>
    <b v="1"/>
    <s v="Ingreep wordt opgevolgd in BOD"/>
    <n v="2023"/>
    <s v="Q2"/>
    <s v="WEGENIS"/>
    <s v="onder voorbehoud planning aannemer"/>
    <n v="100"/>
    <n v="250000"/>
    <n v="250000"/>
  </r>
  <r>
    <x v="1312"/>
    <x v="1312"/>
    <s v="Verkeersveiligheid"/>
    <x v="4"/>
    <n v="2057"/>
    <s v="IN/001664"/>
    <s v="PCV 945 - N35 Staatsbaan - Esenstraat x N36 Zarrenstraat"/>
    <s v="Plaatsen verkeerslichten"/>
    <s v="Kleine Ingreep"/>
    <s v="WWV/INV/N35/11"/>
    <b v="0"/>
    <s v="Ingreep wordt niet opgevolgd in BOD"/>
    <n v="2025"/>
    <s v="Q2"/>
    <s v="WEGENIS"/>
    <s v="&lt;null&gt;"/>
    <n v="100"/>
    <n v="200000"/>
    <n v="200000"/>
  </r>
  <r>
    <x v="1021"/>
    <x v="1021"/>
    <s v="Verkeersveiligheid"/>
    <x v="4"/>
    <n v="2058"/>
    <s v="IN/001665"/>
    <s v="Oversteekvoorziening met middengeleider (PM studiebureau aan te stellen via MC3)"/>
    <s v="Feitelijke oversteek (niet gemarkeerd), maar met middenberm opdat oversteken in 2x kan"/>
    <s v="Kleine Ingreep"/>
    <s v="WL/INV/N719/10"/>
    <b v="0"/>
    <s v="Ingreep wordt niet opgevolgd in BOD"/>
    <n v="2023"/>
    <s v="&lt;null&gt;"/>
    <s v="OVERIGE"/>
    <s v="&lt;null&gt;"/>
    <n v="100"/>
    <n v="197566"/>
    <n v="197566"/>
  </r>
  <r>
    <x v="900"/>
    <x v="900"/>
    <s v="Verkeersveiligheid"/>
    <x v="4"/>
    <n v="2059"/>
    <s v="IN/001666"/>
    <s v="Punctuele verlichting"/>
    <s v="&lt;null&gt;"/>
    <s v="Kleine Ingreep"/>
    <s v="WL/INV/N729/9"/>
    <b v="0"/>
    <s v="Ingreep wordt niet opgevolgd in BOD"/>
    <n v="2022"/>
    <s v="Q2"/>
    <s v="OV"/>
    <s v="&lt;null&gt;"/>
    <n v="100"/>
    <n v="75000"/>
    <n v="75000"/>
  </r>
  <r>
    <x v="1313"/>
    <x v="1313"/>
    <s v="Verkeersveiligheid"/>
    <x v="4"/>
    <n v="2060"/>
    <s v="IN/001667"/>
    <s v="Ingreep Schoolroute N118 Arendonk"/>
    <s v="PCV dossier"/>
    <s v="Kleine Ingreep"/>
    <s v="WA/INV/N118/12"/>
    <b v="0"/>
    <s v="Ingreep wordt niet opgevolgd in BOD"/>
    <n v="2022"/>
    <s v="Q1"/>
    <s v="VRI"/>
    <s v="&lt;null&gt;"/>
    <n v="100"/>
    <n v="25000"/>
    <n v="25000"/>
  </r>
  <r>
    <x v="1314"/>
    <x v="1314"/>
    <s v="Verkeersveiligheid"/>
    <x v="4"/>
    <n v="2061"/>
    <s v="IN/001668"/>
    <s v="Ingreep Schoolroute N118/N139 Arendonk"/>
    <s v="PCV dossier"/>
    <s v="Kleine Ingreep"/>
    <s v="WA/INV/N139/9"/>
    <b v="1"/>
    <s v="Ingreep wordt opgevolgd in BOD"/>
    <n v="2022"/>
    <s v="Q3"/>
    <s v="VRI"/>
    <s v="&lt;null&gt;"/>
    <n v="100"/>
    <n v="50000"/>
    <n v="50000"/>
  </r>
  <r>
    <x v="1315"/>
    <x v="1315"/>
    <s v="Verkeersveiligheid"/>
    <x v="4"/>
    <n v="2062"/>
    <s v="IN/001669"/>
    <s v="Arendonk-Onder d'Eiken - Ingreep Schoolroute N139 Arendonk"/>
    <s v="PCV dossier"/>
    <s v="Kleine Ingreep"/>
    <s v="WA/INV/N139/8"/>
    <b v="0"/>
    <s v="Ingreep wordt niet opgevolgd in BOD"/>
    <n v="2022"/>
    <s v="Q3"/>
    <s v="WEGENIS"/>
    <s v="&lt;null&gt;"/>
    <n v="100"/>
    <n v="25000"/>
    <n v="25000"/>
  </r>
  <r>
    <x v="18"/>
    <x v="18"/>
    <s v="&lt;null&gt;"/>
    <x v="3"/>
    <n v="2063"/>
    <s v="IN/001670"/>
    <s v="A8 - Structureel onderhoud ikv omvorming (Halle)"/>
    <s v="&lt;null&gt;"/>
    <s v="Structurele Ingreep"/>
    <s v="WVB/INV/A8/2"/>
    <b v="0"/>
    <s v="Ingreep wordt niet opgevolgd in BOD"/>
    <s v="&lt;null&gt;"/>
    <s v="&lt;null&gt;"/>
    <s v="&lt;null&gt;"/>
    <s v="&lt;null&gt;"/>
    <m/>
    <m/>
    <m/>
  </r>
  <r>
    <x v="18"/>
    <x v="18"/>
    <s v="&lt;null&gt;"/>
    <x v="3"/>
    <n v="2064"/>
    <s v="IN/001671"/>
    <s v="N1 Verbreding brug Postzegellaan"/>
    <s v="&lt;null&gt;"/>
    <s v="Structurele Ingreep"/>
    <s v="WA/INV/N1/21"/>
    <b v="0"/>
    <s v="Ingreep wordt niet opgevolgd in BOD"/>
    <s v="&lt;null&gt;"/>
    <s v="&lt;null&gt;"/>
    <s v="&lt;null&gt;"/>
    <s v="&lt;null&gt;"/>
    <m/>
    <m/>
    <m/>
  </r>
  <r>
    <x v="18"/>
    <x v="18"/>
    <s v="&lt;null&gt;"/>
    <x v="3"/>
    <n v="2065"/>
    <s v="IN/001672"/>
    <s v="N2 - Herent (Aquafin) grens Kortenberg - Termere"/>
    <s v="&lt;null&gt;"/>
    <s v="Structurele Ingreep"/>
    <s v="WVB/INV/N2/19"/>
    <b v="0"/>
    <s v="Ingreep wordt niet opgevolgd in BOD"/>
    <s v="&lt;null&gt;"/>
    <s v="&lt;null&gt;"/>
    <s v="&lt;null&gt;"/>
    <s v="&lt;null&gt;"/>
    <m/>
    <m/>
    <m/>
  </r>
  <r>
    <x v="1316"/>
    <x v="1316"/>
    <s v="Stimuleren Combimobiliteit"/>
    <x v="7"/>
    <n v="2066"/>
    <s v="IN/001673"/>
    <s v="Aanleg verhoogde bushaltehaven"/>
    <s v="&lt;null&gt;"/>
    <s v="Kleine Ingreep"/>
    <s v="WOV/INV/N70/10"/>
    <b v="1"/>
    <s v="Ingreep wordt opgevolgd in BOD"/>
    <n v="2022"/>
    <s v="Q2"/>
    <s v="OV"/>
    <s v="&lt;null&gt;"/>
    <n v="100"/>
    <n v="17000"/>
    <n v="17000"/>
  </r>
  <r>
    <x v="861"/>
    <x v="861"/>
    <s v="Verkeersveiligheid"/>
    <x v="4"/>
    <n v="2067"/>
    <s v="IN/001674"/>
    <s v="Punctuele verlichting t.h.v. kruispunt Trekschurenstraat"/>
    <s v="&lt;null&gt;"/>
    <s v="Kleine Ingreep"/>
    <s v="WL/INV/N20/10"/>
    <b v="0"/>
    <s v="Ingreep wordt niet opgevolgd in BOD"/>
    <n v="2022"/>
    <s v="&lt;null&gt;"/>
    <s v="OV"/>
    <s v="&lt;null&gt;"/>
    <n v="100"/>
    <n v="75000"/>
    <n v="75000"/>
  </r>
  <r>
    <x v="1317"/>
    <x v="1317"/>
    <s v="Stimuleren Combimobiliteit"/>
    <x v="7"/>
    <n v="2068"/>
    <s v="IN/001675"/>
    <s v="N403 Kemzeke kmp 6.4 oplopend rechts Aanleg verhoogde bushaltehaven"/>
    <s v="N403 kemzeke kmp 6.4 oplopend rechts\nAanleg verhoogde bushaltehaven"/>
    <s v="Kleine Ingreep"/>
    <s v="WOV/INV/N403/2"/>
    <b v="1"/>
    <s v="Ingreep wordt opgevolgd in BOD"/>
    <n v="2022"/>
    <s v="Q2"/>
    <s v="OV"/>
    <s v="&lt;null&gt;"/>
    <n v="100"/>
    <n v="10000"/>
    <n v="10000"/>
  </r>
  <r>
    <x v="1318"/>
    <x v="1318"/>
    <s v="Stimuleren Combimobiliteit"/>
    <x v="7"/>
    <n v="2069"/>
    <s v="IN/001676"/>
    <s v="N419 Steendorp Hemelrijkstraat mp 4.300 oplopend rechts  aanleg verhoogde bushaltehaven"/>
    <s v="N419 Steendorp Hemelrijkstraat mp 4.300 oplopend rechts \naanleg verhoogde bushaltehaven"/>
    <s v="Kleine Ingreep"/>
    <s v="WOV/INV/N419/5"/>
    <b v="1"/>
    <s v="Ingreep wordt opgevolgd in BOD"/>
    <n v="2022"/>
    <s v="Q2"/>
    <s v="OV"/>
    <s v="&lt;null&gt;"/>
    <n v="100"/>
    <n v="10000"/>
    <n v="10000"/>
  </r>
  <r>
    <x v="249"/>
    <x v="249"/>
    <s v="Verkeersveiligheid"/>
    <x v="1"/>
    <n v="2070"/>
    <s v="IN/001677"/>
    <s v="Uitrol VLCC"/>
    <s v="Aanpassen VRI + afslagstrook"/>
    <s v="Kleine Ingreep"/>
    <s v="WA/INV/N1/22"/>
    <b v="1"/>
    <s v="Ingreep wordt opgevolgd in BOD"/>
    <n v="2022"/>
    <s v="&lt;null&gt;"/>
    <s v="WEGENIS"/>
    <s v="&lt;null&gt;"/>
    <n v="100"/>
    <n v="100000"/>
    <n v="100000"/>
  </r>
  <r>
    <x v="249"/>
    <x v="249"/>
    <s v="Verkeersveiligheid"/>
    <x v="1"/>
    <n v="2070"/>
    <s v="IN/001677"/>
    <s v="Uitrol VLCC"/>
    <s v="Aanpassen VRI + afslagstrook"/>
    <s v="Kleine Ingreep"/>
    <s v="WA/INV/N1/22"/>
    <b v="1"/>
    <s v="Ingreep wordt opgevolgd in BOD"/>
    <n v="2022"/>
    <s v="&lt;null&gt;"/>
    <s v="VRI"/>
    <s v="&lt;null&gt;"/>
    <n v="100"/>
    <n v="250000"/>
    <n v="250000"/>
  </r>
  <r>
    <x v="1318"/>
    <x v="1318"/>
    <s v="Stimuleren Combimobiliteit"/>
    <x v="7"/>
    <n v="2071"/>
    <s v="IN/001678"/>
    <s v="N419 Steendorp Hemelrijkstraat kmp 4.3 aflopend rechts  Aanleg verhoogde bushaltehaven"/>
    <s v="N419 Steendorp Hemelrijkstraat kmp 4.3 aflopend rechts \nAanleg verhoogde bushaltehaven"/>
    <s v="Kleine Ingreep"/>
    <s v="WOV/INV/N419/6"/>
    <b v="0"/>
    <s v="Ingreep wordt niet opgevolgd in BOD"/>
    <n v="2022"/>
    <s v="Q2"/>
    <s v="OV"/>
    <s v="&lt;null&gt;"/>
    <n v="100"/>
    <n v="19000"/>
    <n v="19000"/>
  </r>
  <r>
    <x v="1319"/>
    <x v="1319"/>
    <s v="Stimuleren Combimobiliteit"/>
    <x v="7"/>
    <n v="2072"/>
    <s v="IN/001679"/>
    <s v="N17 Baasrode kmp 12,930 tot 12,970 rechts  Aanleg verhoogde bushaltehaven"/>
    <s v="N17 Baasrode kmp 12,930 tot 12,970 rechts \nAanleg verhoogde bushaltehaven"/>
    <s v="Kleine Ingreep"/>
    <s v="WOV/INV/N17/6"/>
    <b v="1"/>
    <s v="Ingreep wordt opgevolgd in BOD"/>
    <n v="2022"/>
    <s v="Q2"/>
    <s v="OV"/>
    <s v="&lt;null&gt;"/>
    <n v="100"/>
    <n v="40000"/>
    <n v="40000"/>
  </r>
  <r>
    <x v="1320"/>
    <x v="1320"/>
    <s v="Verkeersveiligheid"/>
    <x v="4"/>
    <n v="2073"/>
    <s v="IN/001680"/>
    <s v="Ingreep schoolroute Ranst N14 x Stapstraat"/>
    <s v="PCV dossier"/>
    <s v="Kleine Ingreep"/>
    <s v="&lt;null&gt;"/>
    <b v="0"/>
    <s v="Ingreep wordt niet opgevolgd in BOD"/>
    <s v="&lt;null&gt;"/>
    <s v="&lt;null&gt;"/>
    <s v="&lt;null&gt;"/>
    <s v="&lt;null&gt;"/>
    <n v="100"/>
    <m/>
    <m/>
  </r>
  <r>
    <x v="1321"/>
    <x v="1321"/>
    <s v="Verkeersveiligheid"/>
    <x v="1"/>
    <n v="2074"/>
    <s v="IN/001681"/>
    <s v="A19/R8 -  Kortrijk-West - aanleg"/>
    <s v="&lt;null&gt;"/>
    <s v="Structurele Ingreep"/>
    <s v="WWV/INV/A19/1"/>
    <b v="1"/>
    <s v="Ingreep wordt opgevolgd in BOD"/>
    <s v="&lt;null&gt;"/>
    <s v="&lt;null&gt;"/>
    <s v="&lt;null&gt;"/>
    <s v="&lt;null&gt;"/>
    <n v="100"/>
    <m/>
    <m/>
  </r>
  <r>
    <x v="990"/>
    <x v="990"/>
    <s v="Verkeersveiligheid"/>
    <x v="4"/>
    <n v="2075"/>
    <s v="IN/001682"/>
    <s v="Huldenberg N253 dorpsstraat Punctuele verlichting"/>
    <s v="Punctuele verlichting voorzien mits schrappen parkeerplaatsen"/>
    <s v="Kleine Ingreep"/>
    <s v="&lt;null&gt;"/>
    <b v="0"/>
    <s v="Ingreep wordt niet opgevolgd in BOD"/>
    <s v="&lt;null&gt;"/>
    <s v="&lt;null&gt;"/>
    <s v="&lt;null&gt;"/>
    <s v="&lt;null&gt;"/>
    <n v="100"/>
    <m/>
    <m/>
  </r>
  <r>
    <x v="1322"/>
    <x v="1322"/>
    <s v="Verkeersveiligheid"/>
    <x v="5"/>
    <n v="2076"/>
    <s v="IN/001683"/>
    <s v="aanpassen slokkers op rotonde met N75"/>
    <s v="verbeteren verkeersveiligheid voor gemotoriseerd verkeer"/>
    <s v="Kleine Ingreep"/>
    <s v="WL/INV/N75/12"/>
    <b v="1"/>
    <s v="Ingreep wordt opgevolgd in BOD"/>
    <n v="2022"/>
    <s v="Q1"/>
    <s v="WEGENIS"/>
    <s v="&lt;null&gt;"/>
    <n v="100"/>
    <n v="40000"/>
    <n v="40000"/>
  </r>
  <r>
    <x v="1323"/>
    <x v="1323"/>
    <s v="Verkeersveiligheid"/>
    <x v="4"/>
    <n v="2077"/>
    <s v="IN/001684"/>
    <s v="N762 Kinrooi FP Molenbeersel"/>
    <s v="&lt;null&gt;"/>
    <s v="Structurele Ingreep"/>
    <s v="WL/INV/N762/4"/>
    <b v="0"/>
    <s v="Ingreep wordt niet opgevolgd in BOD"/>
    <s v="&lt;null&gt;"/>
    <s v="&lt;null&gt;"/>
    <s v="&lt;null&gt;"/>
    <s v="&lt;null&gt;"/>
    <n v="100"/>
    <m/>
    <m/>
  </r>
  <r>
    <x v="18"/>
    <x v="18"/>
    <s v="&lt;null&gt;"/>
    <x v="3"/>
    <n v="2078"/>
    <s v="IN/001685"/>
    <s v="N75 Dilsen-Stokkem Eco-recreaduct"/>
    <s v="&lt;null&gt;"/>
    <s v="Structurele Ingreep"/>
    <s v="WL/INV/N75/1"/>
    <b v="0"/>
    <s v="Ingreep wordt niet opgevolgd in BOD"/>
    <s v="&lt;null&gt;"/>
    <s v="&lt;null&gt;"/>
    <s v="&lt;null&gt;"/>
    <s v="&lt;null&gt;"/>
    <m/>
    <m/>
    <m/>
  </r>
  <r>
    <x v="18"/>
    <x v="18"/>
    <s v="&lt;null&gt;"/>
    <x v="3"/>
    <n v="2079"/>
    <s v="IN/001686"/>
    <s v="E313 Diepenbeek: dienstenzone"/>
    <s v="&lt;null&gt;"/>
    <s v="Structurele Ingreep"/>
    <s v="WL/INV/E313/1"/>
    <b v="0"/>
    <s v="Ingreep wordt niet opgevolgd in BOD"/>
    <s v="&lt;null&gt;"/>
    <s v="&lt;null&gt;"/>
    <s v="&lt;null&gt;"/>
    <s v="&lt;null&gt;"/>
    <m/>
    <m/>
    <m/>
  </r>
  <r>
    <x v="346"/>
    <x v="346"/>
    <s v="Verkeersveiligheid"/>
    <x v="1"/>
    <n v="2080"/>
    <s v="IN/001687"/>
    <s v="N73 Bree, Aanleg ontbrekende fietspaden"/>
    <s v="&lt;null&gt;"/>
    <s v="Structurele Ingreep"/>
    <s v="WL/INV/N73/1"/>
    <b v="0"/>
    <s v="Ingreep wordt niet opgevolgd in BOD"/>
    <s v="&lt;null&gt;"/>
    <s v="&lt;null&gt;"/>
    <s v="&lt;null&gt;"/>
    <s v="&lt;null&gt;"/>
    <n v="25"/>
    <m/>
    <m/>
  </r>
  <r>
    <x v="18"/>
    <x v="18"/>
    <s v="&lt;null&gt;"/>
    <x v="3"/>
    <n v="2081"/>
    <s v="IN/001688"/>
    <s v="N78 Maasmechelen, Aanleg riolering en fietspaden"/>
    <s v="&lt;null&gt;"/>
    <s v="Structurele Ingreep"/>
    <s v="WL/INV/N78/2"/>
    <b v="0"/>
    <s v="Ingreep wordt niet opgevolgd in BOD"/>
    <s v="&lt;null&gt;"/>
    <s v="&lt;null&gt;"/>
    <s v="&lt;null&gt;"/>
    <s v="&lt;null&gt;"/>
    <m/>
    <m/>
    <m/>
  </r>
  <r>
    <x v="18"/>
    <x v="18"/>
    <s v="&lt;null&gt;"/>
    <x v="3"/>
    <n v="2082"/>
    <s v="IN/001689"/>
    <s v="E314/A2, Renovatie viaduct Boorsem"/>
    <s v="&lt;null&gt;"/>
    <s v="Structurele Ingreep"/>
    <s v="WL/INV/E314/1"/>
    <b v="0"/>
    <s v="Ingreep wordt niet opgevolgd in BOD"/>
    <s v="&lt;null&gt;"/>
    <s v="&lt;null&gt;"/>
    <s v="&lt;null&gt;"/>
    <s v="&lt;null&gt;"/>
    <m/>
    <m/>
    <m/>
  </r>
  <r>
    <x v="18"/>
    <x v="18"/>
    <s v="&lt;null&gt;"/>
    <x v="3"/>
    <n v="2083"/>
    <s v="IN/001690"/>
    <s v="N719 Houthalen Fietspaden Lillo"/>
    <s v="&lt;null&gt;"/>
    <s v="Structurele Ingreep"/>
    <s v="WL/INV/N719/3"/>
    <b v="0"/>
    <s v="Ingreep wordt niet opgevolgd in BOD"/>
    <s v="&lt;null&gt;"/>
    <s v="&lt;null&gt;"/>
    <s v="&lt;null&gt;"/>
    <s v="&lt;null&gt;"/>
    <m/>
    <m/>
    <m/>
  </r>
  <r>
    <x v="1111"/>
    <x v="1111"/>
    <s v="Verkeersveiligheid"/>
    <x v="4"/>
    <n v="2084"/>
    <s v="IN/001691"/>
    <s v="N411 Aalst: aanpassen markeringen fietspaden"/>
    <s v="aanbrengen van rode coating ter hoogte van kruispunten"/>
    <s v="Kleine Ingreep"/>
    <s v="WOV/INV/N411/3"/>
    <b v="0"/>
    <s v="Ingreep wordt niet opgevolgd in BOD"/>
    <n v="2022"/>
    <s v="Q2"/>
    <s v="OVERIGE"/>
    <s v="O40 D415 66"/>
    <n v="100"/>
    <n v="1500"/>
    <n v="1500"/>
  </r>
  <r>
    <x v="1126"/>
    <x v="1126"/>
    <s v="Verkeersveiligheid"/>
    <x v="4"/>
    <n v="2085"/>
    <s v="IN/001692"/>
    <s v="aanbrengen markeringen fietspaden"/>
    <s v="aanbrengen rode coating ter hoogte van kruispunten"/>
    <s v="Kleine Ingreep"/>
    <s v="WOV/INV/NX/4"/>
    <b v="0"/>
    <s v="Ingreep wordt niet opgevolgd in BOD"/>
    <n v="2022"/>
    <s v="Q2"/>
    <s v="OVERIGE"/>
    <s v="O40 D415 66"/>
    <n v="100"/>
    <n v="5000"/>
    <n v="5000"/>
  </r>
  <r>
    <x v="1305"/>
    <x v="1305"/>
    <s v="Verkeersveiligheid"/>
    <x v="4"/>
    <n v="2086"/>
    <s v="IN/001693"/>
    <s v="SRK: N494a Geraardsbergen: aanpassen markeringen fietspaden"/>
    <s v="aanbrengen rode coating ter hoogte van kruispunten"/>
    <s v="Kleine Ingreep"/>
    <s v="WOV/INV/N495/6"/>
    <b v="0"/>
    <s v="Ingreep wordt niet opgevolgd in BOD"/>
    <n v="2022"/>
    <s v="Q2"/>
    <s v="OVERIGE"/>
    <s v="O40 D415 66"/>
    <n v="100"/>
    <n v="5000"/>
    <n v="5000"/>
  </r>
  <r>
    <x v="18"/>
    <x v="18"/>
    <s v="&lt;null&gt;"/>
    <x v="3"/>
    <n v="2087"/>
    <s v="IN/001694"/>
    <s v="A2 Genk - geluidswerende maatregelen"/>
    <s v="&lt;null&gt;"/>
    <s v="Structurele Ingreep"/>
    <s v="WL/INV/A2/4"/>
    <b v="0"/>
    <s v="Ingreep wordt niet opgevolgd in BOD"/>
    <s v="&lt;null&gt;"/>
    <s v="&lt;null&gt;"/>
    <s v="&lt;null&gt;"/>
    <s v="&lt;null&gt;"/>
    <m/>
    <m/>
    <m/>
  </r>
  <r>
    <x v="18"/>
    <x v="18"/>
    <s v="&lt;null&gt;"/>
    <x v="3"/>
    <n v="2088"/>
    <s v="IN/001695"/>
    <s v="N762 Maaseik Weertersteenweg Schoolomgeving"/>
    <s v="&lt;null&gt;"/>
    <s v="Structurele Ingreep"/>
    <s v="WL/INV/N762/1"/>
    <b v="0"/>
    <s v="Ingreep wordt niet opgevolgd in BOD"/>
    <s v="&lt;null&gt;"/>
    <s v="&lt;null&gt;"/>
    <s v="&lt;null&gt;"/>
    <s v="&lt;null&gt;"/>
    <m/>
    <m/>
    <m/>
  </r>
  <r>
    <x v="18"/>
    <x v="18"/>
    <s v="&lt;null&gt;"/>
    <x v="3"/>
    <n v="2089"/>
    <s v="IN/001696"/>
    <s v="N712 Pelt, Ontsluiting De Koel SO7"/>
    <s v="&lt;null&gt;"/>
    <s v="Structurele Ingreep"/>
    <s v="WL/INV/N712/1"/>
    <b v="0"/>
    <s v="Ingreep wordt niet opgevolgd in BOD"/>
    <s v="&lt;null&gt;"/>
    <s v="&lt;null&gt;"/>
    <s v="&lt;null&gt;"/>
    <s v="&lt;null&gt;"/>
    <m/>
    <m/>
    <m/>
  </r>
  <r>
    <x v="18"/>
    <x v="18"/>
    <s v="&lt;null&gt;"/>
    <x v="3"/>
    <n v="2090"/>
    <s v="IN/001697"/>
    <s v="N73 Bree, PCV N73xRoermonderstraat"/>
    <s v="&lt;null&gt;"/>
    <s v="Structurele Ingreep"/>
    <s v="WL/INV/N73/17"/>
    <b v="0"/>
    <s v="Ingreep wordt niet opgevolgd in BOD"/>
    <s v="&lt;null&gt;"/>
    <s v="&lt;null&gt;"/>
    <s v="&lt;null&gt;"/>
    <s v="&lt;null&gt;"/>
    <m/>
    <m/>
    <m/>
  </r>
  <r>
    <x v="18"/>
    <x v="18"/>
    <s v="&lt;null&gt;"/>
    <x v="3"/>
    <n v="2091"/>
    <s v="IN/001698"/>
    <s v="N730 Oudsbergen PCV Rotonde Centrum"/>
    <s v="&lt;null&gt;"/>
    <s v="Structurele Ingreep"/>
    <s v="WL/INV/N730/4"/>
    <b v="0"/>
    <s v="Ingreep wordt niet opgevolgd in BOD"/>
    <s v="&lt;null&gt;"/>
    <s v="&lt;null&gt;"/>
    <s v="&lt;null&gt;"/>
    <s v="&lt;null&gt;"/>
    <m/>
    <m/>
    <m/>
  </r>
  <r>
    <x v="1324"/>
    <x v="1324"/>
    <s v="Verkeersveiligheid"/>
    <x v="4"/>
    <n v="2092"/>
    <s v="IN/001699"/>
    <s v="Trajectcontrole bebouwde kom Petegem"/>
    <s v="TC2021_236"/>
    <s v="Kleine Ingreep"/>
    <s v="WOV/INV/N453/1"/>
    <b v="0"/>
    <s v="Ingreep wordt niet opgevolgd in BOD"/>
    <n v="2022"/>
    <s v="Q2"/>
    <s v="OVERIGE"/>
    <s v="&lt;null&gt;"/>
    <n v="100"/>
    <n v="165000"/>
    <n v="165000"/>
  </r>
  <r>
    <x v="1325"/>
    <x v="1325"/>
    <s v="Fiets"/>
    <x v="0"/>
    <n v="2093"/>
    <s v="IN/001700"/>
    <s v="N78 Dilsen-Stokkem Lanklaar, uitv. streefbeeld"/>
    <s v="&lt;null&gt;"/>
    <s v="Structurele Ingreep"/>
    <s v="WL/INV/N78/11"/>
    <b v="0"/>
    <s v="Ingreep wordt niet opgevolgd in BOD"/>
    <s v="&lt;null&gt;"/>
    <s v="&lt;null&gt;"/>
    <s v="&lt;null&gt;"/>
    <s v="&lt;null&gt;"/>
    <n v="100"/>
    <m/>
    <m/>
  </r>
  <r>
    <x v="18"/>
    <x v="18"/>
    <s v="&lt;null&gt;"/>
    <x v="3"/>
    <n v="2094"/>
    <s v="IN/001701"/>
    <s v="N78 Lanaken, PCV Reistraat"/>
    <s v="&lt;null&gt;"/>
    <s v="Structurele Ingreep"/>
    <s v="WL/INV/N78/6"/>
    <b v="0"/>
    <s v="Ingreep wordt niet opgevolgd in BOD"/>
    <s v="&lt;null&gt;"/>
    <s v="&lt;null&gt;"/>
    <s v="&lt;null&gt;"/>
    <s v="&lt;null&gt;"/>
    <m/>
    <m/>
    <m/>
  </r>
  <r>
    <x v="18"/>
    <x v="18"/>
    <s v="&lt;null&gt;"/>
    <x v="3"/>
    <n v="2095"/>
    <s v="IN/001702"/>
    <s v="E40 Gent - aanleg weefstroken en geluidsschermen"/>
    <s v="&lt;null&gt;"/>
    <s v="Structurele Ingreep"/>
    <s v="WOV/INV/E40/2"/>
    <b v="0"/>
    <s v="Ingreep wordt niet opgevolgd in BOD"/>
    <s v="&lt;null&gt;"/>
    <s v="&lt;null&gt;"/>
    <s v="&lt;null&gt;"/>
    <s v="&lt;null&gt;"/>
    <m/>
    <m/>
    <m/>
  </r>
  <r>
    <x v="1164"/>
    <x v="1164"/>
    <s v="Verkeersveiligheid"/>
    <x v="5"/>
    <n v="2096"/>
    <s v="IN/001703"/>
    <s v="PCV 922 - N363 Provinciebaan x Bovekerkestraat. Beveiligen fietsoverstee"/>
    <s v="De kaarsrechte weg N363 komende vanuit de richting Torhout wordt in nadering van het kruispunt met de Bovekerkestraat en de Litterveldstraat meer uitgebogen om te proberen de gereden snelheid te doen dalen.  De fietsoversteek voor wie komt uit de gemeente"/>
    <s v="Kleine Ingreep"/>
    <s v="&lt;null&gt;"/>
    <b v="0"/>
    <s v="Ingreep wordt niet opgevolgd in BOD"/>
    <n v="2022"/>
    <s v="Q1"/>
    <s v="WEGENIS"/>
    <s v="&lt;null&gt;"/>
    <n v="100"/>
    <n v="180000"/>
    <n v="180000"/>
  </r>
  <r>
    <x v="18"/>
    <x v="18"/>
    <s v="&lt;null&gt;"/>
    <x v="3"/>
    <n v="2097"/>
    <s v="IN/001704"/>
    <s v="N725 Lummen Fietspaden Meldertsebaan fase 4"/>
    <s v="&lt;null&gt;"/>
    <s v="Structurele Ingreep"/>
    <s v="WL/INV/N725/6"/>
    <b v="0"/>
    <s v="Ingreep wordt niet opgevolgd in BOD"/>
    <s v="&lt;null&gt;"/>
    <s v="&lt;null&gt;"/>
    <s v="&lt;null&gt;"/>
    <s v="&lt;null&gt;"/>
    <m/>
    <m/>
    <m/>
  </r>
  <r>
    <x v="1326"/>
    <x v="1326"/>
    <s v="Verkeersveiligheid"/>
    <x v="4"/>
    <n v="2098"/>
    <s v="IN/001705"/>
    <s v="vaste zone 30 centrum"/>
    <s v="&lt;null&gt;"/>
    <s v="Kleine Ingreep"/>
    <s v="WWV/INV/N377/1"/>
    <b v="0"/>
    <s v="Ingreep wordt niet opgevolgd in BOD"/>
    <n v="2021"/>
    <s v="Q3"/>
    <s v="OVERIGE"/>
    <s v="Geen relance: werd uitgevoerd met Centrale ArbeidersRegie (dus eigen middelen)"/>
    <n v="100"/>
    <n v="250"/>
    <n v="250"/>
  </r>
  <r>
    <x v="18"/>
    <x v="18"/>
    <s v="&lt;null&gt;"/>
    <x v="3"/>
    <n v="2099"/>
    <s v="IN/001706"/>
    <s v="N78 Fietspaden Maaseik-Kinrooi"/>
    <s v="&lt;null&gt;"/>
    <s v="Structurele Ingreep"/>
    <s v="WL/INV/N78/23"/>
    <b v="0"/>
    <s v="Ingreep wordt niet opgevolgd in BOD"/>
    <s v="&lt;null&gt;"/>
    <s v="&lt;null&gt;"/>
    <s v="&lt;null&gt;"/>
    <s v="&lt;null&gt;"/>
    <m/>
    <m/>
    <m/>
  </r>
  <r>
    <x v="18"/>
    <x v="18"/>
    <s v="&lt;null&gt;"/>
    <x v="3"/>
    <n v="2100"/>
    <s v="IN/001707"/>
    <s v="Vernieuwen brug over Dijle te Rotselaar"/>
    <s v="&lt;null&gt;"/>
    <s v="Structurele Ingreep"/>
    <s v="WVB/INV/N229/5"/>
    <b v="0"/>
    <s v="Ingreep wordt niet opgevolgd in BOD"/>
    <s v="&lt;null&gt;"/>
    <s v="&lt;null&gt;"/>
    <s v="&lt;null&gt;"/>
    <s v="&lt;null&gt;"/>
    <m/>
    <m/>
    <m/>
  </r>
  <r>
    <x v="140"/>
    <x v="140"/>
    <s v="Fiets"/>
    <x v="0"/>
    <n v="2101"/>
    <s v="IN/001708"/>
    <s v="N39 Veurne Nieuwpoortkeiweg verbeteren afwatering"/>
    <s v="&lt;null&gt;"/>
    <s v="Structurele Ingreep"/>
    <s v="WWV/INV/N39/1"/>
    <b v="0"/>
    <s v="Ingreep wordt niet opgevolgd in BOD"/>
    <s v="&lt;null&gt;"/>
    <s v="&lt;null&gt;"/>
    <s v="&lt;null&gt;"/>
    <s v="&lt;null&gt;"/>
    <n v="40"/>
    <m/>
    <m/>
  </r>
  <r>
    <x v="601"/>
    <x v="601"/>
    <s v="Verkeersveiligheid"/>
    <x v="1"/>
    <n v="2101"/>
    <s v="IN/001708"/>
    <s v="N39 Veurne Nieuwpoortkeiweg verbeteren afwatering"/>
    <s v="&lt;null&gt;"/>
    <s v="Structurele Ingreep"/>
    <s v="WWV/INV/N39/1"/>
    <b v="0"/>
    <s v="Ingreep wordt niet opgevolgd in BOD"/>
    <s v="&lt;null&gt;"/>
    <s v="&lt;null&gt;"/>
    <s v="&lt;null&gt;"/>
    <s v="&lt;null&gt;"/>
    <n v="5"/>
    <m/>
    <m/>
  </r>
  <r>
    <x v="1327"/>
    <x v="1327"/>
    <s v="Verkeersveiligheid"/>
    <x v="6"/>
    <n v="2102"/>
    <s v="IN/001709"/>
    <s v="verkeersveiligheid"/>
    <s v="Wegwerken hoogteverschillen op 6 locaties op N462 tussen 6.6 en 9.0"/>
    <s v="Kleine Ingreep"/>
    <s v="WOV/INV/N462/6"/>
    <b v="1"/>
    <s v="Ingreep wordt opgevolgd in BOD"/>
    <n v="2022"/>
    <s v="Q1"/>
    <s v="WEGENIS"/>
    <s v="&lt;null&gt;"/>
    <n v="100"/>
    <n v="14596.29"/>
    <n v="14596.29"/>
  </r>
  <r>
    <x v="18"/>
    <x v="18"/>
    <s v="&lt;null&gt;"/>
    <x v="3"/>
    <n v="2103"/>
    <s v="IN/001710"/>
    <s v="X21/N019/31 Leuven - Wetenschapspark en Kes"/>
    <s v="&lt;null&gt;"/>
    <s v="Structurele Ingreep"/>
    <s v="WVB/INV/N19/7"/>
    <b v="0"/>
    <s v="Ingreep wordt niet opgevolgd in BOD"/>
    <s v="&lt;null&gt;"/>
    <s v="&lt;null&gt;"/>
    <s v="&lt;null&gt;"/>
    <s v="&lt;null&gt;"/>
    <m/>
    <m/>
    <m/>
  </r>
  <r>
    <x v="1328"/>
    <x v="1328"/>
    <s v="Verkeersveiligheid"/>
    <x v="4"/>
    <n v="2104"/>
    <s v="IN/001711"/>
    <s v="Aanpassing V-plannen ikv nazorg VRI"/>
    <s v="&lt;null&gt;"/>
    <s v="Kleine Ingreep"/>
    <s v="WL/INV/N20/11"/>
    <b v="0"/>
    <s v="Ingreep wordt niet opgevolgd in BOD"/>
    <n v="2022"/>
    <s v="&lt;null&gt;"/>
    <s v="VRI"/>
    <s v="&lt;null&gt;"/>
    <n v="100"/>
    <n v="1"/>
    <n v="1"/>
  </r>
  <r>
    <x v="18"/>
    <x v="18"/>
    <s v="&lt;null&gt;"/>
    <x v="3"/>
    <n v="2105"/>
    <s v="IN/001712"/>
    <s v="N76 Borgloon fietspaden in samenwerking met Aquafi"/>
    <s v="&lt;null&gt;"/>
    <s v="Structurele Ingreep"/>
    <s v="WL/INV/N76/20"/>
    <b v="0"/>
    <s v="Ingreep wordt niet opgevolgd in BOD"/>
    <s v="&lt;null&gt;"/>
    <s v="&lt;null&gt;"/>
    <s v="&lt;null&gt;"/>
    <s v="&lt;null&gt;"/>
    <m/>
    <m/>
    <m/>
  </r>
  <r>
    <x v="1329"/>
    <x v="1329"/>
    <s v="Fiets"/>
    <x v="0"/>
    <n v="2106"/>
    <s v="IN/001713"/>
    <s v="N49 Knokke-Heist 2de golf Kragendijk heraanleg fietspaden"/>
    <s v="&lt;null&gt;"/>
    <s v="Structurele Ingreep"/>
    <s v="WWV/INV/N49/4"/>
    <b v="0"/>
    <s v="Ingreep wordt niet opgevolgd in BOD"/>
    <s v="&lt;null&gt;"/>
    <s v="&lt;null&gt;"/>
    <s v="&lt;null&gt;"/>
    <s v="&lt;null&gt;"/>
    <n v="100"/>
    <m/>
    <m/>
  </r>
  <r>
    <x v="18"/>
    <x v="18"/>
    <s v="&lt;null&gt;"/>
    <x v="3"/>
    <n v="2107"/>
    <s v="IN/001714"/>
    <s v="N730 : Tongeren : fietstunnel"/>
    <s v="&lt;null&gt;"/>
    <s v="Structurele Ingreep"/>
    <s v="WL/INV/N730/6"/>
    <b v="0"/>
    <s v="Ingreep wordt niet opgevolgd in BOD"/>
    <s v="&lt;null&gt;"/>
    <s v="&lt;null&gt;"/>
    <s v="&lt;null&gt;"/>
    <s v="&lt;null&gt;"/>
    <m/>
    <m/>
    <m/>
  </r>
  <r>
    <x v="18"/>
    <x v="18"/>
    <s v="&lt;null&gt;"/>
    <x v="3"/>
    <n v="2108"/>
    <s v="IN/001715"/>
    <s v="N758 : Tongeren : fietspaden Baversstraat"/>
    <s v="&lt;null&gt;"/>
    <s v="Structurele Ingreep"/>
    <s v="WL/INV/N758/1"/>
    <b v="0"/>
    <s v="Ingreep wordt niet opgevolgd in BOD"/>
    <s v="&lt;null&gt;"/>
    <s v="&lt;null&gt;"/>
    <s v="&lt;null&gt;"/>
    <s v="&lt;null&gt;"/>
    <m/>
    <m/>
    <m/>
  </r>
  <r>
    <x v="18"/>
    <x v="18"/>
    <s v="&lt;null&gt;"/>
    <x v="3"/>
    <n v="2109"/>
    <s v="IN/001716"/>
    <s v="N20 : Tongeren : herinrichting Overrepen"/>
    <s v="&lt;null&gt;"/>
    <s v="Structurele Ingreep"/>
    <s v="WL/INV/N20/4"/>
    <b v="0"/>
    <s v="Ingreep wordt niet opgevolgd in BOD"/>
    <s v="&lt;null&gt;"/>
    <s v="&lt;null&gt;"/>
    <s v="&lt;null&gt;"/>
    <s v="&lt;null&gt;"/>
    <m/>
    <m/>
    <m/>
  </r>
  <r>
    <x v="18"/>
    <x v="18"/>
    <s v="&lt;null&gt;"/>
    <x v="3"/>
    <n v="2110"/>
    <s v="IN/001717"/>
    <s v="N753 : Tongeren : omleidingsweg fase 2"/>
    <s v="&lt;null&gt;"/>
    <s v="Structurele Ingreep"/>
    <s v="WL/INV/N753/2"/>
    <b v="0"/>
    <s v="Ingreep wordt niet opgevolgd in BOD"/>
    <s v="&lt;null&gt;"/>
    <s v="&lt;null&gt;"/>
    <s v="&lt;null&gt;"/>
    <s v="&lt;null&gt;"/>
    <m/>
    <m/>
    <m/>
  </r>
  <r>
    <x v="18"/>
    <x v="18"/>
    <s v="&lt;null&gt;"/>
    <x v="3"/>
    <n v="2111"/>
    <s v="IN/001718"/>
    <s v="N753 Tongeren : fietspaden Molenweg"/>
    <s v="&lt;null&gt;"/>
    <s v="Structurele Ingreep"/>
    <s v="WL/INV/N753/3"/>
    <b v="0"/>
    <s v="Ingreep wordt niet opgevolgd in BOD"/>
    <s v="&lt;null&gt;"/>
    <s v="&lt;null&gt;"/>
    <s v="&lt;null&gt;"/>
    <s v="&lt;null&gt;"/>
    <m/>
    <m/>
    <m/>
  </r>
  <r>
    <x v="18"/>
    <x v="18"/>
    <s v="&lt;null&gt;"/>
    <x v="3"/>
    <n v="2112"/>
    <s v="IN/001719"/>
    <s v="Via R4 Gent"/>
    <s v="&lt;null&gt;"/>
    <s v="Structurele Ingreep"/>
    <s v="WOV/INV/R4/9"/>
    <b v="0"/>
    <s v="Ingreep wordt niet opgevolgd in BOD"/>
    <s v="&lt;null&gt;"/>
    <s v="&lt;null&gt;"/>
    <s v="&lt;null&gt;"/>
    <s v="&lt;null&gt;"/>
    <m/>
    <m/>
    <m/>
  </r>
  <r>
    <x v="18"/>
    <x v="18"/>
    <s v="&lt;null&gt;"/>
    <x v="3"/>
    <n v="2113"/>
    <s v="IN/001720"/>
    <s v="Via Zaventem"/>
    <s v="&lt;null&gt;"/>
    <s v="Structurele Ingreep"/>
    <s v="WVB/INV/N211/5"/>
    <b v="0"/>
    <s v="Ingreep wordt niet opgevolgd in BOD"/>
    <s v="&lt;null&gt;"/>
    <s v="&lt;null&gt;"/>
    <s v="&lt;null&gt;"/>
    <s v="&lt;null&gt;"/>
    <m/>
    <m/>
    <m/>
  </r>
  <r>
    <x v="18"/>
    <x v="18"/>
    <s v="&lt;null&gt;"/>
    <x v="3"/>
    <n v="2114"/>
    <s v="IN/001721"/>
    <s v="Brabo 1"/>
    <s v="&lt;null&gt;"/>
    <s v="Structurele Ingreep"/>
    <s v="WA/INV/N10/16"/>
    <b v="0"/>
    <s v="Ingreep wordt niet opgevolgd in BOD"/>
    <s v="&lt;null&gt;"/>
    <s v="&lt;null&gt;"/>
    <s v="&lt;null&gt;"/>
    <s v="&lt;null&gt;"/>
    <m/>
    <m/>
    <m/>
  </r>
  <r>
    <x v="18"/>
    <x v="18"/>
    <s v="&lt;null&gt;"/>
    <x v="3"/>
    <n v="2115"/>
    <s v="IN/001722"/>
    <s v="Via A11"/>
    <s v="&lt;null&gt;"/>
    <s v="Structurele Ingreep"/>
    <s v="WWV/INV/A11/3"/>
    <b v="0"/>
    <s v="Ingreep wordt niet opgevolgd in BOD"/>
    <s v="&lt;null&gt;"/>
    <s v="&lt;null&gt;"/>
    <s v="&lt;null&gt;"/>
    <s v="&lt;null&gt;"/>
    <m/>
    <m/>
    <m/>
  </r>
  <r>
    <x v="18"/>
    <x v="18"/>
    <s v="&lt;null&gt;"/>
    <x v="3"/>
    <n v="2116"/>
    <s v="IN/001723"/>
    <s v="N72 Herinrichting Kasteletsingel"/>
    <s v="&lt;null&gt;"/>
    <s v="Structurele Ingreep"/>
    <s v="WL/INV/N72/6"/>
    <b v="0"/>
    <s v="Ingreep wordt niet opgevolgd in BOD"/>
    <s v="&lt;null&gt;"/>
    <s v="&lt;null&gt;"/>
    <s v="&lt;null&gt;"/>
    <s v="&lt;null&gt;"/>
    <m/>
    <m/>
    <m/>
  </r>
  <r>
    <x v="18"/>
    <x v="18"/>
    <s v="&lt;null&gt;"/>
    <x v="3"/>
    <n v="2117"/>
    <s v="IN/001724"/>
    <s v="Brabo 2"/>
    <s v="&lt;null&gt;"/>
    <s v="Structurele Ingreep"/>
    <s v="WA/INV/A12/13"/>
    <b v="0"/>
    <s v="Ingreep wordt niet opgevolgd in BOD"/>
    <s v="&lt;null&gt;"/>
    <s v="&lt;null&gt;"/>
    <s v="&lt;null&gt;"/>
    <s v="&lt;null&gt;"/>
    <m/>
    <m/>
    <m/>
  </r>
  <r>
    <x v="18"/>
    <x v="18"/>
    <s v="&lt;null&gt;"/>
    <x v="3"/>
    <n v="2118"/>
    <s v="IN/001725"/>
    <s v="N211 - Structureel onderhoud doortocht Perk"/>
    <s v="&lt;null&gt;"/>
    <s v="Structurele Ingreep"/>
    <s v="WVB/INV/N227/5"/>
    <b v="0"/>
    <s v="Ingreep wordt niet opgevolgd in BOD"/>
    <s v="&lt;null&gt;"/>
    <s v="&lt;null&gt;"/>
    <s v="&lt;null&gt;"/>
    <s v="&lt;null&gt;"/>
    <m/>
    <m/>
    <m/>
  </r>
  <r>
    <x v="1330"/>
    <x v="1330"/>
    <s v="Stimuleren Combimobiliteit"/>
    <x v="7"/>
    <n v="2119"/>
    <s v="IN/001726"/>
    <s v="N416 Schoonaarde kmpt 5,390 rechts, Aanleg verhoogde bushalte"/>
    <s v="N416 Schoonaarde kmpt 5,390 rechts, Aanleg verhoogde bushalte"/>
    <s v="Kleine Ingreep"/>
    <s v="WOV/INV/N416/6"/>
    <b v="1"/>
    <s v="Ingreep wordt opgevolgd in BOD"/>
    <n v="2022"/>
    <s v="Q2"/>
    <s v="OVERIGE"/>
    <s v="&lt;null&gt;"/>
    <n v="100"/>
    <n v="16000"/>
    <n v="16000"/>
  </r>
  <r>
    <x v="1330"/>
    <x v="1330"/>
    <s v="Stimuleren Combimobiliteit"/>
    <x v="7"/>
    <n v="2120"/>
    <s v="IN/001727"/>
    <s v="N416 Schoonaarde kmpt 5,390 links, Aanleg verhoogde bushalte"/>
    <s v="&lt;null&gt;"/>
    <s v="Kleine Ingreep"/>
    <s v="WOV/INV/N416/7"/>
    <b v="1"/>
    <s v="Ingreep wordt opgevolgd in BOD"/>
    <n v="2022"/>
    <s v="Q2"/>
    <s v="OVERIGE"/>
    <s v="&lt;null&gt;"/>
    <n v="100"/>
    <n v="16500"/>
    <n v="16500"/>
  </r>
  <r>
    <x v="18"/>
    <x v="18"/>
    <s v="&lt;null&gt;"/>
    <x v="3"/>
    <n v="2121"/>
    <s v="IN/001728"/>
    <s v="N726 Houthalen Aanleg fietspaden en VRI"/>
    <s v="&lt;null&gt;"/>
    <s v="Structurele Ingreep"/>
    <s v="WL/INV/N726/1"/>
    <b v="0"/>
    <s v="Ingreep wordt niet opgevolgd in BOD"/>
    <s v="&lt;null&gt;"/>
    <s v="&lt;null&gt;"/>
    <s v="&lt;null&gt;"/>
    <s v="&lt;null&gt;"/>
    <m/>
    <m/>
    <m/>
  </r>
  <r>
    <x v="18"/>
    <x v="18"/>
    <s v="&lt;null&gt;"/>
    <x v="3"/>
    <n v="2122"/>
    <s v="IN/001729"/>
    <s v="N73 Fietspaden Kinrooi"/>
    <s v="&lt;null&gt;"/>
    <s v="Structurele Ingreep"/>
    <s v="WL/INV/N73/6"/>
    <b v="0"/>
    <s v="Ingreep wordt niet opgevolgd in BOD"/>
    <s v="&lt;null&gt;"/>
    <s v="&lt;null&gt;"/>
    <s v="&lt;null&gt;"/>
    <s v="&lt;null&gt;"/>
    <m/>
    <m/>
    <m/>
  </r>
  <r>
    <x v="18"/>
    <x v="18"/>
    <s v="&lt;null&gt;"/>
    <x v="3"/>
    <n v="2123"/>
    <s v="IN/001730"/>
    <s v="N73 Oudsbergen Mod 13 Aanleg fietspaden"/>
    <s v="&lt;null&gt;"/>
    <s v="Structurele Ingreep"/>
    <s v="WL/INV/N73/7"/>
    <b v="0"/>
    <s v="Ingreep wordt niet opgevolgd in BOD"/>
    <s v="&lt;null&gt;"/>
    <s v="&lt;null&gt;"/>
    <s v="&lt;null&gt;"/>
    <s v="&lt;null&gt;"/>
    <m/>
    <m/>
    <m/>
  </r>
  <r>
    <x v="18"/>
    <x v="18"/>
    <s v="&lt;null&gt;"/>
    <x v="3"/>
    <n v="2124"/>
    <s v="IN/001731"/>
    <s v="N75 Fietsbrug Sparrendal Dilsen-Stokkem"/>
    <s v="&lt;null&gt;"/>
    <s v="Structurele Ingreep"/>
    <s v="WL/INV/N75/3"/>
    <b v="0"/>
    <s v="Ingreep wordt niet opgevolgd in BOD"/>
    <s v="&lt;null&gt;"/>
    <s v="&lt;null&gt;"/>
    <s v="&lt;null&gt;"/>
    <s v="&lt;null&gt;"/>
    <m/>
    <m/>
    <m/>
  </r>
  <r>
    <x v="981"/>
    <x v="981"/>
    <s v="Verkeersveiligheid"/>
    <x v="4"/>
    <n v="2125"/>
    <s v="IN/001732"/>
    <s v="Opstelruimte fietsers verbeteren"/>
    <s v="Niveauverschil heuvel in kasseien wegwerken"/>
    <s v="Kleine Ingreep"/>
    <s v="WL/INV/N746/7"/>
    <b v="1"/>
    <s v="Ingreep wordt opgevolgd in BOD"/>
    <n v="2022"/>
    <s v="Q2"/>
    <s v="OV"/>
    <s v="&lt;null&gt;"/>
    <n v="100"/>
    <n v="6500"/>
    <n v="6500"/>
  </r>
  <r>
    <x v="872"/>
    <x v="872"/>
    <s v="Verkeersveiligheid"/>
    <x v="4"/>
    <n v="2126"/>
    <s v="IN/001733"/>
    <s v="Punctuele verlichting VOP"/>
    <s v="&lt;null&gt;"/>
    <s v="Kleine Ingreep"/>
    <s v="WL/INV/N730/20"/>
    <b v="0"/>
    <s v="Ingreep wordt niet opgevolgd in BOD"/>
    <s v="&lt;null&gt;"/>
    <s v="&lt;null&gt;"/>
    <s v="OV"/>
    <s v="&lt;null&gt;"/>
    <n v="100"/>
    <n v="75000"/>
    <n v="75000"/>
  </r>
  <r>
    <x v="841"/>
    <x v="841"/>
    <s v="Verkeersveiligheid"/>
    <x v="4"/>
    <n v="2127"/>
    <s v="IN/001734"/>
    <s v="Punctuele verlichting VOP"/>
    <s v="&lt;null&gt;"/>
    <s v="Kleine Ingreep"/>
    <s v="WL/INV/N72/22"/>
    <b v="0"/>
    <s v="Ingreep wordt niet opgevolgd in BOD"/>
    <n v="2022"/>
    <s v="&lt;null&gt;"/>
    <s v="OV"/>
    <s v="&lt;null&gt;"/>
    <n v="100"/>
    <n v="75000"/>
    <n v="75000"/>
  </r>
  <r>
    <x v="836"/>
    <x v="836"/>
    <s v="Verkeersveiligheid"/>
    <x v="4"/>
    <n v="2128"/>
    <s v="IN/001735"/>
    <s v="Punctuele verlichting nieuwe VOP"/>
    <s v="&lt;null&gt;"/>
    <s v="Kleine Ingreep"/>
    <s v="WL/INV/N748/7"/>
    <b v="0"/>
    <s v="Ingreep wordt niet opgevolgd in BOD"/>
    <n v="2022"/>
    <s v="&lt;null&gt;"/>
    <s v="OV"/>
    <s v="&lt;null&gt;"/>
    <n v="100"/>
    <n v="75000"/>
    <n v="75000"/>
  </r>
  <r>
    <x v="779"/>
    <x v="779"/>
    <s v="Verkeersveiligheid"/>
    <x v="4"/>
    <n v="2129"/>
    <s v="IN/001736"/>
    <s v="Punctuele verlichting 2 kruispunten"/>
    <s v="&lt;null&gt;"/>
    <s v="Kleine Ingreep"/>
    <s v="WL/INV/N771/5"/>
    <b v="0"/>
    <s v="Ingreep wordt niet opgevolgd in BOD"/>
    <n v="2022"/>
    <s v="&lt;null&gt;"/>
    <s v="OV"/>
    <s v="&lt;null&gt;"/>
    <n v="100"/>
    <n v="150000"/>
    <n v="150000"/>
  </r>
  <r>
    <x v="744"/>
    <x v="744"/>
    <s v="Verkeersveiligheid"/>
    <x v="4"/>
    <n v="2130"/>
    <s v="IN/001737"/>
    <s v="Punctuele verlichting VOP"/>
    <s v="&lt;null&gt;"/>
    <s v="Kleine Ingreep"/>
    <s v="WL/INV/N76/29"/>
    <b v="0"/>
    <s v="Ingreep wordt niet opgevolgd in BOD"/>
    <n v="2022"/>
    <s v="&lt;null&gt;"/>
    <s v="OV"/>
    <s v="&lt;null&gt;"/>
    <n v="100"/>
    <n v="75000"/>
    <n v="75000"/>
  </r>
  <r>
    <x v="734"/>
    <x v="734"/>
    <s v="Verkeersveiligheid"/>
    <x v="4"/>
    <n v="2131"/>
    <s v="IN/001738"/>
    <s v="Punctuele verlichting nieuwe VOP"/>
    <s v="&lt;null&gt;"/>
    <s v="Kleine Ingreep"/>
    <s v="WL/INV/N712/11"/>
    <b v="0"/>
    <s v="Ingreep wordt niet opgevolgd in BOD"/>
    <n v="2022"/>
    <s v="&lt;null&gt;"/>
    <s v="OV"/>
    <s v="&lt;null&gt;"/>
    <n v="100"/>
    <n v="75000"/>
    <n v="75000"/>
  </r>
  <r>
    <x v="731"/>
    <x v="731"/>
    <s v="Verkeersveiligheid"/>
    <x v="4"/>
    <n v="2132"/>
    <s v="IN/001739"/>
    <s v="punctuele verlichting FOP"/>
    <s v="&lt;null&gt;"/>
    <s v="Kleine Ingreep"/>
    <s v="WL/INV/N746/8"/>
    <b v="0"/>
    <s v="Ingreep wordt niet opgevolgd in BOD"/>
    <n v="2022"/>
    <s v="&lt;null&gt;"/>
    <s v="OV"/>
    <s v="&lt;null&gt;"/>
    <n v="100"/>
    <n v="75000"/>
    <n v="75000"/>
  </r>
  <r>
    <x v="1331"/>
    <x v="1331"/>
    <s v="Verkeersveiligheid"/>
    <x v="6"/>
    <n v="2133"/>
    <s v="IN/001740"/>
    <s v="FSS op het wegdeel dat voldoende breed is conform vademecum"/>
    <s v="Minimumbreedte 5m40 +50cm waar een parkeerstrook ligt. 80-tal meter wordt niet opgenomen, rest wordt voorzien ven een FSS."/>
    <s v="Kleine Ingreep"/>
    <s v="WWV/INV/N8/35"/>
    <b v="1"/>
    <s v="Ingreep wordt opgevolgd in BOD"/>
    <n v="2023"/>
    <s v="Q3"/>
    <s v="OVERIGE"/>
    <s v="fietssuggestiestroken/fietslogo"/>
    <n v="100"/>
    <n v="38000"/>
    <n v="38000"/>
  </r>
  <r>
    <x v="727"/>
    <x v="727"/>
    <s v="Verkeersveiligheid"/>
    <x v="4"/>
    <n v="2134"/>
    <s v="IN/001741"/>
    <s v="punctuele verlichting VOP"/>
    <s v="&lt;null&gt;"/>
    <s v="Kleine Ingreep"/>
    <s v="WL/INV/N29/6"/>
    <b v="0"/>
    <s v="Ingreep wordt niet opgevolgd in BOD"/>
    <s v="&lt;null&gt;"/>
    <s v="&lt;null&gt;"/>
    <s v="OV"/>
    <s v="&lt;null&gt;"/>
    <n v="100"/>
    <n v="75000"/>
    <n v="75000"/>
  </r>
  <r>
    <x v="1332"/>
    <x v="1332"/>
    <s v="Structureel Onderhoud"/>
    <x v="8"/>
    <n v="2135"/>
    <s v="IN/001742"/>
    <s v="Asbestverwijdering van de W20 ter voorbereiding van monitoring"/>
    <s v="Als onderdeel van het bestek structureel onderhoud aan de kunstwerken 2021 zal de asbestcoating van de W20 (in de A12 over de parallelbaan van de R0). Dit is één van de &quot;brokkelbruggen&quot;."/>
    <s v="Kleine Ingreep"/>
    <s v="&lt;null&gt;"/>
    <b v="0"/>
    <s v="Ingreep wordt niet opgevolgd in BOD"/>
    <n v="2022"/>
    <s v="Q2"/>
    <s v="WEGENIS"/>
    <s v="De aanbesteding is reeds afgerond"/>
    <n v="100"/>
    <n v="500000"/>
    <n v="500000"/>
  </r>
  <r>
    <x v="1333"/>
    <x v="1333"/>
    <s v="Verkeersveiligheid"/>
    <x v="4"/>
    <n v="2136"/>
    <s v="IN/001743"/>
    <s v="Doortocht 's Gravenwezel"/>
    <s v="&lt;null&gt;"/>
    <s v="Kleine Ingreep"/>
    <s v="&lt;null&gt;"/>
    <b v="0"/>
    <s v="Ingreep wordt niet opgevolgd in BOD"/>
    <s v="&lt;null&gt;"/>
    <s v="&lt;null&gt;"/>
    <s v="&lt;null&gt;"/>
    <s v="&lt;null&gt;"/>
    <n v="100"/>
    <m/>
    <m/>
  </r>
  <r>
    <x v="1334"/>
    <x v="1334"/>
    <s v="Stimuleren Combimobiliteit"/>
    <x v="2"/>
    <n v="2136"/>
    <s v="IN/001743"/>
    <s v="Doortocht 's Gravenwezel"/>
    <s v="&lt;null&gt;"/>
    <s v="Kleine Ingreep"/>
    <s v="&lt;null&gt;"/>
    <b v="0"/>
    <s v="Ingreep wordt niet opgevolgd in BOD"/>
    <s v="&lt;null&gt;"/>
    <s v="&lt;null&gt;"/>
    <s v="&lt;null&gt;"/>
    <s v="&lt;null&gt;"/>
    <n v="0"/>
    <m/>
    <m/>
  </r>
  <r>
    <x v="1335"/>
    <x v="1335"/>
    <s v="Stimuleren Combimobiliteit"/>
    <x v="7"/>
    <n v="2137"/>
    <s v="IN/001744"/>
    <s v="R40 Gent  Nieuwevaart -  aanleg busbaan"/>
    <s v="&lt;null&gt;"/>
    <s v="Structurele Ingreep"/>
    <s v="WOV/INV/R40/13"/>
    <b v="0"/>
    <s v="Ingreep wordt niet opgevolgd in BOD"/>
    <s v="&lt;null&gt;"/>
    <s v="&lt;null&gt;"/>
    <s v="&lt;null&gt;"/>
    <s v="&lt;null&gt;"/>
    <n v="100"/>
    <m/>
    <m/>
  </r>
  <r>
    <x v="18"/>
    <x v="18"/>
    <s v="&lt;null&gt;"/>
    <x v="3"/>
    <n v="2138"/>
    <s v="IN/001745"/>
    <s v="N424-N456 Gent - optimalisatie zuidelijke havenweg"/>
    <s v="&lt;null&gt;"/>
    <s v="Structurele Ingreep"/>
    <s v="WOV/INV/N424/7"/>
    <b v="0"/>
    <s v="Ingreep wordt niet opgevolgd in BOD"/>
    <s v="&lt;null&gt;"/>
    <s v="&lt;null&gt;"/>
    <s v="&lt;null&gt;"/>
    <s v="&lt;null&gt;"/>
    <m/>
    <m/>
    <m/>
  </r>
  <r>
    <x v="18"/>
    <x v="18"/>
    <s v="&lt;null&gt;"/>
    <x v="3"/>
    <n v="2139"/>
    <s v="IN/001746"/>
    <s v="R0 - Herstelling afwatering binnenring (Kraainem)"/>
    <s v="&lt;null&gt;"/>
    <s v="Structurele Ingreep"/>
    <s v="WVB/INV/R0/12"/>
    <b v="0"/>
    <s v="Ingreep wordt niet opgevolgd in BOD"/>
    <s v="&lt;null&gt;"/>
    <s v="&lt;null&gt;"/>
    <s v="&lt;null&gt;"/>
    <s v="&lt;null&gt;"/>
    <m/>
    <m/>
    <m/>
  </r>
  <r>
    <x v="1336"/>
    <x v="1336"/>
    <s v="Stimuleren Combimobiliteit"/>
    <x v="7"/>
    <n v="2140"/>
    <s v="IN/001747"/>
    <s v="Aanleg van 2 nieuwe haltehavens - spottersplatform"/>
    <s v="&lt;null&gt;"/>
    <s v="Kleine Ingreep"/>
    <s v="WVB/INV/N227/6"/>
    <b v="0"/>
    <s v="Ingreep wordt niet opgevolgd in BOD"/>
    <n v="2022"/>
    <s v="Q3"/>
    <s v="OV"/>
    <s v="&lt;null&gt;"/>
    <n v="100"/>
    <n v="80000"/>
    <n v="80000"/>
  </r>
  <r>
    <x v="1337"/>
    <x v="1337"/>
    <s v="Stimuleren Combimobiliteit"/>
    <x v="7"/>
    <n v="2141"/>
    <s v="IN/001748"/>
    <s v="2 haltes uitstulpend aanleggen - Heverlee sociale school"/>
    <s v="&lt;null&gt;"/>
    <s v="Kleine Ingreep"/>
    <s v="WVB/INV/N3/14"/>
    <b v="0"/>
    <s v="Ingreep wordt niet opgevolgd in BOD"/>
    <s v="&lt;null&gt;"/>
    <s v="&lt;null&gt;"/>
    <s v="OV"/>
    <s v="&lt;null&gt;"/>
    <n v="100"/>
    <n v="80000"/>
    <n v="80000"/>
  </r>
  <r>
    <x v="18"/>
    <x v="18"/>
    <s v="&lt;null&gt;"/>
    <x v="3"/>
    <n v="2142"/>
    <s v="IN/001749"/>
    <s v="R1 - Ring om Antw. Leefbaarheidsprojecten"/>
    <s v="&lt;null&gt;"/>
    <s v="Structurele Ingreep"/>
    <s v="WA/INV/R1/7"/>
    <b v="0"/>
    <s v="Ingreep wordt niet opgevolgd in BOD"/>
    <s v="&lt;null&gt;"/>
    <s v="&lt;null&gt;"/>
    <s v="&lt;null&gt;"/>
    <s v="&lt;null&gt;"/>
    <m/>
    <m/>
    <m/>
  </r>
  <r>
    <x v="624"/>
    <x v="624"/>
    <s v="Verkeersveiligheid"/>
    <x v="1"/>
    <n v="2143"/>
    <s v="IN/001750"/>
    <s v="Verplaatsen zebrapad"/>
    <s v="&lt;null&gt;"/>
    <s v="Kleine Ingreep"/>
    <s v="WVB/INV/N227/7"/>
    <b v="0"/>
    <s v="Ingreep wordt niet opgevolgd in BOD"/>
    <n v="2022"/>
    <s v="Q1"/>
    <s v="WEGENIS"/>
    <s v="&lt;null&gt;"/>
    <n v="100"/>
    <n v="19000"/>
    <n v="19000"/>
  </r>
  <r>
    <x v="1338"/>
    <x v="1338"/>
    <s v="Stimuleren Combimobiliteit"/>
    <x v="7"/>
    <n v="2144"/>
    <s v="IN/001751"/>
    <s v="aanleg bushaltes warandestraat"/>
    <s v="aanleggen van 2 haltes"/>
    <s v="Kleine Ingreep"/>
    <s v="&lt;null&gt;"/>
    <b v="0"/>
    <s v="Ingreep wordt niet opgevolgd in BOD"/>
    <s v="&lt;null&gt;"/>
    <s v="&lt;null&gt;"/>
    <s v="&lt;null&gt;"/>
    <s v="&lt;null&gt;"/>
    <n v="100"/>
    <m/>
    <m/>
  </r>
  <r>
    <x v="18"/>
    <x v="18"/>
    <s v="&lt;null&gt;"/>
    <x v="3"/>
    <n v="2145"/>
    <s v="IN/001752"/>
    <s v="N223/11 Lubbeek/TieltW Fietspaden &amp; Onderh wegenis"/>
    <s v="&lt;null&gt;"/>
    <s v="Structurele Ingreep"/>
    <s v="WVB/INV/N223/1"/>
    <b v="0"/>
    <s v="Ingreep wordt niet opgevolgd in BOD"/>
    <s v="&lt;null&gt;"/>
    <s v="&lt;null&gt;"/>
    <s v="&lt;null&gt;"/>
    <s v="&lt;null&gt;"/>
    <m/>
    <m/>
    <m/>
  </r>
  <r>
    <x v="1339"/>
    <x v="1339"/>
    <s v="Stimuleren Combimobiliteit"/>
    <x v="2"/>
    <n v="2146"/>
    <s v="IN/001753"/>
    <s v="Hoppin: N467 Berale: aanleg verhoogde bushaltehaven"/>
    <s v="HOPPINPUNT BERLARE KERK\nAanleg verhoogde bushaltehaven"/>
    <s v="Kleine Ingreep"/>
    <s v="WOV/INV/N467/3"/>
    <b v="1"/>
    <s v="Ingreep wordt opgevolgd in BOD"/>
    <n v="2022"/>
    <s v="Q2"/>
    <s v="OVERIGE"/>
    <s v="&lt;null&gt;"/>
    <n v="100"/>
    <n v="15000"/>
    <n v="15000"/>
  </r>
  <r>
    <x v="1339"/>
    <x v="1339"/>
    <s v="Stimuleren Combimobiliteit"/>
    <x v="2"/>
    <n v="2147"/>
    <s v="IN/001754"/>
    <s v="Hoppin: N467 Berlare: aanleg verhoogde bushaltehaven"/>
    <s v="HOPPINPUNT BERLARE KERK\naanleg verhoogde bushaltehaven"/>
    <s v="Kleine Ingreep"/>
    <s v="WOV/INV/N467/4"/>
    <b v="1"/>
    <s v="Ingreep wordt opgevolgd in BOD"/>
    <n v="2022"/>
    <s v="Q2"/>
    <s v="OVERIGE"/>
    <s v="&lt;null&gt;"/>
    <n v="100"/>
    <n v="22000"/>
    <n v="22000"/>
  </r>
  <r>
    <x v="18"/>
    <x v="18"/>
    <s v="&lt;null&gt;"/>
    <x v="3"/>
    <n v="2148"/>
    <s v="IN/001755"/>
    <s v="N747 Peer Mod 13 aanleg fietspaden"/>
    <s v="&lt;null&gt;"/>
    <s v="Structurele Ingreep"/>
    <s v="WL/INV/N747/2"/>
    <b v="0"/>
    <s v="Ingreep wordt niet opgevolgd in BOD"/>
    <s v="&lt;null&gt;"/>
    <s v="&lt;null&gt;"/>
    <s v="&lt;null&gt;"/>
    <s v="&lt;null&gt;"/>
    <m/>
    <m/>
    <m/>
  </r>
  <r>
    <x v="631"/>
    <x v="631"/>
    <s v="Verkeersveiligheid"/>
    <x v="1"/>
    <n v="2149"/>
    <s v="IN/001756"/>
    <s v="Gevaarlijk Punt &amp; SRK: R4 Zelzate: VRI: nieuwe installatie plaatsen"/>
    <s v="VRI: nieuwe installatie plaatsen;\nKanaalstraat x Westkade"/>
    <s v="Kleine Ingreep"/>
    <s v="WOV/INV/R4/10"/>
    <b v="1"/>
    <s v="Ingreep wordt opgevolgd in BOD"/>
    <n v="2022"/>
    <s v="Q2"/>
    <s v="VRI"/>
    <s v="&lt;null&gt;"/>
    <n v="0"/>
    <n v="199000"/>
    <n v="0"/>
  </r>
  <r>
    <x v="631"/>
    <x v="631"/>
    <s v="Verkeersveiligheid"/>
    <x v="1"/>
    <n v="2149"/>
    <s v="IN/001756"/>
    <s v="Gevaarlijk Punt &amp; SRK: R4 Zelzate: VRI: nieuwe installatie plaatsen"/>
    <s v="VRI: nieuwe installatie plaatsen;\nKanaalstraat x Westkade"/>
    <s v="Kleine Ingreep"/>
    <s v="WOV/INV/R4/10"/>
    <b v="1"/>
    <s v="Ingreep wordt opgevolgd in BOD"/>
    <n v="2022"/>
    <s v="Q2"/>
    <s v="WEGENIS"/>
    <s v="&lt;null&gt;"/>
    <n v="0"/>
    <n v="43000"/>
    <n v="0"/>
  </r>
  <r>
    <x v="1340"/>
    <x v="1340"/>
    <s v="Verkeersveiligheid"/>
    <x v="4"/>
    <n v="2149"/>
    <s v="IN/001756"/>
    <s v="Gevaarlijk Punt &amp; SRK: R4 Zelzate: VRI: nieuwe installatie plaatsen"/>
    <s v="VRI: nieuwe installatie plaatsen;\nKanaalstraat x Westkade"/>
    <s v="Kleine Ingreep"/>
    <s v="WOV/INV/R4/10"/>
    <b v="1"/>
    <s v="Ingreep wordt opgevolgd in BOD"/>
    <n v="2022"/>
    <s v="Q2"/>
    <s v="VRI"/>
    <s v="&lt;null&gt;"/>
    <n v="100"/>
    <n v="199000"/>
    <n v="199000"/>
  </r>
  <r>
    <x v="1340"/>
    <x v="1340"/>
    <s v="Verkeersveiligheid"/>
    <x v="4"/>
    <n v="2149"/>
    <s v="IN/001756"/>
    <s v="Gevaarlijk Punt &amp; SRK: R4 Zelzate: VRI: nieuwe installatie plaatsen"/>
    <s v="VRI: nieuwe installatie plaatsen;\nKanaalstraat x Westkade"/>
    <s v="Kleine Ingreep"/>
    <s v="WOV/INV/R4/10"/>
    <b v="1"/>
    <s v="Ingreep wordt opgevolgd in BOD"/>
    <n v="2022"/>
    <s v="Q2"/>
    <s v="WEGENIS"/>
    <s v="&lt;null&gt;"/>
    <n v="100"/>
    <n v="43000"/>
    <n v="43000"/>
  </r>
  <r>
    <x v="1341"/>
    <x v="1341"/>
    <s v="Verkeersveiligheid"/>
    <x v="5"/>
    <n v="2150"/>
    <s v="IN/001757"/>
    <s v="MIA: verkeersdrempel kruispunt Voerengraaf"/>
    <s v="&lt;null&gt;"/>
    <s v="Kleine Ingreep"/>
    <s v="WL/INV/N627/2"/>
    <b v="1"/>
    <s v="Ingreep wordt opgevolgd in BOD"/>
    <n v="2022"/>
    <s v="Q2"/>
    <s v="WEGENIS"/>
    <s v="&lt;null&gt;"/>
    <n v="100"/>
    <n v="100000"/>
    <n v="100000"/>
  </r>
  <r>
    <x v="1342"/>
    <x v="1342"/>
    <s v="Stimuleren Combimobiliteit"/>
    <x v="7"/>
    <n v="2151"/>
    <s v="IN/001758"/>
    <s v="Verhoogde bushaltehaven"/>
    <s v="Verhoogde bushaltehaven"/>
    <s v="Kleine Ingreep"/>
    <s v="WOV/INV/N44/5"/>
    <b v="1"/>
    <s v="Ingreep wordt opgevolgd in BOD"/>
    <n v="2022"/>
    <s v="Q2"/>
    <s v="OVERIGE"/>
    <s v="&lt;null&gt;"/>
    <n v="100"/>
    <n v="30000"/>
    <n v="30000"/>
  </r>
  <r>
    <x v="1342"/>
    <x v="1342"/>
    <s v="Stimuleren Combimobiliteit"/>
    <x v="7"/>
    <n v="2152"/>
    <s v="IN/001759"/>
    <s v="Verhoogde bushaltehaven AR"/>
    <s v="Verhoogde bushaltehaven AR - Spanjaardstraat"/>
    <s v="Kleine Ingreep"/>
    <s v="WOV/INV/N44/6"/>
    <b v="1"/>
    <s v="Ingreep wordt opgevolgd in BOD"/>
    <n v="2022"/>
    <s v="Q2"/>
    <s v="OVERIGE"/>
    <s v="&lt;null&gt;"/>
    <n v="100"/>
    <n v="30000"/>
    <n v="30000"/>
  </r>
  <r>
    <x v="1343"/>
    <x v="1343"/>
    <s v="Stimuleren Combimobiliteit"/>
    <x v="7"/>
    <n v="2153"/>
    <s v="IN/001760"/>
    <s v="Verhoogde bushaltehaven OR - De Knok"/>
    <s v="Verhoogde bushaltehaven OR - De Knok"/>
    <s v="Kleine Ingreep"/>
    <s v="WOV/INV/N37/2"/>
    <b v="0"/>
    <s v="Ingreep wordt niet opgevolgd in BOD"/>
    <n v="2022"/>
    <s v="Q2"/>
    <s v="OVERIGE"/>
    <s v="&lt;null&gt;"/>
    <n v="100"/>
    <n v="30000"/>
    <n v="30000"/>
  </r>
  <r>
    <x v="1344"/>
    <x v="1344"/>
    <s v="Stimuleren Combimobiliteit"/>
    <x v="7"/>
    <n v="2154"/>
    <s v="IN/001761"/>
    <s v="Verhoogde bushaltehaven AR - De Knok"/>
    <s v="Verhoogde bushaltehaven AR - De Knok"/>
    <s v="Kleine Ingreep"/>
    <s v="WOV/INV/N37/3"/>
    <b v="0"/>
    <s v="Ingreep wordt niet opgevolgd in BOD"/>
    <n v="2022"/>
    <s v="Q2"/>
    <s v="OVERIGE"/>
    <s v="&lt;null&gt;"/>
    <n v="100"/>
    <n v="30000"/>
    <n v="30000"/>
  </r>
  <r>
    <x v="1345"/>
    <x v="1345"/>
    <s v="Stimuleren Combimobiliteit"/>
    <x v="7"/>
    <n v="2155"/>
    <s v="IN/001762"/>
    <s v="Bus : N9 Maldegem: Verhoogde bushaltehaven - Oude Weg (Adegem)"/>
    <s v="Bus : N9 Maldegem: Verhoogde bushaltehaven - Oude Weg (Adegem)"/>
    <s v="Kleine Ingreep"/>
    <s v="WOV/INV/N9/27"/>
    <b v="1"/>
    <s v="Ingreep wordt opgevolgd in BOD"/>
    <n v="2022"/>
    <s v="Q3"/>
    <s v="OVERIGE"/>
    <s v="&lt;null&gt;"/>
    <n v="100"/>
    <n v="50000"/>
    <n v="50000"/>
  </r>
  <r>
    <x v="1346"/>
    <x v="1346"/>
    <s v="Stimuleren Combimobiliteit"/>
    <x v="7"/>
    <n v="2156"/>
    <s v="IN/001763"/>
    <s v="Verhoogde bushaltehaven AR - Oude Weg - Adegem"/>
    <s v="Verhoogde bushaltehaven AR - Oude Weg - Adegem"/>
    <s v="Kleine Ingreep"/>
    <s v="WOV/INV/N9/28"/>
    <b v="0"/>
    <s v="Ingreep wordt niet opgevolgd in BOD"/>
    <n v="2022"/>
    <s v="Q2"/>
    <s v="OVERIGE"/>
    <s v="&lt;null&gt;"/>
    <n v="100"/>
    <n v="30000"/>
    <n v="30000"/>
  </r>
  <r>
    <x v="1347"/>
    <x v="1347"/>
    <s v="Stimuleren Combimobiliteit"/>
    <x v="2"/>
    <n v="2157"/>
    <s v="IN/001764"/>
    <s v="aanleggen Hoppinpunt N8 Lierde"/>
    <s v="aanleggen hoppinpunt en toegankelijke haltes te Lierde N8 station"/>
    <s v="Kleine Ingreep"/>
    <s v="WOV/INV/N8/12"/>
    <b v="1"/>
    <s v="Ingreep wordt opgevolgd in BOD"/>
    <n v="2022"/>
    <s v="Q2"/>
    <s v="OVERIGE"/>
    <s v="&lt;null&gt;"/>
    <n v="100"/>
    <n v="30000"/>
    <n v="30000"/>
  </r>
  <r>
    <x v="1348"/>
    <x v="1348"/>
    <s v="Stimuleren Combimobiliteit"/>
    <x v="7"/>
    <n v="2158"/>
    <s v="IN/001765"/>
    <s v="Bus: N9 Maldegem: Verhoogde bushaltehaven Oude Gentweg"/>
    <s v="Bus: N9 Maldegem: Verhoogde bushaltehaven Oude Gentweg"/>
    <s v="Kleine Ingreep"/>
    <s v="WOV/INV/N9/29"/>
    <b v="1"/>
    <s v="Ingreep wordt opgevolgd in BOD"/>
    <n v="2022"/>
    <s v="Q3"/>
    <s v="OVERIGE"/>
    <s v="&lt;null&gt;"/>
    <n v="100"/>
    <n v="50000"/>
    <n v="50000"/>
  </r>
  <r>
    <x v="1349"/>
    <x v="1349"/>
    <s v="Stimuleren Combimobiliteit"/>
    <x v="7"/>
    <n v="2159"/>
    <s v="IN/001766"/>
    <s v="Verhoogde bushaltehaven Oude Gentweg AR"/>
    <s v="Verhoogde bushaltehaven Oude Gentweg AR"/>
    <s v="Kleine Ingreep"/>
    <s v="WOV/INV/N9/30"/>
    <b v="0"/>
    <s v="Ingreep wordt niet opgevolgd in BOD"/>
    <n v="2022"/>
    <s v="Q2"/>
    <s v="OVERIGE"/>
    <s v="&lt;null&gt;"/>
    <n v="100"/>
    <n v="30000"/>
    <n v="30000"/>
  </r>
  <r>
    <x v="1350"/>
    <x v="1350"/>
    <s v="Stimuleren Combimobiliteit"/>
    <x v="7"/>
    <n v="2160"/>
    <s v="IN/001767"/>
    <s v="Verhoogde bushaltehaven Lembeke Lotusfabriek OR"/>
    <s v="Verhoogde bushaltehaven Lembeke Lotusfabriek OR"/>
    <s v="Kleine Ingreep"/>
    <s v="WOV/INV/N456/13"/>
    <b v="1"/>
    <s v="Ingreep wordt opgevolgd in BOD"/>
    <n v="2022"/>
    <s v="Q2"/>
    <s v="OVERIGE"/>
    <s v="&lt;null&gt;"/>
    <n v="100"/>
    <n v="30000"/>
    <n v="30000"/>
  </r>
  <r>
    <x v="1350"/>
    <x v="1350"/>
    <s v="Stimuleren Combimobiliteit"/>
    <x v="7"/>
    <n v="2161"/>
    <s v="IN/001768"/>
    <s v="Verhoogde bushaltehaven Lembeke Lotusfabriek AR"/>
    <s v="Verhoogde bushaltehaven Lembeke Lotusfabriek AR"/>
    <s v="Kleine Ingreep"/>
    <s v="WOV/INV/N456/14"/>
    <b v="1"/>
    <s v="Ingreep wordt opgevolgd in BOD"/>
    <n v="2022"/>
    <s v="Q2"/>
    <s v="OVERIGE"/>
    <s v="&lt;null&gt;"/>
    <n v="100"/>
    <n v="30000"/>
    <n v="30000"/>
  </r>
  <r>
    <x v="1351"/>
    <x v="1351"/>
    <s v="Stimuleren Combimobiliteit"/>
    <x v="7"/>
    <n v="2162"/>
    <s v="IN/001769"/>
    <s v="relance bushaltes Rotselaar aanpassing eindpunt halte rotonde"/>
    <s v="aanpassing halte naar uitstulpend verhoogd en aanleg rust / wachtplaats bus"/>
    <s v="Kleine Ingreep"/>
    <s v="WVB/INV/N19/8"/>
    <b v="1"/>
    <s v="Ingreep wordt opgevolgd in BOD"/>
    <n v="2022"/>
    <s v="Q2"/>
    <s v="WEGENIS"/>
    <s v="&lt;null&gt;"/>
    <n v="100"/>
    <n v="1"/>
    <n v="1"/>
  </r>
  <r>
    <x v="1352"/>
    <x v="1352"/>
    <s v="Stimuleren Combimobiliteit"/>
    <x v="2"/>
    <n v="2162"/>
    <s v="IN/001769"/>
    <s v="relance bushaltes Rotselaar aanpassing eindpunt halte rotonde"/>
    <s v="aanpassing halte naar uitstulpend verhoogd en aanleg rust / wachtplaats bus"/>
    <s v="Kleine Ingreep"/>
    <s v="WVB/INV/N19/8"/>
    <b v="1"/>
    <s v="Ingreep wordt opgevolgd in BOD"/>
    <n v="2022"/>
    <s v="Q2"/>
    <s v="WEGENIS"/>
    <s v="&lt;null&gt;"/>
    <n v="0"/>
    <n v="1"/>
    <n v="0"/>
  </r>
  <r>
    <x v="1353"/>
    <x v="1353"/>
    <s v="Stimuleren Combimobiliteit"/>
    <x v="7"/>
    <n v="2163"/>
    <s v="IN/001770"/>
    <s v="relance bushaltes Oud-Heverlee Blanden oud station"/>
    <s v="aanpassing haltes naar uitstulpend verhoogd"/>
    <s v="Kleine Ingreep"/>
    <s v="WVB/INV/N251/5"/>
    <b v="1"/>
    <s v="Ingreep wordt opgevolgd in BOD"/>
    <n v="2022"/>
    <s v="Q2"/>
    <s v="WEGENIS"/>
    <s v="&lt;null&gt;"/>
    <n v="100"/>
    <n v="31000"/>
    <n v="31000"/>
  </r>
  <r>
    <x v="18"/>
    <x v="18"/>
    <s v="&lt;null&gt;"/>
    <x v="3"/>
    <n v="2164"/>
    <s v="IN/001771"/>
    <s v="Sanering viaduct Gentbrugge fase 2"/>
    <s v="Sanering viaduct Gentbrugge en Scheldebrug in E17 te Gentbrugge"/>
    <s v="Kleine Ingreep"/>
    <s v="&lt;null&gt;"/>
    <b v="0"/>
    <s v="Ingreep wordt niet opgevolgd in BOD"/>
    <s v="&lt;null&gt;"/>
    <s v="&lt;null&gt;"/>
    <s v="&lt;null&gt;"/>
    <s v="&lt;null&gt;"/>
    <m/>
    <m/>
    <m/>
  </r>
  <r>
    <x v="18"/>
    <x v="18"/>
    <s v="&lt;null&gt;"/>
    <x v="3"/>
    <n v="2165"/>
    <s v="IN/001772"/>
    <s v="renovatie brug Veldstraat en Kruibekesteenweg over E17 te Temse en Beveren/Kruibeke"/>
    <s v="sanering brug Veldstraat over E17 te Temse en brug Kruibekesteenweg over E17 te Beveren/Kruibeke"/>
    <s v="Kleine Ingreep"/>
    <s v="&lt;null&gt;"/>
    <b v="0"/>
    <s v="Ingreep wordt niet opgevolgd in BOD"/>
    <s v="&lt;null&gt;"/>
    <s v="&lt;null&gt;"/>
    <s v="&lt;null&gt;"/>
    <s v="&lt;null&gt;"/>
    <m/>
    <m/>
    <m/>
  </r>
  <r>
    <x v="18"/>
    <x v="18"/>
    <s v="&lt;null&gt;"/>
    <x v="3"/>
    <n v="2166"/>
    <s v="IN/001773"/>
    <s v="A14 E17 Gentbrugge Sanering Viaduct"/>
    <s v="&lt;null&gt;"/>
    <s v="Structurele Ingreep"/>
    <s v="WOV/INV/A14/1"/>
    <b v="0"/>
    <s v="Ingreep wordt niet opgevolgd in BOD"/>
    <n v="2021"/>
    <s v="Q1"/>
    <s v="WEGENIS"/>
    <s v="&lt;null&gt;"/>
    <m/>
    <n v="20364000"/>
    <m/>
  </r>
  <r>
    <x v="18"/>
    <x v="18"/>
    <s v="&lt;null&gt;"/>
    <x v="3"/>
    <n v="2167"/>
    <s v="IN/001774"/>
    <s v="A14/E17 Beveren saneren brug Kruibekesteenweg"/>
    <s v="&lt;null&gt;"/>
    <s v="Structurele Ingreep"/>
    <s v="WOV/INV/A14/4"/>
    <b v="0"/>
    <s v="Ingreep wordt niet opgevolgd in BOD"/>
    <n v="2022"/>
    <s v="Q1"/>
    <s v="WEGENIS"/>
    <s v="&lt;null&gt;"/>
    <m/>
    <n v="1800000"/>
    <m/>
  </r>
  <r>
    <x v="861"/>
    <x v="861"/>
    <s v="Verkeersveiligheid"/>
    <x v="4"/>
    <n v="2168"/>
    <s v="IN/001775"/>
    <s v="Punctuele verlichting"/>
    <s v="&lt;null&gt;"/>
    <s v="Kleine Ingreep"/>
    <s v="WL/INV/N20/12"/>
    <b v="0"/>
    <s v="Ingreep wordt niet opgevolgd in BOD"/>
    <n v="2022"/>
    <s v="Q2"/>
    <s v="OV"/>
    <s v="&lt;null&gt;"/>
    <n v="100"/>
    <n v="75000"/>
    <n v="75000"/>
  </r>
  <r>
    <x v="1354"/>
    <x v="1354"/>
    <s v="Stimuleren Combimobiliteit"/>
    <x v="7"/>
    <n v="2169"/>
    <s v="IN/001776"/>
    <s v="N419 Kruibeke oplopend rechts  aaanleg verhoogde bushaltehaven"/>
    <s v="N419 Kruibeke oplopend rechts \naaanleg verhoogde bushaltehaven"/>
    <s v="Kleine Ingreep"/>
    <s v="WOV/INV/N419/7"/>
    <b v="1"/>
    <s v="Ingreep wordt opgevolgd in BOD"/>
    <n v="2022"/>
    <s v="Q2"/>
    <s v="OVERIGE"/>
    <s v="&lt;null&gt;"/>
    <n v="100"/>
    <n v="21000"/>
    <n v="21000"/>
  </r>
  <r>
    <x v="1354"/>
    <x v="1354"/>
    <s v="Stimuleren Combimobiliteit"/>
    <x v="7"/>
    <n v="2170"/>
    <s v="IN/001777"/>
    <s v="N419 Kruibeke aflopend rechts  aaanleg verhoogde bushaltehaven"/>
    <s v="N419 Kruibeke aflopend rechts  aaanleg verhoogde bushaltehaven"/>
    <s v="Kleine Ingreep"/>
    <s v="WOV/INV/N419/8"/>
    <b v="1"/>
    <s v="Ingreep wordt opgevolgd in BOD"/>
    <n v="2022"/>
    <s v="Q2"/>
    <s v="OVERIGE"/>
    <s v="&lt;null&gt;"/>
    <n v="100"/>
    <n v="17000"/>
    <n v="17000"/>
  </r>
  <r>
    <x v="1355"/>
    <x v="1355"/>
    <s v="Verkeersveiligheid"/>
    <x v="4"/>
    <n v="2171"/>
    <s v="IN/001778"/>
    <s v="N18 - Mol - Kapellestraat - Postelarenweg kruispnt"/>
    <s v="Heraanleg kruispunt N18-Kapellestraat in Mol met VRI.\nHerinrichting aansluiting Postelarenweg naar eenrichtingsverkeer."/>
    <s v="Structurele Ingreep"/>
    <s v="WA/INV/N18/2"/>
    <b v="0"/>
    <s v="Ingreep wordt niet opgevolgd in BOD"/>
    <s v="&lt;null&gt;"/>
    <s v="&lt;null&gt;"/>
    <s v="&lt;null&gt;"/>
    <s v="&lt;null&gt;"/>
    <n v="100"/>
    <m/>
    <m/>
  </r>
  <r>
    <x v="18"/>
    <x v="18"/>
    <s v="&lt;null&gt;"/>
    <x v="3"/>
    <n v="2172"/>
    <s v="IN/001779"/>
    <s v="N116 RANST Fietspad Netekanaal en N14"/>
    <s v="&lt;null&gt;"/>
    <s v="Structurele Ingreep"/>
    <s v="WA/INV/N116/7"/>
    <b v="0"/>
    <s v="Ingreep wordt niet opgevolgd in BOD"/>
    <s v="&lt;null&gt;"/>
    <s v="&lt;null&gt;"/>
    <s v="&lt;null&gt;"/>
    <s v="&lt;null&gt;"/>
    <m/>
    <m/>
    <m/>
  </r>
  <r>
    <x v="812"/>
    <x v="812"/>
    <s v="Verkeersveiligheid"/>
    <x v="4"/>
    <n v="2173"/>
    <s v="IN/001780"/>
    <s v="N14 Zandhoven fase 3: kanaal-N116"/>
    <s v="&lt;null&gt;"/>
    <s v="Structurele Ingreep"/>
    <s v="WA/INV/N14/4"/>
    <b v="0"/>
    <s v="Ingreep wordt niet opgevolgd in BOD"/>
    <s v="&lt;null&gt;"/>
    <s v="&lt;null&gt;"/>
    <s v="&lt;null&gt;"/>
    <s v="&lt;null&gt;"/>
    <n v="0"/>
    <m/>
    <m/>
  </r>
  <r>
    <x v="1356"/>
    <x v="1356"/>
    <s v="Stimuleren Combimobiliteit"/>
    <x v="2"/>
    <n v="2173"/>
    <s v="IN/001780"/>
    <s v="N14 Zandhoven fase 3: kanaal-N116"/>
    <s v="&lt;null&gt;"/>
    <s v="Structurele Ingreep"/>
    <s v="WA/INV/N14/4"/>
    <b v="0"/>
    <s v="Ingreep wordt niet opgevolgd in BOD"/>
    <s v="&lt;null&gt;"/>
    <s v="&lt;null&gt;"/>
    <s v="&lt;null&gt;"/>
    <s v="&lt;null&gt;"/>
    <n v="0"/>
    <m/>
    <m/>
  </r>
  <r>
    <x v="1357"/>
    <x v="1357"/>
    <s v="Stimuleren Combimobiliteit"/>
    <x v="2"/>
    <n v="2173"/>
    <s v="IN/001780"/>
    <s v="N14 Zandhoven fase 3: kanaal-N116"/>
    <s v="&lt;null&gt;"/>
    <s v="Structurele Ingreep"/>
    <s v="WA/INV/N14/4"/>
    <b v="0"/>
    <s v="Ingreep wordt niet opgevolgd in BOD"/>
    <s v="&lt;null&gt;"/>
    <s v="&lt;null&gt;"/>
    <s v="&lt;null&gt;"/>
    <s v="&lt;null&gt;"/>
    <n v="0"/>
    <m/>
    <m/>
  </r>
  <r>
    <x v="1358"/>
    <x v="1358"/>
    <s v="Verkeersveiligheid"/>
    <x v="4"/>
    <n v="2174"/>
    <s v="IN/001781"/>
    <s v="VVOP oversteek Kruiseke centrum"/>
    <s v="&lt;null&gt;"/>
    <s v="Kleine Ingreep"/>
    <s v="WWV/INV/N303/3"/>
    <b v="1"/>
    <s v="Ingreep wordt opgevolgd in BOD"/>
    <n v="2022"/>
    <s v="Q3"/>
    <s v="OV"/>
    <s v="Voorzien punctuele verlichting"/>
    <n v="100"/>
    <n v="34000"/>
    <n v="34000"/>
  </r>
  <r>
    <x v="18"/>
    <x v="18"/>
    <s v="&lt;null&gt;"/>
    <x v="3"/>
    <n v="2175"/>
    <s v="IN/001782"/>
    <s v="N29 x N3 Herinrichting rotonde Hakendover"/>
    <s v="&lt;null&gt;"/>
    <s v="Structurele Ingreep"/>
    <s v="WVB/INV/N3/7"/>
    <b v="0"/>
    <s v="Ingreep wordt niet opgevolgd in BOD"/>
    <s v="&lt;null&gt;"/>
    <s v="&lt;null&gt;"/>
    <s v="&lt;null&gt;"/>
    <s v="&lt;null&gt;"/>
    <m/>
    <m/>
    <m/>
  </r>
  <r>
    <x v="1359"/>
    <x v="1359"/>
    <s v="Verkeersveiligheid"/>
    <x v="4"/>
    <n v="2176"/>
    <s v="IN/001783"/>
    <s v="SRK: N445 Laarne: oversteekvoorzieningen voor fietsers op gewestweg"/>
    <s v="Kruispunt veiliger maken (infra en vvop)"/>
    <s v="Kleine Ingreep"/>
    <s v="WOV/INV/N445/7"/>
    <b v="0"/>
    <s v="Ingreep wordt niet opgevolgd in BOD"/>
    <n v="2022"/>
    <s v="Q2"/>
    <s v="WEGENIS"/>
    <s v="op PCV-bestek uitgevoerd"/>
    <n v="100"/>
    <n v="7500"/>
    <n v="7500"/>
  </r>
  <r>
    <x v="1360"/>
    <x v="1360"/>
    <s v="Verkeersveiligheid"/>
    <x v="4"/>
    <n v="2177"/>
    <s v="IN/001784"/>
    <s v="N121 Brasschaat Hemelakkers"/>
    <s v="&lt;null&gt;"/>
    <s v="Structurele Ingreep"/>
    <s v="WA/INV/N121/2"/>
    <b v="0"/>
    <s v="Ingreep wordt niet opgevolgd in BOD"/>
    <n v="2026"/>
    <s v="&lt;null&gt;"/>
    <s v="WEGENIS"/>
    <s v="Herasfaltering (+fundering)"/>
    <n v="2"/>
    <n v="1300000"/>
    <n v="26000"/>
  </r>
  <r>
    <x v="1360"/>
    <x v="1360"/>
    <s v="Verkeersveiligheid"/>
    <x v="4"/>
    <n v="2177"/>
    <s v="IN/001784"/>
    <s v="N121 Brasschaat Hemelakkers"/>
    <s v="&lt;null&gt;"/>
    <s v="Structurele Ingreep"/>
    <s v="WA/INV/N121/2"/>
    <b v="0"/>
    <s v="Ingreep wordt niet opgevolgd in BOD"/>
    <n v="2023"/>
    <s v="&lt;null&gt;"/>
    <s v="STUDIE"/>
    <s v="PIDPA voert uit (SWO AWV)"/>
    <n v="2"/>
    <n v="84000"/>
    <n v="1680"/>
  </r>
  <r>
    <x v="1029"/>
    <x v="1029"/>
    <s v="Verkeersveiligheid"/>
    <x v="4"/>
    <n v="2178"/>
    <s v="IN/001785"/>
    <s v="VVOP"/>
    <s v="&lt;null&gt;"/>
    <s v="Kleine Ingreep"/>
    <s v="WL/INV/N793/1"/>
    <b v="0"/>
    <s v="Ingreep wordt niet opgevolgd in BOD"/>
    <s v="&lt;null&gt;"/>
    <s v="&lt;null&gt;"/>
    <s v="OV"/>
    <s v="&lt;null&gt;"/>
    <n v="100"/>
    <n v="75000"/>
    <n v="75000"/>
  </r>
  <r>
    <x v="18"/>
    <x v="18"/>
    <s v="&lt;null&gt;"/>
    <x v="3"/>
    <n v="2179"/>
    <s v="IN/001786"/>
    <s v="N325 Middelkerke - structureel onderhoud"/>
    <s v="&lt;null&gt;"/>
    <s v="Structurele Ingreep"/>
    <s v="WWV/INV/N325/1"/>
    <b v="0"/>
    <s v="Ingreep wordt niet opgevolgd in BOD"/>
    <s v="&lt;null&gt;"/>
    <s v="&lt;null&gt;"/>
    <s v="&lt;null&gt;"/>
    <s v="&lt;null&gt;"/>
    <m/>
    <m/>
    <m/>
  </r>
  <r>
    <x v="18"/>
    <x v="18"/>
    <s v="&lt;null&gt;"/>
    <x v="3"/>
    <n v="2180"/>
    <s v="IN/001787"/>
    <s v="N58 Wervik - Ontdubbeling van het vak A19 tot N338"/>
    <s v="&lt;null&gt;"/>
    <s v="Structurele Ingreep"/>
    <s v="WWV/INV/N58/1"/>
    <b v="0"/>
    <s v="Ingreep wordt niet opgevolgd in BOD"/>
    <s v="&lt;null&gt;"/>
    <s v="&lt;null&gt;"/>
    <s v="&lt;null&gt;"/>
    <s v="&lt;null&gt;"/>
    <m/>
    <m/>
    <m/>
  </r>
  <r>
    <x v="18"/>
    <x v="18"/>
    <s v="&lt;null&gt;"/>
    <x v="3"/>
    <n v="2181"/>
    <s v="IN/001788"/>
    <s v="N396 Koksijde - verbetering fietspad"/>
    <s v="&lt;null&gt;"/>
    <s v="Structurele Ingreep"/>
    <s v="WWV/INV/N396/1"/>
    <b v="0"/>
    <s v="Ingreep wordt niet opgevolgd in BOD"/>
    <s v="&lt;null&gt;"/>
    <s v="&lt;null&gt;"/>
    <s v="&lt;null&gt;"/>
    <s v="&lt;null&gt;"/>
    <m/>
    <m/>
    <m/>
  </r>
  <r>
    <x v="18"/>
    <x v="18"/>
    <s v="&lt;null&gt;"/>
    <x v="3"/>
    <n v="2182"/>
    <s v="IN/001789"/>
    <s v="N33 Ichtegem - fietspaden De Engel"/>
    <s v="&lt;null&gt;"/>
    <s v="Structurele Ingreep"/>
    <s v="WWV/INV/N33/1"/>
    <b v="0"/>
    <s v="Ingreep wordt niet opgevolgd in BOD"/>
    <s v="&lt;null&gt;"/>
    <s v="&lt;null&gt;"/>
    <s v="&lt;null&gt;"/>
    <s v="&lt;null&gt;"/>
    <m/>
    <m/>
    <m/>
  </r>
  <r>
    <x v="18"/>
    <x v="18"/>
    <s v="&lt;null&gt;"/>
    <x v="3"/>
    <n v="2183"/>
    <s v="IN/001790"/>
    <s v="N36 Deerlijk - herinrichting Belgiek"/>
    <s v="&lt;null&gt;"/>
    <s v="Structurele Ingreep"/>
    <s v="WWV/INV/N36/2"/>
    <b v="0"/>
    <s v="Ingreep wordt niet opgevolgd in BOD"/>
    <s v="&lt;null&gt;"/>
    <s v="&lt;null&gt;"/>
    <s v="&lt;null&gt;"/>
    <s v="&lt;null&gt;"/>
    <m/>
    <m/>
    <m/>
  </r>
  <r>
    <x v="18"/>
    <x v="18"/>
    <s v="&lt;null&gt;"/>
    <x v="3"/>
    <n v="2184"/>
    <s v="IN/001791"/>
    <s v="N318 Oostende - herinrichting Nieuwpoortsesteenweg"/>
    <s v="&lt;null&gt;"/>
    <s v="Structurele Ingreep"/>
    <s v="WWV/INV/N318/1"/>
    <b v="0"/>
    <s v="Ingreep wordt niet opgevolgd in BOD"/>
    <s v="&lt;null&gt;"/>
    <s v="&lt;null&gt;"/>
    <s v="&lt;null&gt;"/>
    <s v="&lt;null&gt;"/>
    <m/>
    <m/>
    <m/>
  </r>
  <r>
    <x v="18"/>
    <x v="18"/>
    <s v="&lt;null&gt;"/>
    <x v="3"/>
    <n v="2185"/>
    <s v="IN/001792"/>
    <s v="N35 De Panne, Koksijde, Veurne - vrijlig. fietspad"/>
    <s v="&lt;null&gt;"/>
    <s v="Structurele Ingreep"/>
    <s v="WWV/INV/N35/3"/>
    <b v="1"/>
    <s v="Ingreep wordt opgevolgd in BOD"/>
    <s v="&lt;null&gt;"/>
    <s v="&lt;null&gt;"/>
    <s v="&lt;null&gt;"/>
    <s v="&lt;null&gt;"/>
    <m/>
    <m/>
    <m/>
  </r>
  <r>
    <x v="1361"/>
    <x v="1361"/>
    <s v="Verkeersveiligheid"/>
    <x v="4"/>
    <n v="2186"/>
    <s v="IN/001793"/>
    <s v="2 nieuwe VOP's"/>
    <s v="&lt;null&gt;"/>
    <s v="Kleine Ingreep"/>
    <s v="WL/INV/N746/10"/>
    <b v="1"/>
    <s v="Ingreep wordt opgevolgd in BOD"/>
    <n v="2022"/>
    <s v="Q3"/>
    <s v="WEGENIS"/>
    <s v="&lt;null&gt;"/>
    <n v="100"/>
    <n v="5000"/>
    <n v="5000"/>
  </r>
  <r>
    <x v="18"/>
    <x v="18"/>
    <s v="&lt;null&gt;"/>
    <x v="3"/>
    <n v="2187"/>
    <s v="IN/001794"/>
    <s v="N358 Oudenburg - struct. ond. i.c.m. collector Aqf"/>
    <s v="&lt;null&gt;"/>
    <s v="Structurele Ingreep"/>
    <s v="WWV/INV/N358/1"/>
    <b v="0"/>
    <s v="Ingreep wordt niet opgevolgd in BOD"/>
    <s v="&lt;null&gt;"/>
    <s v="&lt;null&gt;"/>
    <s v="&lt;null&gt;"/>
    <s v="&lt;null&gt;"/>
    <m/>
    <m/>
    <m/>
  </r>
  <r>
    <x v="18"/>
    <x v="18"/>
    <s v="&lt;null&gt;"/>
    <x v="3"/>
    <n v="2188"/>
    <s v="IN/001795"/>
    <s v="N33 - Gistel en Ichtegem - aanleg fietspaden"/>
    <s v="&lt;null&gt;"/>
    <s v="Structurele Ingreep"/>
    <s v="WWV/INV/N33/2"/>
    <b v="0"/>
    <s v="Ingreep wordt niet opgevolgd in BOD"/>
    <s v="&lt;null&gt;"/>
    <s v="&lt;null&gt;"/>
    <s v="&lt;null&gt;"/>
    <s v="&lt;null&gt;"/>
    <m/>
    <m/>
    <m/>
  </r>
  <r>
    <x v="18"/>
    <x v="18"/>
    <s v="&lt;null&gt;"/>
    <x v="3"/>
    <n v="2189"/>
    <s v="IN/001796"/>
    <s v="R31 Oostende - Ongelijkgrondse fietsverbindingen"/>
    <s v="&lt;null&gt;"/>
    <s v="Structurele Ingreep"/>
    <s v="WWV/INV/R31/1"/>
    <b v="0"/>
    <s v="Ingreep wordt niet opgevolgd in BOD"/>
    <s v="&lt;null&gt;"/>
    <s v="&lt;null&gt;"/>
    <s v="&lt;null&gt;"/>
    <s v="&lt;null&gt;"/>
    <m/>
    <m/>
    <m/>
  </r>
  <r>
    <x v="18"/>
    <x v="18"/>
    <s v="&lt;null&gt;"/>
    <x v="3"/>
    <n v="2190"/>
    <s v="IN/001797"/>
    <s v="A18 Jabbeke-Gistel: structureel onderhoud"/>
    <s v="&lt;null&gt;"/>
    <s v="Structurele Ingreep"/>
    <s v="WWV/INV/A18/1"/>
    <b v="0"/>
    <s v="Ingreep wordt niet opgevolgd in BOD"/>
    <s v="&lt;null&gt;"/>
    <s v="&lt;null&gt;"/>
    <s v="&lt;null&gt;"/>
    <s v="&lt;null&gt;"/>
    <m/>
    <m/>
    <m/>
  </r>
  <r>
    <x v="18"/>
    <x v="18"/>
    <s v="&lt;null&gt;"/>
    <x v="3"/>
    <n v="2191"/>
    <s v="IN/001798"/>
    <s v="N8 - Ieper:Aanpak verkeersveiligheid Ieper-Brielen"/>
    <s v="&lt;null&gt;"/>
    <s v="Structurele Ingreep"/>
    <s v="WWV/INV/N8/11"/>
    <b v="1"/>
    <s v="Ingreep wordt opgevolgd in BOD"/>
    <s v="&lt;null&gt;"/>
    <s v="&lt;null&gt;"/>
    <s v="&lt;null&gt;"/>
    <s v="&lt;null&gt;"/>
    <m/>
    <m/>
    <m/>
  </r>
  <r>
    <x v="18"/>
    <x v="18"/>
    <s v="&lt;null&gt;"/>
    <x v="3"/>
    <n v="2192"/>
    <s v="IN/001799"/>
    <s v="N363 Ichtegem - doortocht"/>
    <s v="&lt;null&gt;"/>
    <s v="Structurele Ingreep"/>
    <s v="WWV/INV/N363/1"/>
    <b v="0"/>
    <s v="Ingreep wordt niet opgevolgd in BOD"/>
    <s v="&lt;null&gt;"/>
    <s v="&lt;null&gt;"/>
    <s v="&lt;null&gt;"/>
    <s v="&lt;null&gt;"/>
    <m/>
    <m/>
    <m/>
  </r>
  <r>
    <x v="18"/>
    <x v="18"/>
    <s v="&lt;null&gt;"/>
    <x v="3"/>
    <n v="2193"/>
    <s v="IN/001800"/>
    <s v="N374 Knokke-Heist/ Brugge/ Damme - fietspaden"/>
    <s v="&lt;null&gt;"/>
    <s v="Structurele Ingreep"/>
    <s v="WWV/INV/N374/1"/>
    <b v="0"/>
    <s v="Ingreep wordt niet opgevolgd in BOD"/>
    <s v="&lt;null&gt;"/>
    <s v="&lt;null&gt;"/>
    <s v="&lt;null&gt;"/>
    <s v="&lt;null&gt;"/>
    <m/>
    <m/>
    <m/>
  </r>
  <r>
    <x v="18"/>
    <x v="18"/>
    <s v="&lt;null&gt;"/>
    <x v="3"/>
    <n v="2194"/>
    <s v="IN/001801"/>
    <s v="N34 Middelkerke - tramdossier neptunusproject"/>
    <s v="&lt;null&gt;"/>
    <s v="Structurele Ingreep"/>
    <s v="WWV/INV/N34/3"/>
    <b v="0"/>
    <s v="Ingreep wordt niet opgevolgd in BOD"/>
    <s v="&lt;null&gt;"/>
    <s v="&lt;null&gt;"/>
    <s v="&lt;null&gt;"/>
    <s v="&lt;null&gt;"/>
    <m/>
    <m/>
    <m/>
  </r>
  <r>
    <x v="18"/>
    <x v="18"/>
    <s v="&lt;null&gt;"/>
    <x v="3"/>
    <n v="2195"/>
    <s v="IN/001802"/>
    <s v="N34 Nieuwpoort -vak Cardijnlaan - Louisweg Noord"/>
    <s v="&lt;null&gt;"/>
    <s v="Structurele Ingreep"/>
    <s v="WWV/INV/N34/4"/>
    <b v="0"/>
    <s v="Ingreep wordt niet opgevolgd in BOD"/>
    <s v="&lt;null&gt;"/>
    <s v="&lt;null&gt;"/>
    <s v="&lt;null&gt;"/>
    <s v="&lt;null&gt;"/>
    <m/>
    <m/>
    <m/>
  </r>
  <r>
    <x v="18"/>
    <x v="18"/>
    <s v="&lt;null&gt;"/>
    <x v="3"/>
    <n v="2196"/>
    <s v="IN/001803"/>
    <s v="N376 Knokke-Heist/Brugge/Damme - fietspaden"/>
    <s v="&lt;null&gt;"/>
    <s v="Structurele Ingreep"/>
    <s v="WWV/INV/N376/1"/>
    <b v="0"/>
    <s v="Ingreep wordt niet opgevolgd in BOD"/>
    <s v="&lt;null&gt;"/>
    <s v="&lt;null&gt;"/>
    <s v="&lt;null&gt;"/>
    <s v="&lt;null&gt;"/>
    <m/>
    <m/>
    <m/>
  </r>
  <r>
    <x v="18"/>
    <x v="18"/>
    <s v="&lt;null&gt;"/>
    <x v="3"/>
    <n v="2197"/>
    <s v="IN/001804"/>
    <s v="N347 Poperinge - Diepenmeers en Sint-Bertinusstraa"/>
    <s v="&lt;null&gt;"/>
    <s v="Structurele Ingreep"/>
    <s v="WWV/INV/N347/1"/>
    <b v="0"/>
    <s v="Ingreep wordt niet opgevolgd in BOD"/>
    <s v="&lt;null&gt;"/>
    <s v="&lt;null&gt;"/>
    <s v="&lt;null&gt;"/>
    <s v="&lt;null&gt;"/>
    <m/>
    <m/>
    <m/>
  </r>
  <r>
    <x v="18"/>
    <x v="18"/>
    <s v="&lt;null&gt;"/>
    <x v="3"/>
    <n v="2198"/>
    <s v="IN/001805"/>
    <s v="N350 Knokke-Heist / Brugge - Ramskapellebruggen"/>
    <s v="&lt;null&gt;"/>
    <s v="Structurele Ingreep"/>
    <s v="WWV/INV/N350/1"/>
    <b v="0"/>
    <s v="Ingreep wordt niet opgevolgd in BOD"/>
    <s v="&lt;null&gt;"/>
    <s v="&lt;null&gt;"/>
    <s v="&lt;null&gt;"/>
    <s v="&lt;null&gt;"/>
    <m/>
    <m/>
    <m/>
  </r>
  <r>
    <x v="18"/>
    <x v="18"/>
    <s v="&lt;null&gt;"/>
    <x v="3"/>
    <n v="2199"/>
    <s v="IN/001806"/>
    <s v="N358 Middelkerke - structureel onderhoud"/>
    <s v="&lt;null&gt;"/>
    <s v="Structurele Ingreep"/>
    <s v="WWV/INV/N358/2"/>
    <b v="0"/>
    <s v="Ingreep wordt niet opgevolgd in BOD"/>
    <s v="&lt;null&gt;"/>
    <s v="&lt;null&gt;"/>
    <s v="&lt;null&gt;"/>
    <s v="&lt;null&gt;"/>
    <m/>
    <m/>
    <m/>
  </r>
  <r>
    <x v="18"/>
    <x v="18"/>
    <s v="&lt;null&gt;"/>
    <x v="3"/>
    <n v="2200"/>
    <s v="IN/001807"/>
    <s v="N34 Nieuwpoort - Structureel onderhoud fase 2"/>
    <s v="&lt;null&gt;"/>
    <s v="Structurele Ingreep"/>
    <s v="WWV/INV/N34/5"/>
    <b v="0"/>
    <s v="Ingreep wordt niet opgevolgd in BOD"/>
    <s v="&lt;null&gt;"/>
    <s v="&lt;null&gt;"/>
    <s v="&lt;null&gt;"/>
    <s v="&lt;null&gt;"/>
    <m/>
    <m/>
    <m/>
  </r>
  <r>
    <x v="18"/>
    <x v="18"/>
    <s v="&lt;null&gt;"/>
    <x v="3"/>
    <n v="2201"/>
    <s v="IN/001808"/>
    <s v="N367 Gistel - structureel onderhoud met fietspaden"/>
    <s v="&lt;null&gt;"/>
    <s v="Structurele Ingreep"/>
    <s v="WWV/INV/N367/3"/>
    <b v="0"/>
    <s v="Ingreep wordt niet opgevolgd in BOD"/>
    <s v="&lt;null&gt;"/>
    <s v="&lt;null&gt;"/>
    <s v="&lt;null&gt;"/>
    <s v="&lt;null&gt;"/>
    <m/>
    <m/>
    <m/>
  </r>
  <r>
    <x v="18"/>
    <x v="18"/>
    <s v="&lt;null&gt;"/>
    <x v="3"/>
    <n v="2202"/>
    <s v="IN/001809"/>
    <s v="N318 Middelkerke - doortocht Lombarsijde"/>
    <s v="&lt;null&gt;"/>
    <s v="Structurele Ingreep"/>
    <s v="WWV/INV/N318/2"/>
    <b v="0"/>
    <s v="Ingreep wordt niet opgevolgd in BOD"/>
    <s v="&lt;null&gt;"/>
    <s v="&lt;null&gt;"/>
    <s v="&lt;null&gt;"/>
    <s v="&lt;null&gt;"/>
    <m/>
    <m/>
    <m/>
  </r>
  <r>
    <x v="18"/>
    <x v="18"/>
    <s v="&lt;null&gt;"/>
    <x v="3"/>
    <n v="2203"/>
    <s v="IN/001810"/>
    <s v="N34y De Haan - herinrichting Koninklijke Baan"/>
    <s v="&lt;null&gt;"/>
    <s v="Structurele Ingreep"/>
    <s v="WWV/INV/N34Y/1"/>
    <b v="0"/>
    <s v="Ingreep wordt niet opgevolgd in BOD"/>
    <s v="&lt;null&gt;"/>
    <s v="&lt;null&gt;"/>
    <s v="&lt;null&gt;"/>
    <s v="&lt;null&gt;"/>
    <m/>
    <m/>
    <m/>
  </r>
  <r>
    <x v="18"/>
    <x v="18"/>
    <s v="&lt;null&gt;"/>
    <x v="3"/>
    <n v="2204"/>
    <s v="IN/001811"/>
    <s v="N34 Koksijde - Structureel onderhoud en fietspaden"/>
    <s v="&lt;null&gt;"/>
    <s v="Structurele Ingreep"/>
    <s v="WWV/INV/N34/6"/>
    <b v="0"/>
    <s v="Ingreep wordt niet opgevolgd in BOD"/>
    <s v="&lt;null&gt;"/>
    <s v="&lt;null&gt;"/>
    <s v="&lt;null&gt;"/>
    <s v="&lt;null&gt;"/>
    <m/>
    <m/>
    <m/>
  </r>
  <r>
    <x v="18"/>
    <x v="18"/>
    <s v="&lt;null&gt;"/>
    <x v="3"/>
    <n v="2205"/>
    <s v="IN/001812"/>
    <s v="N358 Oudenburg - structureel onderhoud Snaaskerke"/>
    <s v="&lt;null&gt;"/>
    <s v="Structurele Ingreep"/>
    <s v="WWV/INV/N358/3"/>
    <b v="0"/>
    <s v="Ingreep wordt niet opgevolgd in BOD"/>
    <s v="&lt;null&gt;"/>
    <s v="&lt;null&gt;"/>
    <s v="&lt;null&gt;"/>
    <s v="&lt;null&gt;"/>
    <m/>
    <m/>
    <m/>
  </r>
  <r>
    <x v="18"/>
    <x v="18"/>
    <s v="&lt;null&gt;"/>
    <x v="3"/>
    <n v="2206"/>
    <s v="IN/001813"/>
    <s v="N367 Middelkerke - aanleg fietspaden Brugsestw"/>
    <s v="&lt;null&gt;"/>
    <s v="Structurele Ingreep"/>
    <s v="WWV/INV/N367/5"/>
    <b v="0"/>
    <s v="Ingreep wordt niet opgevolgd in BOD"/>
    <s v="&lt;null&gt;"/>
    <s v="&lt;null&gt;"/>
    <s v="&lt;null&gt;"/>
    <s v="&lt;null&gt;"/>
    <m/>
    <m/>
    <m/>
  </r>
  <r>
    <x v="18"/>
    <x v="18"/>
    <s v="&lt;null&gt;"/>
    <x v="3"/>
    <n v="2207"/>
    <s v="IN/001814"/>
    <s v="Nx West - Brugge SHIP-project"/>
    <s v="&lt;null&gt;"/>
    <s v="Structurele Ingreep"/>
    <s v="&lt;null&gt;"/>
    <b v="0"/>
    <s v="Ingreep wordt niet opgevolgd in BOD"/>
    <s v="&lt;null&gt;"/>
    <s v="&lt;null&gt;"/>
    <s v="&lt;null&gt;"/>
    <s v="&lt;null&gt;"/>
    <m/>
    <m/>
    <m/>
  </r>
  <r>
    <x v="1362"/>
    <x v="1362"/>
    <s v="Fiets"/>
    <x v="0"/>
    <n v="2208"/>
    <s v="IN/001815"/>
    <s v="N376 Knokke-Heist - rot. Kkd-Sluisstraat   fietsov"/>
    <s v="&lt;null&gt;"/>
    <s v="Structurele Ingreep"/>
    <s v="WWV/INV/N376/2"/>
    <b v="0"/>
    <s v="Ingreep wordt niet opgevolgd in BOD"/>
    <s v="&lt;null&gt;"/>
    <s v="&lt;null&gt;"/>
    <s v="&lt;null&gt;"/>
    <s v="&lt;null&gt;"/>
    <n v="100"/>
    <m/>
    <m/>
  </r>
  <r>
    <x v="18"/>
    <x v="18"/>
    <s v="&lt;null&gt;"/>
    <x v="3"/>
    <n v="2209"/>
    <s v="IN/001816"/>
    <s v="N367 Nieuwpoort - Uniebrug tot Ramskapellestraat"/>
    <s v="&lt;null&gt;"/>
    <s v="Structurele Ingreep"/>
    <s v="WWV/INV/N367/7"/>
    <b v="0"/>
    <s v="Ingreep wordt niet opgevolgd in BOD"/>
    <s v="&lt;null&gt;"/>
    <s v="&lt;null&gt;"/>
    <s v="&lt;null&gt;"/>
    <s v="&lt;null&gt;"/>
    <m/>
    <m/>
    <m/>
  </r>
  <r>
    <x v="18"/>
    <x v="18"/>
    <s v="&lt;null&gt;"/>
    <x v="3"/>
    <n v="2210"/>
    <s v="IN/001817"/>
    <s v="R30-N337 Brugge - Gentpoort"/>
    <s v="&lt;null&gt;"/>
    <s v="Structurele Ingreep"/>
    <s v="WWV/INV/N337/3"/>
    <b v="0"/>
    <s v="Ingreep wordt niet opgevolgd in BOD"/>
    <s v="&lt;null&gt;"/>
    <s v="&lt;null&gt;"/>
    <s v="&lt;null&gt;"/>
    <s v="&lt;null&gt;"/>
    <m/>
    <m/>
    <m/>
  </r>
  <r>
    <x v="18"/>
    <x v="18"/>
    <s v="&lt;null&gt;"/>
    <x v="3"/>
    <n v="2211"/>
    <s v="IN/001818"/>
    <s v="Nx oost - Brugge"/>
    <s v="&lt;null&gt;"/>
    <s v="Structurele Ingreep"/>
    <s v="WWV/INV/NX/1"/>
    <b v="0"/>
    <s v="Ingreep wordt niet opgevolgd in BOD"/>
    <s v="&lt;null&gt;"/>
    <s v="&lt;null&gt;"/>
    <s v="&lt;null&gt;"/>
    <s v="&lt;null&gt;"/>
    <m/>
    <m/>
    <m/>
  </r>
  <r>
    <x v="18"/>
    <x v="18"/>
    <s v="&lt;null&gt;"/>
    <x v="3"/>
    <n v="2212"/>
    <s v="IN/001819"/>
    <s v="E403 Torhout Brugge - verbreding"/>
    <s v="&lt;null&gt;"/>
    <s v="Structurele Ingreep"/>
    <s v="WWV/INV/E403/4"/>
    <b v="0"/>
    <s v="Ingreep wordt niet opgevolgd in BOD"/>
    <s v="&lt;null&gt;"/>
    <s v="&lt;null&gt;"/>
    <s v="&lt;null&gt;"/>
    <s v="&lt;null&gt;"/>
    <m/>
    <m/>
    <m/>
  </r>
  <r>
    <x v="18"/>
    <x v="18"/>
    <s v="&lt;null&gt;"/>
    <x v="3"/>
    <n v="2213"/>
    <s v="IN/001820"/>
    <s v="N50 Kuurne Harelbeke - structureel onderhoud"/>
    <s v="&lt;null&gt;"/>
    <s v="Structurele Ingreep"/>
    <s v="WWV/INV/N50/1"/>
    <b v="0"/>
    <s v="Ingreep wordt niet opgevolgd in BOD"/>
    <s v="&lt;null&gt;"/>
    <s v="&lt;null&gt;"/>
    <s v="&lt;null&gt;"/>
    <s v="&lt;null&gt;"/>
    <m/>
    <m/>
    <m/>
  </r>
  <r>
    <x v="18"/>
    <x v="18"/>
    <s v="&lt;null&gt;"/>
    <x v="3"/>
    <n v="2214"/>
    <s v="IN/001821"/>
    <s v="E17 Waregem - herinrichting N382 complex nr. 5"/>
    <s v="&lt;null&gt;"/>
    <s v="Structurele Ingreep"/>
    <s v="WWV/INV/E17/1"/>
    <b v="1"/>
    <s v="Ingreep wordt opgevolgd in BOD"/>
    <s v="&lt;null&gt;"/>
    <s v="&lt;null&gt;"/>
    <s v="&lt;null&gt;"/>
    <s v="&lt;null&gt;"/>
    <m/>
    <m/>
    <m/>
  </r>
  <r>
    <x v="18"/>
    <x v="18"/>
    <s v="&lt;null&gt;"/>
    <x v="3"/>
    <n v="2215"/>
    <s v="IN/001822"/>
    <s v="N390a Veurne Vaartstraat"/>
    <s v="&lt;null&gt;"/>
    <s v="Structurele Ingreep"/>
    <s v="WWV/INV/N390A/1"/>
    <b v="0"/>
    <s v="Ingreep wordt niet opgevolgd in BOD"/>
    <s v="&lt;null&gt;"/>
    <s v="&lt;null&gt;"/>
    <s v="&lt;null&gt;"/>
    <s v="&lt;null&gt;"/>
    <m/>
    <m/>
    <m/>
  </r>
  <r>
    <x v="18"/>
    <x v="18"/>
    <s v="&lt;null&gt;"/>
    <x v="3"/>
    <n v="2216"/>
    <s v="IN/001823"/>
    <s v="A18 De Panne - Dynamische beveiliging afrit Plopsa"/>
    <s v="&lt;null&gt;"/>
    <s v="Structurele Ingreep"/>
    <s v="WWV/INV/A18/4"/>
    <b v="0"/>
    <s v="Ingreep wordt niet opgevolgd in BOD"/>
    <s v="&lt;null&gt;"/>
    <s v="&lt;null&gt;"/>
    <s v="&lt;null&gt;"/>
    <s v="&lt;null&gt;"/>
    <m/>
    <m/>
    <m/>
  </r>
  <r>
    <x v="18"/>
    <x v="18"/>
    <s v="&lt;null&gt;"/>
    <x v="3"/>
    <n v="2217"/>
    <s v="IN/001824"/>
    <s v="N342 Brugge - VRI Ten Briele"/>
    <s v="&lt;null&gt;"/>
    <s v="Structurele Ingreep"/>
    <s v="WWV/INV/N342/4"/>
    <b v="0"/>
    <s v="Ingreep wordt niet opgevolgd in BOD"/>
    <s v="&lt;null&gt;"/>
    <s v="&lt;null&gt;"/>
    <s v="&lt;null&gt;"/>
    <s v="&lt;null&gt;"/>
    <m/>
    <m/>
    <m/>
  </r>
  <r>
    <x v="18"/>
    <x v="18"/>
    <s v="&lt;null&gt;"/>
    <x v="3"/>
    <n v="2218"/>
    <s v="IN/001825"/>
    <s v="N304 Doortocht Reningelst"/>
    <s v="&lt;null&gt;"/>
    <s v="Structurele Ingreep"/>
    <s v="WWV/INV/N304/1"/>
    <b v="0"/>
    <s v="Ingreep wordt niet opgevolgd in BOD"/>
    <s v="&lt;null&gt;"/>
    <s v="&lt;null&gt;"/>
    <s v="&lt;null&gt;"/>
    <s v="&lt;null&gt;"/>
    <m/>
    <m/>
    <m/>
  </r>
  <r>
    <x v="18"/>
    <x v="18"/>
    <s v="&lt;null&gt;"/>
    <x v="3"/>
    <n v="2219"/>
    <s v="IN/001826"/>
    <s v="N301 Houthulst. Verbetering fietspad langs de N301"/>
    <s v="&lt;null&gt;"/>
    <s v="Structurele Ingreep"/>
    <s v="WWV/INV/N301/2"/>
    <b v="0"/>
    <s v="Ingreep wordt niet opgevolgd in BOD"/>
    <s v="&lt;null&gt;"/>
    <s v="&lt;null&gt;"/>
    <s v="&lt;null&gt;"/>
    <s v="&lt;null&gt;"/>
    <m/>
    <m/>
    <m/>
  </r>
  <r>
    <x v="18"/>
    <x v="18"/>
    <s v="&lt;null&gt;"/>
    <x v="3"/>
    <n v="2220"/>
    <s v="IN/001827"/>
    <s v="N375 Ieper - Structureel onderhoud"/>
    <s v="&lt;null&gt;"/>
    <s v="Structurele Ingreep"/>
    <s v="WWV/INV/N375/3"/>
    <b v="0"/>
    <s v="Ingreep wordt niet opgevolgd in BOD"/>
    <s v="&lt;null&gt;"/>
    <s v="&lt;null&gt;"/>
    <s v="&lt;null&gt;"/>
    <s v="&lt;null&gt;"/>
    <m/>
    <m/>
    <m/>
  </r>
  <r>
    <x v="18"/>
    <x v="18"/>
    <s v="&lt;null&gt;"/>
    <x v="3"/>
    <n v="2221"/>
    <s v="IN/001828"/>
    <s v="N 375 structureel onderhoud Dikkebusweg"/>
    <s v="&lt;null&gt;"/>
    <s v="Structurele Ingreep"/>
    <s v="WWV/INV/N375/2"/>
    <b v="0"/>
    <s v="Ingreep wordt niet opgevolgd in BOD"/>
    <s v="&lt;null&gt;"/>
    <s v="&lt;null&gt;"/>
    <s v="&lt;null&gt;"/>
    <s v="&lt;null&gt;"/>
    <m/>
    <m/>
    <m/>
  </r>
  <r>
    <x v="18"/>
    <x v="18"/>
    <s v="&lt;null&gt;"/>
    <x v="3"/>
    <n v="2222"/>
    <s v="IN/001829"/>
    <s v="N353  Spiere-Helkijn  structureel onderhoud"/>
    <s v="&lt;null&gt;"/>
    <s v="Structurele Ingreep"/>
    <s v="WWV/INV/N353/1"/>
    <b v="0"/>
    <s v="Ingreep wordt niet opgevolgd in BOD"/>
    <s v="&lt;null&gt;"/>
    <s v="&lt;null&gt;"/>
    <s v="&lt;null&gt;"/>
    <s v="&lt;null&gt;"/>
    <m/>
    <m/>
    <m/>
  </r>
  <r>
    <x v="18"/>
    <x v="18"/>
    <s v="&lt;null&gt;"/>
    <x v="3"/>
    <n v="2223"/>
    <s v="IN/001830"/>
    <s v="N 362 Structureel onderhoud met schoolomgeving"/>
    <s v="&lt;null&gt;"/>
    <s v="Structurele Ingreep"/>
    <s v="WWV/INV/N362/1"/>
    <b v="0"/>
    <s v="Ingreep wordt niet opgevolgd in BOD"/>
    <s v="&lt;null&gt;"/>
    <s v="&lt;null&gt;"/>
    <s v="&lt;null&gt;"/>
    <s v="&lt;null&gt;"/>
    <m/>
    <m/>
    <m/>
  </r>
  <r>
    <x v="18"/>
    <x v="18"/>
    <s v="&lt;null&gt;"/>
    <x v="3"/>
    <n v="2224"/>
    <s v="IN/001831"/>
    <s v="N 381 Moderniseren Ruusschaartstraat en Krommelstr"/>
    <s v="&lt;null&gt;"/>
    <s v="Structurele Ingreep"/>
    <s v="WWV/INV/N381/1"/>
    <b v="0"/>
    <s v="Ingreep wordt niet opgevolgd in BOD"/>
    <s v="&lt;null&gt;"/>
    <s v="&lt;null&gt;"/>
    <s v="&lt;null&gt;"/>
    <s v="&lt;null&gt;"/>
    <m/>
    <m/>
    <m/>
  </r>
  <r>
    <x v="18"/>
    <x v="18"/>
    <s v="&lt;null&gt;"/>
    <x v="3"/>
    <n v="2225"/>
    <s v="IN/001832"/>
    <s v="N311 Wervik structureel onderhoud"/>
    <s v="&lt;null&gt;"/>
    <s v="Structurele Ingreep"/>
    <s v="WWV/INV/N311/1"/>
    <b v="0"/>
    <s v="Ingreep wordt niet opgevolgd in BOD"/>
    <s v="&lt;null&gt;"/>
    <s v="&lt;null&gt;"/>
    <s v="&lt;null&gt;"/>
    <s v="&lt;null&gt;"/>
    <m/>
    <m/>
    <m/>
  </r>
  <r>
    <x v="18"/>
    <x v="18"/>
    <s v="&lt;null&gt;"/>
    <x v="3"/>
    <n v="2226"/>
    <s v="IN/001833"/>
    <s v="N 308 Herinrichting Poperinge-Ieper"/>
    <s v="&lt;null&gt;"/>
    <s v="Structurele Ingreep"/>
    <s v="WWV/INV/N308/1"/>
    <b v="0"/>
    <s v="Ingreep wordt niet opgevolgd in BOD"/>
    <s v="&lt;null&gt;"/>
    <s v="&lt;null&gt;"/>
    <s v="&lt;null&gt;"/>
    <s v="&lt;null&gt;"/>
    <m/>
    <m/>
    <m/>
  </r>
  <r>
    <x v="18"/>
    <x v="18"/>
    <s v="&lt;null&gt;"/>
    <x v="3"/>
    <n v="2227"/>
    <s v="IN/001834"/>
    <s v="Project 3102 Deerlijk N 36 Ringlaan Kortrijkse Hee"/>
    <s v="&lt;null&gt;"/>
    <s v="Structurele Ingreep"/>
    <s v="WWV/INV/N36/1"/>
    <b v="0"/>
    <s v="Ingreep wordt niet opgevolgd in BOD"/>
    <s v="&lt;null&gt;"/>
    <s v="&lt;null&gt;"/>
    <s v="&lt;null&gt;"/>
    <s v="&lt;null&gt;"/>
    <m/>
    <m/>
    <m/>
  </r>
  <r>
    <x v="18"/>
    <x v="18"/>
    <s v="&lt;null&gt;"/>
    <x v="3"/>
    <n v="2228"/>
    <s v="IN/001835"/>
    <s v="N370 Wingene-Beernem: fietspaden"/>
    <s v="&lt;null&gt;"/>
    <s v="Structurele Ingreep"/>
    <s v="WWV/INV/N370/1"/>
    <b v="0"/>
    <s v="Ingreep wordt niet opgevolgd in BOD"/>
    <s v="&lt;null&gt;"/>
    <s v="&lt;null&gt;"/>
    <s v="&lt;null&gt;"/>
    <s v="&lt;null&gt;"/>
    <m/>
    <m/>
    <m/>
  </r>
  <r>
    <x v="18"/>
    <x v="18"/>
    <s v="&lt;null&gt;"/>
    <x v="3"/>
    <n v="2229"/>
    <s v="IN/001836"/>
    <s v="N34 Ringlaan Wenduine"/>
    <s v="&lt;null&gt;"/>
    <s v="Structurele Ingreep"/>
    <s v="WWV/INV/N34/2"/>
    <b v="0"/>
    <s v="Ingreep wordt niet opgevolgd in BOD"/>
    <s v="&lt;null&gt;"/>
    <s v="&lt;null&gt;"/>
    <s v="&lt;null&gt;"/>
    <s v="&lt;null&gt;"/>
    <m/>
    <m/>
    <m/>
  </r>
  <r>
    <x v="18"/>
    <x v="18"/>
    <s v="&lt;null&gt;"/>
    <x v="3"/>
    <n v="2230"/>
    <s v="IN/001837"/>
    <s v="N26 Mechelen Arsenaalverbinding"/>
    <s v="&lt;null&gt;"/>
    <s v="Structurele Ingreep"/>
    <s v="WA/INV/N26/4"/>
    <b v="0"/>
    <s v="Ingreep wordt niet opgevolgd in BOD"/>
    <s v="&lt;null&gt;"/>
    <s v="&lt;null&gt;"/>
    <s v="&lt;null&gt;"/>
    <s v="&lt;null&gt;"/>
    <m/>
    <m/>
    <m/>
  </r>
  <r>
    <x v="18"/>
    <x v="18"/>
    <s v="&lt;null&gt;"/>
    <x v="3"/>
    <n v="2231"/>
    <s v="IN/001838"/>
    <s v="R16 LIER Boomlaarstraat"/>
    <s v="Voorzien van ontsluitingswegen (bretellen) langs de R16 (met ovonde en rotonde), aanleg van vrijliggende fietspaden en definitief sluiten van de middenberm op de R16."/>
    <s v="Structurele Ingreep"/>
    <s v="WA/INV/R16/8"/>
    <b v="0"/>
    <s v="Ingreep wordt niet opgevolgd in BOD"/>
    <n v="2023"/>
    <s v="Q1"/>
    <s v="OVERIGE"/>
    <s v="Onteigeningen"/>
    <m/>
    <n v="3000000"/>
    <m/>
  </r>
  <r>
    <x v="18"/>
    <x v="18"/>
    <s v="&lt;null&gt;"/>
    <x v="3"/>
    <n v="2231"/>
    <s v="IN/001838"/>
    <s v="R16 LIER Boomlaarstraat"/>
    <s v="Voorzien van ontsluitingswegen (bretellen) langs de R16 (met ovonde en rotonde), aanleg van vrijliggende fietspaden en definitief sluiten van de middenberm op de R16."/>
    <s v="Structurele Ingreep"/>
    <s v="WA/INV/R16/8"/>
    <b v="0"/>
    <s v="Ingreep wordt niet opgevolgd in BOD"/>
    <n v="2023"/>
    <s v="&lt;null&gt;"/>
    <s v="WEGENIS"/>
    <s v="Voorlopige raming door Sweco"/>
    <m/>
    <n v="2500000"/>
    <m/>
  </r>
  <r>
    <x v="18"/>
    <x v="18"/>
    <s v="&lt;null&gt;"/>
    <x v="3"/>
    <n v="2232"/>
    <s v="IN/001839"/>
    <s v="N8 Veurne - herinrichting op Veurne"/>
    <s v="&lt;null&gt;"/>
    <s v="Structurele Ingreep"/>
    <s v="WWV/INV/N8/1"/>
    <b v="1"/>
    <s v="Ingreep wordt opgevolgd in BOD"/>
    <s v="&lt;null&gt;"/>
    <s v="&lt;null&gt;"/>
    <s v="&lt;null&gt;"/>
    <s v="&lt;null&gt;"/>
    <m/>
    <m/>
    <m/>
  </r>
  <r>
    <x v="1363"/>
    <x v="1363"/>
    <s v="Stimuleren Combimobiliteit"/>
    <x v="7"/>
    <n v="2233"/>
    <s v="IN/001840"/>
    <s v="toegankelijke halte Waalhovenstraat"/>
    <s v="toegankelijke halte Waalhovenstraat"/>
    <s v="Kleine Ingreep"/>
    <s v="&lt;null&gt;"/>
    <b v="0"/>
    <s v="Ingreep wordt niet opgevolgd in BOD"/>
    <n v="2022"/>
    <s v="Q3"/>
    <s v="WEGENIS"/>
    <s v="&lt;null&gt;"/>
    <n v="100"/>
    <n v="15000"/>
    <n v="15000"/>
  </r>
  <r>
    <x v="18"/>
    <x v="18"/>
    <s v="&lt;null&gt;"/>
    <x v="3"/>
    <n v="2234"/>
    <s v="IN/001841"/>
    <s v="N2 Diest herstel keermuur"/>
    <s v="&lt;null&gt;"/>
    <s v="Structurele Ingreep"/>
    <s v="WVB/INV/N2/14"/>
    <b v="0"/>
    <s v="Ingreep wordt niet opgevolgd in BOD"/>
    <s v="&lt;null&gt;"/>
    <s v="&lt;null&gt;"/>
    <s v="&lt;null&gt;"/>
    <s v="&lt;null&gt;"/>
    <m/>
    <m/>
    <m/>
  </r>
  <r>
    <x v="18"/>
    <x v="18"/>
    <s v="&lt;null&gt;"/>
    <x v="3"/>
    <n v="2235"/>
    <s v="IN/001842"/>
    <s v="X21/N26/22 Herstel keermuren N26 Herent"/>
    <s v="&lt;null&gt;"/>
    <s v="Structurele Ingreep"/>
    <s v="WVB/INV/N2/10"/>
    <b v="0"/>
    <s v="Ingreep wordt niet opgevolgd in BOD"/>
    <s v="&lt;null&gt;"/>
    <s v="&lt;null&gt;"/>
    <s v="&lt;null&gt;"/>
    <s v="&lt;null&gt;"/>
    <m/>
    <m/>
    <m/>
  </r>
  <r>
    <x v="18"/>
    <x v="18"/>
    <s v="&lt;null&gt;"/>
    <x v="3"/>
    <n v="2236"/>
    <s v="IN/001843"/>
    <s v="N35f Diksmuide-nieuwe omleiding tussen N 35/N369"/>
    <s v="&lt;null&gt;"/>
    <s v="Structurele Ingreep"/>
    <s v="WWV/INV/N35/2"/>
    <b v="1"/>
    <s v="Ingreep wordt opgevolgd in BOD"/>
    <s v="&lt;null&gt;"/>
    <s v="&lt;null&gt;"/>
    <s v="&lt;null&gt;"/>
    <s v="&lt;null&gt;"/>
    <m/>
    <m/>
    <m/>
  </r>
  <r>
    <x v="1364"/>
    <x v="1364"/>
    <s v="Verkeersveiligheid"/>
    <x v="1"/>
    <n v="2237"/>
    <s v="IN/001844"/>
    <s v="Quickwins vanuit onderzoek."/>
    <s v="plaatsen rode slem op fietspad thv kruispunt Nokerseweg\ndoorsteekjes zebrapaden te voorzien\nfietsoversteekvoorzieningen langs zebrapaden aanbrengen\naanpassen middengeleider"/>
    <s v="Kleine Ingreep"/>
    <s v="WWV/INV/R35/1"/>
    <b v="1"/>
    <s v="Ingreep wordt opgevolgd in BOD"/>
    <n v="2022"/>
    <s v="Q4"/>
    <s v="WEGENIS"/>
    <s v="&lt;null&gt;"/>
    <n v="100"/>
    <n v="50000"/>
    <n v="50000"/>
  </r>
  <r>
    <x v="18"/>
    <x v="18"/>
    <s v="&lt;null&gt;"/>
    <x v="3"/>
    <n v="2238"/>
    <s v="IN/001845"/>
    <s v="N19/30  Aarschot Fietsp &amp; weg &amp; rio Aarsch-Gelrode"/>
    <s v="&lt;null&gt;"/>
    <s v="Structurele Ingreep"/>
    <s v="WVB/INV/N19/3"/>
    <b v="0"/>
    <s v="Ingreep wordt niet opgevolgd in BOD"/>
    <s v="&lt;null&gt;"/>
    <s v="&lt;null&gt;"/>
    <s v="&lt;null&gt;"/>
    <s v="&lt;null&gt;"/>
    <m/>
    <m/>
    <m/>
  </r>
  <r>
    <x v="18"/>
    <x v="18"/>
    <s v="&lt;null&gt;"/>
    <x v="3"/>
    <n v="2239"/>
    <s v="IN/001846"/>
    <s v="N3/42 Boutersem - Doortocht Roosbeek en mod"/>
    <s v="&lt;null&gt;"/>
    <s v="Structurele Ingreep"/>
    <s v="WVB/INV/N3/2"/>
    <b v="0"/>
    <s v="Ingreep wordt niet opgevolgd in BOD"/>
    <s v="&lt;null&gt;"/>
    <s v="&lt;null&gt;"/>
    <s v="&lt;null&gt;"/>
    <s v="&lt;null&gt;"/>
    <m/>
    <m/>
    <m/>
  </r>
  <r>
    <x v="18"/>
    <x v="18"/>
    <s v="&lt;null&gt;"/>
    <x v="3"/>
    <n v="2240"/>
    <s v="IN/001847"/>
    <s v="N287/1 Diest Tess N287 N174 FP &amp; weg + Aquaf coll"/>
    <s v="&lt;null&gt;"/>
    <s v="Structurele Ingreep"/>
    <s v="WVB/INV/N287/1"/>
    <b v="0"/>
    <s v="Ingreep wordt niet opgevolgd in BOD"/>
    <s v="&lt;null&gt;"/>
    <s v="&lt;null&gt;"/>
    <s v="&lt;null&gt;"/>
    <s v="&lt;null&gt;"/>
    <m/>
    <m/>
    <m/>
  </r>
  <r>
    <x v="18"/>
    <x v="18"/>
    <s v="&lt;null&gt;"/>
    <x v="3"/>
    <n v="2241"/>
    <s v="IN/001848"/>
    <s v="N29/2 Glabbeek Vrijliggend FP + Aquafin collector"/>
    <s v="&lt;null&gt;"/>
    <s v="Structurele Ingreep"/>
    <s v="WVB/INV/N29/2"/>
    <b v="0"/>
    <s v="Ingreep wordt niet opgevolgd in BOD"/>
    <s v="&lt;null&gt;"/>
    <s v="&lt;null&gt;"/>
    <s v="&lt;null&gt;"/>
    <s v="&lt;null&gt;"/>
    <m/>
    <m/>
    <m/>
  </r>
  <r>
    <x v="1365"/>
    <x v="1365"/>
    <s v="Verkeersveiligheid"/>
    <x v="5"/>
    <n v="2242"/>
    <s v="IN/001849"/>
    <s v="Heers: N743 aanpak wateroverlast"/>
    <s v="Onveilige situatie door wateroverlast wordt aangepakt door aanleg van greppels."/>
    <s v="Kleine Ingreep"/>
    <s v="WL/INV/N743/1"/>
    <b v="1"/>
    <s v="Ingreep wordt opgevolgd in BOD"/>
    <n v="2022"/>
    <s v="Q2"/>
    <s v="WEGENIS"/>
    <m/>
    <n v="100"/>
    <n v="115000"/>
    <n v="115000"/>
  </r>
  <r>
    <x v="1085"/>
    <x v="1085"/>
    <s v="Verkeersveiligheid"/>
    <x v="4"/>
    <n v="2243"/>
    <s v="IN/001850"/>
    <s v="SRK: N449 Wachtebeke: fFietssuggestiestroken aanbrengen"/>
    <s v="Fietssuggestiestroken aanbrengen N449 x Rechtstro"/>
    <s v="Kleine Ingreep"/>
    <s v="WOV/INV/N449/8"/>
    <b v="0"/>
    <s v="Ingreep wordt niet opgevolgd in BOD"/>
    <n v="2022"/>
    <s v="Q2"/>
    <s v="OVERIGE"/>
    <s v="WOV/INV/N449/1/U1"/>
    <n v="100"/>
    <n v="33200"/>
    <n v="33200"/>
  </r>
  <r>
    <x v="1366"/>
    <x v="1366"/>
    <s v="Verkeersveiligheid"/>
    <x v="5"/>
    <n v="2244"/>
    <s v="IN/001851"/>
    <s v="Alken: N80 verlengen afritten"/>
    <s v="Verlengen van afslagstroken naar Vliegstraat en Langveldstraat."/>
    <s v="Kleine Ingreep"/>
    <s v="WL/INV/N80/5"/>
    <b v="1"/>
    <s v="Ingreep wordt opgevolgd in BOD"/>
    <n v="2022"/>
    <s v="Q2"/>
    <s v="WEGENIS"/>
    <s v="&lt;null&gt;"/>
    <n v="100"/>
    <n v="210000"/>
    <n v="210000"/>
  </r>
  <r>
    <x v="1367"/>
    <x v="1367"/>
    <s v="Verkeersveiligheid"/>
    <x v="5"/>
    <n v="2245"/>
    <s v="IN/001852"/>
    <s v="Sint-Truiden: N80 aanpak fietspaden"/>
    <s v="Fietspaden heraanleggen in asfalt."/>
    <s v="Kleine Ingreep"/>
    <s v="WL/INV/N80/6"/>
    <b v="1"/>
    <s v="Ingreep wordt opgevolgd in BOD"/>
    <n v="2022"/>
    <s v="Q2"/>
    <s v="WEGENIS"/>
    <s v="&lt;null&gt;"/>
    <n v="100"/>
    <n v="120000"/>
    <n v="120000"/>
  </r>
  <r>
    <x v="1368"/>
    <x v="1368"/>
    <s v="Verkeersveiligheid"/>
    <x v="5"/>
    <n v="2246"/>
    <s v="IN/001853"/>
    <s v="Sint-Truiden: N3 aanpak betonplaten"/>
    <s v="Herstellen van gebroken/verzakte betonplaten."/>
    <s v="Kleine Ingreep"/>
    <s v="WL/INV/N3/9"/>
    <b v="1"/>
    <s v="Ingreep wordt opgevolgd in BOD"/>
    <n v="2022"/>
    <s v="Q2"/>
    <s v="WEGENIS"/>
    <s v="&lt;null&gt;"/>
    <n v="100"/>
    <n v="200000"/>
    <n v="200000"/>
  </r>
  <r>
    <x v="1369"/>
    <x v="1369"/>
    <s v="Verkeersveiligheid"/>
    <x v="1"/>
    <n v="2247"/>
    <s v="IN/001854"/>
    <s v="KT optimalisatie fietsinfrastructuur"/>
    <s v="omleggen fietspaden, combineren met ventweg, reorganisatie parkeren."/>
    <s v="Kleine Ingreep"/>
    <s v="&lt;null&gt;"/>
    <b v="0"/>
    <s v="Ingreep wordt niet opgevolgd in BOD"/>
    <s v="&lt;null&gt;"/>
    <s v="&lt;null&gt;"/>
    <s v="&lt;null&gt;"/>
    <s v="&lt;null&gt;"/>
    <n v="100"/>
    <m/>
    <m/>
  </r>
  <r>
    <x v="996"/>
    <x v="996"/>
    <s v="Verkeersveiligheid"/>
    <x v="4"/>
    <n v="2248"/>
    <s v="IN/001855"/>
    <s v="Uitbreiden bestaande dynamische zone 30 tot voorbij VOP"/>
    <s v="&lt;null&gt;"/>
    <s v="Kleine Ingreep"/>
    <s v="WL/INV/N141/11"/>
    <b v="0"/>
    <s v="Ingreep wordt niet opgevolgd in BOD"/>
    <n v="2022"/>
    <s v="&lt;null&gt;"/>
    <s v="OVERIGE"/>
    <s v="&lt;null&gt;"/>
    <n v="100"/>
    <n v="30000"/>
    <n v="30000"/>
  </r>
  <r>
    <x v="1370"/>
    <x v="1370"/>
    <s v="Verkeersveiligheid"/>
    <x v="4"/>
    <n v="2249"/>
    <s v="IN/001856"/>
    <s v="kruispunt Mariakerkelaan N33"/>
    <s v="studie VIAS\nOntsluitingsstudie lopende 2022\nmogelijks lichten maar geen garantie op doorstroming"/>
    <s v="Kleine Ingreep"/>
    <s v="&lt;null&gt;"/>
    <b v="0"/>
    <s v="Ingreep wordt niet opgevolgd in BOD"/>
    <s v="&lt;null&gt;"/>
    <s v="&lt;null&gt;"/>
    <s v="&lt;null&gt;"/>
    <s v="&lt;null&gt;"/>
    <n v="100"/>
    <m/>
    <m/>
  </r>
  <r>
    <x v="18"/>
    <x v="18"/>
    <s v="&lt;null&gt;"/>
    <x v="3"/>
    <n v="2250"/>
    <s v="IN/001857"/>
    <s v="E403 Izegem: herinrichting op- en afritcomplex nr7"/>
    <s v="&lt;null&gt;"/>
    <s v="Structurele Ingreep"/>
    <s v="WWV/INV/E403/1"/>
    <b v="0"/>
    <s v="Ingreep wordt niet opgevolgd in BOD"/>
    <s v="&lt;null&gt;"/>
    <s v="&lt;null&gt;"/>
    <s v="&lt;null&gt;"/>
    <s v="&lt;null&gt;"/>
    <m/>
    <m/>
    <m/>
  </r>
  <r>
    <x v="18"/>
    <x v="18"/>
    <s v="&lt;null&gt;"/>
    <x v="3"/>
    <n v="2251"/>
    <s v="IN/001858"/>
    <s v="N223/2 Aarschot aanleg fietspaden thv district"/>
    <s v="&lt;null&gt;"/>
    <s v="Structurele Ingreep"/>
    <s v="WVB/INV/N223/2"/>
    <b v="0"/>
    <s v="Ingreep wordt niet opgevolgd in BOD"/>
    <s v="&lt;null&gt;"/>
    <s v="&lt;null&gt;"/>
    <s v="&lt;null&gt;"/>
    <s v="&lt;null&gt;"/>
    <m/>
    <m/>
    <m/>
  </r>
  <r>
    <x v="18"/>
    <x v="18"/>
    <s v="&lt;null&gt;"/>
    <x v="3"/>
    <n v="2252"/>
    <s v="IN/001859"/>
    <s v="N29/5 Diest - Doortocht Schoonaerde"/>
    <s v="&lt;null&gt;"/>
    <s v="Structurele Ingreep"/>
    <s v="WVB/INV/N29/5"/>
    <b v="0"/>
    <s v="Ingreep wordt niet opgevolgd in BOD"/>
    <s v="&lt;null&gt;"/>
    <s v="&lt;null&gt;"/>
    <s v="&lt;null&gt;"/>
    <s v="&lt;null&gt;"/>
    <m/>
    <m/>
    <m/>
  </r>
  <r>
    <x v="18"/>
    <x v="18"/>
    <s v="&lt;null&gt;"/>
    <x v="3"/>
    <n v="2253"/>
    <s v="IN/001860"/>
    <s v="N34 Knokke-Heist - doortocht Heist"/>
    <s v="&lt;null&gt;"/>
    <s v="Structurele Ingreep"/>
    <s v="WWV/INV/N34/15"/>
    <b v="0"/>
    <s v="Ingreep wordt niet opgevolgd in BOD"/>
    <s v="&lt;null&gt;"/>
    <s v="&lt;null&gt;"/>
    <s v="&lt;null&gt;"/>
    <s v="&lt;null&gt;"/>
    <m/>
    <m/>
    <m/>
  </r>
  <r>
    <x v="18"/>
    <x v="18"/>
    <s v="&lt;null&gt;"/>
    <x v="3"/>
    <n v="2254"/>
    <s v="IN/001861"/>
    <s v="N318 Middelkerke - herinrichting thv Krokodiel"/>
    <s v="&lt;null&gt;"/>
    <s v="Structurele Ingreep"/>
    <s v="WWV/INV/N318/5"/>
    <b v="0"/>
    <s v="Ingreep wordt niet opgevolgd in BOD"/>
    <s v="&lt;null&gt;"/>
    <s v="&lt;null&gt;"/>
    <s v="&lt;null&gt;"/>
    <s v="&lt;null&gt;"/>
    <m/>
    <m/>
    <m/>
  </r>
  <r>
    <x v="18"/>
    <x v="18"/>
    <s v="&lt;null&gt;"/>
    <x v="3"/>
    <n v="2255"/>
    <s v="IN/001862"/>
    <s v="N29/4 Tienen Herinrichting N29 - R27 tot Deelberg"/>
    <s v="&lt;null&gt;"/>
    <s v="Structurele Ingreep"/>
    <s v="WVB/INV/N29/4"/>
    <b v="0"/>
    <s v="Ingreep wordt niet opgevolgd in BOD"/>
    <s v="&lt;null&gt;"/>
    <s v="&lt;null&gt;"/>
    <s v="&lt;null&gt;"/>
    <s v="&lt;null&gt;"/>
    <m/>
    <m/>
    <m/>
  </r>
  <r>
    <x v="1001"/>
    <x v="1001"/>
    <s v="Verkeersveiligheid"/>
    <x v="4"/>
    <n v="2256"/>
    <s v="IN/001863"/>
    <s v="Aanpassing fietsinfra lichtengeregeld kruispunt"/>
    <s v="Toeleidende fietspaden in de zijstraten\nlichtengeregelde FOP's ipv OFOS'en"/>
    <s v="Kleine Ingreep"/>
    <s v="&lt;null&gt;"/>
    <b v="0"/>
    <s v="Ingreep wordt niet opgevolgd in BOD"/>
    <s v="&lt;null&gt;"/>
    <s v="&lt;null&gt;"/>
    <s v="&lt;null&gt;"/>
    <s v="&lt;null&gt;"/>
    <n v="100"/>
    <m/>
    <m/>
  </r>
  <r>
    <x v="1001"/>
    <x v="1001"/>
    <s v="Verkeersveiligheid"/>
    <x v="4"/>
    <n v="2257"/>
    <s v="IN/001864"/>
    <s v="Punctuele verlichting van bestaande VOP"/>
    <s v="&lt;null&gt;"/>
    <s v="Kleine Ingreep"/>
    <s v="WL/INV/N2/16"/>
    <b v="0"/>
    <s v="Ingreep wordt niet opgevolgd in BOD"/>
    <s v="&lt;null&gt;"/>
    <s v="&lt;null&gt;"/>
    <s v="OVERIGE"/>
    <s v="&lt;null&gt;"/>
    <n v="100"/>
    <n v="75000"/>
    <n v="75000"/>
  </r>
  <r>
    <x v="994"/>
    <x v="994"/>
    <s v="Verkeersveiligheid"/>
    <x v="4"/>
    <n v="2258"/>
    <s v="IN/001865"/>
    <s v="VOP en FOP voorzien van punctuele verlichting"/>
    <s v="&lt;null&gt;"/>
    <s v="Kleine Ingreep"/>
    <s v="WL/INV/N77/7"/>
    <b v="0"/>
    <s v="Ingreep wordt niet opgevolgd in BOD"/>
    <s v="&lt;null&gt;"/>
    <s v="&lt;null&gt;"/>
    <s v="OV"/>
    <s v="&lt;null&gt;"/>
    <n v="100"/>
    <n v="150000"/>
    <n v="150000"/>
  </r>
  <r>
    <x v="1196"/>
    <x v="1196"/>
    <s v="Verkeersveiligheid"/>
    <x v="1"/>
    <n v="2302"/>
    <s v="IN/001866"/>
    <s v="N12 Herinrichting Turnhoutsebaan"/>
    <s v="&lt;null&gt;"/>
    <s v="Structurele Ingreep"/>
    <s v="WA/INV/N12/5"/>
    <b v="0"/>
    <s v="Ingreep wordt niet opgevolgd in BOD"/>
    <s v="&lt;null&gt;"/>
    <s v="&lt;null&gt;"/>
    <s v="&lt;null&gt;"/>
    <s v="&lt;null&gt;"/>
    <n v="1"/>
    <m/>
    <m/>
  </r>
  <r>
    <x v="1371"/>
    <x v="1371"/>
    <s v="Verkeersveiligheid"/>
    <x v="1"/>
    <n v="2302"/>
    <s v="IN/001866"/>
    <s v="N12 Herinrichting Turnhoutsebaan"/>
    <s v="&lt;null&gt;"/>
    <s v="Structurele Ingreep"/>
    <s v="WA/INV/N12/5"/>
    <b v="0"/>
    <s v="Ingreep wordt niet opgevolgd in BOD"/>
    <s v="&lt;null&gt;"/>
    <s v="&lt;null&gt;"/>
    <s v="&lt;null&gt;"/>
    <s v="&lt;null&gt;"/>
    <n v="1"/>
    <m/>
    <m/>
  </r>
  <r>
    <x v="1372"/>
    <x v="1372"/>
    <s v="Verkeersveiligheid"/>
    <x v="4"/>
    <n v="2302"/>
    <s v="IN/001866"/>
    <s v="N12 Herinrichting Turnhoutsebaan"/>
    <s v="&lt;null&gt;"/>
    <s v="Structurele Ingreep"/>
    <s v="WA/INV/N12/5"/>
    <b v="0"/>
    <s v="Ingreep wordt niet opgevolgd in BOD"/>
    <s v="&lt;null&gt;"/>
    <s v="&lt;null&gt;"/>
    <s v="&lt;null&gt;"/>
    <s v="&lt;null&gt;"/>
    <n v="1"/>
    <m/>
    <m/>
  </r>
  <r>
    <x v="18"/>
    <x v="18"/>
    <s v="&lt;null&gt;"/>
    <x v="3"/>
    <n v="2303"/>
    <s v="IN/001867"/>
    <s v="N458 Assenede aanleg fietspaden Boekhoute-F423"/>
    <s v="&lt;null&gt;"/>
    <s v="Structurele Ingreep"/>
    <s v="WOV/INV/N458/4"/>
    <b v="0"/>
    <s v="Ingreep wordt niet opgevolgd in BOD"/>
    <s v="&lt;null&gt;"/>
    <s v="&lt;null&gt;"/>
    <s v="&lt;null&gt;"/>
    <s v="&lt;null&gt;"/>
    <m/>
    <m/>
    <m/>
  </r>
  <r>
    <x v="18"/>
    <x v="18"/>
    <s v="&lt;null&gt;"/>
    <x v="3"/>
    <n v="2355"/>
    <s v="IN/001871"/>
    <s v="N35 Tielt: aanleg fietspaden vh BFF"/>
    <s v="&lt;null&gt;"/>
    <s v="Structurele Ingreep"/>
    <s v="WWV/INV/N35/1"/>
    <b v="0"/>
    <s v="Ingreep wordt niet opgevolgd in BOD"/>
    <s v="&lt;null&gt;"/>
    <s v="&lt;null&gt;"/>
    <s v="&lt;null&gt;"/>
    <s v="&lt;null&gt;"/>
    <m/>
    <m/>
    <m/>
  </r>
  <r>
    <x v="1006"/>
    <x v="1006"/>
    <s v="Verkeersveiligheid"/>
    <x v="4"/>
    <n v="2356"/>
    <s v="IN/001872"/>
    <s v="Ombouw VRI volgens actieplan + voorbereiding iVRI"/>
    <s v="&lt;null&gt;"/>
    <s v="Kleine Ingreep"/>
    <s v="&lt;null&gt;"/>
    <b v="0"/>
    <s v="Ingreep wordt niet opgevolgd in BOD"/>
    <s v="&lt;null&gt;"/>
    <s v="&lt;null&gt;"/>
    <s v="&lt;null&gt;"/>
    <s v="&lt;null&gt;"/>
    <n v="100"/>
    <m/>
    <m/>
  </r>
  <r>
    <x v="730"/>
    <x v="730"/>
    <s v="Verkeersveiligheid"/>
    <x v="4"/>
    <n v="2357"/>
    <s v="IN/001873"/>
    <s v="Aanpassen rotonde"/>
    <s v="- op de 4 takken een VOP in combi met dubbelrichtingsFOP's in fietslogoverbinding (inclusief aanpassen fietspaden rotonde).\n\n"/>
    <s v="Kleine Ingreep"/>
    <s v="&lt;null&gt;"/>
    <b v="0"/>
    <s v="Ingreep wordt niet opgevolgd in BOD"/>
    <s v="&lt;null&gt;"/>
    <s v="&lt;null&gt;"/>
    <s v="&lt;null&gt;"/>
    <s v="&lt;null&gt;"/>
    <n v="100"/>
    <m/>
    <m/>
  </r>
  <r>
    <x v="730"/>
    <x v="730"/>
    <s v="Verkeersveiligheid"/>
    <x v="4"/>
    <n v="2358"/>
    <s v="IN/001874"/>
    <s v="Snelheid naar 70 km/u"/>
    <s v="&lt;null&gt;"/>
    <s v="Kleine Ingreep"/>
    <s v="&lt;null&gt;"/>
    <b v="0"/>
    <s v="Ingreep wordt niet opgevolgd in BOD"/>
    <s v="&lt;null&gt;"/>
    <s v="&lt;null&gt;"/>
    <s v="&lt;null&gt;"/>
    <s v="&lt;null&gt;"/>
    <n v="100"/>
    <m/>
    <m/>
  </r>
  <r>
    <x v="1373"/>
    <x v="1373"/>
    <s v="Verkeersveiligheid"/>
    <x v="4"/>
    <n v="2359"/>
    <s v="IN/001875"/>
    <s v="Aanpassen kruispunt"/>
    <s v="versmallen noordelijke aansluiting, FOP's met bajonet en nieuwe bushalte/Hoppinpunt"/>
    <s v="Kleine Ingreep"/>
    <s v="&lt;null&gt;"/>
    <b v="0"/>
    <s v="Ingreep wordt niet opgevolgd in BOD"/>
    <s v="&lt;null&gt;"/>
    <s v="&lt;null&gt;"/>
    <s v="OVERIGE"/>
    <s v="&lt;null&gt;"/>
    <n v="100"/>
    <n v="221507"/>
    <n v="221507"/>
  </r>
  <r>
    <x v="18"/>
    <x v="18"/>
    <s v="&lt;null&gt;"/>
    <x v="3"/>
    <n v="2360"/>
    <s v="IN/001876"/>
    <s v="Masterplan Calicannes"/>
    <s v="&lt;null&gt;"/>
    <s v="Structurele Ingreep"/>
    <s v="WWV/INV/N38/1"/>
    <b v="0"/>
    <s v="Ingreep wordt niet opgevolgd in BOD"/>
    <s v="&lt;null&gt;"/>
    <s v="&lt;null&gt;"/>
    <s v="&lt;null&gt;"/>
    <s v="&lt;null&gt;"/>
    <m/>
    <m/>
    <m/>
  </r>
  <r>
    <x v="18"/>
    <x v="18"/>
    <s v="&lt;null&gt;"/>
    <x v="3"/>
    <n v="2361"/>
    <s v="IN/001877"/>
    <s v="N38 Ieper - kruispunt Pilkemseweg"/>
    <s v="&lt;null&gt;"/>
    <s v="Structurele Ingreep"/>
    <s v="WWV/INV/N38/2"/>
    <b v="0"/>
    <s v="Ingreep wordt niet opgevolgd in BOD"/>
    <s v="&lt;null&gt;"/>
    <s v="&lt;null&gt;"/>
    <s v="&lt;null&gt;"/>
    <s v="&lt;null&gt;"/>
    <m/>
    <m/>
    <m/>
  </r>
  <r>
    <x v="1374"/>
    <x v="1374"/>
    <s v="Fiets"/>
    <x v="0"/>
    <n v="2362"/>
    <s v="IN/001878"/>
    <s v="R32 Hooglede: Fietstunnel thv Honzebrouckstraat"/>
    <s v="&lt;null&gt;"/>
    <s v="Structurele Ingreep"/>
    <s v="WWV/INV/R32/1"/>
    <b v="0"/>
    <s v="Ingreep wordt niet opgevolgd in BOD"/>
    <s v="&lt;null&gt;"/>
    <s v="&lt;null&gt;"/>
    <s v="&lt;null&gt;"/>
    <s v="&lt;null&gt;"/>
    <n v="100"/>
    <m/>
    <m/>
  </r>
  <r>
    <x v="1120"/>
    <x v="1120"/>
    <s v="Verkeersveiligheid"/>
    <x v="4"/>
    <n v="2363"/>
    <s v="IN/001879"/>
    <s v="SRK: N405 Aalst: vernieuwen slemlaag en VOP ter hoogte van school"/>
    <s v="Vernieuwen slemlaag en VOP ter hoogte van school  (SRK)"/>
    <s v="Kleine Ingreep"/>
    <s v="WOV/INV/N405/7"/>
    <b v="1"/>
    <s v="Ingreep wordt opgevolgd in BOD"/>
    <n v="2022"/>
    <s v="Q2"/>
    <s v="WEGENIS"/>
    <s v="&lt;null&gt;"/>
    <n v="100"/>
    <n v="40200"/>
    <n v="40200"/>
  </r>
  <r>
    <x v="1317"/>
    <x v="1317"/>
    <s v="Stimuleren Combimobiliteit"/>
    <x v="7"/>
    <n v="2364"/>
    <s v="IN/001880"/>
    <s v="Aanleg verhoogde bushaltehaven afm 30m x 2.70m"/>
    <s v="N403 Kemzeke kmp 6.400  aflopend rechts\nAanleg verhoogde bushaltehaven afm 30m x 2.70m"/>
    <s v="Kleine Ingreep"/>
    <s v="WOV/INV/N403/3"/>
    <b v="1"/>
    <s v="Ingreep wordt opgevolgd in BOD"/>
    <n v="2022"/>
    <s v="Q2"/>
    <s v="OVERIGE"/>
    <s v="&lt;null&gt;"/>
    <n v="100"/>
    <n v="22000"/>
    <n v="22000"/>
  </r>
  <r>
    <x v="1375"/>
    <x v="1375"/>
    <s v="Stimuleren Combimobiliteit"/>
    <x v="7"/>
    <n v="2365"/>
    <s v="IN/001881"/>
    <s v="N419 Kruibeke  kmp 8.331 - kmp 8.352 aflopend rechts Aanleg verhoogde bushaltehaven  afm 21m x3m (halte Kruibeke Moortelbaan)"/>
    <s v="N419 Kruibeke  kmp 8.331 - kmp 8.352 aflopend rechts Aanleg verhoogde bushaltehaven  afm 21m x3m (halte Kruibeke Moortelbaan)"/>
    <s v="Kleine Ingreep"/>
    <s v="WOV/INV/N419/9"/>
    <b v="1"/>
    <s v="Ingreep wordt opgevolgd in BOD"/>
    <n v="2022"/>
    <s v="Q2"/>
    <s v="OVERIGE"/>
    <s v="&lt;null&gt;"/>
    <n v="100"/>
    <n v="12000"/>
    <n v="12000"/>
  </r>
  <r>
    <x v="1375"/>
    <x v="1375"/>
    <s v="Stimuleren Combimobiliteit"/>
    <x v="7"/>
    <n v="2366"/>
    <s v="IN/001882"/>
    <s v="N419 Kruibeke kmp 8.324 -v kmp 8.371 oplopend rechts aanleg verhoogde bushaltehaven afm 47m x 3m (halte Kruibeke Moortelstraat)"/>
    <s v="N419 Kruibeke kmp 8.324 -v kmp 8.371 oplopend rechts\naanleg verhoogde bushaltehaven afm 47m x 3m (halte Kruibeke Moortelstraat)"/>
    <s v="Kleine Ingreep"/>
    <s v="WOV/INV/N419/10"/>
    <b v="1"/>
    <s v="Ingreep wordt opgevolgd in BOD"/>
    <n v="2022"/>
    <s v="Q2"/>
    <s v="OVERIGE"/>
    <s v="&lt;null&gt;"/>
    <n v="100"/>
    <n v="19000"/>
    <n v="19000"/>
  </r>
  <r>
    <x v="1376"/>
    <x v="1376"/>
    <s v="Stimuleren Combimobiliteit"/>
    <x v="7"/>
    <n v="2367"/>
    <s v="IN/001883"/>
    <s v="N419 Kruibeke kmp 8.981 - kmp 9.001 aflopend rechts  Aanleg verhoogde bushaltehaven afm 20m x 2m (halte Kruibeke Mercatorstraat)"/>
    <s v="N419 Kruibeke kmp 8.981 - kmp 9.001 aflopend rechts \nAanleg verhoogde bushaltehaven afm 20m x 2m (halte Kruibeke Mercatorstraat)"/>
    <s v="Kleine Ingreep"/>
    <s v="WOV/INV/N419/11"/>
    <b v="1"/>
    <s v="Ingreep wordt opgevolgd in BOD"/>
    <n v="2022"/>
    <s v="Q3"/>
    <s v="OVERIGE"/>
    <s v="&lt;null&gt;"/>
    <n v="100"/>
    <n v="12200"/>
    <n v="12200"/>
  </r>
  <r>
    <x v="1376"/>
    <x v="1376"/>
    <s v="Stimuleren Combimobiliteit"/>
    <x v="7"/>
    <n v="2368"/>
    <s v="IN/001884"/>
    <s v="N419 Kruibeke kmp 9.003 - kmp 9.024 oplopend rechts Aanleg verhoogde bushaltehaven afm 21m x 2m (halte Kruibeke Mercatorstraat)"/>
    <s v="N419 Kruibeke kmp 9.003 - kmp 9.024 oplopend rechts\nAanleg verhoogde bushaltehaven afm 21m x 2m (halte Kruibeke Mercatorstraat)"/>
    <s v="Kleine Ingreep"/>
    <s v="WOV/INV/N419/12"/>
    <b v="1"/>
    <s v="Ingreep wordt opgevolgd in BOD"/>
    <n v="2022"/>
    <s v="Q3"/>
    <s v="OVERIGE"/>
    <s v="&lt;null&gt;"/>
    <n v="100"/>
    <n v="12600"/>
    <n v="12600"/>
  </r>
  <r>
    <x v="18"/>
    <x v="18"/>
    <s v="&lt;null&gt;"/>
    <x v="3"/>
    <n v="2369"/>
    <s v="IN/001885"/>
    <s v="N012 Doortocht Vosselaar"/>
    <s v="&lt;null&gt;"/>
    <s v="Structurele Ingreep"/>
    <s v="WA/INV/N012/11"/>
    <b v="0"/>
    <s v="Ingreep wordt niet opgevolgd in BOD"/>
    <s v="&lt;null&gt;"/>
    <s v="&lt;null&gt;"/>
    <s v="&lt;null&gt;"/>
    <s v="&lt;null&gt;"/>
    <m/>
    <m/>
    <m/>
  </r>
  <r>
    <x v="18"/>
    <x v="18"/>
    <s v="&lt;null&gt;"/>
    <x v="3"/>
    <n v="2370"/>
    <s v="IN/001886"/>
    <s v="R16 - LIER - Structureel onderhoud"/>
    <s v="&lt;null&gt;"/>
    <s v="Structurele Ingreep"/>
    <s v="WA/INV/R16/5"/>
    <b v="0"/>
    <s v="Ingreep wordt niet opgevolgd in BOD"/>
    <s v="&lt;null&gt;"/>
    <s v="&lt;null&gt;"/>
    <s v="&lt;null&gt;"/>
    <s v="&lt;null&gt;"/>
    <m/>
    <m/>
    <m/>
  </r>
  <r>
    <x v="1377"/>
    <x v="1377"/>
    <s v="Verkeersveiligheid"/>
    <x v="4"/>
    <n v="2371"/>
    <s v="IN/001887"/>
    <s v="SRK: N9 x R4 Melle: markeringen verbeteren"/>
    <s v="* opfrissen bestaande rode thermo.\n* 3 stuks nieuwe driehoekenstrepen volgens bijgevoegde schets.\n* aanpassen arcering.\n* 1 nieuwe B1 (zijde 900)."/>
    <s v="Kleine Ingreep"/>
    <s v="WOV/INV/N9/31"/>
    <b v="1"/>
    <s v="Ingreep wordt opgevolgd in BOD"/>
    <n v="2022"/>
    <s v="Q2"/>
    <s v="OVERIGE"/>
    <s v="&lt;null&gt;"/>
    <n v="100"/>
    <n v="1600"/>
    <n v="1600"/>
  </r>
  <r>
    <x v="1378"/>
    <x v="1378"/>
    <s v="Verkeersveiligheid"/>
    <x v="4"/>
    <n v="2372"/>
    <s v="IN/001888"/>
    <s v="SRK: N9 Melle, N9 x Wautersdreef : middeneilanden"/>
    <s v="* Nieuw middeneilanden te lijmen + inboren.\n* 2 st nieuwe D1d (ø700)+ retroreflecterende kokers in verkeerseilanden.\n* Kopse kanten verkeerseiland wit te schilderen.\n* Eilanden opvullen met beton."/>
    <s v="Kleine Ingreep"/>
    <s v="WOV/INV/N9/32"/>
    <b v="1"/>
    <s v="Ingreep wordt opgevolgd in BOD"/>
    <n v="2022"/>
    <s v="Q2"/>
    <s v="WEGENIS"/>
    <s v="&lt;null&gt;"/>
    <n v="100"/>
    <n v="5000"/>
    <n v="5000"/>
  </r>
  <r>
    <x v="18"/>
    <x v="18"/>
    <s v="&lt;null&gt;"/>
    <x v="3"/>
    <n v="2373"/>
    <s v="IN/001889"/>
    <s v="N302 Diksmuide: Schoorbakkestraat: aanleg fietspad"/>
    <s v="&lt;null&gt;"/>
    <s v="Structurele Ingreep"/>
    <s v="WWV/INV/N302/1"/>
    <b v="0"/>
    <s v="Ingreep wordt niet opgevolgd in BOD"/>
    <s v="&lt;null&gt;"/>
    <s v="&lt;null&gt;"/>
    <s v="&lt;null&gt;"/>
    <s v="&lt;null&gt;"/>
    <m/>
    <m/>
    <m/>
  </r>
  <r>
    <x v="18"/>
    <x v="18"/>
    <s v="&lt;null&gt;"/>
    <x v="3"/>
    <n v="2374"/>
    <s v="IN/001890"/>
    <s v="N32 Torhout: heraanleg"/>
    <s v="&lt;null&gt;"/>
    <s v="Structurele Ingreep"/>
    <s v="WWV/INV/N32/10"/>
    <b v="0"/>
    <s v="Ingreep wordt niet opgevolgd in BOD"/>
    <s v="&lt;null&gt;"/>
    <s v="&lt;null&gt;"/>
    <s v="&lt;null&gt;"/>
    <s v="&lt;null&gt;"/>
    <m/>
    <m/>
    <m/>
  </r>
  <r>
    <x v="18"/>
    <x v="18"/>
    <s v="&lt;null&gt;"/>
    <x v="3"/>
    <n v="2375"/>
    <s v="IN/001891"/>
    <s v="N357 Wielsbeke struct onderhoud beton   fietspadpr"/>
    <s v="&lt;null&gt;"/>
    <s v="Structurele Ingreep"/>
    <s v="WWV/INV/N357/1"/>
    <b v="0"/>
    <s v="Ingreep wordt niet opgevolgd in BOD"/>
    <s v="&lt;null&gt;"/>
    <s v="&lt;null&gt;"/>
    <s v="&lt;null&gt;"/>
    <s v="&lt;null&gt;"/>
    <m/>
    <m/>
    <m/>
  </r>
  <r>
    <x v="79"/>
    <x v="79"/>
    <s v="Fiets"/>
    <x v="0"/>
    <n v="2376"/>
    <s v="IN/001892"/>
    <s v="N17 PSAM Aanleg vrijliggende fietspaden"/>
    <s v="&lt;null&gt;"/>
    <s v="Structurele Ingreep"/>
    <s v="WA/INV/N17/1"/>
    <b v="0"/>
    <s v="Ingreep wordt niet opgevolgd in BOD"/>
    <s v="&lt;null&gt;"/>
    <s v="&lt;null&gt;"/>
    <s v="&lt;null&gt;"/>
    <s v="&lt;null&gt;"/>
    <n v="100"/>
    <m/>
    <m/>
  </r>
  <r>
    <x v="18"/>
    <x v="18"/>
    <s v="&lt;null&gt;"/>
    <x v="3"/>
    <n v="2377"/>
    <s v="IN/001893"/>
    <s v="N279/1 Linter N279+N283 Fietspaden (mod 13)"/>
    <s v="&lt;null&gt;"/>
    <s v="Structurele Ingreep"/>
    <s v="WVB/INV/N279/1"/>
    <b v="0"/>
    <s v="Ingreep wordt niet opgevolgd in BOD"/>
    <s v="&lt;null&gt;"/>
    <s v="&lt;null&gt;"/>
    <s v="&lt;null&gt;"/>
    <s v="&lt;null&gt;"/>
    <m/>
    <m/>
    <m/>
  </r>
  <r>
    <x v="18"/>
    <x v="18"/>
    <s v="&lt;null&gt;"/>
    <x v="3"/>
    <n v="2378"/>
    <s v="IN/001894"/>
    <s v="R26 - Kiss and ride station Diest"/>
    <s v="&lt;null&gt;"/>
    <s v="Structurele Ingreep"/>
    <s v="WVB/INV/R26/1"/>
    <b v="0"/>
    <s v="Ingreep wordt niet opgevolgd in BOD"/>
    <s v="&lt;null&gt;"/>
    <s v="&lt;null&gt;"/>
    <s v="&lt;null&gt;"/>
    <s v="&lt;null&gt;"/>
    <m/>
    <m/>
    <m/>
  </r>
  <r>
    <x v="18"/>
    <x v="18"/>
    <s v="&lt;null&gt;"/>
    <x v="3"/>
    <n v="2379"/>
    <s v="IN/001895"/>
    <s v="X21/A3/76 Renovatie E40 Brussel - Luik: fase 2"/>
    <s v="&lt;null&gt;"/>
    <s v="Structurele Ingreep"/>
    <s v="WVB/INV/A3/3"/>
    <b v="0"/>
    <s v="Ingreep wordt niet opgevolgd in BOD"/>
    <s v="&lt;null&gt;"/>
    <s v="&lt;null&gt;"/>
    <s v="&lt;null&gt;"/>
    <s v="&lt;null&gt;"/>
    <m/>
    <m/>
    <m/>
  </r>
  <r>
    <x v="18"/>
    <x v="18"/>
    <s v="&lt;null&gt;"/>
    <x v="3"/>
    <n v="2380"/>
    <s v="IN/001896"/>
    <s v="ZZZZZZ_Renovatie E40 Brussel - Luik: fase 3"/>
    <s v="&lt;null&gt;"/>
    <s v="Structurele Ingreep"/>
    <s v="WVB/INV/A3/4"/>
    <b v="0"/>
    <s v="Ingreep wordt niet opgevolgd in BOD"/>
    <s v="&lt;null&gt;"/>
    <s v="&lt;null&gt;"/>
    <s v="&lt;null&gt;"/>
    <s v="&lt;null&gt;"/>
    <m/>
    <m/>
    <m/>
  </r>
  <r>
    <x v="18"/>
    <x v="18"/>
    <s v="&lt;null&gt;"/>
    <x v="3"/>
    <n v="2381"/>
    <s v="IN/001897"/>
    <s v="N29 - Bufferbekken Begijnebeek thv Klipgaardestr"/>
    <s v="&lt;null&gt;"/>
    <s v="Structurele Ingreep"/>
    <s v="WVB/INV/N29/8"/>
    <b v="0"/>
    <s v="Ingreep wordt niet opgevolgd in BOD"/>
    <s v="&lt;null&gt;"/>
    <s v="&lt;null&gt;"/>
    <s v="&lt;null&gt;"/>
    <s v="&lt;null&gt;"/>
    <m/>
    <m/>
    <m/>
  </r>
  <r>
    <x v="18"/>
    <x v="18"/>
    <s v="&lt;null&gt;"/>
    <x v="3"/>
    <n v="2382"/>
    <s v="IN/001898"/>
    <s v="N118 - Ravels - Structureel Onderhoud na M13"/>
    <s v="&lt;null&gt;"/>
    <s v="Structurele Ingreep"/>
    <s v="WA/INV/N118/11"/>
    <b v="0"/>
    <s v="Ingreep wordt niet opgevolgd in BOD"/>
    <s v="&lt;null&gt;"/>
    <s v="&lt;null&gt;"/>
    <s v="&lt;null&gt;"/>
    <s v="&lt;null&gt;"/>
    <m/>
    <m/>
    <m/>
  </r>
  <r>
    <x v="18"/>
    <x v="18"/>
    <s v="&lt;null&gt;"/>
    <x v="3"/>
    <n v="2383"/>
    <s v="IN/001899"/>
    <s v="TYS: Structureel onderhoud brandleiding"/>
    <s v="&lt;null&gt;"/>
    <s v="Structurele Ingreep"/>
    <s v="WA/INV/TYS/5"/>
    <b v="0"/>
    <s v="Ingreep wordt niet opgevolgd in BOD"/>
    <n v="2023"/>
    <s v="&lt;null&gt;"/>
    <s v="OVERIGE"/>
    <s v="&lt;null&gt;"/>
    <m/>
    <n v="1200000"/>
    <m/>
  </r>
  <r>
    <x v="1379"/>
    <x v="1379"/>
    <s v="Verkeersveiligheid"/>
    <x v="1"/>
    <n v="2384"/>
    <s v="IN/001900"/>
    <s v="Aanpassingen kruispunt."/>
    <s v="Rechtsaf voor rood"/>
    <s v="Kleine Ingreep"/>
    <s v="WA/INV/N177/12"/>
    <b v="1"/>
    <s v="Ingreep wordt opgevolgd in BOD"/>
    <n v="2022"/>
    <s v="Q2"/>
    <s v="WEGENIS"/>
    <s v="&lt;null&gt;"/>
    <n v="100"/>
    <n v="80000"/>
    <n v="80000"/>
  </r>
  <r>
    <x v="1380"/>
    <x v="1380"/>
    <s v="Verkeersveiligheid"/>
    <x v="1"/>
    <n v="2385"/>
    <s v="IN/001901"/>
    <s v="Studie N120 - N130"/>
    <s v="Studie herinrichting"/>
    <s v="Kleine Ingreep"/>
    <s v="&lt;null&gt;"/>
    <b v="0"/>
    <s v="Ingreep wordt niet opgevolgd in BOD"/>
    <s v="&lt;null&gt;"/>
    <s v="&lt;null&gt;"/>
    <s v="&lt;null&gt;"/>
    <s v="&lt;null&gt;"/>
    <n v="100"/>
    <m/>
    <m/>
  </r>
  <r>
    <x v="1381"/>
    <x v="1381"/>
    <s v="Verkeersveiligheid"/>
    <x v="4"/>
    <n v="2386"/>
    <s v="IN/001902"/>
    <s v="Bierbeek toevoegen van fietslicht FA en bordje B23 'rechtdoor door rood' N3xKoning Albertlaan"/>
    <s v="fietslicht FA toevoegen dat samen met fietsers FC en de voetgangers groen heeft in de vierkant groen fase.\nEr zal een bordje B23 'rechtdoor door rood' moeten bijgeplaatst worden zodat fietsers tot aan het fietslicht kunnen rijden."/>
    <s v="Kleine Ingreep"/>
    <s v="&lt;null&gt;"/>
    <b v="0"/>
    <s v="Ingreep wordt niet opgevolgd in BOD"/>
    <n v="2023"/>
    <s v="Q4"/>
    <s v="VRI"/>
    <s v="&lt;null&gt;"/>
    <n v="100"/>
    <n v="250000"/>
    <n v="250000"/>
  </r>
  <r>
    <x v="1155"/>
    <x v="1155"/>
    <s v="Verkeersveiligheid"/>
    <x v="4"/>
    <n v="2387"/>
    <s v="IN/001903"/>
    <s v="Snelheidscamera's in beide richtingen"/>
    <s v="handhaving dmv singuliere camera's in vaste zone 50"/>
    <s v="Kleine Ingreep"/>
    <s v="&lt;null&gt;"/>
    <b v="0"/>
    <s v="Ingreep wordt niet opgevolgd in BOD"/>
    <s v="&lt;null&gt;"/>
    <s v="&lt;null&gt;"/>
    <s v="&lt;null&gt;"/>
    <s v="&lt;null&gt;"/>
    <n v="100"/>
    <m/>
    <m/>
  </r>
  <r>
    <x v="1382"/>
    <x v="1382"/>
    <s v="Verkeersveiligheid"/>
    <x v="4"/>
    <n v="2388"/>
    <s v="IN/001904"/>
    <s v="hermarkeren VOP"/>
    <s v="&lt;null&gt;"/>
    <s v="Kleine Ingreep"/>
    <s v="WL/INV/N754/14"/>
    <b v="1"/>
    <s v="Ingreep wordt opgevolgd in BOD"/>
    <n v="2022"/>
    <s v="Q3"/>
    <s v="WEGENIS"/>
    <s v="&lt;null&gt;"/>
    <n v="100"/>
    <n v="1000"/>
    <n v="1000"/>
  </r>
  <r>
    <x v="1382"/>
    <x v="1382"/>
    <s v="Verkeersveiligheid"/>
    <x v="4"/>
    <n v="2389"/>
    <s v="IN/001905"/>
    <s v="Zichtbaarheid VOP verbeteren"/>
    <s v="haag vervangen door lage beplanting en gedeelte parkeerstrook opheffen"/>
    <s v="Kleine Ingreep"/>
    <s v="WL/INV/N754/13"/>
    <b v="1"/>
    <s v="Ingreep wordt opgevolgd in BOD"/>
    <n v="2022"/>
    <s v="Q3"/>
    <s v="WEGENIS"/>
    <s v="&lt;null&gt;"/>
    <n v="100"/>
    <n v="1250"/>
    <n v="1250"/>
  </r>
  <r>
    <x v="1382"/>
    <x v="1382"/>
    <s v="Verkeersveiligheid"/>
    <x v="4"/>
    <n v="2390"/>
    <s v="IN/001906"/>
    <s v="Punctuele verlichting thv VOP"/>
    <s v="&lt;null&gt;"/>
    <s v="Kleine Ingreep"/>
    <s v="&lt;null&gt;"/>
    <b v="0"/>
    <s v="Ingreep wordt niet opgevolgd in BOD"/>
    <s v="&lt;null&gt;"/>
    <s v="&lt;null&gt;"/>
    <s v="OV"/>
    <s v="&lt;null&gt;"/>
    <n v="100"/>
    <n v="75000"/>
    <n v="75000"/>
  </r>
  <r>
    <x v="1382"/>
    <x v="1382"/>
    <s v="Verkeersveiligheid"/>
    <x v="4"/>
    <n v="2391"/>
    <s v="IN/001907"/>
    <s v="Rugdekking fietsers aanbrengen op verschillende plaatsen"/>
    <s v="&lt;null&gt;"/>
    <s v="Kleine Ingreep"/>
    <s v="WL/INV/N754/12"/>
    <b v="1"/>
    <s v="Ingreep wordt opgevolgd in BOD"/>
    <n v="2022"/>
    <s v="Q3"/>
    <s v="WEGENIS"/>
    <s v="&lt;null&gt;"/>
    <n v="100"/>
    <n v="25000"/>
    <n v="25000"/>
  </r>
  <r>
    <x v="1382"/>
    <x v="1382"/>
    <s v="Verkeersveiligheid"/>
    <x v="4"/>
    <n v="2392"/>
    <s v="IN/001908"/>
    <s v="Snelheidsverlaging naar 50"/>
    <s v="&lt;null&gt;"/>
    <s v="Kleine Ingreep"/>
    <s v="&lt;null&gt;"/>
    <b v="0"/>
    <s v="Ingreep wordt niet opgevolgd in BOD"/>
    <s v="&lt;null&gt;"/>
    <s v="&lt;null&gt;"/>
    <s v="&lt;null&gt;"/>
    <s v="&lt;null&gt;"/>
    <n v="100"/>
    <m/>
    <m/>
  </r>
  <r>
    <x v="1382"/>
    <x v="1382"/>
    <s v="Verkeersveiligheid"/>
    <x v="4"/>
    <n v="2393"/>
    <s v="IN/001909"/>
    <s v="trajectcontrole gedeelte 50 km/u"/>
    <s v="&lt;null&gt;"/>
    <s v="Kleine Ingreep"/>
    <s v="&lt;null&gt;"/>
    <b v="0"/>
    <s v="Ingreep wordt niet opgevolgd in BOD"/>
    <s v="&lt;null&gt;"/>
    <s v="&lt;null&gt;"/>
    <s v="&lt;null&gt;"/>
    <s v="&lt;null&gt;"/>
    <n v="100"/>
    <m/>
    <m/>
  </r>
  <r>
    <x v="1382"/>
    <x v="1382"/>
    <s v="Verkeersveiligheid"/>
    <x v="4"/>
    <n v="2394"/>
    <s v="IN/001910"/>
    <s v="fietssuggestiestroken (zone te bepalen)"/>
    <s v="&lt;null&gt;"/>
    <s v="Kleine Ingreep"/>
    <s v="WL/INV/N754/15"/>
    <b v="1"/>
    <s v="Ingreep wordt opgevolgd in BOD"/>
    <n v="2022"/>
    <s v="Q3"/>
    <s v="WEGENIS"/>
    <s v="&lt;null&gt;"/>
    <n v="100"/>
    <n v="110000"/>
    <n v="110000"/>
  </r>
  <r>
    <x v="1382"/>
    <x v="1382"/>
    <s v="Verkeersveiligheid"/>
    <x v="4"/>
    <n v="2395"/>
    <s v="IN/001911"/>
    <s v="Aanpassen kruispunten Haverenbosstraat en de Klameerstraat"/>
    <s v="Het aanpassen van het kruispunt van de N754 met de Haverenbosstraat en de Klameerstraat.\n\nVersmallen aansluiting Klameerstraat door verwijdering middeneiland\n\nOntharden zone tussen Klameerstraat en Haverenbosstraat"/>
    <s v="Kleine Ingreep"/>
    <s v="&lt;null&gt;"/>
    <b v="0"/>
    <s v="Ingreep wordt niet opgevolgd in BOD"/>
    <s v="&lt;null&gt;"/>
    <s v="&lt;null&gt;"/>
    <s v="&lt;null&gt;"/>
    <s v="&lt;null&gt;"/>
    <n v="100"/>
    <m/>
    <m/>
  </r>
  <r>
    <x v="1383"/>
    <x v="1383"/>
    <s v="Fiets"/>
    <x v="0"/>
    <n v="2396"/>
    <s v="IN/001912"/>
    <s v="Bijkomende ingreep - plaatsen van een VFOP"/>
    <s v="Plaatsen van een VFOP thv de fietssnelweg F1 langs de Zenne, bij de oversteek met de R22."/>
    <s v="Kleine Ingreep"/>
    <s v="WVB/INV/R22/4"/>
    <b v="0"/>
    <s v="Ingreep wordt niet opgevolgd in BOD"/>
    <n v="2022"/>
    <s v="Q4"/>
    <s v="OV"/>
    <s v="&lt;null&gt;"/>
    <n v="100"/>
    <n v="45000"/>
    <n v="45000"/>
  </r>
  <r>
    <x v="1384"/>
    <x v="1384"/>
    <s v="Verkeersveiligheid"/>
    <x v="6"/>
    <n v="2397"/>
    <s v="IN/001913"/>
    <s v="Regenboogzebrapad aanbrengen"/>
    <s v="Regenboogzebrapad aanbrengen"/>
    <s v="Kleine Ingreep"/>
    <s v="WOV/INV/N462/7"/>
    <b v="1"/>
    <s v="Ingreep wordt opgevolgd in BOD"/>
    <n v="2022"/>
    <s v="Q2"/>
    <s v="OVERIGE"/>
    <s v="&lt;null&gt;"/>
    <n v="100"/>
    <n v="1100"/>
    <n v="1100"/>
  </r>
  <r>
    <x v="1385"/>
    <x v="1385"/>
    <s v="Stimuleren Combimobiliteit"/>
    <x v="7"/>
    <n v="2398"/>
    <s v="IN/001914"/>
    <s v="N37 te Aalter x Cijnsstraat : Aanleg van een nieuwe, vrijliggende bushaltehaven in beton thv de Cijnsstraat langs de Tieltsesteenweg AR"/>
    <s v="N37 te Aalter x Cijnsstraat : halte De Knok : Aanleg van een nieuwe, vrijliggende bushaltehaven in beton thv de Cijnsstraat langs de Tieltsesteenweg AR"/>
    <s v="Kleine Ingreep"/>
    <s v="WOV/INV/N37/4"/>
    <b v="1"/>
    <s v="Ingreep wordt opgevolgd in BOD"/>
    <n v="2022"/>
    <s v="Q3"/>
    <s v="OVERIGE"/>
    <s v="&lt;null&gt;"/>
    <n v="100"/>
    <n v="37500"/>
    <n v="37500"/>
  </r>
  <r>
    <x v="1385"/>
    <x v="1385"/>
    <s v="Stimuleren Combimobiliteit"/>
    <x v="7"/>
    <n v="2399"/>
    <s v="IN/001915"/>
    <s v="N37 te Aalter x Cijnsstraat : Aanleg van een nieuwe, vrijliggende bushaltehaven in beton thv de Cijnsstraat langs de Tieltsesteenweg OR"/>
    <s v="N37 te Aalter x Cijnsstraat : halte De Knok : Aanleg van een nieuwe, vrijliggende bushaltehaven in beton thv de Cijnsstraat langs de Tieltsesteenweg OR"/>
    <s v="Kleine Ingreep"/>
    <s v="WOV/INV/N37/5"/>
    <b v="1"/>
    <s v="Ingreep wordt opgevolgd in BOD"/>
    <n v="2022"/>
    <s v="Q3"/>
    <s v="OVERIGE"/>
    <s v="&lt;null&gt;"/>
    <n v="100"/>
    <n v="48400"/>
    <n v="48400"/>
  </r>
  <r>
    <x v="1386"/>
    <x v="1386"/>
    <s v="Stimuleren Combimobiliteit"/>
    <x v="7"/>
    <n v="2400"/>
    <s v="IN/001916"/>
    <s v="Bus: N454 Maarkedal: aanleg nieuwe bushalte (halte Schoolstraat), rechts"/>
    <s v="Bus: N454 Maarkedal: aanleg nieuwe bushalte (halte Schoolstraat), rechts"/>
    <s v="Kleine Ingreep"/>
    <s v="WOV/INV/N454/9"/>
    <b v="1"/>
    <s v="Ingreep wordt opgevolgd in BOD"/>
    <n v="2022"/>
    <s v="Q3"/>
    <s v="OV"/>
    <s v="&lt;null&gt;"/>
    <n v="100"/>
    <n v="10000"/>
    <n v="10000"/>
  </r>
  <r>
    <x v="1386"/>
    <x v="1386"/>
    <s v="Stimuleren Combimobiliteit"/>
    <x v="7"/>
    <n v="2401"/>
    <s v="IN/001917"/>
    <s v="Bus: N454 Maarkedal: aanleg nieuwe bushalte (halte Schoolstraat), links"/>
    <s v="Bus: N454 Maarkedal: aanleg nieuwe bushalte (halte Schoolstraat), links"/>
    <s v="Kleine Ingreep"/>
    <s v="WOV/INV/N454/10"/>
    <b v="1"/>
    <s v="Ingreep wordt opgevolgd in BOD"/>
    <n v="2022"/>
    <s v="Q3"/>
    <s v="OV"/>
    <s v="&lt;null&gt;"/>
    <n v="100"/>
    <n v="7000"/>
    <n v="7000"/>
  </r>
  <r>
    <x v="1363"/>
    <x v="1363"/>
    <s v="Stimuleren Combimobiliteit"/>
    <x v="7"/>
    <n v="2402"/>
    <s v="IN/001918"/>
    <s v="Aanleg Bushalte N460 x Waalhovestraat Ninove AR"/>
    <s v="Aanleg Bushalte N460 x Waalhovestraat Ninove AR"/>
    <s v="Kleine Ingreep"/>
    <s v="WOV/INV/N460/9"/>
    <b v="1"/>
    <s v="Ingreep wordt opgevolgd in BOD"/>
    <n v="2022"/>
    <s v="Q3"/>
    <s v="OVERIGE"/>
    <s v="&lt;null&gt;"/>
    <n v="100"/>
    <n v="30000"/>
    <n v="30000"/>
  </r>
  <r>
    <x v="18"/>
    <x v="18"/>
    <s v="&lt;null&gt;"/>
    <x v="3"/>
    <n v="2403"/>
    <s v="IN/001919"/>
    <s v="Bijkomende ingreep - Aanpassing complex A10 Affligem"/>
    <s v="Op- en afrittecomplex aanpassen door aanleg van een rotonde/keerpunt."/>
    <s v="Kleine Ingreep"/>
    <s v="&lt;null&gt;"/>
    <b v="0"/>
    <s v="Ingreep wordt niet opgevolgd in BOD"/>
    <s v="&lt;null&gt;"/>
    <s v="&lt;null&gt;"/>
    <s v="WEGENIS"/>
    <s v="&lt;null&gt;"/>
    <m/>
    <n v="600000"/>
    <m/>
  </r>
  <r>
    <x v="18"/>
    <x v="18"/>
    <s v="&lt;null&gt;"/>
    <x v="3"/>
    <n v="2404"/>
    <s v="IN/001920"/>
    <s v="E40 Structureel onderhoud Goetsenhoven"/>
    <s v="&lt;null&gt;"/>
    <s v="Structurele Ingreep"/>
    <s v="WVB/INV/A3/13"/>
    <b v="0"/>
    <s v="Ingreep wordt niet opgevolgd in BOD"/>
    <s v="&lt;null&gt;"/>
    <s v="&lt;null&gt;"/>
    <s v="&lt;null&gt;"/>
    <s v="&lt;null&gt;"/>
    <m/>
    <m/>
    <m/>
  </r>
  <r>
    <x v="18"/>
    <x v="18"/>
    <s v="&lt;null&gt;"/>
    <x v="3"/>
    <n v="2405"/>
    <s v="IN/001921"/>
    <s v="E40 Structureel onderhoud Walshoutem"/>
    <s v="&lt;null&gt;"/>
    <s v="Structurele Ingreep"/>
    <s v="WVB/INV/A3/14"/>
    <b v="0"/>
    <s v="Ingreep wordt niet opgevolgd in BOD"/>
    <s v="&lt;null&gt;"/>
    <s v="&lt;null&gt;"/>
    <s v="&lt;null&gt;"/>
    <s v="&lt;null&gt;"/>
    <m/>
    <m/>
    <m/>
  </r>
  <r>
    <x v="18"/>
    <x v="18"/>
    <s v="&lt;null&gt;"/>
    <x v="3"/>
    <n v="2406"/>
    <s v="IN/001922"/>
    <s v="A12.DP11 Structureel Onderhoud (Meise)"/>
    <s v="&lt;null&gt;"/>
    <s v="Structurele Ingreep"/>
    <s v="WVB/INV/A12/8"/>
    <b v="0"/>
    <s v="Ingreep wordt niet opgevolgd in BOD"/>
    <s v="&lt;null&gt;"/>
    <s v="&lt;null&gt;"/>
    <s v="&lt;null&gt;"/>
    <s v="&lt;null&gt;"/>
    <m/>
    <m/>
    <m/>
  </r>
  <r>
    <x v="1387"/>
    <x v="1387"/>
    <s v="Verkeersveiligheid"/>
    <x v="4"/>
    <n v="2452"/>
    <s v="IN/001923"/>
    <s v="Leuven invoeren zone 30 op de N253 Sint-Jansbergsesteenweg"/>
    <s v="Stad Leuven stelt AR op voor invoeren van zone 30 die ruimer is dan enkel de gewestweg."/>
    <s v="Kleine Ingreep"/>
    <s v="WVB/INV/N253/13"/>
    <b v="0"/>
    <s v="Ingreep wordt niet opgevolgd in BOD"/>
    <n v="2022"/>
    <s v="Q4"/>
    <s v="OVERIGE"/>
    <s v="niet relance middelen"/>
    <n v="100"/>
    <n v="2500"/>
    <n v="2500"/>
  </r>
  <r>
    <x v="1388"/>
    <x v="1388"/>
    <s v="Verkeersveiligheid"/>
    <x v="5"/>
    <n v="2453"/>
    <s v="IN/001924"/>
    <s v="MIA: aanpakken verzakking rechterwielspoor N79"/>
    <s v="Aanpakken van funderingsproblemen ter hoogte van het rechtwielspoor door plaatselijk de opbouw de vernieuwen."/>
    <s v="Kleine Ingreep"/>
    <s v="WL/INV/N79/9"/>
    <b v="1"/>
    <s v="Ingreep wordt opgevolgd in BOD"/>
    <n v="2022"/>
    <s v="Q2"/>
    <s v="WEGENIS"/>
    <s v="&lt;null&gt;"/>
    <n v="100"/>
    <n v="150000"/>
    <n v="150000"/>
  </r>
  <r>
    <x v="1389"/>
    <x v="1389"/>
    <s v="Verkeersveiligheid"/>
    <x v="5"/>
    <n v="2502"/>
    <s v="IN/001925"/>
    <s v="Leopoldsburg: N746 aanpassen middenberm"/>
    <s v="Middenberm verlagen zodat de erftoegangen veiliger toegankelijk zijn."/>
    <s v="Kleine Ingreep"/>
    <s v="WL/INV/N746/11"/>
    <b v="1"/>
    <s v="Ingreep wordt opgevolgd in BOD"/>
    <n v="2022"/>
    <s v="Q2"/>
    <s v="WEGENIS"/>
    <s v="&lt;null&gt;"/>
    <n v="100"/>
    <n v="30000"/>
    <n v="30000"/>
  </r>
  <r>
    <x v="18"/>
    <x v="18"/>
    <s v="&lt;null&gt;"/>
    <x v="3"/>
    <n v="2503"/>
    <s v="IN/001926"/>
    <s v="R4 Merelbeke -aanleg fietstunnels onder op-/afritt"/>
    <s v="&lt;null&gt;"/>
    <s v="Structurele Ingreep"/>
    <s v="WOV/INV/R4/11"/>
    <b v="0"/>
    <s v="Ingreep wordt niet opgevolgd in BOD"/>
    <s v="&lt;null&gt;"/>
    <s v="&lt;null&gt;"/>
    <s v="&lt;null&gt;"/>
    <s v="&lt;null&gt;"/>
    <m/>
    <m/>
    <m/>
  </r>
  <r>
    <x v="18"/>
    <x v="18"/>
    <s v="&lt;null&gt;"/>
    <x v="3"/>
    <n v="2504"/>
    <s v="IN/001927"/>
    <s v="E40 Structureel onderhoud Gingelom"/>
    <s v="&lt;null&gt;"/>
    <s v="Structurele Ingreep"/>
    <s v="WVB/INV/A3/15"/>
    <b v="0"/>
    <s v="Ingreep wordt niet opgevolgd in BOD"/>
    <s v="&lt;null&gt;"/>
    <s v="&lt;null&gt;"/>
    <s v="&lt;null&gt;"/>
    <s v="&lt;null&gt;"/>
    <m/>
    <m/>
    <m/>
  </r>
  <r>
    <x v="18"/>
    <x v="18"/>
    <s v="&lt;null&gt;"/>
    <x v="3"/>
    <n v="2505"/>
    <s v="IN/001928"/>
    <s v="CRA Vernieuwing ventilatie"/>
    <s v="&lt;null&gt;"/>
    <s v="Structurele Ingreep"/>
    <s v="WA/INV/CRA/1"/>
    <b v="0"/>
    <s v="Ingreep wordt niet opgevolgd in BOD"/>
    <s v="&lt;null&gt;"/>
    <s v="&lt;null&gt;"/>
    <s v="&lt;null&gt;"/>
    <s v="&lt;null&gt;"/>
    <m/>
    <m/>
    <m/>
  </r>
  <r>
    <x v="735"/>
    <x v="735"/>
    <s v="Verkeersveiligheid"/>
    <x v="4"/>
    <n v="2506"/>
    <s v="IN/001929"/>
    <s v="VOP realiseren"/>
    <s v="Molsekiezel x Sterstraat - realisatie VOP + VVOP"/>
    <s v="Kleine Ingreep"/>
    <s v="WL/INV/N712/12"/>
    <b v="1"/>
    <s v="Ingreep wordt opgevolgd in BOD"/>
    <n v="2022"/>
    <s v="&lt;null&gt;"/>
    <s v="WEGENIS"/>
    <s v="&lt;null&gt;"/>
    <n v="100"/>
    <n v="20000"/>
    <n v="20000"/>
  </r>
  <r>
    <x v="18"/>
    <x v="18"/>
    <s v="&lt;null&gt;"/>
    <x v="3"/>
    <n v="2507"/>
    <s v="IN/001930"/>
    <s v="Betonherstellingen Tijsmanstunnel"/>
    <s v="&lt;null&gt;"/>
    <s v="Structurele Ingreep"/>
    <s v="&lt;null&gt;"/>
    <b v="0"/>
    <s v="Ingreep wordt niet opgevolgd in BOD"/>
    <n v="2024"/>
    <s v="Q1"/>
    <s v="OVERIGE"/>
    <s v="&lt;null&gt;"/>
    <m/>
    <n v="400000"/>
    <m/>
  </r>
  <r>
    <x v="18"/>
    <x v="18"/>
    <s v="&lt;null&gt;"/>
    <x v="3"/>
    <n v="2508"/>
    <s v="IN/001931"/>
    <s v="Zelzate renovatie dienstgebouwen"/>
    <s v="&lt;null&gt;"/>
    <s v="Structurele Ingreep"/>
    <s v="WA/INV/ZEL/1"/>
    <b v="0"/>
    <s v="Ingreep wordt niet opgevolgd in BOD"/>
    <n v="2024"/>
    <s v="&lt;null&gt;"/>
    <s v="OVERIGE"/>
    <s v="&lt;null&gt;"/>
    <m/>
    <n v="3000000"/>
    <m/>
  </r>
  <r>
    <x v="18"/>
    <x v="18"/>
    <s v="&lt;null&gt;"/>
    <x v="3"/>
    <n v="2509"/>
    <s v="IN/001932"/>
    <s v="Jan De Vostunnel: Glasdallen vandalismevrij maken"/>
    <s v="&lt;null&gt;"/>
    <s v="Structurele Ingreep"/>
    <s v="WA/INV/JDV/1"/>
    <b v="0"/>
    <s v="Ingreep wordt niet opgevolgd in BOD"/>
    <n v="2022"/>
    <s v="&lt;null&gt;"/>
    <s v="OVERIGE"/>
    <s v="&lt;null&gt;"/>
    <m/>
    <n v="150000"/>
    <m/>
  </r>
  <r>
    <x v="1390"/>
    <x v="1390"/>
    <s v="Verkeersveiligheid"/>
    <x v="6"/>
    <n v="2510"/>
    <s v="IN/001933"/>
    <s v="Toevoegen van afslagstrook door enkel aanpassingen aan markering"/>
    <s v="&lt;null&gt;"/>
    <s v="Kleine Ingreep"/>
    <s v="WL/INV/N793/2"/>
    <b v="1"/>
    <s v="Ingreep wordt opgevolgd in BOD"/>
    <n v="2022"/>
    <s v="Q2"/>
    <s v="WEGENIS"/>
    <s v="&lt;null&gt;"/>
    <n v="100"/>
    <n v="35000"/>
    <n v="35000"/>
  </r>
  <r>
    <x v="1391"/>
    <x v="1391"/>
    <s v="Verkeersveiligheid"/>
    <x v="6"/>
    <n v="2511"/>
    <s v="IN/001934"/>
    <s v="Bijkomende ingreep: verbeteren oversteekbaarheid N285 Kwakenbeekstraat-Zijpstraat"/>
    <s v="Aanleggen van middeneilanden ter verbetering van de oversteekbaarheid N285"/>
    <s v="Kleine Ingreep"/>
    <s v="WVB/INV/N285/10"/>
    <b v="1"/>
    <s v="Ingreep wordt opgevolgd in BOD"/>
    <n v="2023"/>
    <s v="Q1"/>
    <s v="OVERIGE"/>
    <s v="middengeleider op slechte betonbaan"/>
    <n v="100"/>
    <n v="250000"/>
    <n v="250000"/>
  </r>
  <r>
    <x v="1392"/>
    <x v="1392"/>
    <s v="Verkeersveiligheid"/>
    <x v="6"/>
    <n v="2512"/>
    <s v="IN/001935"/>
    <s v="Aanpassingen kruispunten N73 x Sint-Trudostraat en N73 x Sint-Elisabethlaan"/>
    <s v="Aanleg bushaltes en VRI aan Sint-Elisabethlaan.\nVerwijderen van bushaltes aan Sint-Trudostraat."/>
    <s v="Kleine Ingreep"/>
    <s v="WL/INV/N73/25"/>
    <b v="0"/>
    <s v="Ingreep wordt niet opgevolgd in BOD"/>
    <s v="&lt;null&gt;"/>
    <s v="&lt;null&gt;"/>
    <s v="WEGENIS"/>
    <s v="&lt;null&gt;"/>
    <n v="100"/>
    <n v="750000"/>
    <n v="750000"/>
  </r>
  <r>
    <x v="1393"/>
    <x v="1393"/>
    <s v="Verkeersveiligheid"/>
    <x v="6"/>
    <n v="2513"/>
    <s v="IN/001936"/>
    <s v="Verplaatsen van VOP"/>
    <s v="&lt;null&gt;"/>
    <s v="Kleine Ingreep"/>
    <s v="WL/INV/N730/22"/>
    <b v="0"/>
    <s v="Ingreep wordt niet opgevolgd in BOD"/>
    <n v="2022"/>
    <s v="Q4"/>
    <s v="WEGENIS"/>
    <s v="&lt;null&gt;"/>
    <n v="100"/>
    <n v="33000"/>
    <n v="33000"/>
  </r>
  <r>
    <x v="1394"/>
    <x v="1394"/>
    <s v="Verkeersveiligheid"/>
    <x v="6"/>
    <n v="2514"/>
    <s v="IN/001937"/>
    <s v="Aanleg van verkeersplateau incl. VOP en FOP"/>
    <s v="&lt;null&gt;"/>
    <s v="Kleine Ingreep"/>
    <s v="WL/INV/N784/3"/>
    <b v="0"/>
    <s v="Ingreep wordt niet opgevolgd in BOD"/>
    <n v="2022"/>
    <s v="Q4"/>
    <s v="WEGENIS"/>
    <s v="&lt;null&gt;"/>
    <n v="100"/>
    <n v="70000"/>
    <n v="70000"/>
  </r>
  <r>
    <x v="1395"/>
    <x v="1395"/>
    <s v="Verkeersveiligheid"/>
    <x v="5"/>
    <n v="2515"/>
    <s v="IN/001938"/>
    <s v="Toevoegen van een VFOP"/>
    <s v="&lt;null&gt;"/>
    <s v="Kleine Ingreep"/>
    <s v="WL/INV/N614/3"/>
    <b v="1"/>
    <s v="Ingreep wordt opgevolgd in BOD"/>
    <n v="2022"/>
    <s v="Q4"/>
    <s v="WEGENIS"/>
    <s v="&lt;null&gt;"/>
    <n v="100"/>
    <n v="120000"/>
    <n v="120000"/>
  </r>
  <r>
    <x v="1110"/>
    <x v="1110"/>
    <s v="Verkeersveiligheid"/>
    <x v="4"/>
    <n v="2516"/>
    <s v="IN/001939"/>
    <s v="SRK: N444 Gent: markeringen op kruispunt"/>
    <s v="Markeringen op kuispunt N444 met Poelstraat en Potaardeberg aanpassen"/>
    <s v="Kleine Ingreep"/>
    <s v="WOV/INV/N444/5"/>
    <b v="1"/>
    <s v="Ingreep wordt opgevolgd in BOD"/>
    <n v="2022"/>
    <s v="Q3"/>
    <s v="OVERIGE"/>
    <s v="&lt;null&gt;"/>
    <n v="100"/>
    <n v="1300"/>
    <n v="1300"/>
  </r>
  <r>
    <x v="18"/>
    <x v="18"/>
    <s v="&lt;null&gt;"/>
    <x v="3"/>
    <n v="2517"/>
    <s v="IN/001940"/>
    <s v="N315, aanleg fietspad Westouter"/>
    <s v="&lt;null&gt;"/>
    <s v="Structurele Ingreep"/>
    <s v="WWV/INV/N315/3"/>
    <b v="0"/>
    <s v="Ingreep wordt niet opgevolgd in BOD"/>
    <s v="&lt;null&gt;"/>
    <s v="&lt;null&gt;"/>
    <s v="&lt;null&gt;"/>
    <s v="&lt;null&gt;"/>
    <m/>
    <m/>
    <m/>
  </r>
  <r>
    <x v="18"/>
    <x v="18"/>
    <s v="&lt;null&gt;"/>
    <x v="3"/>
    <n v="2518"/>
    <s v="IN/001941"/>
    <s v="N315 rioleringswerken Sulferbergstraat"/>
    <s v="&lt;null&gt;"/>
    <s v="Structurele Ingreep"/>
    <s v="WWV/INV/N315/4"/>
    <b v="0"/>
    <s v="Ingreep wordt niet opgevolgd in BOD"/>
    <s v="&lt;null&gt;"/>
    <s v="&lt;null&gt;"/>
    <s v="&lt;null&gt;"/>
    <s v="&lt;null&gt;"/>
    <m/>
    <m/>
    <m/>
  </r>
  <r>
    <x v="701"/>
    <x v="701"/>
    <s v="Verkeersveiligheid"/>
    <x v="4"/>
    <n v="2519"/>
    <s v="IN/001942"/>
    <s v="N037 Ardooie Tielt"/>
    <s v="&lt;null&gt;"/>
    <s v="Structurele Ingreep"/>
    <s v="WWV/INV/N37/7"/>
    <b v="0"/>
    <s v="Ingreep wordt niet opgevolgd in BOD"/>
    <s v="&lt;null&gt;"/>
    <s v="&lt;null&gt;"/>
    <s v="&lt;null&gt;"/>
    <s v="&lt;null&gt;"/>
    <n v="50"/>
    <m/>
    <m/>
  </r>
  <r>
    <x v="975"/>
    <x v="975"/>
    <s v="Verkeersveiligheid"/>
    <x v="4"/>
    <n v="2519"/>
    <s v="IN/001942"/>
    <s v="N037 Ardooie Tielt"/>
    <s v="&lt;null&gt;"/>
    <s v="Structurele Ingreep"/>
    <s v="WWV/INV/N37/7"/>
    <b v="0"/>
    <s v="Ingreep wordt niet opgevolgd in BOD"/>
    <s v="&lt;null&gt;"/>
    <s v="&lt;null&gt;"/>
    <s v="&lt;null&gt;"/>
    <s v="&lt;null&gt;"/>
    <n v="50"/>
    <m/>
    <m/>
  </r>
  <r>
    <x v="18"/>
    <x v="18"/>
    <s v="&lt;null&gt;"/>
    <x v="3"/>
    <n v="2520"/>
    <s v="IN/001943"/>
    <s v="N050 fietspaden + doortocht St Antonius"/>
    <s v="&lt;null&gt;"/>
    <s v="Structurele Ingreep"/>
    <s v="WWV/INV/N50/14"/>
    <b v="0"/>
    <s v="Ingreep wordt niet opgevolgd in BOD"/>
    <s v="&lt;null&gt;"/>
    <s v="&lt;null&gt;"/>
    <s v="&lt;null&gt;"/>
    <s v="&lt;null&gt;"/>
    <m/>
    <m/>
    <m/>
  </r>
  <r>
    <x v="1396"/>
    <x v="1396"/>
    <s v="Verkeersveiligheid"/>
    <x v="1"/>
    <n v="2552"/>
    <s v="IN/001944"/>
    <s v="Verwijderen inhaalstroken"/>
    <s v="&lt;null&gt;"/>
    <s v="Kleine Ingreep"/>
    <s v="&lt;null&gt;"/>
    <b v="0"/>
    <s v="Ingreep wordt niet opgevolgd in BOD"/>
    <s v="&lt;null&gt;"/>
    <s v="&lt;null&gt;"/>
    <s v="&lt;null&gt;"/>
    <s v="&lt;null&gt;"/>
    <n v="100"/>
    <m/>
    <m/>
  </r>
  <r>
    <x v="18"/>
    <x v="18"/>
    <s v="&lt;null&gt;"/>
    <x v="3"/>
    <n v="2553"/>
    <s v="IN/001945"/>
    <s v="HERINRICHTING F. ROOSEVELTLAAN"/>
    <s v="&lt;null&gt;"/>
    <s v="Structurele Ingreep"/>
    <s v="WVB/INV/N1/6"/>
    <b v="0"/>
    <s v="Ingreep wordt niet opgevolgd in BOD"/>
    <s v="&lt;null&gt;"/>
    <s v="&lt;null&gt;"/>
    <s v="&lt;null&gt;"/>
    <s v="&lt;null&gt;"/>
    <m/>
    <m/>
    <m/>
  </r>
  <r>
    <x v="18"/>
    <x v="18"/>
    <s v="&lt;null&gt;"/>
    <x v="3"/>
    <n v="2554"/>
    <s v="IN/001946"/>
    <s v="Geluidswerende maatregelen: beton wordt asfalt"/>
    <s v="&lt;null&gt;"/>
    <s v="Structurele Ingreep"/>
    <s v="WWV/INV/R32/3"/>
    <b v="0"/>
    <s v="Ingreep wordt niet opgevolgd in BOD"/>
    <s v="&lt;null&gt;"/>
    <s v="&lt;null&gt;"/>
    <s v="&lt;null&gt;"/>
    <s v="&lt;null&gt;"/>
    <m/>
    <m/>
    <m/>
  </r>
  <r>
    <x v="18"/>
    <x v="18"/>
    <s v="&lt;null&gt;"/>
    <x v="3"/>
    <n v="2602"/>
    <s v="IN/001947"/>
    <s v="R0 Halle Ecoduct Vlasmarktdreef"/>
    <s v="&lt;null&gt;"/>
    <s v="Structurele Ingreep"/>
    <s v="WVB/INV/R0/9"/>
    <b v="0"/>
    <s v="Ingreep wordt niet opgevolgd in BOD"/>
    <s v="&lt;null&gt;"/>
    <s v="&lt;null&gt;"/>
    <s v="&lt;null&gt;"/>
    <s v="&lt;null&gt;"/>
    <m/>
    <m/>
    <m/>
  </r>
  <r>
    <x v="18"/>
    <x v="18"/>
    <s v="&lt;null&gt;"/>
    <x v="3"/>
    <n v="2603"/>
    <s v="IN/001948"/>
    <s v="R0 - Verlenging oprit Groenendaal Hoeilaart"/>
    <s v="&lt;null&gt;"/>
    <s v="Structurele Ingreep"/>
    <s v="WVB/INV/R0/4"/>
    <b v="1"/>
    <s v="Ingreep wordt opgevolgd in BOD"/>
    <s v="&lt;null&gt;"/>
    <s v="&lt;null&gt;"/>
    <s v="&lt;null&gt;"/>
    <s v="&lt;null&gt;"/>
    <m/>
    <m/>
    <m/>
  </r>
  <r>
    <x v="18"/>
    <x v="18"/>
    <s v="&lt;null&gt;"/>
    <x v="3"/>
    <n v="2604"/>
    <s v="IN/001949"/>
    <s v="X21/A3/84 Vervangen brug O30 in de E40 Leuven"/>
    <s v="&lt;null&gt;"/>
    <s v="Structurele Ingreep"/>
    <s v="WVB/INV/A3/2"/>
    <b v="0"/>
    <s v="Ingreep wordt niet opgevolgd in BOD"/>
    <s v="&lt;null&gt;"/>
    <s v="&lt;null&gt;"/>
    <s v="&lt;null&gt;"/>
    <s v="&lt;null&gt;"/>
    <m/>
    <m/>
    <m/>
  </r>
  <r>
    <x v="18"/>
    <x v="18"/>
    <s v="&lt;null&gt;"/>
    <x v="3"/>
    <n v="2605"/>
    <s v="IN/001950"/>
    <s v="A4  Overijse  vernieuwen brug O9 over Bredestraat"/>
    <s v="&lt;null&gt;"/>
    <s v="Structurele Ingreep"/>
    <s v="WVB/INV/A4/2"/>
    <b v="0"/>
    <s v="Ingreep wordt niet opgevolgd in BOD"/>
    <s v="&lt;null&gt;"/>
    <s v="&lt;null&gt;"/>
    <s v="&lt;null&gt;"/>
    <s v="&lt;null&gt;"/>
    <m/>
    <m/>
    <m/>
  </r>
  <r>
    <x v="18"/>
    <x v="18"/>
    <s v="&lt;null&gt;"/>
    <x v="3"/>
    <n v="2606"/>
    <s v="IN/001951"/>
    <s v="A4 - Afwatering E411"/>
    <s v="&lt;null&gt;"/>
    <s v="Structurele Ingreep"/>
    <s v="WVB/INV/A4/3"/>
    <b v="0"/>
    <s v="Ingreep wordt niet opgevolgd in BOD"/>
    <s v="&lt;null&gt;"/>
    <s v="&lt;null&gt;"/>
    <s v="&lt;null&gt;"/>
    <s v="&lt;null&gt;"/>
    <m/>
    <m/>
    <m/>
  </r>
  <r>
    <x v="190"/>
    <x v="190"/>
    <s v="Fiets"/>
    <x v="0"/>
    <n v="2607"/>
    <s v="IN/001952"/>
    <s v="N6-N28 fietspaden relanceplan"/>
    <s v="&lt;null&gt;"/>
    <s v="Structurele Ingreep"/>
    <s v="&lt;null&gt;"/>
    <b v="0"/>
    <s v="Ingreep wordt niet opgevolgd in BOD"/>
    <s v="&lt;null&gt;"/>
    <s v="&lt;null&gt;"/>
    <s v="&lt;null&gt;"/>
    <s v="&lt;null&gt;"/>
    <n v="100"/>
    <m/>
    <m/>
  </r>
  <r>
    <x v="89"/>
    <x v="89"/>
    <s v="Fiets"/>
    <x v="0"/>
    <n v="2608"/>
    <s v="IN/001953"/>
    <s v="N21 - Haacht Zoellaan tot station"/>
    <s v="&lt;null&gt;"/>
    <s v="Structurele Ingreep"/>
    <s v="WVB/INV/N21/5"/>
    <b v="0"/>
    <s v="Ingreep wordt niet opgevolgd in BOD"/>
    <s v="&lt;null&gt;"/>
    <s v="&lt;null&gt;"/>
    <s v="&lt;null&gt;"/>
    <s v="&lt;null&gt;"/>
    <n v="100"/>
    <m/>
    <m/>
  </r>
  <r>
    <x v="18"/>
    <x v="18"/>
    <s v="&lt;null&gt;"/>
    <x v="3"/>
    <n v="2609"/>
    <s v="IN/001954"/>
    <s v="N21 - Bouw EFRO-fietsbrug Brucargo"/>
    <s v="&lt;null&gt;"/>
    <s v="Structurele Ingreep"/>
    <s v="WVB/INV/N21/1"/>
    <b v="0"/>
    <s v="Ingreep wordt niet opgevolgd in BOD"/>
    <s v="&lt;null&gt;"/>
    <s v="&lt;null&gt;"/>
    <s v="&lt;null&gt;"/>
    <s v="&lt;null&gt;"/>
    <m/>
    <m/>
    <m/>
  </r>
  <r>
    <x v="1397"/>
    <x v="1397"/>
    <s v="Stimuleren Combimobiliteit"/>
    <x v="7"/>
    <n v="2610"/>
    <s v="IN/001955"/>
    <s v="Aanleg verhoogde bushalte afm 26mx 4,1m op N460 Ninove kmpt 8,677 Vogelzangstraat OR"/>
    <s v="Aanleg verhoogde bushalte afm 26mx 4,1m op N460 Ninove kmpt 8,677,\nhalte Vogelzangstraat, OR"/>
    <s v="Kleine Ingreep"/>
    <s v="WOV/INV/N460/10"/>
    <b v="1"/>
    <s v="Ingreep wordt opgevolgd in BOD"/>
    <n v="2022"/>
    <s v="Q4"/>
    <s v="WEGENIS"/>
    <s v="&lt;null&gt;"/>
    <n v="100"/>
    <n v="21000"/>
    <n v="21000"/>
  </r>
  <r>
    <x v="18"/>
    <x v="18"/>
    <s v="&lt;null&gt;"/>
    <x v="3"/>
    <n v="2611"/>
    <s v="IN/001956"/>
    <s v="studie Europapoort, Wevelgem"/>
    <s v="&lt;null&gt;"/>
    <s v="Structurele Ingreep"/>
    <s v="WWV/INV/A19/2"/>
    <b v="0"/>
    <s v="Ingreep wordt niet opgevolgd in BOD"/>
    <s v="&lt;null&gt;"/>
    <s v="&lt;null&gt;"/>
    <s v="&lt;null&gt;"/>
    <s v="&lt;null&gt;"/>
    <m/>
    <m/>
    <m/>
  </r>
  <r>
    <x v="1398"/>
    <x v="1398"/>
    <s v="Verkeersveiligheid"/>
    <x v="6"/>
    <n v="2612"/>
    <s v="IN/001957"/>
    <s v="Aanpassen V-plan thv N42 x N46"/>
    <s v="&lt;null&gt;"/>
    <s v="Kleine Ingreep"/>
    <s v="&lt;null&gt;"/>
    <b v="0"/>
    <s v="Ingreep wordt niet opgevolgd in BOD"/>
    <s v="&lt;null&gt;"/>
    <s v="&lt;null&gt;"/>
    <s v="&lt;null&gt;"/>
    <s v="&lt;null&gt;"/>
    <n v="100"/>
    <m/>
    <m/>
  </r>
  <r>
    <x v="1399"/>
    <x v="1399"/>
    <s v="Fiets"/>
    <x v="0"/>
    <n v="2613"/>
    <s v="IN/001958"/>
    <s v="N327 Tielt Wingene"/>
    <s v="Opbraak klinkers fietspad en vervangen door asfalt"/>
    <s v="Kleine Ingreep"/>
    <s v="WWV/INV/N327/6"/>
    <b v="1"/>
    <s v="Ingreep wordt opgevolgd in BOD"/>
    <n v="2022"/>
    <s v="Q3"/>
    <s v="WEGENIS"/>
    <s v="&lt;null&gt;"/>
    <n v="100"/>
    <n v="100000"/>
    <n v="100000"/>
  </r>
  <r>
    <x v="1400"/>
    <x v="1400"/>
    <s v="Fiets"/>
    <x v="0"/>
    <n v="2614"/>
    <s v="IN/001959"/>
    <s v="N456 Kaprijke Molenstraat vrijliggende fietspaden"/>
    <s v="&lt;null&gt;"/>
    <s v="Structurele Ingreep"/>
    <s v="WOV/INV/N456/4"/>
    <b v="0"/>
    <s v="Ingreep wordt niet opgevolgd in BOD"/>
    <s v="&lt;null&gt;"/>
    <s v="&lt;null&gt;"/>
    <s v="&lt;null&gt;"/>
    <s v="&lt;null&gt;"/>
    <n v="100"/>
    <m/>
    <m/>
  </r>
  <r>
    <x v="18"/>
    <x v="18"/>
    <s v="&lt;null&gt;"/>
    <x v="3"/>
    <n v="2615"/>
    <s v="IN/001960"/>
    <s v="IMM Problemen waterinsijpeling"/>
    <s v="&lt;null&gt;"/>
    <s v="Structurele Ingreep"/>
    <s v="WA/INV/BEV/1"/>
    <b v="0"/>
    <s v="Ingreep wordt niet opgevolgd in BOD"/>
    <s v="&lt;null&gt;"/>
    <s v="&lt;null&gt;"/>
    <s v="&lt;null&gt;"/>
    <s v="&lt;null&gt;"/>
    <m/>
    <m/>
    <m/>
  </r>
  <r>
    <x v="1401"/>
    <x v="1401"/>
    <s v="Stimuleren Combimobiliteit"/>
    <x v="7"/>
    <n v="2616"/>
    <s v="IN/001961"/>
    <s v="N460 Ninove, halte Heghestraat"/>
    <s v="aanleggen toegankelijke halte;\nN460 Ninove, halte Heghestraat"/>
    <s v="Kleine Ingreep"/>
    <s v="&lt;null&gt;"/>
    <b v="0"/>
    <s v="Ingreep wordt niet opgevolgd in BOD"/>
    <n v="2022"/>
    <s v="Q4"/>
    <s v="WEGENIS"/>
    <s v="halte in beide rijrichtingen"/>
    <n v="100"/>
    <n v="50000"/>
    <n v="50000"/>
  </r>
  <r>
    <x v="1402"/>
    <x v="1402"/>
    <s v="Stimuleren Combimobiliteit"/>
    <x v="7"/>
    <n v="2617"/>
    <s v="IN/001962"/>
    <s v="Erpe Mere St Annastraat, toegankelijke halte in beide richtingen"/>
    <s v="Aanleg toegankelijke halte\nN46 Erpe-Mere, halte Sint-Annastraat"/>
    <s v="Kleine Ingreep"/>
    <s v="WOV/INV/N46/11"/>
    <b v="1"/>
    <s v="Ingreep wordt opgevolgd in BOD"/>
    <n v="2022"/>
    <s v="Q4"/>
    <s v="WEGENIS"/>
    <s v="beide richtingen"/>
    <n v="100"/>
    <n v="670"/>
    <n v="670"/>
  </r>
  <r>
    <x v="18"/>
    <x v="18"/>
    <s v="&lt;null&gt;"/>
    <x v="3"/>
    <n v="2618"/>
    <s v="IN/001963"/>
    <s v="Ingreep schoolroute in Harelbeke. Oversteek Marktstraat thv Stationsstraat"/>
    <s v="Voorzien van fietsoversteek thv de bestaande voetgangersoversteek. Aanpassen middengeleider en aanbrengen markeringen.\nAlsook het aanpassen van de signlisatie en de bewegwijzering naar de verschillende fietsroute."/>
    <s v="Kleine Ingreep"/>
    <s v="&lt;null&gt;"/>
    <b v="0"/>
    <s v="Ingreep wordt niet opgevolgd in BOD"/>
    <n v="2023"/>
    <s v="Q1"/>
    <s v="WEGENIS"/>
    <s v="Aanpassen middengeleider, markeringen en signalisatie"/>
    <m/>
    <n v="25000"/>
    <m/>
  </r>
  <r>
    <x v="18"/>
    <x v="18"/>
    <s v="&lt;null&gt;"/>
    <x v="3"/>
    <n v="2619"/>
    <s v="IN/001964"/>
    <s v="Ingrepen schoolroute in Harelbeke. Oversteek Marktstraat thv Marktstraat 64"/>
    <s v="Aanleg van het dubbelrichtingsfietspad aan de zijde van de doorsteek naar de\nBallingweg."/>
    <s v="Kleine Ingreep"/>
    <s v="&lt;null&gt;"/>
    <b v="0"/>
    <s v="Ingreep wordt niet opgevolgd in BOD"/>
    <n v="2023"/>
    <s v="Q1"/>
    <s v="WEGENIS"/>
    <s v="Verbreden huidig enkelrichtingsfietspad en plaatsen signalisatie"/>
    <m/>
    <n v="15000"/>
    <m/>
  </r>
  <r>
    <x v="1403"/>
    <x v="1403"/>
    <s v="Verkeersveiligheid"/>
    <x v="1"/>
    <n v="2620"/>
    <s v="IN/001965"/>
    <s v="Kruispunt N50 met de Sint Magriete Houtemlaan. Afsluiten linksafslagstrook."/>
    <s v="De linksafslagstraat naar de Sint Margriete Houtemlaan wordt afgesloten.\nHet kruispunt wordt rechtin/rechtsuit."/>
    <s v="Kleine Ingreep"/>
    <s v="WWV/INV/N50/15"/>
    <b v="1"/>
    <s v="Ingreep wordt opgevolgd in BOD"/>
    <n v="2022"/>
    <s v="Q4"/>
    <s v="WEGENIS"/>
    <s v="Afsluiten aflsagstrook + signalisatie"/>
    <n v="100"/>
    <n v="5000"/>
    <n v="5000"/>
  </r>
  <r>
    <x v="1404"/>
    <x v="1404"/>
    <s v="Verkeersveiligheid"/>
    <x v="1"/>
    <n v="2621"/>
    <s v="IN/001966"/>
    <s v="Kruispunt N50 met de Burg. Mayeurlaan. Aanliggend maken van fietspad."/>
    <s v="Aanliggend maken en accentueren van het fietspad thv het kruispunt."/>
    <s v="Kleine Ingreep"/>
    <s v="WWV/INV/N50/16"/>
    <b v="1"/>
    <s v="Ingreep wordt opgevolgd in BOD"/>
    <n v="2022"/>
    <s v="Q4"/>
    <s v="WEGENIS"/>
    <s v="Aanpassen markeringen"/>
    <n v="100"/>
    <n v="12000"/>
    <n v="12000"/>
  </r>
  <r>
    <x v="18"/>
    <x v="18"/>
    <s v="&lt;null&gt;"/>
    <x v="3"/>
    <n v="2622"/>
    <s v="IN/001967"/>
    <s v="A10 Oostkamp geluidsschermen"/>
    <s v="&lt;null&gt;"/>
    <s v="Structurele Ingreep"/>
    <s v="WWV/INV/A10/3"/>
    <b v="0"/>
    <s v="Ingreep wordt niet opgevolgd in BOD"/>
    <s v="&lt;null&gt;"/>
    <s v="&lt;null&gt;"/>
    <s v="&lt;null&gt;"/>
    <s v="&lt;null&gt;"/>
    <m/>
    <m/>
    <m/>
  </r>
  <r>
    <x v="1405"/>
    <x v="1405"/>
    <s v="Verkeersveiligheid"/>
    <x v="5"/>
    <n v="2623"/>
    <s v="IN/001968"/>
    <s v="Diepenbeek: N702 vernieuwen afrit Havenlaan"/>
    <s v="Vernieuwen asfalt + markeringen op de afrit van de N702 naar Havenlaan. Daarbij ook versmallen van de aansluiting ten behoeven van het zicht op het fietsverkeer."/>
    <s v="Kleine Ingreep"/>
    <s v="WL/INV/N702/5"/>
    <b v="1"/>
    <s v="Ingreep wordt opgevolgd in BOD"/>
    <n v="2022"/>
    <s v="Q2"/>
    <s v="WEGENIS"/>
    <s v="&lt;null&gt;"/>
    <n v="100"/>
    <n v="180000"/>
    <n v="180000"/>
  </r>
  <r>
    <x v="357"/>
    <x v="357"/>
    <s v="Verkeersveiligheid"/>
    <x v="1"/>
    <n v="2624"/>
    <s v="IN/001969"/>
    <s v="R30 - Brugge Aandeel uitvoering fietsbrug R30"/>
    <s v="&lt;null&gt;"/>
    <s v="Structurele Ingreep"/>
    <s v="WWV/INV/R30/3"/>
    <b v="0"/>
    <s v="Ingreep wordt niet opgevolgd in BOD"/>
    <s v="&lt;null&gt;"/>
    <s v="&lt;null&gt;"/>
    <s v="&lt;null&gt;"/>
    <s v="&lt;null&gt;"/>
    <n v="35"/>
    <m/>
    <m/>
  </r>
  <r>
    <x v="367"/>
    <x v="367"/>
    <s v="Verkeersveiligheid"/>
    <x v="1"/>
    <n v="2624"/>
    <s v="IN/001969"/>
    <s v="R30 - Brugge Aandeel uitvoering fietsbrug R30"/>
    <s v="&lt;null&gt;"/>
    <s v="Structurele Ingreep"/>
    <s v="WWV/INV/R30/3"/>
    <b v="0"/>
    <s v="Ingreep wordt niet opgevolgd in BOD"/>
    <s v="&lt;null&gt;"/>
    <s v="&lt;null&gt;"/>
    <s v="&lt;null&gt;"/>
    <s v="&lt;null&gt;"/>
    <n v="29"/>
    <m/>
    <m/>
  </r>
  <r>
    <x v="1212"/>
    <x v="1212"/>
    <s v="Verkeersveiligheid"/>
    <x v="1"/>
    <n v="2624"/>
    <s v="IN/001969"/>
    <s v="R30 - Brugge Aandeel uitvoering fietsbrug R30"/>
    <s v="&lt;null&gt;"/>
    <s v="Structurele Ingreep"/>
    <s v="WWV/INV/R30/3"/>
    <b v="0"/>
    <s v="Ingreep wordt niet opgevolgd in BOD"/>
    <s v="&lt;null&gt;"/>
    <s v="&lt;null&gt;"/>
    <s v="&lt;null&gt;"/>
    <s v="&lt;null&gt;"/>
    <n v="35"/>
    <m/>
    <m/>
  </r>
  <r>
    <x v="1406"/>
    <x v="1406"/>
    <s v="Stimuleren Combimobiliteit"/>
    <x v="2"/>
    <n v="2624"/>
    <s v="IN/001969"/>
    <s v="R30 - Brugge Aandeel uitvoering fietsbrug R30"/>
    <s v="&lt;null&gt;"/>
    <s v="Structurele Ingreep"/>
    <s v="WWV/INV/R30/3"/>
    <b v="0"/>
    <s v="Ingreep wordt niet opgevolgd in BOD"/>
    <s v="&lt;null&gt;"/>
    <s v="&lt;null&gt;"/>
    <s v="&lt;null&gt;"/>
    <s v="&lt;null&gt;"/>
    <n v="1"/>
    <m/>
    <m/>
  </r>
  <r>
    <x v="719"/>
    <x v="719"/>
    <s v="Verkeersveiligheid"/>
    <x v="4"/>
    <n v="2625"/>
    <s v="IN/001970"/>
    <s v="N368 beernem - Herinrichting kruispunt met N370"/>
    <s v="&lt;null&gt;"/>
    <s v="Structurele Ingreep"/>
    <s v="WWV/INV/N368/5"/>
    <b v="0"/>
    <s v="Ingreep wordt niet opgevolgd in BOD"/>
    <s v="&lt;null&gt;"/>
    <s v="&lt;null&gt;"/>
    <s v="&lt;null&gt;"/>
    <s v="&lt;null&gt;"/>
    <n v="30"/>
    <m/>
    <m/>
  </r>
  <r>
    <x v="18"/>
    <x v="18"/>
    <s v="&lt;null&gt;"/>
    <x v="3"/>
    <n v="2626"/>
    <s v="IN/001971"/>
    <s v="N31 Brugge - asweger"/>
    <s v="&lt;null&gt;"/>
    <s v="Structurele Ingreep"/>
    <s v="WWV/INV/N31/2"/>
    <b v="1"/>
    <s v="Ingreep wordt opgevolgd in BOD"/>
    <s v="&lt;null&gt;"/>
    <s v="&lt;null&gt;"/>
    <s v="&lt;null&gt;"/>
    <s v="&lt;null&gt;"/>
    <m/>
    <m/>
    <m/>
  </r>
  <r>
    <x v="18"/>
    <x v="18"/>
    <s v="&lt;null&gt;"/>
    <x v="3"/>
    <n v="2627"/>
    <s v="IN/001972"/>
    <s v="N326 Zuienkerke - structureel onderhoud fietspaden"/>
    <s v="&lt;null&gt;"/>
    <s v="Structurele Ingreep"/>
    <s v="WWV/INV/N326/1"/>
    <b v="0"/>
    <s v="Ingreep wordt niet opgevolgd in BOD"/>
    <s v="&lt;null&gt;"/>
    <s v="&lt;null&gt;"/>
    <s v="&lt;null&gt;"/>
    <s v="&lt;null&gt;"/>
    <m/>
    <m/>
    <m/>
  </r>
  <r>
    <x v="18"/>
    <x v="18"/>
    <s v="&lt;null&gt;"/>
    <x v="3"/>
    <n v="2628"/>
    <s v="IN/001973"/>
    <s v="N456 Sleidinge-Lembeke aanleg fietspaden"/>
    <s v="&lt;null&gt;"/>
    <s v="Structurele Ingreep"/>
    <s v="WOV/INV/N456/3"/>
    <b v="0"/>
    <s v="Ingreep wordt niet opgevolgd in BOD"/>
    <s v="&lt;null&gt;"/>
    <s v="&lt;null&gt;"/>
    <s v="&lt;null&gt;"/>
    <s v="&lt;null&gt;"/>
    <m/>
    <m/>
    <m/>
  </r>
  <r>
    <x v="1407"/>
    <x v="1407"/>
    <s v="Verkeersveiligheid"/>
    <x v="4"/>
    <n v="2629"/>
    <s v="IN/001974"/>
    <s v="Proefopstelling asverschuivingen"/>
    <s v="&lt;null&gt;"/>
    <s v="Kleine Ingreep"/>
    <s v="&lt;null&gt;"/>
    <b v="0"/>
    <s v="Ingreep wordt niet opgevolgd in BOD"/>
    <n v="2022"/>
    <s v="Q2"/>
    <s v="WEGENIS"/>
    <s v="&lt;null&gt;"/>
    <n v="100"/>
    <n v="10000"/>
    <n v="10000"/>
  </r>
  <r>
    <x v="1407"/>
    <x v="1407"/>
    <s v="Verkeersveiligheid"/>
    <x v="4"/>
    <n v="2630"/>
    <s v="IN/001975"/>
    <s v="Definitieve uitvoering versmalling en asverschuiving."/>
    <s v="&lt;null&gt;"/>
    <s v="Kleine Ingreep"/>
    <s v="&lt;null&gt;"/>
    <b v="0"/>
    <s v="Ingreep wordt niet opgevolgd in BOD"/>
    <n v="2022"/>
    <s v="Q3"/>
    <s v="WEGENIS"/>
    <s v="&lt;null&gt;"/>
    <n v="100"/>
    <n v="300000"/>
    <n v="300000"/>
  </r>
  <r>
    <x v="1408"/>
    <x v="1408"/>
    <s v="Stimuleren Combimobiliteit"/>
    <x v="2"/>
    <n v="2631"/>
    <s v="IN/001976"/>
    <s v="Opmeting + Ontwerp"/>
    <s v="&lt;null&gt;"/>
    <s v="Kleine Ingreep"/>
    <s v="WA/INV/N12/18"/>
    <b v="0"/>
    <s v="Ingreep wordt niet opgevolgd in BOD"/>
    <n v="2022"/>
    <s v="Q3"/>
    <s v="STUDIE"/>
    <s v="&lt;null&gt;"/>
    <n v="100"/>
    <n v="5000"/>
    <n v="5000"/>
  </r>
  <r>
    <x v="1408"/>
    <x v="1408"/>
    <s v="Stimuleren Combimobiliteit"/>
    <x v="2"/>
    <n v="2632"/>
    <s v="IN/001977"/>
    <s v="Uitvoering"/>
    <s v="&lt;null&gt;"/>
    <s v="Kleine Ingreep"/>
    <s v="&lt;null&gt;"/>
    <b v="0"/>
    <s v="Ingreep wordt niet opgevolgd in BOD"/>
    <s v="&lt;null&gt;"/>
    <s v="&lt;null&gt;"/>
    <s v="&lt;null&gt;"/>
    <s v="&lt;null&gt;"/>
    <n v="100"/>
    <m/>
    <m/>
  </r>
  <r>
    <x v="1409"/>
    <x v="1409"/>
    <s v="Stimuleren Combimobiliteit"/>
    <x v="2"/>
    <n v="2633"/>
    <s v="IN/001978"/>
    <s v="Opmeting + Ontwerp"/>
    <s v="&lt;null&gt;"/>
    <s v="Kleine Ingreep"/>
    <s v="WA/INV/N19/11"/>
    <b v="0"/>
    <s v="Ingreep wordt niet opgevolgd in BOD"/>
    <n v="2022"/>
    <s v="Q3"/>
    <s v="STUDIE"/>
    <s v="&lt;null&gt;"/>
    <n v="100"/>
    <n v="5000"/>
    <n v="5000"/>
  </r>
  <r>
    <x v="1410"/>
    <x v="1410"/>
    <s v="Stimuleren Combimobiliteit"/>
    <x v="2"/>
    <n v="2634"/>
    <s v="IN/001979"/>
    <s v="Hoppin Lichtaart Kerk - Opmeting + Ontwerp"/>
    <s v="&lt;null&gt;"/>
    <s v="Kleine Ingreep"/>
    <s v="WA/INV/N123/8"/>
    <b v="0"/>
    <s v="Ingreep wordt niet opgevolgd in BOD"/>
    <n v="2022"/>
    <s v="Q3"/>
    <s v="STUDIE"/>
    <s v="&lt;null&gt;"/>
    <n v="100"/>
    <n v="5000"/>
    <n v="5000"/>
  </r>
  <r>
    <x v="1411"/>
    <x v="1411"/>
    <s v="Stimuleren Combimobiliteit"/>
    <x v="2"/>
    <n v="2635"/>
    <s v="IN/001980"/>
    <s v="Opmeting? + ontwerp"/>
    <m/>
    <s v="Kleine Ingreep"/>
    <s v="WA/INV/N12/19"/>
    <b v="0"/>
    <s v="Ingreep wordt niet opgevolgd in BOD"/>
    <n v="2022"/>
    <s v="Q3"/>
    <s v="STUDIE"/>
    <s v="&lt;null&gt;"/>
    <n v="100"/>
    <n v="5000"/>
    <n v="5000"/>
  </r>
  <r>
    <x v="1412"/>
    <x v="1412"/>
    <s v="Stimuleren Combimobiliteit"/>
    <x v="2"/>
    <n v="2636"/>
    <s v="IN/001981"/>
    <s v="opmeting + ontwerp"/>
    <s v="&lt;null&gt;"/>
    <s v="Kleine Ingreep"/>
    <s v="WA/INV/N140/5"/>
    <b v="0"/>
    <s v="Ingreep wordt niet opgevolgd in BOD"/>
    <n v="2022"/>
    <s v="Q3"/>
    <s v="STUDIE"/>
    <s v="&lt;null&gt;"/>
    <n v="100"/>
    <n v="5000"/>
    <n v="5000"/>
  </r>
  <r>
    <x v="1413"/>
    <x v="1413"/>
    <s v="Stimuleren Combimobiliteit"/>
    <x v="2"/>
    <n v="2637"/>
    <s v="IN/001982"/>
    <s v="Uitvoering"/>
    <s v="&lt;null&gt;"/>
    <s v="Kleine Ingreep"/>
    <s v="WA/INV/N12/22"/>
    <b v="1"/>
    <s v="Ingreep wordt opgevolgd in BOD"/>
    <n v="2022"/>
    <s v="Q4"/>
    <s v="WEGENIS"/>
    <s v="&lt;null&gt;"/>
    <n v="100"/>
    <n v="1"/>
    <n v="1"/>
  </r>
  <r>
    <x v="1414"/>
    <x v="1414"/>
    <s v="Stimuleren Combimobiliteit"/>
    <x v="2"/>
    <n v="2638"/>
    <s v="IN/001983"/>
    <s v="studie naar uitvoering Hoppinpunt Vertrijk station"/>
    <s v="Studie naar de concrete inrichting van het Hoppinpunt obv de Unieke Verantwoordingsnota opgesteld door het studiebureau van de vervoersregio"/>
    <s v="Kleine Ingreep"/>
    <s v="&lt;null&gt;"/>
    <b v="0"/>
    <s v="Ingreep wordt niet opgevolgd in BOD"/>
    <n v="2023"/>
    <s v="Q2"/>
    <s v="STUDIE"/>
    <s v="obv geschatte uitvoeringskost uit UV"/>
    <n v="100"/>
    <n v="20000"/>
    <n v="20000"/>
  </r>
  <r>
    <x v="1415"/>
    <x v="1415"/>
    <s v="Verkeersveiligheid"/>
    <x v="4"/>
    <n v="2639"/>
    <s v="IN/001984"/>
    <s v="Trajectcontrole"/>
    <s v="TC2021_345 uit centraal regsiter\nUitvoerbaarheid te bekijken bij plaatsbezoek"/>
    <s v="Kleine Ingreep"/>
    <s v="&lt;null&gt;"/>
    <b v="0"/>
    <s v="Ingreep wordt niet opgevolgd in BOD"/>
    <n v="2022"/>
    <s v="Q2"/>
    <s v="OVERIGE"/>
    <s v="&lt;null&gt;"/>
    <n v="100"/>
    <n v="165000"/>
    <n v="165000"/>
  </r>
  <r>
    <x v="888"/>
    <x v="888"/>
    <s v="Verkeersveiligheid"/>
    <x v="4"/>
    <n v="2640"/>
    <s v="IN/001985"/>
    <s v="Trajectcontrole"/>
    <s v="TC2021_339 en TC2021_345 uit centraal register\nuitvoerbaarheid te bekijken bij plaatsbezoek"/>
    <s v="Kleine Ingreep"/>
    <s v="&lt;null&gt;"/>
    <b v="0"/>
    <s v="Ingreep wordt niet opgevolgd in BOD"/>
    <n v="2022"/>
    <s v="Q2"/>
    <s v="OVERIGE"/>
    <s v="&lt;null&gt;"/>
    <n v="100"/>
    <n v="165000"/>
    <n v="165000"/>
  </r>
  <r>
    <x v="804"/>
    <x v="804"/>
    <s v="Verkeersveiligheid"/>
    <x v="4"/>
    <n v="2641"/>
    <s v="IN/001986"/>
    <s v="Trajectcontrole"/>
    <s v="TC2021_282 in centraal register\nUitvoerbaarheid te bekijken bij plaatsbezoek"/>
    <s v="Kleine Ingreep"/>
    <s v="&lt;null&gt;"/>
    <b v="0"/>
    <s v="Ingreep wordt niet opgevolgd in BOD"/>
    <n v="2022"/>
    <s v="Q2"/>
    <s v="OVERIGE"/>
    <s v="&lt;null&gt;"/>
    <n v="100"/>
    <n v="165000"/>
    <n v="165000"/>
  </r>
  <r>
    <x v="1416"/>
    <x v="1416"/>
    <s v="Stimuleren Combimobiliteit"/>
    <x v="2"/>
    <n v="2652"/>
    <s v="IN/001987"/>
    <s v="Uitvoering"/>
    <s v="Ontwerp in opmaak intern\nhttps://service.projectplace.com/#direct/card/14588005"/>
    <s v="Kleine Ingreep"/>
    <s v="WA/INV/N18/14"/>
    <b v="0"/>
    <s v="Ingreep wordt niet opgevolgd in BOD"/>
    <n v="2022"/>
    <s v="Q3"/>
    <s v="VRI"/>
    <s v="&lt;null&gt;"/>
    <n v="100"/>
    <n v="50000"/>
    <n v="50000"/>
  </r>
  <r>
    <x v="1417"/>
    <x v="1417"/>
    <s v="Stimuleren Combimobiliteit"/>
    <x v="2"/>
    <n v="2653"/>
    <s v="IN/001988"/>
    <s v="opmeting? + ontwerp"/>
    <s v="&lt;null&gt;"/>
    <s v="Kleine Ingreep"/>
    <s v="WA/INV/N146/4"/>
    <b v="0"/>
    <s v="Ingreep wordt niet opgevolgd in BOD"/>
    <n v="2022"/>
    <s v="Q3"/>
    <s v="STUDIE"/>
    <s v="&lt;null&gt;"/>
    <n v="100"/>
    <n v="5000"/>
    <n v="5000"/>
  </r>
  <r>
    <x v="1418"/>
    <x v="1418"/>
    <s v="Stimuleren Combimobiliteit"/>
    <x v="2"/>
    <n v="2654"/>
    <s v="IN/001989"/>
    <s v="Opmeting + ontwerp"/>
    <s v="&lt;null&gt;"/>
    <s v="Kleine Ingreep"/>
    <s v="WA/INV/N131/2"/>
    <b v="0"/>
    <s v="Ingreep wordt niet opgevolgd in BOD"/>
    <n v="2022"/>
    <s v="Q3"/>
    <s v="STUDIE"/>
    <s v="&lt;null&gt;"/>
    <n v="100"/>
    <n v="5000"/>
    <n v="5000"/>
  </r>
  <r>
    <x v="1419"/>
    <x v="1419"/>
    <s v="Stimuleren Combimobiliteit"/>
    <x v="2"/>
    <n v="2655"/>
    <s v="IN/001990"/>
    <s v="Uitvoering"/>
    <s v="Reeds ontwerp intern\nhttps://service.projectplace.com/#direct/card/11861479"/>
    <s v="Kleine Ingreep"/>
    <s v="WA/INV/N124/5"/>
    <b v="1"/>
    <s v="Ingreep wordt opgevolgd in BOD"/>
    <n v="2022"/>
    <s v="Q3"/>
    <s v="WEGENIS"/>
    <s v="&lt;null&gt;"/>
    <n v="100"/>
    <n v="15556.26"/>
    <n v="15556.26"/>
  </r>
  <r>
    <x v="1420"/>
    <x v="1420"/>
    <s v="Verkeersveiligheid"/>
    <x v="1"/>
    <n v="2656"/>
    <s v="IN/001991"/>
    <s v="N78xKoninginnenlaan Aanleg Rotonde MM"/>
    <s v="&lt;null&gt;"/>
    <s v="Structurele Ingreep"/>
    <s v="WL/INV/N78/10"/>
    <b v="0"/>
    <s v="Ingreep wordt niet opgevolgd in BOD"/>
    <s v="&lt;null&gt;"/>
    <s v="&lt;null&gt;"/>
    <s v="&lt;null&gt;"/>
    <s v="&lt;null&gt;"/>
    <n v="50"/>
    <m/>
    <m/>
  </r>
  <r>
    <x v="1421"/>
    <x v="1421"/>
    <s v="Verkeersveiligheid"/>
    <x v="1"/>
    <n v="2657"/>
    <s v="IN/001992"/>
    <s v="QW accentueren fietspaden met rode slem"/>
    <s v="Voorlopige ingreep. Definitieve ingreep nog in onderzoek."/>
    <s v="Kleine Ingreep"/>
    <s v="WWV/INV/N50/17"/>
    <b v="1"/>
    <s v="Ingreep wordt opgevolgd in BOD"/>
    <n v="2022"/>
    <s v="Q3"/>
    <s v="WEGENIS"/>
    <s v="&lt;null&gt;"/>
    <n v="100"/>
    <n v="5000"/>
    <n v="5000"/>
  </r>
  <r>
    <x v="1422"/>
    <x v="1422"/>
    <s v="Stimuleren Combimobiliteit"/>
    <x v="2"/>
    <n v="2658"/>
    <s v="IN/001993"/>
    <s v="BH Hoogstraten K. Boomstraat"/>
    <s v="ontwerp + opmeting"/>
    <s v="Kleine Ingreep"/>
    <s v="WA/INV/N14/12"/>
    <b v="0"/>
    <s v="Ingreep wordt niet opgevolgd in BOD"/>
    <n v="2022"/>
    <s v="Q3"/>
    <s v="STUDIE"/>
    <s v="&lt;null&gt;"/>
    <n v="100"/>
    <n v="5000"/>
    <n v="5000"/>
  </r>
  <r>
    <x v="18"/>
    <x v="18"/>
    <s v="&lt;null&gt;"/>
    <x v="3"/>
    <n v="2659"/>
    <s v="IN/001994"/>
    <s v="Vrijliggende fietspaden N14 Duffel"/>
    <s v="&lt;null&gt;"/>
    <s v="Structurele Ingreep"/>
    <s v="WA/INV/N14/1"/>
    <b v="0"/>
    <s v="Ingreep wordt niet opgevolgd in BOD"/>
    <s v="&lt;null&gt;"/>
    <s v="&lt;null&gt;"/>
    <s v="&lt;null&gt;"/>
    <s v="&lt;null&gt;"/>
    <m/>
    <m/>
    <m/>
  </r>
  <r>
    <x v="1423"/>
    <x v="1423"/>
    <s v="Verkeersveiligheid"/>
    <x v="4"/>
    <n v="2660"/>
    <s v="IN/001995"/>
    <s v="SRK: R42 Sint-Niklaas: betere geleiding en RADR"/>
    <s v="Het kruispunt wordt (deels) voorzien van rechtsaf door rood + infrastructurele aanpassingen ter verbetering van de geleiding van en naar de Raapstraat (kant centrum) uit te voeren. De borden B22 zijn aangebracht, de infrastructurele aanpassingen zijn voor"/>
    <s v="Kleine Ingreep"/>
    <s v="WOV/INV/R42/4"/>
    <b v="0"/>
    <s v="Ingreep wordt niet opgevolgd in BOD"/>
    <n v="2022"/>
    <s v="Q1"/>
    <s v="WEGENIS"/>
    <s v="&lt;null&gt;"/>
    <n v="100"/>
    <n v="250"/>
    <n v="250"/>
  </r>
  <r>
    <x v="1424"/>
    <x v="1424"/>
    <s v="Verkeersveiligheid"/>
    <x v="4"/>
    <n v="2661"/>
    <s v="IN/001996"/>
    <s v="SRK: N16 Temse: conflictvrije lichtenregeling voor dubbelrichtingsfietsoversteek"/>
    <s v="&lt;null&gt;"/>
    <s v="Kleine Ingreep"/>
    <s v="WOV/INV/N16/2"/>
    <b v="0"/>
    <s v="Ingreep wordt niet opgevolgd in BOD"/>
    <n v="2022"/>
    <s v="Q1"/>
    <s v="VRI"/>
    <s v="&lt;null&gt;"/>
    <n v="100"/>
    <n v="200"/>
    <n v="200"/>
  </r>
  <r>
    <x v="1425"/>
    <x v="1425"/>
    <s v="Verkeersveiligheid"/>
    <x v="4"/>
    <n v="2662"/>
    <s v="IN/001997"/>
    <s v="SRK: N46 Oudenaarde: hermarkering fietsoversteken"/>
    <s v="&lt;null&gt;"/>
    <s v="Kleine Ingreep"/>
    <s v="WOV/INV/N46/12"/>
    <b v="0"/>
    <s v="Ingreep wordt niet opgevolgd in BOD"/>
    <n v="2022"/>
    <s v="Q1"/>
    <s v="WEGENIS"/>
    <s v="&lt;null&gt;"/>
    <n v="100"/>
    <n v="700"/>
    <n v="700"/>
  </r>
  <r>
    <x v="1426"/>
    <x v="1426"/>
    <s v="Verkeersveiligheid"/>
    <x v="4"/>
    <n v="2663"/>
    <s v="IN/001998"/>
    <s v="SRK: N46 Oudenaarde: wegdek en fietsoversteekplaatsen"/>
    <s v="&lt;null&gt;"/>
    <s v="Kleine Ingreep"/>
    <s v="WOV/INV/N46/13"/>
    <b v="0"/>
    <s v="Ingreep wordt niet opgevolgd in BOD"/>
    <n v="2022"/>
    <s v="Q1"/>
    <s v="WEGENIS"/>
    <s v="&lt;null&gt;"/>
    <n v="100"/>
    <n v="900"/>
    <n v="900"/>
  </r>
  <r>
    <x v="1427"/>
    <x v="1427"/>
    <s v="Verkeersveiligheid"/>
    <x v="4"/>
    <n v="2664"/>
    <s v="IN/001999"/>
    <s v="SRK: N60 Oudenaarde: fietsoversteekvoorzieningen"/>
    <s v="SRK: Wegdek en oversteekmarkeringen"/>
    <s v="Kleine Ingreep"/>
    <s v="WOV/INV/N46/14"/>
    <b v="0"/>
    <s v="Ingreep wordt niet opgevolgd in BOD"/>
    <n v="2022"/>
    <s v="Q1"/>
    <s v="WEGENIS"/>
    <s v="&lt;null&gt;"/>
    <n v="100"/>
    <n v="2100"/>
    <n v="2100"/>
  </r>
  <r>
    <x v="1428"/>
    <x v="1428"/>
    <s v="Verkeersveiligheid"/>
    <x v="4"/>
    <n v="2665"/>
    <s v="IN/002000"/>
    <s v="SRK: N60 x N459 Oudenaarde: markering fietsoversteken"/>
    <s v="&lt;null&gt;"/>
    <s v="Kleine Ingreep"/>
    <s v="WOV/INV/NX/6"/>
    <b v="0"/>
    <s v="Ingreep wordt niet opgevolgd in BOD"/>
    <n v="2022"/>
    <s v="Q1"/>
    <s v="WEGENIS"/>
    <s v="&lt;null&gt;"/>
    <n v="100"/>
    <n v="1100"/>
    <n v="1100"/>
  </r>
  <r>
    <x v="1429"/>
    <x v="1429"/>
    <s v="Verkeersveiligheid"/>
    <x v="4"/>
    <n v="2666"/>
    <s v="IN/002001"/>
    <s v="Herinrichting kruispunt"/>
    <s v="&lt;null&gt;"/>
    <s v="Kleine Ingreep"/>
    <s v="WOV/INV/N70/11"/>
    <b v="0"/>
    <s v="Ingreep wordt niet opgevolgd in BOD"/>
    <n v="2022"/>
    <s v="Q1"/>
    <s v="WEGENIS"/>
    <s v="&lt;null&gt;"/>
    <n v="100"/>
    <n v="1"/>
    <n v="1"/>
  </r>
  <r>
    <x v="1430"/>
    <x v="1430"/>
    <s v="Verkeersveiligheid"/>
    <x v="4"/>
    <n v="2667"/>
    <s v="IN/002002"/>
    <s v="SRK: N47 Lebbeke: markering dubbelrichtingsoversteek"/>
    <s v="&lt;null&gt;"/>
    <s v="Kleine Ingreep"/>
    <s v="WOV/INV/NX/7"/>
    <b v="0"/>
    <s v="Ingreep wordt niet opgevolgd in BOD"/>
    <n v="2022"/>
    <s v="Q1"/>
    <s v="WEGENIS"/>
    <s v="&lt;null&gt;"/>
    <n v="100"/>
    <n v="200"/>
    <n v="200"/>
  </r>
  <r>
    <x v="1431"/>
    <x v="1431"/>
    <s v="Verkeersveiligheid"/>
    <x v="4"/>
    <n v="2668"/>
    <s v="IN/002003"/>
    <s v="SRK: N47 Lebbeke: markeringen fiets thv rotonde"/>
    <s v="&lt;null&gt;"/>
    <s v="Kleine Ingreep"/>
    <s v="WOV/INV/N47/9"/>
    <b v="0"/>
    <s v="Ingreep wordt niet opgevolgd in BOD"/>
    <n v="2022"/>
    <s v="Q1"/>
    <s v="WEGENIS"/>
    <s v="&lt;null&gt;"/>
    <n v="100"/>
    <n v="800"/>
    <n v="800"/>
  </r>
  <r>
    <x v="1432"/>
    <x v="1432"/>
    <s v="Verkeersveiligheid"/>
    <x v="4"/>
    <n v="2669"/>
    <s v="IN/002004"/>
    <s v="SRK: N47 Lebbeke: aanbrengen van fietssuggestiestroken"/>
    <s v="&lt;null&gt;"/>
    <s v="Kleine Ingreep"/>
    <s v="WOV/INV/N47/10"/>
    <b v="0"/>
    <s v="Ingreep wordt niet opgevolgd in BOD"/>
    <n v="2022"/>
    <s v="Q1"/>
    <s v="WEGENIS"/>
    <s v="&lt;null&gt;"/>
    <n v="100"/>
    <n v="900"/>
    <n v="900"/>
  </r>
  <r>
    <x v="1433"/>
    <x v="1433"/>
    <s v="Verkeersveiligheid"/>
    <x v="4"/>
    <n v="2670"/>
    <s v="IN/002005"/>
    <s v="SRK: N46 Geraardsbergen: aanpassing boordsteen"/>
    <s v="&lt;null&gt;"/>
    <s v="Kleine Ingreep"/>
    <s v="WOV/INV/N460/11"/>
    <b v="0"/>
    <s v="Ingreep wordt niet opgevolgd in BOD"/>
    <n v="2022"/>
    <s v="Q1"/>
    <s v="WEGENIS"/>
    <s v="&lt;null&gt;"/>
    <n v="100"/>
    <n v="1300"/>
    <n v="1300"/>
  </r>
  <r>
    <x v="1434"/>
    <x v="1434"/>
    <s v="Verkeersveiligheid"/>
    <x v="4"/>
    <n v="2671"/>
    <s v="IN/002006"/>
    <s v="SRK: N8 Geraardsbergen: octopuspalen en attentieverhogende markering"/>
    <s v="&lt;null&gt;"/>
    <s v="Kleine Ingreep"/>
    <s v="WOV/INV/N8/13"/>
    <b v="0"/>
    <s v="Ingreep wordt niet opgevolgd in BOD"/>
    <n v="2022"/>
    <s v="Q1"/>
    <s v="OVERIGE"/>
    <s v="&lt;null&gt;"/>
    <n v="100"/>
    <n v="1200"/>
    <n v="1200"/>
  </r>
  <r>
    <x v="1435"/>
    <x v="1435"/>
    <s v="Verkeersveiligheid"/>
    <x v="4"/>
    <n v="2672"/>
    <s v="IN/002007"/>
    <s v="SRK: N495 Geraardsbergen: opfrissing markeringen fietsoversteek"/>
    <s v="&lt;null&gt;"/>
    <s v="Kleine Ingreep"/>
    <s v="WOV/INV/N495/7"/>
    <b v="0"/>
    <s v="Ingreep wordt niet opgevolgd in BOD"/>
    <n v="2022"/>
    <s v="Q1"/>
    <s v="WEGENIS"/>
    <s v="&lt;null&gt;"/>
    <n v="100"/>
    <n v="500"/>
    <n v="500"/>
  </r>
  <r>
    <x v="1436"/>
    <x v="1436"/>
    <s v="Verkeersveiligheid"/>
    <x v="4"/>
    <n v="2673"/>
    <s v="IN/002008"/>
    <s v="SRK: N272 Geraardsbergen: markering fietsoversteek"/>
    <s v="&lt;null&gt;"/>
    <s v="Kleine Ingreep"/>
    <s v="WOV/INV/N272/1"/>
    <b v="0"/>
    <s v="Ingreep wordt niet opgevolgd in BOD"/>
    <n v="2022"/>
    <s v="Q1"/>
    <s v="WEGENIS"/>
    <s v="&lt;null&gt;"/>
    <n v="100"/>
    <n v="1500"/>
    <n v="1500"/>
  </r>
  <r>
    <x v="1437"/>
    <x v="1437"/>
    <s v="Verkeersveiligheid"/>
    <x v="4"/>
    <n v="2674"/>
    <s v="IN/002009"/>
    <s v="SRK : N35 Deinze: oversteekplaats : rechtsaf door roood"/>
    <s v="&lt;null&gt;"/>
    <s v="Kleine Ingreep"/>
    <s v="WOV/INV/NX/8"/>
    <b v="0"/>
    <s v="Ingreep wordt niet opgevolgd in BOD"/>
    <n v="2022"/>
    <s v="Q1"/>
    <s v="OVERIGE"/>
    <s v="&lt;null&gt;"/>
    <n v="100"/>
    <n v="3000"/>
    <n v="3000"/>
  </r>
  <r>
    <x v="18"/>
    <x v="18"/>
    <s v="&lt;null&gt;"/>
    <x v="3"/>
    <n v="2675"/>
    <s v="IN/002010"/>
    <s v="Structureel onderhoud"/>
    <s v="&lt;null&gt;"/>
    <s v="Kleine Ingreep"/>
    <s v="&lt;null&gt;"/>
    <b v="0"/>
    <s v="Ingreep wordt niet opgevolgd in BOD"/>
    <n v="2022"/>
    <s v="Q1"/>
    <s v="OVERIGE"/>
    <s v="&lt;null&gt;"/>
    <m/>
    <n v="1"/>
    <m/>
  </r>
  <r>
    <x v="1438"/>
    <x v="1438"/>
    <s v="Verkeersveiligheid"/>
    <x v="4"/>
    <n v="2676"/>
    <s v="IN/002011"/>
    <s v="SRK: N456 Sint-Laureins: oversteekplaats"/>
    <s v="Werken zoals besproken in PCV"/>
    <s v="Kleine Ingreep"/>
    <s v="WOV/INV/N456/16"/>
    <b v="0"/>
    <s v="Ingreep wordt niet opgevolgd in BOD"/>
    <n v="2022"/>
    <s v="Q1"/>
    <s v="WEGENIS"/>
    <s v="&lt;null&gt;"/>
    <n v="100"/>
    <n v="5000"/>
    <n v="5000"/>
  </r>
  <r>
    <x v="1439"/>
    <x v="1439"/>
    <s v="Verkeersveiligheid"/>
    <x v="4"/>
    <n v="2677"/>
    <s v="IN/002012"/>
    <s v="vervanging dynamisch bord"/>
    <s v="&lt;null&gt;"/>
    <s v="Kleine Ingreep"/>
    <s v="WA/INV/N16/8"/>
    <b v="0"/>
    <s v="Ingreep wordt niet opgevolgd in BOD"/>
    <n v="2022"/>
    <s v="Q1"/>
    <s v="OVERIGE"/>
    <s v="&lt;null&gt;"/>
    <n v="100"/>
    <n v="1"/>
    <n v="1"/>
  </r>
  <r>
    <x v="1440"/>
    <x v="1440"/>
    <s v="Verkeersveiligheid"/>
    <x v="4"/>
    <n v="2678"/>
    <s v="IN/002013"/>
    <s v="Aanpassing fietsinfrastructuur en VRI"/>
    <s v="&lt;null&gt;"/>
    <s v="Kleine Ingreep"/>
    <s v="WWV/INV/A19/3"/>
    <b v="0"/>
    <s v="Ingreep wordt niet opgevolgd in BOD"/>
    <n v="2022"/>
    <s v="Q1"/>
    <s v="WEGENIS"/>
    <s v="&lt;null&gt;"/>
    <n v="100"/>
    <n v="1"/>
    <n v="1"/>
  </r>
  <r>
    <x v="1441"/>
    <x v="1441"/>
    <s v="Verkeersveiligheid"/>
    <x v="4"/>
    <n v="2679"/>
    <s v="IN/002014"/>
    <s v="Herinrichting volgens PCV"/>
    <s v="&lt;null&gt;"/>
    <s v="Kleine Ingreep"/>
    <s v="WA/INV/N108/8"/>
    <b v="0"/>
    <s v="Ingreep wordt niet opgevolgd in BOD"/>
    <n v="2022"/>
    <s v="Q1"/>
    <s v="WEGENIS"/>
    <s v="&lt;null&gt;"/>
    <n v="100"/>
    <n v="1"/>
    <n v="1"/>
  </r>
  <r>
    <x v="18"/>
    <x v="18"/>
    <s v="&lt;null&gt;"/>
    <x v="3"/>
    <n v="2680"/>
    <s v="IN/002015"/>
    <s v="N3/E40 - Bowstringbrug over E40 (Bertem)"/>
    <s v="&lt;null&gt;"/>
    <s v="Structurele Ingreep"/>
    <s v="WVB/INV/N3/3"/>
    <b v="0"/>
    <s v="Ingreep wordt niet opgevolgd in BOD"/>
    <s v="&lt;null&gt;"/>
    <s v="&lt;null&gt;"/>
    <s v="&lt;null&gt;"/>
    <s v="&lt;null&gt;"/>
    <m/>
    <m/>
    <m/>
  </r>
  <r>
    <x v="1442"/>
    <x v="1442"/>
    <s v="Verkeersveiligheid"/>
    <x v="4"/>
    <n v="2681"/>
    <s v="IN/002016"/>
    <s v="Wegenis"/>
    <s v="er is een PCV dossier geweest om de middelste rijstrook weg te halen en die ruimte te gebruiken voor de fietspaden. Momenteel zijn er betonplaatherstellingen, vervolgens markeringen. Dit wordt meegenomen in het PCV dossier Sint-Bernard. Uitvoering in 2021"/>
    <s v="Kleine Ingreep"/>
    <s v="WVB/INV/NX/7"/>
    <b v="0"/>
    <s v="Ingreep wordt niet opgevolgd in BOD"/>
    <n v="2022"/>
    <s v="Q2"/>
    <s v="WEGENIS"/>
    <s v="niet relance"/>
    <n v="100"/>
    <n v="1"/>
    <n v="1"/>
  </r>
  <r>
    <x v="1443"/>
    <x v="1443"/>
    <s v="Verkeersveiligheid"/>
    <x v="4"/>
    <n v="2682"/>
    <s v="IN/002017"/>
    <s v="Aanleg middeneiland"/>
    <s v="&lt;null&gt;"/>
    <s v="Kleine Ingreep"/>
    <s v="WVB/INV/NX/8"/>
    <b v="0"/>
    <s v="Ingreep wordt niet opgevolgd in BOD"/>
    <n v="2022"/>
    <s v="Q1"/>
    <s v="WEGENIS"/>
    <s v="IBO niet relance"/>
    <n v="100"/>
    <n v="6279.8"/>
    <n v="6279.8"/>
  </r>
  <r>
    <x v="1444"/>
    <x v="1444"/>
    <s v="Verkeersveiligheid"/>
    <x v="4"/>
    <n v="2683"/>
    <s v="IN/002018"/>
    <s v="Hermarkering fietsvoorzieningen en signalisatie"/>
    <s v="&lt;null&gt;"/>
    <s v="Kleine Ingreep"/>
    <s v="WA/INV/N108/9"/>
    <b v="0"/>
    <s v="Ingreep wordt niet opgevolgd in BOD"/>
    <n v="2022"/>
    <s v="Q1"/>
    <s v="OVERIGE"/>
    <s v="&lt;null&gt;"/>
    <n v="100"/>
    <n v="1"/>
    <n v="1"/>
  </r>
  <r>
    <x v="1445"/>
    <x v="1445"/>
    <s v="Verkeersveiligheid"/>
    <x v="4"/>
    <n v="2684"/>
    <s v="IN/002019"/>
    <s v="Fietssuggestiestroken en zone 30"/>
    <s v="om tegemoet te komen aan de vraag werden fietssuggestiestroken toegevoegd en werd heel deze zone toegevoegd aan een vaste zone 30."/>
    <s v="Kleine Ingreep"/>
    <s v="WVB/INV/N234/4"/>
    <b v="0"/>
    <s v="Ingreep wordt niet opgevolgd in BOD"/>
    <n v="2022"/>
    <s v="Q1"/>
    <s v="OVERIGE"/>
    <s v="niet relancemiddelen"/>
    <n v="100"/>
    <n v="1"/>
    <n v="1"/>
  </r>
  <r>
    <x v="1446"/>
    <x v="1446"/>
    <s v="Verkeersveiligheid"/>
    <x v="4"/>
    <n v="2685"/>
    <s v="IN/002020"/>
    <s v="Middengeleiders"/>
    <s v="reeds uitgevoerd"/>
    <s v="Kleine Ingreep"/>
    <s v="WWV/INV/N36/16"/>
    <b v="0"/>
    <s v="Ingreep wordt niet opgevolgd in BOD"/>
    <n v="2022"/>
    <s v="Q1"/>
    <s v="WEGENIS"/>
    <s v="&lt;null&gt;"/>
    <n v="100"/>
    <n v="4000"/>
    <n v="4000"/>
  </r>
  <r>
    <x v="1447"/>
    <x v="1447"/>
    <s v="Verkeersveiligheid"/>
    <x v="4"/>
    <n v="2686"/>
    <s v="IN/002021"/>
    <s v="Paaltjes ter bescherming van voetgangers"/>
    <s v="&lt;null&gt;"/>
    <s v="Kleine Ingreep"/>
    <s v="WL/INV/N141/12"/>
    <b v="0"/>
    <s v="Ingreep wordt niet opgevolgd in BOD"/>
    <n v="2022"/>
    <s v="Q1"/>
    <s v="OVERIGE"/>
    <s v="&lt;null&gt;"/>
    <n v="100"/>
    <n v="1"/>
    <n v="1"/>
  </r>
  <r>
    <x v="1448"/>
    <x v="1448"/>
    <s v="Verkeersveiligheid"/>
    <x v="4"/>
    <n v="2687"/>
    <s v="IN/002022"/>
    <s v="Aanpassingen VRI"/>
    <s v="&lt;null&gt;"/>
    <s v="Kleine Ingreep"/>
    <s v="WL/INV/N78/35"/>
    <b v="0"/>
    <s v="Ingreep wordt niet opgevolgd in BOD"/>
    <n v="2022"/>
    <s v="Q1"/>
    <s v="VRI"/>
    <s v="&lt;null&gt;"/>
    <n v="100"/>
    <n v="1"/>
    <n v="1"/>
  </r>
  <r>
    <x v="1449"/>
    <x v="1449"/>
    <s v="Verkeersveiligheid"/>
    <x v="4"/>
    <n v="2688"/>
    <s v="IN/002023"/>
    <s v="Opfrissing markeringen"/>
    <s v="&lt;null&gt;"/>
    <s v="Kleine Ingreep"/>
    <s v="WWV/INV/NX/4"/>
    <b v="0"/>
    <s v="Ingreep wordt niet opgevolgd in BOD"/>
    <n v="2022"/>
    <s v="Q1"/>
    <s v="OVERIGE"/>
    <s v="&lt;null&gt;"/>
    <n v="100"/>
    <n v="1"/>
    <n v="1"/>
  </r>
  <r>
    <x v="1450"/>
    <x v="1450"/>
    <s v="Verkeersveiligheid"/>
    <x v="4"/>
    <n v="2689"/>
    <s v="IN/002024"/>
    <s v="Herinrichting volgens PCV"/>
    <s v="PCV dossier uitgevoerd"/>
    <s v="Kleine Ingreep"/>
    <s v="WWV/INV/N369/2"/>
    <b v="0"/>
    <s v="Ingreep wordt niet opgevolgd in BOD"/>
    <n v="2022"/>
    <s v="Q1"/>
    <s v="WEGENIS"/>
    <s v="&lt;null&gt;"/>
    <n v="100"/>
    <n v="1"/>
    <n v="1"/>
  </r>
  <r>
    <x v="1451"/>
    <x v="1451"/>
    <s v="Verkeersveiligheid"/>
    <x v="4"/>
    <n v="2690"/>
    <s v="IN/002025"/>
    <s v="Herinrichting oversteek"/>
    <s v="PCV dossier werd reeds voorafgaand uitgevoerd"/>
    <s v="Kleine Ingreep"/>
    <s v="WWV/INV/N369/3"/>
    <b v="0"/>
    <s v="Ingreep wordt niet opgevolgd in BOD"/>
    <n v="2022"/>
    <s v="Q1"/>
    <s v="WEGENIS"/>
    <s v="&lt;null&gt;"/>
    <n v="100"/>
    <n v="1"/>
    <n v="1"/>
  </r>
  <r>
    <x v="1452"/>
    <x v="1452"/>
    <s v="Verkeersveiligheid"/>
    <x v="4"/>
    <n v="2691"/>
    <s v="IN/002026"/>
    <s v="Aanpassing V-plan"/>
    <s v="&lt;null&gt;"/>
    <s v="Kleine Ingreep"/>
    <s v="WA/INV/NX/2"/>
    <b v="0"/>
    <s v="Ingreep wordt niet opgevolgd in BOD"/>
    <n v="2022"/>
    <s v="Q2"/>
    <s v="VRI"/>
    <s v="&lt;null&gt;"/>
    <n v="100"/>
    <n v="1"/>
    <n v="1"/>
  </r>
  <r>
    <x v="1453"/>
    <x v="1453"/>
    <s v="Verkeersveiligheid"/>
    <x v="4"/>
    <n v="2692"/>
    <s v="IN/002027"/>
    <s v="Aanbrengen zone 30"/>
    <s v="&lt;null&gt;"/>
    <s v="Kleine Ingreep"/>
    <s v="WVB/INV/N2/20"/>
    <b v="0"/>
    <s v="Ingreep wordt niet opgevolgd in BOD"/>
    <n v="2022"/>
    <s v="Q1"/>
    <s v="OVERIGE"/>
    <s v="dummy"/>
    <n v="100"/>
    <n v="1"/>
    <n v="1"/>
  </r>
  <r>
    <x v="1454"/>
    <x v="1454"/>
    <s v="Verkeersveiligheid"/>
    <x v="4"/>
    <n v="2693"/>
    <s v="IN/002028"/>
    <s v="opfrissing markeringen"/>
    <s v="&lt;null&gt;"/>
    <s v="Kleine Ingreep"/>
    <s v="WWV/INV/N50/18"/>
    <b v="0"/>
    <s v="Ingreep wordt niet opgevolgd in BOD"/>
    <n v="2022"/>
    <s v="Q1"/>
    <s v="WEGENIS"/>
    <s v="&lt;null&gt;"/>
    <n v="100"/>
    <n v="1"/>
    <n v="1"/>
  </r>
  <r>
    <x v="1455"/>
    <x v="1455"/>
    <s v="Verkeersveiligheid"/>
    <x v="4"/>
    <n v="2694"/>
    <s v="IN/002029"/>
    <s v="Opfrissing markeringen"/>
    <s v="&lt;null&gt;"/>
    <s v="Kleine Ingreep"/>
    <s v="WWV/INV/N8/36"/>
    <b v="0"/>
    <s v="Ingreep wordt niet opgevolgd in BOD"/>
    <n v="2022"/>
    <s v="Q1"/>
    <s v="WEGENIS"/>
    <s v="&lt;null&gt;"/>
    <n v="100"/>
    <n v="1"/>
    <n v="1"/>
  </r>
  <r>
    <x v="1456"/>
    <x v="1456"/>
    <s v="Verkeersveiligheid"/>
    <x v="4"/>
    <n v="2695"/>
    <s v="IN/002030"/>
    <s v="Onderhoud markeringen"/>
    <s v="&lt;null&gt;"/>
    <s v="Kleine Ingreep"/>
    <s v="WA/INV/N116/10"/>
    <b v="0"/>
    <s v="Ingreep wordt niet opgevolgd in BOD"/>
    <n v="2022"/>
    <s v="Q1"/>
    <s v="WEGENIS"/>
    <s v="&lt;null&gt;"/>
    <n v="100"/>
    <n v="1"/>
    <n v="1"/>
  </r>
  <r>
    <x v="1457"/>
    <x v="1457"/>
    <s v="Verkeersveiligheid"/>
    <x v="4"/>
    <n v="2696"/>
    <s v="IN/002031"/>
    <s v="Herstelling knipperlichten"/>
    <s v="&lt;null&gt;"/>
    <s v="Kleine Ingreep"/>
    <s v="WA/INV/NX/4"/>
    <b v="0"/>
    <s v="Ingreep wordt niet opgevolgd in BOD"/>
    <n v="2022"/>
    <s v="Q1"/>
    <s v="VRI"/>
    <s v="&lt;null&gt;"/>
    <n v="100"/>
    <n v="1"/>
    <n v="1"/>
  </r>
  <r>
    <x v="1458"/>
    <x v="1458"/>
    <s v="Verkeersveiligheid"/>
    <x v="4"/>
    <n v="2697"/>
    <s v="IN/002032"/>
    <s v="Herinrichting volgens PCV"/>
    <s v="&lt;null&gt;"/>
    <s v="Kleine Ingreep"/>
    <s v="WA/INV/N1/24"/>
    <b v="0"/>
    <s v="Ingreep wordt niet opgevolgd in BOD"/>
    <n v="2022"/>
    <s v="Q1"/>
    <s v="WEGENIS"/>
    <s v="&lt;null&gt;"/>
    <n v="100"/>
    <n v="1"/>
    <n v="1"/>
  </r>
  <r>
    <x v="1459"/>
    <x v="1459"/>
    <s v="Verkeersveiligheid"/>
    <x v="4"/>
    <n v="2698"/>
    <s v="IN/002033"/>
    <s v="Herinrichting volgens PCV"/>
    <s v="Oversteekplaats beveiligen. Is uitgevoerd"/>
    <s v="Kleine Ingreep"/>
    <s v="WWV/INV/N36/17"/>
    <b v="0"/>
    <s v="Ingreep wordt niet opgevolgd in BOD"/>
    <n v="2022"/>
    <s v="Q1"/>
    <s v="WEGENIS"/>
    <s v="&lt;null&gt;"/>
    <n v="100"/>
    <n v="5750.25"/>
    <n v="5750.25"/>
  </r>
  <r>
    <x v="1460"/>
    <x v="1460"/>
    <s v="Verkeersveiligheid"/>
    <x v="4"/>
    <n v="2699"/>
    <s v="IN/002034"/>
    <s v="Zone 30 en markeringen"/>
    <s v="verschillende werken in 1, dus meerdere contactpersonen"/>
    <s v="Kleine Ingreep"/>
    <s v="WWV/INV/N35/12"/>
    <b v="0"/>
    <s v="Ingreep wordt niet opgevolgd in BOD"/>
    <n v="2022"/>
    <s v="Q1"/>
    <s v="OVERIGE"/>
    <s v="var zone 30"/>
    <n v="100"/>
    <n v="3500"/>
    <n v="3500"/>
  </r>
  <r>
    <x v="1461"/>
    <x v="1461"/>
    <s v="Verkeersveiligheid"/>
    <x v="1"/>
    <n v="2700"/>
    <s v="IN/002035"/>
    <s v="Heraanleg + VRI"/>
    <s v="Heraanleg door Lantis, medefinancier AWV"/>
    <s v="Kleine Ingreep"/>
    <s v="WA/INV/N129/1"/>
    <b v="0"/>
    <s v="Ingreep wordt niet opgevolgd in BOD"/>
    <n v="2022"/>
    <s v="Q2"/>
    <s v="VRI"/>
    <s v="&lt;null&gt;"/>
    <n v="100"/>
    <n v="100000"/>
    <n v="100000"/>
  </r>
  <r>
    <x v="18"/>
    <x v="18"/>
    <s v="&lt;null&gt;"/>
    <x v="3"/>
    <n v="2701"/>
    <s v="IN/002036"/>
    <s v="A14 Dienstenzone Rekkem"/>
    <s v="&lt;null&gt;"/>
    <s v="Structurele Ingreep"/>
    <s v="WWV/INV/A14/3"/>
    <b v="0"/>
    <s v="Ingreep wordt niet opgevolgd in BOD"/>
    <s v="&lt;null&gt;"/>
    <s v="&lt;null&gt;"/>
    <s v="&lt;null&gt;"/>
    <s v="&lt;null&gt;"/>
    <m/>
    <m/>
    <m/>
  </r>
  <r>
    <x v="1462"/>
    <x v="1462"/>
    <s v="Verkeersveiligheid"/>
    <x v="1"/>
    <n v="2702"/>
    <s v="IN/002037"/>
    <s v="Fietspad omgelegd, aparte fase voor fietsers"/>
    <s v="&lt;null&gt;"/>
    <s v="Kleine Ingreep"/>
    <s v="WWV/INV/R31/3"/>
    <b v="0"/>
    <s v="Ingreep wordt niet opgevolgd in BOD"/>
    <n v="2022"/>
    <s v="Q1"/>
    <s v="VRI"/>
    <s v="&lt;null&gt;"/>
    <n v="100"/>
    <n v="1"/>
    <n v="1"/>
  </r>
  <r>
    <x v="1463"/>
    <x v="1463"/>
    <s v="Verkeersveiligheid"/>
    <x v="1"/>
    <n v="2703"/>
    <s v="IN/002038"/>
    <s v="VLCC ingevoerd &amp; conflictvrije regeling ingevoerd"/>
    <s v="&lt;null&gt;"/>
    <s v="Kleine Ingreep"/>
    <s v="WA/INV/N116/11"/>
    <b v="0"/>
    <s v="Ingreep wordt niet opgevolgd in BOD"/>
    <n v="2022"/>
    <s v="Q1"/>
    <s v="VRI"/>
    <s v="&lt;null&gt;"/>
    <n v="100"/>
    <n v="1"/>
    <n v="1"/>
  </r>
  <r>
    <x v="1464"/>
    <x v="1464"/>
    <s v="Verkeersveiligheid"/>
    <x v="1"/>
    <n v="2704"/>
    <s v="IN/002039"/>
    <s v="Investeringsproject Gevaarlijke punt in Zonhoven : Beringersteenweg, Heuveneindeweg, N74 Richting Hasselt"/>
    <s v="&lt;null&gt;"/>
    <s v="Kleine Ingreep"/>
    <s v="WL/INV/N74/10"/>
    <b v="0"/>
    <s v="Ingreep wordt niet opgevolgd in BOD"/>
    <n v="2022"/>
    <s v="Q1"/>
    <s v="WEGENIS"/>
    <s v="&lt;null&gt;"/>
    <n v="100"/>
    <n v="1"/>
    <n v="1"/>
  </r>
  <r>
    <x v="1465"/>
    <x v="1465"/>
    <s v="Verkeersveiligheid"/>
    <x v="1"/>
    <n v="2705"/>
    <s v="IN/002040"/>
    <s v="Investeringsproject Gevaarlijke punt in Zoersel : A21-E34 Richting Antwerpen"/>
    <s v="&lt;null&gt;"/>
    <s v="Kleine Ingreep"/>
    <s v="WA/INV/A21/1"/>
    <b v="0"/>
    <s v="Ingreep wordt niet opgevolgd in BOD"/>
    <n v="2022"/>
    <s v="Q1"/>
    <s v="WEGENIS"/>
    <s v="&lt;null&gt;"/>
    <n v="100"/>
    <n v="1"/>
    <n v="1"/>
  </r>
  <r>
    <x v="1466"/>
    <x v="1466"/>
    <s v="Verkeersveiligheid"/>
    <x v="1"/>
    <n v="2706"/>
    <s v="IN/002041"/>
    <s v="Aflsuiten Molenstraat, enkel dwarsing fietsers nog mogelijk"/>
    <s v="&lt;null&gt;"/>
    <s v="Kleine Ingreep"/>
    <s v="WWV/INV/N382/13"/>
    <b v="0"/>
    <s v="Ingreep wordt niet opgevolgd in BOD"/>
    <n v="2022"/>
    <s v="Q1"/>
    <s v="WEGENIS"/>
    <s v="&lt;null&gt;"/>
    <n v="100"/>
    <n v="1"/>
    <n v="1"/>
  </r>
  <r>
    <x v="1467"/>
    <x v="1467"/>
    <s v="Verkeersveiligheid"/>
    <x v="1"/>
    <n v="2707"/>
    <s v="IN/002042"/>
    <s v="Aparte fietsfase + conflictvrij linksaf"/>
    <s v="&lt;null&gt;"/>
    <s v="Kleine Ingreep"/>
    <s v="WWV/INV/NX/5"/>
    <b v="0"/>
    <s v="Ingreep wordt niet opgevolgd in BOD"/>
    <n v="2022"/>
    <s v="Q1"/>
    <s v="VRI"/>
    <s v="&lt;null&gt;"/>
    <n v="100"/>
    <n v="1"/>
    <n v="1"/>
  </r>
  <r>
    <x v="1468"/>
    <x v="1468"/>
    <s v="Verkeersveiligheid"/>
    <x v="1"/>
    <n v="2708"/>
    <s v="IN/002043"/>
    <s v="Aparte fietsfase om R32 te dwarsen"/>
    <s v="&lt;null&gt;"/>
    <s v="Kleine Ingreep"/>
    <s v="WWV/INV/NX/6"/>
    <b v="0"/>
    <s v="Ingreep wordt niet opgevolgd in BOD"/>
    <n v="2022"/>
    <s v="Q1"/>
    <s v="VRI"/>
    <s v="&lt;null&gt;"/>
    <n v="100"/>
    <n v="1"/>
    <n v="1"/>
  </r>
  <r>
    <x v="1469"/>
    <x v="1469"/>
    <s v="Verkeersveiligheid"/>
    <x v="1"/>
    <n v="2709"/>
    <s v="IN/002044"/>
    <s v="Enkelrichting maken van de Lucien Vandefonteynelaan"/>
    <s v="&lt;null&gt;"/>
    <s v="Kleine Ingreep"/>
    <s v="WOV/INV/NX/9"/>
    <b v="0"/>
    <s v="Ingreep wordt niet opgevolgd in BOD"/>
    <n v="2022"/>
    <s v="Q1"/>
    <s v="WEGENIS"/>
    <s v="&lt;null&gt;"/>
    <n v="100"/>
    <n v="1"/>
    <n v="1"/>
  </r>
  <r>
    <x v="1470"/>
    <x v="1470"/>
    <s v="Verkeersveiligheid"/>
    <x v="1"/>
    <n v="2710"/>
    <s v="IN/002045"/>
    <s v="Snelheid in bochten naar 70 km/u"/>
    <s v="&lt;null&gt;"/>
    <s v="Kleine Ingreep"/>
    <s v="WVB/INV/NX/9"/>
    <b v="0"/>
    <s v="Ingreep wordt niet opgevolgd in BOD"/>
    <n v="2022"/>
    <s v="Q1"/>
    <s v="WEGENIS"/>
    <s v="&lt;null&gt;"/>
    <n v="100"/>
    <n v="1"/>
    <n v="1"/>
  </r>
  <r>
    <x v="1471"/>
    <x v="1471"/>
    <s v="Verkeersveiligheid"/>
    <x v="1"/>
    <n v="2711"/>
    <s v="IN/002046"/>
    <s v="Investeringsproject gevaarlijk punt in Lier : Aarschotsesteenweg, Schollebeekstraat"/>
    <s v="&lt;null&gt;"/>
    <s v="Kleine Ingreep"/>
    <s v="WA/INV/N10/17"/>
    <b v="0"/>
    <s v="Ingreep wordt niet opgevolgd in BOD"/>
    <n v="2022"/>
    <s v="Q1"/>
    <s v="WEGENIS"/>
    <s v="&lt;null&gt;"/>
    <n v="100"/>
    <n v="1"/>
    <n v="1"/>
  </r>
  <r>
    <x v="1472"/>
    <x v="1472"/>
    <s v="Verkeersveiligheid"/>
    <x v="1"/>
    <n v="2712"/>
    <s v="IN/002047"/>
    <s v="VRI geplaatst"/>
    <s v="&lt;null&gt;"/>
    <s v="Kleine Ingreep"/>
    <s v="WL/INV/N74/11"/>
    <b v="0"/>
    <s v="Ingreep wordt niet opgevolgd in BOD"/>
    <n v="2022"/>
    <s v="Q1"/>
    <s v="VRI"/>
    <s v="&lt;null&gt;"/>
    <n v="100"/>
    <n v="1"/>
    <n v="1"/>
  </r>
  <r>
    <x v="1473"/>
    <x v="1473"/>
    <s v="Verkeersveiligheid"/>
    <x v="1"/>
    <n v="2713"/>
    <s v="IN/002048"/>
    <s v="Aanleg taper"/>
    <s v="&lt;null&gt;"/>
    <s v="Kleine Ingreep"/>
    <s v="WVB/INV/A10/4"/>
    <b v="0"/>
    <s v="Ingreep wordt niet opgevolgd in BOD"/>
    <n v="2022"/>
    <s v="Q1"/>
    <s v="WEGENIS"/>
    <s v="&lt;null&gt;"/>
    <n v="100"/>
    <n v="1"/>
    <n v="1"/>
  </r>
  <r>
    <x v="1474"/>
    <x v="1474"/>
    <s v="Verkeersveiligheid"/>
    <x v="1"/>
    <n v="2714"/>
    <s v="IN/002049"/>
    <s v="Asverschuiving om zicht te creëren van op zijtakken en snelheid te remmen op gewestweg"/>
    <s v="&lt;null&gt;"/>
    <s v="Kleine Ingreep"/>
    <s v="WWV/INV/NX/7"/>
    <b v="0"/>
    <s v="Ingreep wordt niet opgevolgd in BOD"/>
    <n v="2022"/>
    <s v="Q1"/>
    <s v="WEGENIS"/>
    <s v="&lt;null&gt;"/>
    <n v="100"/>
    <n v="1"/>
    <n v="1"/>
  </r>
  <r>
    <x v="1475"/>
    <x v="1475"/>
    <s v="Verkeersveiligheid"/>
    <x v="1"/>
    <n v="2715"/>
    <s v="IN/002050"/>
    <s v="QW conflict RA met fietsers. Rechttrekken en accentueren dwarsing R30"/>
    <s v="&lt;null&gt;"/>
    <s v="Kleine Ingreep"/>
    <s v="WWV/INV/NX/8"/>
    <b v="0"/>
    <s v="Ingreep wordt niet opgevolgd in BOD"/>
    <n v="2022"/>
    <s v="Q1"/>
    <s v="VRI"/>
    <s v="&lt;null&gt;"/>
    <n v="100"/>
    <n v="1"/>
    <n v="1"/>
  </r>
  <r>
    <x v="1476"/>
    <x v="1476"/>
    <s v="Verkeersveiligheid"/>
    <x v="1"/>
    <n v="2716"/>
    <s v="IN/002051"/>
    <s v="Aanpassing belijning (rijbaanversmalling) en snelheidsregime"/>
    <s v="&lt;null&gt;"/>
    <s v="Kleine Ingreep"/>
    <s v="WWV/INV/N9/5"/>
    <b v="0"/>
    <s v="Ingreep wordt niet opgevolgd in BOD"/>
    <n v="2022"/>
    <s v="Q1"/>
    <s v="WEGENIS"/>
    <s v="&lt;null&gt;"/>
    <n v="100"/>
    <n v="1"/>
    <n v="1"/>
  </r>
  <r>
    <x v="1477"/>
    <x v="1477"/>
    <s v="Verkeersveiligheid"/>
    <x v="1"/>
    <n v="2717"/>
    <s v="IN/002052"/>
    <s v="Plaatsen VRI"/>
    <s v="&lt;null&gt;"/>
    <s v="Kleine Ingreep"/>
    <s v="WA/INV/NX/5"/>
    <b v="0"/>
    <s v="Ingreep wordt niet opgevolgd in BOD"/>
    <n v="2022"/>
    <s v="Q1"/>
    <s v="VRI"/>
    <s v="&lt;null&gt;"/>
    <n v="100"/>
    <n v="1"/>
    <n v="1"/>
  </r>
  <r>
    <x v="1478"/>
    <x v="1478"/>
    <s v="Verkeersveiligheid"/>
    <x v="1"/>
    <n v="2718"/>
    <s v="IN/002053"/>
    <s v="Plaatsing trajectcontrole"/>
    <s v="&lt;null&gt;"/>
    <s v="Kleine Ingreep"/>
    <s v="WA/INV/N49/1"/>
    <b v="0"/>
    <s v="Ingreep wordt niet opgevolgd in BOD"/>
    <n v="2022"/>
    <s v="Q1"/>
    <s v="OVERIGE"/>
    <s v="&lt;null&gt;"/>
    <n v="100"/>
    <n v="1"/>
    <n v="1"/>
  </r>
  <r>
    <x v="1479"/>
    <x v="1479"/>
    <s v="Verkeersveiligheid"/>
    <x v="1"/>
    <n v="2719"/>
    <s v="IN/002054"/>
    <s v="Herinrichting wegens afbraak brug"/>
    <s v="&lt;null&gt;"/>
    <s v="Kleine Ingreep"/>
    <s v="WA/INV/N129/2"/>
    <b v="0"/>
    <s v="Ingreep wordt niet opgevolgd in BOD"/>
    <n v="2022"/>
    <s v="Q1"/>
    <s v="WEGENIS"/>
    <s v="&lt;null&gt;"/>
    <n v="100"/>
    <n v="1"/>
    <n v="1"/>
  </r>
  <r>
    <x v="1480"/>
    <x v="1480"/>
    <s v="Verkeersveiligheid"/>
    <x v="1"/>
    <n v="2720"/>
    <s v="IN/002055"/>
    <s v="Verbieden van een aantal bewegingen"/>
    <s v="&lt;null&gt;"/>
    <s v="Kleine Ingreep"/>
    <s v="WOV/INV/N41/5"/>
    <b v="0"/>
    <s v="Ingreep wordt niet opgevolgd in BOD"/>
    <n v="2022"/>
    <s v="Q1"/>
    <s v="OVERIGE"/>
    <s v="&lt;null&gt;"/>
    <n v="100"/>
    <n v="1"/>
    <n v="1"/>
  </r>
  <r>
    <x v="1481"/>
    <x v="1481"/>
    <s v="Verkeersveiligheid"/>
    <x v="6"/>
    <n v="2721"/>
    <s v="IN/002056"/>
    <s v="Aanleg nieuwe FOP"/>
    <s v="Op deze locatie is een nieuwe FOP aangelegd naar aanleiding van een structureel onderhoud van de rijbaan. Melding is gekomen dat de zichtbaarheid op de opgestelde fietser die van het enkelrichtingsfietspad naar het dubbelrichtingsfietspad wenst over te st"/>
    <s v="Kleine Ingreep"/>
    <s v="WA/INV/N108/10"/>
    <b v="0"/>
    <s v="Ingreep wordt niet opgevolgd in BOD"/>
    <n v="2022"/>
    <s v="Q1"/>
    <s v="WEGENIS"/>
    <s v="&lt;null&gt;"/>
    <n v="100"/>
    <n v="1"/>
    <n v="1"/>
  </r>
  <r>
    <x v="18"/>
    <x v="18"/>
    <s v="&lt;null&gt;"/>
    <x v="3"/>
    <n v="2722"/>
    <s v="IN/002057"/>
    <s v="N20 : Kortessem : FOP Hemelspark"/>
    <s v="&lt;null&gt;"/>
    <s v="Structurele Ingreep"/>
    <s v="WL/INV/N20/1"/>
    <b v="0"/>
    <s v="Ingreep wordt niet opgevolgd in BOD"/>
    <s v="&lt;null&gt;"/>
    <s v="&lt;null&gt;"/>
    <s v="&lt;null&gt;"/>
    <s v="&lt;null&gt;"/>
    <m/>
    <m/>
    <m/>
  </r>
  <r>
    <x v="1482"/>
    <x v="1482"/>
    <s v="Verkeersveiligheid"/>
    <x v="4"/>
    <n v="2723"/>
    <s v="IN/002058"/>
    <s v="Bypass rotonde Keibergstraat naar ventweg"/>
    <m/>
    <s v="Kleine Ingreep"/>
    <s v="WWV/INV/R34/3"/>
    <b v="1"/>
    <s v="Ingreep wordt opgevolgd in BOD"/>
    <n v="2022"/>
    <s v="Q3"/>
    <s v="WEGENIS"/>
    <s v="&lt;null&gt;"/>
    <n v="100"/>
    <n v="10000"/>
    <n v="10000"/>
  </r>
  <r>
    <x v="1483"/>
    <x v="1483"/>
    <s v="Stimuleren Combimobiliteit"/>
    <x v="2"/>
    <n v="2752"/>
    <s v="IN/002059"/>
    <s v="Vlimmeren Statiestraat halteinfra"/>
    <s v="&lt;null&gt;"/>
    <s v="Kleine Ingreep"/>
    <s v="WA/INV/NX/6"/>
    <b v="0"/>
    <s v="Ingreep wordt niet opgevolgd in BOD"/>
    <n v="2022"/>
    <s v="Q1"/>
    <s v="WEGENIS"/>
    <s v="&lt;null&gt;"/>
    <n v="100"/>
    <n v="1"/>
    <n v="1"/>
  </r>
  <r>
    <x v="1483"/>
    <x v="1483"/>
    <s v="Stimuleren Combimobiliteit"/>
    <x v="2"/>
    <n v="2753"/>
    <s v="IN/002060"/>
    <s v="Vlimmeren Statiestraat Hoppinzuil"/>
    <s v="&lt;null&gt;"/>
    <s v="Kleine Ingreep"/>
    <s v="&lt;null&gt;"/>
    <b v="0"/>
    <s v="Ingreep wordt niet opgevolgd in BOD"/>
    <s v="&lt;null&gt;"/>
    <s v="&lt;null&gt;"/>
    <s v="&lt;null&gt;"/>
    <s v="&lt;null&gt;"/>
    <n v="100"/>
    <m/>
    <m/>
  </r>
  <r>
    <x v="1484"/>
    <x v="1484"/>
    <s v="Stimuleren Combimobiliteit"/>
    <x v="2"/>
    <n v="2754"/>
    <s v="IN/002061"/>
    <s v="Ramsel Truitseinde Halteinfra"/>
    <s v="&lt;null&gt;"/>
    <s v="Kleine Ingreep"/>
    <s v="WA/INV/N19/12"/>
    <b v="0"/>
    <s v="Ingreep wordt niet opgevolgd in BOD"/>
    <n v="2022"/>
    <s v="Q1"/>
    <s v="WEGENIS"/>
    <s v="&lt;null&gt;"/>
    <n v="100"/>
    <n v="1"/>
    <n v="1"/>
  </r>
  <r>
    <x v="1484"/>
    <x v="1484"/>
    <s v="Stimuleren Combimobiliteit"/>
    <x v="2"/>
    <n v="2755"/>
    <s v="IN/002062"/>
    <s v="Ramsel Truitseinde Hoppinzuil"/>
    <s v="&lt;null&gt;"/>
    <s v="Kleine Ingreep"/>
    <s v="&lt;null&gt;"/>
    <b v="0"/>
    <s v="Ingreep wordt niet opgevolgd in BOD"/>
    <s v="&lt;null&gt;"/>
    <s v="&lt;null&gt;"/>
    <s v="&lt;null&gt;"/>
    <s v="&lt;null&gt;"/>
    <n v="100"/>
    <m/>
    <m/>
  </r>
  <r>
    <x v="1485"/>
    <x v="1485"/>
    <s v="Stimuleren Combimobiliteit"/>
    <x v="2"/>
    <n v="2756"/>
    <s v="IN/002063"/>
    <s v="Tielendijk Halteinfra"/>
    <s v="&lt;null&gt;"/>
    <s v="Kleine Ingreep"/>
    <s v="WA/INV/N19/13"/>
    <b v="0"/>
    <s v="Ingreep wordt niet opgevolgd in BOD"/>
    <n v="2022"/>
    <s v="Q1"/>
    <s v="WEGENIS"/>
    <s v="reeds uitgevoerd"/>
    <n v="100"/>
    <n v="1"/>
    <n v="1"/>
  </r>
  <r>
    <x v="1485"/>
    <x v="1485"/>
    <s v="Stimuleren Combimobiliteit"/>
    <x v="2"/>
    <n v="2757"/>
    <s v="IN/002064"/>
    <s v="Tielendijk Hoppinzuil"/>
    <s v="&lt;null&gt;"/>
    <s v="Kleine Ingreep"/>
    <s v="&lt;null&gt;"/>
    <b v="0"/>
    <s v="Ingreep wordt niet opgevolgd in BOD"/>
    <s v="&lt;null&gt;"/>
    <s v="&lt;null&gt;"/>
    <s v="&lt;null&gt;"/>
    <s v="&lt;null&gt;"/>
    <n v="100"/>
    <m/>
    <m/>
  </r>
  <r>
    <x v="1486"/>
    <x v="1486"/>
    <s v="Stimuleren Combimobiliteit"/>
    <x v="2"/>
    <n v="2758"/>
    <s v="IN/002065"/>
    <s v="Rijkevorsel Dorp Halteinfra"/>
    <s v="&lt;null&gt;"/>
    <s v="Kleine Ingreep"/>
    <s v="WA/INV/N14/13"/>
    <b v="0"/>
    <s v="Ingreep wordt niet opgevolgd in BOD"/>
    <n v="2022"/>
    <s v="Q1"/>
    <s v="WEGENIS"/>
    <s v="reguliere middelen"/>
    <n v="100"/>
    <n v="1"/>
    <n v="1"/>
  </r>
  <r>
    <x v="1486"/>
    <x v="1486"/>
    <s v="Stimuleren Combimobiliteit"/>
    <x v="2"/>
    <n v="2759"/>
    <s v="IN/002066"/>
    <s v="Rijkevorsel Dorp Hoppinzuil"/>
    <s v="&lt;null&gt;"/>
    <s v="Kleine Ingreep"/>
    <s v="&lt;null&gt;"/>
    <b v="0"/>
    <s v="Ingreep wordt niet opgevolgd in BOD"/>
    <s v="&lt;null&gt;"/>
    <s v="&lt;null&gt;"/>
    <s v="&lt;null&gt;"/>
    <s v="&lt;null&gt;"/>
    <n v="100"/>
    <m/>
    <m/>
  </r>
  <r>
    <x v="1487"/>
    <x v="1487"/>
    <s v="Stimuleren Combimobiliteit"/>
    <x v="2"/>
    <n v="2760"/>
    <s v="IN/002067"/>
    <s v="Kasterlee Dorp Halteinfra"/>
    <s v="&lt;null&gt;"/>
    <s v="Kleine Ingreep"/>
    <s v="WA/INV/N19/14"/>
    <b v="0"/>
    <s v="Ingreep wordt niet opgevolgd in BOD"/>
    <n v="2022"/>
    <s v="Q1"/>
    <s v="WEGENIS"/>
    <s v="reeds uitgevoerd"/>
    <n v="100"/>
    <n v="1"/>
    <n v="1"/>
  </r>
  <r>
    <x v="1487"/>
    <x v="1487"/>
    <s v="Stimuleren Combimobiliteit"/>
    <x v="2"/>
    <n v="2761"/>
    <s v="IN/002068"/>
    <s v="Kasterlee Dorp Hoppinzuil"/>
    <s v="&lt;null&gt;"/>
    <s v="Kleine Ingreep"/>
    <s v="&lt;null&gt;"/>
    <b v="0"/>
    <s v="Ingreep wordt niet opgevolgd in BOD"/>
    <s v="&lt;null&gt;"/>
    <s v="&lt;null&gt;"/>
    <s v="&lt;null&gt;"/>
    <s v="&lt;null&gt;"/>
    <n v="100"/>
    <m/>
    <m/>
  </r>
  <r>
    <x v="1488"/>
    <x v="1488"/>
    <s v="Stimuleren Combimobiliteit"/>
    <x v="2"/>
    <n v="2762"/>
    <s v="IN/002069"/>
    <s v="Olen Dorp Halteinfra"/>
    <s v="&lt;null&gt;"/>
    <s v="Kleine Ingreep"/>
    <s v="WA/INV/N152/6"/>
    <b v="0"/>
    <s v="Ingreep wordt niet opgevolgd in BOD"/>
    <n v="2022"/>
    <s v="Q1"/>
    <s v="WEGENIS"/>
    <s v="reeds uitgevoerd"/>
    <n v="100"/>
    <n v="1"/>
    <n v="1"/>
  </r>
  <r>
    <x v="1488"/>
    <x v="1488"/>
    <s v="Stimuleren Combimobiliteit"/>
    <x v="2"/>
    <n v="2763"/>
    <s v="IN/002070"/>
    <s v="Olen Dorp Hoppinzuil"/>
    <s v="&lt;null&gt;"/>
    <s v="Kleine Ingreep"/>
    <s v="&lt;null&gt;"/>
    <b v="0"/>
    <s v="Ingreep wordt niet opgevolgd in BOD"/>
    <s v="&lt;null&gt;"/>
    <s v="&lt;null&gt;"/>
    <s v="&lt;null&gt;"/>
    <s v="&lt;null&gt;"/>
    <n v="100"/>
    <m/>
    <m/>
  </r>
  <r>
    <x v="18"/>
    <x v="18"/>
    <s v="&lt;null&gt;"/>
    <x v="3"/>
    <n v="2764"/>
    <s v="IN/002071"/>
    <s v="Tongeren T-forum N20"/>
    <s v="&lt;null&gt;"/>
    <s v="Structurele Ingreep"/>
    <s v="&lt;null&gt;"/>
    <b v="0"/>
    <s v="Ingreep wordt niet opgevolgd in BOD"/>
    <s v="&lt;null&gt;"/>
    <s v="&lt;null&gt;"/>
    <s v="&lt;null&gt;"/>
    <s v="&lt;null&gt;"/>
    <m/>
    <m/>
    <m/>
  </r>
  <r>
    <x v="1489"/>
    <x v="1489"/>
    <s v="Stimuleren Combimobiliteit"/>
    <x v="2"/>
    <n v="2765"/>
    <s v="IN/002072"/>
    <s v="N76 Oudsbergen Doorstroming Opglabbeek fase 2"/>
    <s v="&lt;null&gt;"/>
    <s v="Structurele Ingreep"/>
    <s v="WL/INV/N76/4"/>
    <b v="0"/>
    <s v="Ingreep wordt niet opgevolgd in BOD"/>
    <s v="&lt;null&gt;"/>
    <s v="&lt;null&gt;"/>
    <s v="&lt;null&gt;"/>
    <s v="&lt;null&gt;"/>
    <n v="10"/>
    <m/>
    <m/>
  </r>
  <r>
    <x v="1490"/>
    <x v="1490"/>
    <s v="Verkeersveiligheid"/>
    <x v="1"/>
    <n v="2766"/>
    <s v="IN/002073"/>
    <s v="Toeleidende fietspaden in zijstraten"/>
    <s v="&lt;null&gt;"/>
    <s v="Kleine Ingreep"/>
    <s v="&lt;null&gt;"/>
    <b v="0"/>
    <s v="Ingreep wordt niet opgevolgd in BOD"/>
    <s v="&lt;null&gt;"/>
    <s v="&lt;null&gt;"/>
    <s v="&lt;null&gt;"/>
    <s v="&lt;null&gt;"/>
    <n v="100"/>
    <m/>
    <m/>
  </r>
  <r>
    <x v="1490"/>
    <x v="1490"/>
    <s v="Verkeersveiligheid"/>
    <x v="1"/>
    <n v="2767"/>
    <s v="IN/002074"/>
    <s v="Punctuele verlichting aanbrengen thv de fietsoversteken"/>
    <s v="&lt;null&gt;"/>
    <s v="Kleine Ingreep"/>
    <s v="&lt;null&gt;"/>
    <b v="0"/>
    <s v="Ingreep wordt niet opgevolgd in BOD"/>
    <s v="&lt;null&gt;"/>
    <s v="&lt;null&gt;"/>
    <s v="&lt;null&gt;"/>
    <s v="&lt;null&gt;"/>
    <n v="100"/>
    <m/>
    <m/>
  </r>
  <r>
    <x v="1490"/>
    <x v="1490"/>
    <s v="Verkeersveiligheid"/>
    <x v="1"/>
    <n v="2768"/>
    <s v="IN/002075"/>
    <s v="Verticale en horizontale signalisatie vernieuwen"/>
    <s v="&lt;null&gt;"/>
    <s v="Kleine Ingreep"/>
    <s v="&lt;null&gt;"/>
    <b v="0"/>
    <s v="Ingreep wordt niet opgevolgd in BOD"/>
    <s v="&lt;null&gt;"/>
    <s v="&lt;null&gt;"/>
    <s v="&lt;null&gt;"/>
    <s v="&lt;null&gt;"/>
    <n v="100"/>
    <m/>
    <m/>
  </r>
  <r>
    <x v="18"/>
    <x v="18"/>
    <s v="&lt;null&gt;"/>
    <x v="3"/>
    <n v="2769"/>
    <s v="IN/002076"/>
    <s v="A3/E40 - Bermbrug (Bertem)"/>
    <s v="&lt;null&gt;"/>
    <s v="Structurele Ingreep"/>
    <s v="WVB/INV/A3/11"/>
    <b v="0"/>
    <s v="Ingreep wordt niet opgevolgd in BOD"/>
    <s v="&lt;null&gt;"/>
    <s v="&lt;null&gt;"/>
    <s v="&lt;null&gt;"/>
    <s v="&lt;null&gt;"/>
    <m/>
    <m/>
    <m/>
  </r>
  <r>
    <x v="18"/>
    <x v="18"/>
    <s v="&lt;null&gt;"/>
    <x v="3"/>
    <n v="2770"/>
    <s v="IN/002077"/>
    <s v="Project K-R8"/>
    <s v="deelname aan GRUP K-R8, verbetering leefbaarheid tussen complexen Kortrijk-Oost en Kortrijk-Zuid. Deze studie kan tevens het sluiten van R8 over de reservatiestrook omvatten."/>
    <s v="Structurele Ingreep"/>
    <s v="WWV/INV/A14/1"/>
    <b v="0"/>
    <s v="Ingreep wordt niet opgevolgd in BOD"/>
    <s v="&lt;null&gt;"/>
    <s v="&lt;null&gt;"/>
    <s v="&lt;null&gt;"/>
    <s v="&lt;null&gt;"/>
    <m/>
    <m/>
    <m/>
  </r>
  <r>
    <x v="18"/>
    <x v="18"/>
    <s v="&lt;null&gt;"/>
    <x v="3"/>
    <n v="2771"/>
    <s v="IN/002078"/>
    <s v="N303 Zonnebeke, aanleg carpoolparking."/>
    <s v="&lt;null&gt;"/>
    <s v="Structurele Ingreep"/>
    <s v="WWV/INV/N303/1"/>
    <b v="0"/>
    <s v="Ingreep wordt niet opgevolgd in BOD"/>
    <s v="&lt;null&gt;"/>
    <s v="&lt;null&gt;"/>
    <s v="&lt;null&gt;"/>
    <s v="&lt;null&gt;"/>
    <m/>
    <m/>
    <m/>
  </r>
  <r>
    <x v="1491"/>
    <x v="1491"/>
    <s v="Verkeersveiligheid"/>
    <x v="1"/>
    <n v="2772"/>
    <s v="IN/002079"/>
    <s v="N49 Ombouw van de N49 tot autosnelweg, deelproject"/>
    <s v="&lt;null&gt;"/>
    <s v="Structurele Ingreep"/>
    <s v="WWV/INV/N49/6"/>
    <b v="0"/>
    <s v="Ingreep wordt niet opgevolgd in BOD"/>
    <s v="&lt;null&gt;"/>
    <s v="&lt;null&gt;"/>
    <s v="&lt;null&gt;"/>
    <s v="&lt;null&gt;"/>
    <n v="10"/>
    <m/>
    <m/>
  </r>
  <r>
    <x v="83"/>
    <x v="83"/>
    <s v="Fiets"/>
    <x v="0"/>
    <n v="2773"/>
    <s v="IN/002080"/>
    <s v="N725 Lummen Fietspaden Blanklaerstraat"/>
    <s v="&lt;null&gt;"/>
    <s v="Structurele Ingreep"/>
    <s v="WL/INV/N725/4"/>
    <b v="0"/>
    <s v="Ingreep wordt niet opgevolgd in BOD"/>
    <s v="&lt;null&gt;"/>
    <s v="&lt;null&gt;"/>
    <s v="&lt;null&gt;"/>
    <s v="&lt;null&gt;"/>
    <n v="100"/>
    <m/>
    <m/>
  </r>
  <r>
    <x v="1492"/>
    <x v="1492"/>
    <s v="Verkeersveiligheid"/>
    <x v="6"/>
    <n v="2774"/>
    <s v="IN/002081"/>
    <s v="N133 - WUUSTWEZEL - heraanleg Dorpstraat"/>
    <s v="&lt;null&gt;"/>
    <s v="Structurele Ingreep"/>
    <s v="WA/INV/N133/3"/>
    <b v="0"/>
    <s v="Ingreep wordt niet opgevolgd in BOD"/>
    <s v="&lt;null&gt;"/>
    <s v="&lt;null&gt;"/>
    <s v="&lt;null&gt;"/>
    <s v="&lt;null&gt;"/>
    <n v="0"/>
    <m/>
    <m/>
  </r>
  <r>
    <x v="1493"/>
    <x v="1493"/>
    <s v="Stimuleren Combimobiliteit"/>
    <x v="2"/>
    <n v="2774"/>
    <s v="IN/002081"/>
    <s v="N133 - WUUSTWEZEL - heraanleg Dorpstraat"/>
    <s v="&lt;null&gt;"/>
    <s v="Structurele Ingreep"/>
    <s v="WA/INV/N133/3"/>
    <b v="0"/>
    <s v="Ingreep wordt niet opgevolgd in BOD"/>
    <s v="&lt;null&gt;"/>
    <s v="&lt;null&gt;"/>
    <s v="&lt;null&gt;"/>
    <s v="&lt;null&gt;"/>
    <n v="0"/>
    <m/>
    <m/>
  </r>
  <r>
    <x v="18"/>
    <x v="18"/>
    <s v="&lt;null&gt;"/>
    <x v="3"/>
    <n v="2775"/>
    <s v="IN/002082"/>
    <s v="N116 Wommelgem Busbaan studie"/>
    <s v="&lt;null&gt;"/>
    <s v="Structurele Ingreep"/>
    <s v="WA/INV/N116/9"/>
    <b v="0"/>
    <s v="Ingreep wordt niet opgevolgd in BOD"/>
    <s v="&lt;null&gt;"/>
    <s v="&lt;null&gt;"/>
    <s v="&lt;null&gt;"/>
    <s v="&lt;null&gt;"/>
    <m/>
    <m/>
    <m/>
  </r>
  <r>
    <x v="18"/>
    <x v="18"/>
    <s v="&lt;null&gt;"/>
    <x v="3"/>
    <n v="2776"/>
    <s v="IN/002083"/>
    <s v="N50 Kuurne - doortrekken R8"/>
    <s v="&lt;null&gt;"/>
    <s v="Structurele Ingreep"/>
    <s v="WWV/INV/R8/1"/>
    <b v="0"/>
    <s v="Ingreep wordt niet opgevolgd in BOD"/>
    <s v="&lt;null&gt;"/>
    <s v="&lt;null&gt;"/>
    <s v="&lt;null&gt;"/>
    <s v="&lt;null&gt;"/>
    <m/>
    <m/>
    <m/>
  </r>
  <r>
    <x v="18"/>
    <x v="18"/>
    <s v="&lt;null&gt;"/>
    <x v="3"/>
    <n v="2777"/>
    <s v="IN/002084"/>
    <s v="E403 Kortrijk- Roeselare, beide richtingen"/>
    <s v="&lt;null&gt;"/>
    <s v="Structurele Ingreep"/>
    <s v="WWV/INV/E403/7"/>
    <b v="0"/>
    <s v="Ingreep wordt niet opgevolgd in BOD"/>
    <s v="&lt;null&gt;"/>
    <s v="&lt;null&gt;"/>
    <s v="&lt;null&gt;"/>
    <s v="&lt;null&gt;"/>
    <m/>
    <m/>
    <m/>
  </r>
  <r>
    <x v="18"/>
    <x v="18"/>
    <s v="&lt;null&gt;"/>
    <x v="3"/>
    <n v="2778"/>
    <s v="IN/002085"/>
    <s v="N8 Kortrijk - herinrichting Meensesteenweg"/>
    <s v="&lt;null&gt;"/>
    <s v="Structurele Ingreep"/>
    <s v="WWV/INV/N8/8"/>
    <b v="0"/>
    <s v="Ingreep wordt niet opgevolgd in BOD"/>
    <s v="&lt;null&gt;"/>
    <s v="&lt;null&gt;"/>
    <s v="&lt;null&gt;"/>
    <s v="&lt;null&gt;"/>
    <m/>
    <m/>
    <m/>
  </r>
  <r>
    <x v="18"/>
    <x v="18"/>
    <s v="&lt;null&gt;"/>
    <x v="3"/>
    <n v="2779"/>
    <s v="IN/002086"/>
    <s v="Fietsersbrug ter hoogte van Celieplas"/>
    <s v="&lt;null&gt;"/>
    <s v="Structurele Ingreep"/>
    <s v="WOV/INV/N49/5"/>
    <b v="0"/>
    <s v="Ingreep wordt niet opgevolgd in BOD"/>
    <s v="&lt;null&gt;"/>
    <s v="&lt;null&gt;"/>
    <s v="&lt;null&gt;"/>
    <s v="&lt;null&gt;"/>
    <m/>
    <m/>
    <m/>
  </r>
  <r>
    <x v="18"/>
    <x v="18"/>
    <s v="&lt;null&gt;"/>
    <x v="3"/>
    <n v="2780"/>
    <s v="IN/002087"/>
    <s v="N50 Kortrijk Doorniksesteenweg HOV"/>
    <s v="&lt;null&gt;"/>
    <s v="Structurele Ingreep"/>
    <s v="WWV/INV/N50/3"/>
    <b v="0"/>
    <s v="Ingreep wordt niet opgevolgd in BOD"/>
    <s v="&lt;null&gt;"/>
    <s v="&lt;null&gt;"/>
    <s v="&lt;null&gt;"/>
    <s v="&lt;null&gt;"/>
    <m/>
    <m/>
    <m/>
  </r>
  <r>
    <x v="18"/>
    <x v="18"/>
    <s v="&lt;null&gt;"/>
    <x v="3"/>
    <n v="2781"/>
    <s v="IN/002088"/>
    <s v="E403 N36 Roeselare - herstel brug B50"/>
    <s v="&lt;null&gt;"/>
    <s v="Structurele Ingreep"/>
    <s v="WWV/INV/E403/6"/>
    <b v="0"/>
    <s v="Ingreep wordt niet opgevolgd in BOD"/>
    <s v="&lt;null&gt;"/>
    <s v="&lt;null&gt;"/>
    <s v="&lt;null&gt;"/>
    <s v="&lt;null&gt;"/>
    <m/>
    <m/>
    <m/>
  </r>
  <r>
    <x v="18"/>
    <x v="18"/>
    <s v="&lt;null&gt;"/>
    <x v="3"/>
    <n v="2782"/>
    <s v="IN/002089"/>
    <s v="E17 Waregem - brug in Nokerseweg"/>
    <s v="&lt;null&gt;"/>
    <s v="Structurele Ingreep"/>
    <s v="WWV/INV/E17/8"/>
    <b v="0"/>
    <s v="Ingreep wordt niet opgevolgd in BOD"/>
    <s v="&lt;null&gt;"/>
    <s v="&lt;null&gt;"/>
    <s v="&lt;null&gt;"/>
    <s v="&lt;null&gt;"/>
    <m/>
    <m/>
    <m/>
  </r>
  <r>
    <x v="18"/>
    <x v="18"/>
    <s v="&lt;null&gt;"/>
    <x v="3"/>
    <n v="2783"/>
    <s v="IN/002090"/>
    <s v="E17 Kortrijk-  Bufferbekken EI en persleiding"/>
    <s v="&lt;null&gt;"/>
    <s v="Structurele Ingreep"/>
    <s v="WWV/INV/E17/3"/>
    <b v="0"/>
    <s v="Ingreep wordt niet opgevolgd in BOD"/>
    <s v="&lt;null&gt;"/>
    <s v="&lt;null&gt;"/>
    <s v="&lt;null&gt;"/>
    <s v="&lt;null&gt;"/>
    <m/>
    <m/>
    <m/>
  </r>
  <r>
    <x v="18"/>
    <x v="18"/>
    <s v="&lt;null&gt;"/>
    <x v="3"/>
    <n v="2784"/>
    <s v="IN/002091"/>
    <s v="N34 Nieuwpoort - structureel onderhoud Langebrug"/>
    <s v="&lt;null&gt;"/>
    <s v="Structurele Ingreep"/>
    <s v="WWV/INV/N34/7"/>
    <b v="0"/>
    <s v="Ingreep wordt niet opgevolgd in BOD"/>
    <s v="&lt;null&gt;"/>
    <s v="&lt;null&gt;"/>
    <s v="&lt;null&gt;"/>
    <s v="&lt;null&gt;"/>
    <m/>
    <m/>
    <m/>
  </r>
  <r>
    <x v="18"/>
    <x v="18"/>
    <s v="&lt;null&gt;"/>
    <x v="3"/>
    <n v="2785"/>
    <s v="IN/002092"/>
    <s v="N17 Ontsluiting De Winning"/>
    <s v="&lt;null&gt;"/>
    <s v="Structurele Ingreep"/>
    <s v="WA/INV/N17/3"/>
    <b v="0"/>
    <s v="Ingreep wordt niet opgevolgd in BOD"/>
    <s v="&lt;null&gt;"/>
    <s v="&lt;null&gt;"/>
    <s v="&lt;null&gt;"/>
    <s v="&lt;null&gt;"/>
    <m/>
    <m/>
    <m/>
  </r>
  <r>
    <x v="18"/>
    <x v="18"/>
    <s v="&lt;null&gt;"/>
    <x v="3"/>
    <n v="2786"/>
    <s v="IN/002093"/>
    <s v="N10 Berlaar-HODB Herinrichting Aarschotsebaan"/>
    <s v="&lt;null&gt;"/>
    <s v="Structurele Ingreep"/>
    <s v="WA/INV/N10/1"/>
    <b v="0"/>
    <s v="Ingreep wordt niet opgevolgd in BOD"/>
    <s v="&lt;null&gt;"/>
    <s v="&lt;null&gt;"/>
    <s v="&lt;null&gt;"/>
    <s v="&lt;null&gt;"/>
    <m/>
    <m/>
    <m/>
  </r>
  <r>
    <x v="18"/>
    <x v="18"/>
    <s v="&lt;null&gt;"/>
    <x v="3"/>
    <n v="2787"/>
    <s v="IN/002094"/>
    <s v="N1 Kontich Herinrichting Koningin Astridlaan"/>
    <s v="&lt;null&gt;"/>
    <s v="Structurele Ingreep"/>
    <s v="WA/INV/N001/3"/>
    <b v="0"/>
    <s v="Ingreep wordt niet opgevolgd in BOD"/>
    <s v="&lt;null&gt;"/>
    <s v="&lt;null&gt;"/>
    <s v="&lt;null&gt;"/>
    <s v="&lt;null&gt;"/>
    <m/>
    <m/>
    <m/>
  </r>
  <r>
    <x v="18"/>
    <x v="18"/>
    <s v="&lt;null&gt;"/>
    <x v="3"/>
    <n v="2788"/>
    <s v="IN/002095"/>
    <s v="R6 SKW Milderende maatregelen"/>
    <s v="&lt;null&gt;"/>
    <s v="Structurele Ingreep"/>
    <s v="WA/INV/R6/2"/>
    <b v="0"/>
    <s v="Ingreep wordt niet opgevolgd in BOD"/>
    <s v="&lt;null&gt;"/>
    <s v="&lt;null&gt;"/>
    <s v="&lt;null&gt;"/>
    <s v="&lt;null&gt;"/>
    <m/>
    <m/>
    <m/>
  </r>
  <r>
    <x v="18"/>
    <x v="18"/>
    <s v="&lt;null&gt;"/>
    <x v="3"/>
    <n v="2789"/>
    <s v="IN/002096"/>
    <s v="N10 Rotonde Schrieksesteenweg TV3V 1279"/>
    <s v="&lt;null&gt;"/>
    <s v="Structurele Ingreep"/>
    <s v="WA/INV/N10/4"/>
    <b v="0"/>
    <s v="Ingreep wordt niet opgevolgd in BOD"/>
    <s v="&lt;null&gt;"/>
    <s v="&lt;null&gt;"/>
    <s v="&lt;null&gt;"/>
    <s v="&lt;null&gt;"/>
    <m/>
    <m/>
    <m/>
  </r>
  <r>
    <x v="18"/>
    <x v="18"/>
    <s v="&lt;null&gt;"/>
    <x v="3"/>
    <n v="2790"/>
    <s v="IN/002097"/>
    <s v="N171 Rumst doortrekking fase 3"/>
    <s v="&lt;null&gt;"/>
    <s v="Structurele Ingreep"/>
    <s v="WA/INV/N171/1"/>
    <b v="0"/>
    <s v="Ingreep wordt niet opgevolgd in BOD"/>
    <s v="&lt;null&gt;"/>
    <s v="&lt;null&gt;"/>
    <s v="&lt;null&gt;"/>
    <s v="&lt;null&gt;"/>
    <m/>
    <m/>
    <m/>
  </r>
  <r>
    <x v="18"/>
    <x v="18"/>
    <s v="&lt;null&gt;"/>
    <x v="3"/>
    <n v="2791"/>
    <s v="IN/002098"/>
    <s v="A12 Aartselaar Ombouw A12 tot prim. weg- rout2030"/>
    <s v="&lt;null&gt;"/>
    <s v="Structurele Ingreep"/>
    <s v="WA/INV/A12/3"/>
    <b v="0"/>
    <s v="Ingreep wordt niet opgevolgd in BOD"/>
    <s v="&lt;null&gt;"/>
    <s v="&lt;null&gt;"/>
    <s v="&lt;null&gt;"/>
    <s v="&lt;null&gt;"/>
    <m/>
    <m/>
    <m/>
  </r>
  <r>
    <x v="18"/>
    <x v="18"/>
    <s v="&lt;null&gt;"/>
    <x v="3"/>
    <n v="2792"/>
    <s v="IN/002099"/>
    <s v="N327 Wielsbeke herinrichten met fietspad en RWA"/>
    <s v="&lt;null&gt;"/>
    <s v="Structurele Ingreep"/>
    <s v="WWV/INV/N327/2"/>
    <b v="0"/>
    <s v="Ingreep wordt niet opgevolgd in BOD"/>
    <s v="&lt;null&gt;"/>
    <s v="&lt;null&gt;"/>
    <s v="&lt;null&gt;"/>
    <s v="&lt;null&gt;"/>
    <m/>
    <m/>
    <m/>
  </r>
  <r>
    <x v="18"/>
    <x v="18"/>
    <s v="&lt;null&gt;"/>
    <x v="3"/>
    <n v="2793"/>
    <s v="IN/002100"/>
    <s v="R40 Gent bouw Verapazbrug"/>
    <s v="&lt;null&gt;"/>
    <s v="Structurele Ingreep"/>
    <s v="WOV/INV/R40/2"/>
    <b v="0"/>
    <s v="Ingreep wordt niet opgevolgd in BOD"/>
    <s v="&lt;null&gt;"/>
    <s v="&lt;null&gt;"/>
    <s v="&lt;null&gt;"/>
    <s v="&lt;null&gt;"/>
    <m/>
    <m/>
    <m/>
  </r>
  <r>
    <x v="18"/>
    <x v="18"/>
    <s v="&lt;null&gt;"/>
    <x v="3"/>
    <n v="2794"/>
    <s v="IN/002101"/>
    <s v="N60 Oudenaarde SOVII Bruwaan"/>
    <s v="Het bedrijventerrein Bruwaan Noord wordt ontwikkeld en moet ontsloten worden op de N60 via de rotonde van Eine. \nIn het kader van de SOVII zal AWV als medefinancier instaan voor 60%  van de reële kosten voor de aanpassing van de rotonde door de aanleg va"/>
    <s v="Structurele Ingreep"/>
    <s v="WOV/INV/N60/13"/>
    <b v="0"/>
    <s v="Ingreep wordt niet opgevolgd in BOD"/>
    <s v="&lt;null&gt;"/>
    <s v="&lt;null&gt;"/>
    <s v="&lt;null&gt;"/>
    <s v="&lt;null&gt;"/>
    <m/>
    <m/>
    <m/>
  </r>
  <r>
    <x v="18"/>
    <x v="18"/>
    <s v="&lt;null&gt;"/>
    <x v="3"/>
    <n v="2795"/>
    <s v="IN/002102"/>
    <s v="N9 Eeklo Leopoldlaan"/>
    <s v="&lt;null&gt;"/>
    <s v="Structurele Ingreep"/>
    <s v="WOV/INV/N9/1"/>
    <b v="0"/>
    <s v="Ingreep wordt niet opgevolgd in BOD"/>
    <s v="&lt;null&gt;"/>
    <s v="&lt;null&gt;"/>
    <s v="&lt;null&gt;"/>
    <s v="&lt;null&gt;"/>
    <m/>
    <m/>
    <m/>
  </r>
  <r>
    <x v="18"/>
    <x v="18"/>
    <s v="&lt;null&gt;"/>
    <x v="3"/>
    <n v="2796"/>
    <s v="IN/002103"/>
    <s v="R40 Gent heraanleg kruispunt Groot-Brittanniëlaan"/>
    <s v="&lt;null&gt;"/>
    <s v="Structurele Ingreep"/>
    <s v="WOV/INV/R40/8"/>
    <b v="0"/>
    <s v="Ingreep wordt niet opgevolgd in BOD"/>
    <s v="&lt;null&gt;"/>
    <s v="&lt;null&gt;"/>
    <s v="&lt;null&gt;"/>
    <s v="&lt;null&gt;"/>
    <m/>
    <m/>
    <m/>
  </r>
  <r>
    <x v="18"/>
    <x v="18"/>
    <s v="&lt;null&gt;"/>
    <x v="3"/>
    <n v="2797"/>
    <s v="IN/002104"/>
    <s v="R43 Eeklo fase 1 Den Teut Industrielaan"/>
    <s v="&lt;null&gt;"/>
    <s v="Structurele Ingreep"/>
    <s v="WOV/INV/R43/1"/>
    <b v="0"/>
    <s v="Ingreep wordt niet opgevolgd in BOD"/>
    <s v="&lt;null&gt;"/>
    <s v="&lt;null&gt;"/>
    <s v="&lt;null&gt;"/>
    <s v="&lt;null&gt;"/>
    <m/>
    <m/>
    <m/>
  </r>
  <r>
    <x v="423"/>
    <x v="423"/>
    <s v="Verkeersveiligheid"/>
    <x v="1"/>
    <n v="2798"/>
    <s v="IN/002105"/>
    <s v="N466 Gent Drongensesteenweg doorstroming bus"/>
    <s v="&lt;null&gt;"/>
    <s v="Structurele Ingreep"/>
    <s v="WOV/INV/N466/3"/>
    <b v="0"/>
    <s v="Ingreep wordt niet opgevolgd in BOD"/>
    <s v="&lt;null&gt;"/>
    <s v="&lt;null&gt;"/>
    <s v="&lt;null&gt;"/>
    <s v="&lt;null&gt;"/>
    <n v="100"/>
    <m/>
    <m/>
  </r>
  <r>
    <x v="18"/>
    <x v="18"/>
    <s v="&lt;null&gt;"/>
    <x v="3"/>
    <n v="2799"/>
    <s v="IN/002106"/>
    <s v="N35 Deinze Tieltsesteenweg"/>
    <s v="&lt;null&gt;"/>
    <s v="Structurele Ingreep"/>
    <s v="WOV/INV/N35/1"/>
    <b v="0"/>
    <s v="Ingreep wordt niet opgevolgd in BOD"/>
    <s v="&lt;null&gt;"/>
    <s v="&lt;null&gt;"/>
    <s v="&lt;null&gt;"/>
    <s v="&lt;null&gt;"/>
    <m/>
    <m/>
    <m/>
  </r>
  <r>
    <x v="18"/>
    <x v="18"/>
    <s v="&lt;null&gt;"/>
    <x v="3"/>
    <n v="2800"/>
    <s v="IN/002107"/>
    <s v="N31 Brugge Omvorming tot vlaamse hoofdweg"/>
    <s v="&lt;null&gt;"/>
    <s v="Structurele Ingreep"/>
    <s v="WWV/INV/N31/4"/>
    <b v="0"/>
    <s v="Ingreep wordt niet opgevolgd in BOD"/>
    <s v="&lt;null&gt;"/>
    <s v="&lt;null&gt;"/>
    <s v="&lt;null&gt;"/>
    <s v="&lt;null&gt;"/>
    <m/>
    <m/>
    <m/>
  </r>
  <r>
    <x v="18"/>
    <x v="18"/>
    <s v="&lt;null&gt;"/>
    <x v="3"/>
    <n v="2801"/>
    <s v="IN/002108"/>
    <s v="N494 Kruisem WP Structureel onderhoud met fietspad"/>
    <s v="&lt;null&gt;"/>
    <s v="Structurele Ingreep"/>
    <s v="WOV/INV/N494/2"/>
    <b v="0"/>
    <s v="Ingreep wordt niet opgevolgd in BOD"/>
    <s v="&lt;null&gt;"/>
    <s v="&lt;null&gt;"/>
    <s v="&lt;null&gt;"/>
    <s v="&lt;null&gt;"/>
    <m/>
    <m/>
    <m/>
  </r>
  <r>
    <x v="18"/>
    <x v="18"/>
    <s v="&lt;null&gt;"/>
    <x v="3"/>
    <n v="2802"/>
    <s v="IN/002109"/>
    <s v="N47 Lebbeke Brusselsesteenweg"/>
    <s v="&lt;null&gt;"/>
    <s v="Structurele Ingreep"/>
    <s v="WOV/INV/N47/6"/>
    <b v="0"/>
    <s v="Ingreep wordt niet opgevolgd in BOD"/>
    <s v="&lt;null&gt;"/>
    <s v="&lt;null&gt;"/>
    <s v="&lt;null&gt;"/>
    <s v="&lt;null&gt;"/>
    <m/>
    <m/>
    <m/>
  </r>
  <r>
    <x v="18"/>
    <x v="18"/>
    <s v="&lt;null&gt;"/>
    <x v="3"/>
    <n v="2803"/>
    <s v="IN/002110"/>
    <s v="E40 Aalst (Italiënweg) Verlengen geluidsschermen"/>
    <s v="&lt;null&gt;"/>
    <s v="Structurele Ingreep"/>
    <s v="WOV/INV/E40/6"/>
    <b v="0"/>
    <s v="Ingreep wordt niet opgevolgd in BOD"/>
    <s v="&lt;null&gt;"/>
    <s v="&lt;null&gt;"/>
    <s v="&lt;null&gt;"/>
    <s v="&lt;null&gt;"/>
    <m/>
    <m/>
    <m/>
  </r>
  <r>
    <x v="18"/>
    <x v="18"/>
    <s v="&lt;null&gt;"/>
    <x v="3"/>
    <n v="2804"/>
    <s v="IN/002111"/>
    <s v="N462 Sint-Lievens-Houtem Bavegem fietspaden"/>
    <s v="&lt;null&gt;"/>
    <s v="Structurele Ingreep"/>
    <s v="WOV/INV/N462/3"/>
    <b v="0"/>
    <s v="Ingreep wordt niet opgevolgd in BOD"/>
    <s v="&lt;null&gt;"/>
    <s v="&lt;null&gt;"/>
    <s v="&lt;null&gt;"/>
    <s v="&lt;null&gt;"/>
    <m/>
    <m/>
    <m/>
  </r>
  <r>
    <x v="18"/>
    <x v="18"/>
    <s v="&lt;null&gt;"/>
    <x v="3"/>
    <n v="2805"/>
    <s v="IN/002112"/>
    <s v="N42 rondweg St Lievens Esse"/>
    <s v="&lt;null&gt;"/>
    <s v="Structurele Ingreep"/>
    <s v="WOV/INV/N42/5"/>
    <b v="0"/>
    <s v="Ingreep wordt niet opgevolgd in BOD"/>
    <s v="&lt;null&gt;"/>
    <s v="&lt;null&gt;"/>
    <s v="&lt;null&gt;"/>
    <s v="&lt;null&gt;"/>
    <m/>
    <m/>
    <m/>
  </r>
  <r>
    <x v="1494"/>
    <x v="1494"/>
    <s v="Verkeersveiligheid"/>
    <x v="1"/>
    <n v="2806"/>
    <s v="IN/002113"/>
    <s v="N42 Wetteren - Zottegem Ombouw tot primaire weg II"/>
    <s v="&lt;null&gt;"/>
    <s v="Structurele Ingreep"/>
    <s v="WOV/INV/N42/3"/>
    <b v="0"/>
    <s v="Ingreep wordt niet opgevolgd in BOD"/>
    <s v="&lt;null&gt;"/>
    <s v="&lt;null&gt;"/>
    <s v="&lt;null&gt;"/>
    <s v="&lt;null&gt;"/>
    <n v="0"/>
    <m/>
    <m/>
  </r>
  <r>
    <x v="18"/>
    <x v="18"/>
    <s v="&lt;null&gt;"/>
    <x v="3"/>
    <n v="2807"/>
    <s v="IN/002114"/>
    <s v="N406 N41  rondweg Gijzegem/ontsluit Pachthofstraat"/>
    <s v="&lt;null&gt;"/>
    <s v="Structurele Ingreep"/>
    <s v="WOV/INV/N406/2"/>
    <b v="0"/>
    <s v="Ingreep wordt niet opgevolgd in BOD"/>
    <s v="&lt;null&gt;"/>
    <s v="&lt;null&gt;"/>
    <s v="&lt;null&gt;"/>
    <s v="&lt;null&gt;"/>
    <m/>
    <m/>
    <m/>
  </r>
  <r>
    <x v="18"/>
    <x v="18"/>
    <s v="&lt;null&gt;"/>
    <x v="3"/>
    <n v="2808"/>
    <s v="IN/002115"/>
    <s v="N462 Wetteren fietspaden Westrem"/>
    <s v="&lt;null&gt;"/>
    <s v="Structurele Ingreep"/>
    <s v="WOV/INV/N462/1"/>
    <b v="0"/>
    <s v="Ingreep wordt niet opgevolgd in BOD"/>
    <s v="&lt;null&gt;"/>
    <s v="&lt;null&gt;"/>
    <s v="&lt;null&gt;"/>
    <s v="&lt;null&gt;"/>
    <m/>
    <m/>
    <m/>
  </r>
  <r>
    <x v="18"/>
    <x v="18"/>
    <s v="&lt;null&gt;"/>
    <x v="3"/>
    <n v="2809"/>
    <s v="IN/002116"/>
    <s v="N8 Ninove herinrichting Brusselsesteenweg"/>
    <s v="&lt;null&gt;"/>
    <s v="Structurele Ingreep"/>
    <s v="WOV/INV/N8/4"/>
    <b v="0"/>
    <s v="Ingreep wordt niet opgevolgd in BOD"/>
    <s v="&lt;null&gt;"/>
    <s v="&lt;null&gt;"/>
    <s v="&lt;null&gt;"/>
    <s v="&lt;null&gt;"/>
    <m/>
    <m/>
    <m/>
  </r>
  <r>
    <x v="1495"/>
    <x v="1495"/>
    <s v="Stimuleren Combimobiliteit"/>
    <x v="2"/>
    <n v="2810"/>
    <s v="IN/002117"/>
    <s v="N9 Gentsesteenweg Erpe-Mere/Lede"/>
    <s v="&lt;null&gt;"/>
    <s v="Structurele Ingreep"/>
    <s v="WOV/INV/N9/10"/>
    <b v="0"/>
    <s v="Ingreep wordt niet opgevolgd in BOD"/>
    <s v="&lt;null&gt;"/>
    <s v="&lt;null&gt;"/>
    <s v="&lt;null&gt;"/>
    <s v="&lt;null&gt;"/>
    <n v="1"/>
    <m/>
    <m/>
  </r>
  <r>
    <x v="1496"/>
    <x v="1496"/>
    <s v="Stimuleren Combimobiliteit"/>
    <x v="2"/>
    <n v="2810"/>
    <s v="IN/002117"/>
    <s v="N9 Gentsesteenweg Erpe-Mere/Lede"/>
    <s v="&lt;null&gt;"/>
    <s v="Structurele Ingreep"/>
    <s v="WOV/INV/N9/10"/>
    <b v="0"/>
    <s v="Ingreep wordt niet opgevolgd in BOD"/>
    <s v="&lt;null&gt;"/>
    <s v="&lt;null&gt;"/>
    <s v="&lt;null&gt;"/>
    <s v="&lt;null&gt;"/>
    <n v="1"/>
    <m/>
    <m/>
  </r>
  <r>
    <x v="1497"/>
    <x v="1497"/>
    <s v="Stimuleren Combimobiliteit"/>
    <x v="2"/>
    <n v="2810"/>
    <s v="IN/002117"/>
    <s v="N9 Gentsesteenweg Erpe-Mere/Lede"/>
    <s v="&lt;null&gt;"/>
    <s v="Structurele Ingreep"/>
    <s v="WOV/INV/N9/10"/>
    <b v="0"/>
    <s v="Ingreep wordt niet opgevolgd in BOD"/>
    <s v="&lt;null&gt;"/>
    <s v="&lt;null&gt;"/>
    <s v="&lt;null&gt;"/>
    <s v="&lt;null&gt;"/>
    <n v="1"/>
    <m/>
    <m/>
  </r>
  <r>
    <x v="1498"/>
    <x v="1498"/>
    <s v="Stimuleren Combimobiliteit"/>
    <x v="2"/>
    <n v="2810"/>
    <s v="IN/002117"/>
    <s v="N9 Gentsesteenweg Erpe-Mere/Lede"/>
    <s v="&lt;null&gt;"/>
    <s v="Structurele Ingreep"/>
    <s v="WOV/INV/N9/10"/>
    <b v="0"/>
    <s v="Ingreep wordt niet opgevolgd in BOD"/>
    <s v="&lt;null&gt;"/>
    <s v="&lt;null&gt;"/>
    <s v="&lt;null&gt;"/>
    <s v="&lt;null&gt;"/>
    <n v="1"/>
    <m/>
    <m/>
  </r>
  <r>
    <x v="18"/>
    <x v="18"/>
    <s v="&lt;null&gt;"/>
    <x v="3"/>
    <n v="2811"/>
    <s v="IN/002118"/>
    <s v="N46 Herzele en Zwalm fietspaden"/>
    <s v="&lt;null&gt;"/>
    <s v="Structurele Ingreep"/>
    <s v="WOV/INV/N46/2"/>
    <b v="0"/>
    <s v="Ingreep wordt niet opgevolgd in BOD"/>
    <s v="&lt;null&gt;"/>
    <s v="&lt;null&gt;"/>
    <s v="&lt;null&gt;"/>
    <s v="&lt;null&gt;"/>
    <m/>
    <m/>
    <m/>
  </r>
  <r>
    <x v="18"/>
    <x v="18"/>
    <s v="&lt;null&gt;"/>
    <x v="3"/>
    <n v="2812"/>
    <s v="IN/002119"/>
    <s v="N31 Brugge Fietsverbinding Evendijk-West"/>
    <s v="&lt;null&gt;"/>
    <s v="Structurele Ingreep"/>
    <s v="WWV/INV/N31/5"/>
    <b v="1"/>
    <s v="Ingreep wordt opgevolgd in BOD"/>
    <s v="&lt;null&gt;"/>
    <s v="&lt;null&gt;"/>
    <s v="&lt;null&gt;"/>
    <s v="&lt;null&gt;"/>
    <m/>
    <m/>
    <m/>
  </r>
  <r>
    <x v="18"/>
    <x v="18"/>
    <s v="&lt;null&gt;"/>
    <x v="3"/>
    <n v="2813"/>
    <s v="IN/002120"/>
    <s v="N374 Brugge Studie doortocht Brugse Steenweg"/>
    <s v="&lt;null&gt;"/>
    <s v="Structurele Ingreep"/>
    <s v="WWV/INV/N374/3"/>
    <b v="0"/>
    <s v="Ingreep wordt niet opgevolgd in BOD"/>
    <s v="&lt;null&gt;"/>
    <s v="&lt;null&gt;"/>
    <s v="&lt;null&gt;"/>
    <s v="&lt;null&gt;"/>
    <m/>
    <m/>
    <m/>
  </r>
  <r>
    <x v="18"/>
    <x v="18"/>
    <s v="&lt;null&gt;"/>
    <x v="3"/>
    <n v="2814"/>
    <s v="IN/002121"/>
    <s v="N700 Bilzen - structureel onderhoud"/>
    <s v="&lt;null&gt;"/>
    <s v="Structurele Ingreep"/>
    <s v="WL/INV/N700/2"/>
    <b v="0"/>
    <s v="Ingreep wordt niet opgevolgd in BOD"/>
    <s v="&lt;null&gt;"/>
    <s v="&lt;null&gt;"/>
    <s v="&lt;null&gt;"/>
    <s v="&lt;null&gt;"/>
    <m/>
    <m/>
    <m/>
  </r>
  <r>
    <x v="18"/>
    <x v="18"/>
    <s v="&lt;null&gt;"/>
    <x v="3"/>
    <n v="2815"/>
    <s v="IN/002122"/>
    <s v="N779 Genk - schoolomgeving de Bijbel"/>
    <s v="&lt;null&gt;"/>
    <s v="Structurele Ingreep"/>
    <s v="WL/INV/N779/1"/>
    <b v="0"/>
    <s v="Ingreep wordt niet opgevolgd in BOD"/>
    <s v="&lt;null&gt;"/>
    <s v="&lt;null&gt;"/>
    <s v="&lt;null&gt;"/>
    <s v="&lt;null&gt;"/>
    <m/>
    <m/>
    <m/>
  </r>
  <r>
    <x v="1367"/>
    <x v="1367"/>
    <s v="Verkeersveiligheid"/>
    <x v="5"/>
    <n v="2816"/>
    <s v="IN/002123"/>
    <s v="N80 Sint-Truiden - herinrichting"/>
    <s v="&lt;null&gt;"/>
    <s v="Structurele Ingreep"/>
    <s v="WL/INV/N80/2"/>
    <b v="0"/>
    <s v="Ingreep wordt niet opgevolgd in BOD"/>
    <s v="&lt;null&gt;"/>
    <s v="&lt;null&gt;"/>
    <s v="&lt;null&gt;"/>
    <s v="&lt;null&gt;"/>
    <n v="1"/>
    <m/>
    <m/>
  </r>
  <r>
    <x v="91"/>
    <x v="91"/>
    <s v="Fiets"/>
    <x v="0"/>
    <n v="2817"/>
    <s v="IN/002124"/>
    <s v="N72 Zonhoven - aanleg riolering en fietspaden"/>
    <s v="&lt;null&gt;"/>
    <s v="Structurele Ingreep"/>
    <s v="WL/INV/N72/7"/>
    <b v="0"/>
    <s v="Ingreep wordt niet opgevolgd in BOD"/>
    <s v="&lt;null&gt;"/>
    <s v="&lt;null&gt;"/>
    <s v="&lt;null&gt;"/>
    <s v="&lt;null&gt;"/>
    <n v="1"/>
    <m/>
    <m/>
  </r>
  <r>
    <x v="1499"/>
    <x v="1499"/>
    <s v="Stimuleren Combimobiliteit"/>
    <x v="2"/>
    <n v="2817"/>
    <s v="IN/002124"/>
    <s v="N72 Zonhoven - aanleg riolering en fietspaden"/>
    <s v="&lt;null&gt;"/>
    <s v="Structurele Ingreep"/>
    <s v="WL/INV/N72/7"/>
    <b v="0"/>
    <s v="Ingreep wordt niet opgevolgd in BOD"/>
    <s v="&lt;null&gt;"/>
    <s v="&lt;null&gt;"/>
    <s v="&lt;null&gt;"/>
    <s v="&lt;null&gt;"/>
    <n v="1"/>
    <m/>
    <m/>
  </r>
  <r>
    <x v="18"/>
    <x v="18"/>
    <s v="&lt;null&gt;"/>
    <x v="3"/>
    <n v="2818"/>
    <s v="IN/002125"/>
    <s v="N2 tussen R71 en N729 herinrichting, Hasselt"/>
    <s v="&lt;null&gt;"/>
    <s v="Structurele Ingreep"/>
    <s v="WL/INV/N2/1"/>
    <b v="0"/>
    <s v="Ingreep wordt niet opgevolgd in BOD"/>
    <s v="&lt;null&gt;"/>
    <s v="&lt;null&gt;"/>
    <s v="&lt;null&gt;"/>
    <s v="&lt;null&gt;"/>
    <m/>
    <m/>
    <m/>
  </r>
  <r>
    <x v="18"/>
    <x v="18"/>
    <s v="&lt;null&gt;"/>
    <x v="3"/>
    <n v="2819"/>
    <s v="IN/002126"/>
    <s v="N47 Lebbeke herinrichting Dendermondsesteenweg"/>
    <s v="&lt;null&gt;"/>
    <s v="Structurele Ingreep"/>
    <s v="WOV/INV/N47/5"/>
    <b v="0"/>
    <s v="Ingreep wordt niet opgevolgd in BOD"/>
    <s v="&lt;null&gt;"/>
    <s v="&lt;null&gt;"/>
    <s v="&lt;null&gt;"/>
    <s v="&lt;null&gt;"/>
    <m/>
    <m/>
    <m/>
  </r>
  <r>
    <x v="18"/>
    <x v="18"/>
    <s v="&lt;null&gt;"/>
    <x v="3"/>
    <n v="2820"/>
    <s v="IN/002127"/>
    <s v="N8 Ninove heraanleg Elisabethlaan en Leopoldlaan"/>
    <s v="&lt;null&gt;"/>
    <s v="Structurele Ingreep"/>
    <s v="WOV/INV/N8/6"/>
    <b v="0"/>
    <s v="Ingreep wordt niet opgevolgd in BOD"/>
    <s v="&lt;null&gt;"/>
    <s v="&lt;null&gt;"/>
    <s v="&lt;null&gt;"/>
    <s v="&lt;null&gt;"/>
    <m/>
    <m/>
    <m/>
  </r>
  <r>
    <x v="18"/>
    <x v="18"/>
    <s v="&lt;null&gt;"/>
    <x v="3"/>
    <n v="2821"/>
    <s v="IN/002128"/>
    <s v="N730 Zutendaal overdracht en vernieuwing Asserweg"/>
    <s v="&lt;null&gt;"/>
    <s v="Structurele Ingreep"/>
    <s v="WL/INV/N730/7"/>
    <b v="0"/>
    <s v="Ingreep wordt niet opgevolgd in BOD"/>
    <s v="&lt;null&gt;"/>
    <s v="&lt;null&gt;"/>
    <s v="&lt;null&gt;"/>
    <s v="&lt;null&gt;"/>
    <m/>
    <m/>
    <m/>
  </r>
  <r>
    <x v="18"/>
    <x v="18"/>
    <s v="&lt;null&gt;"/>
    <x v="3"/>
    <n v="2822"/>
    <s v="IN/002129"/>
    <s v="N78 Maasm. Oostelijke ontsluitingsweg kruispunt"/>
    <s v="&lt;null&gt;"/>
    <s v="Structurele Ingreep"/>
    <s v="WL/INV/N78/4"/>
    <b v="0"/>
    <s v="Ingreep wordt niet opgevolgd in BOD"/>
    <s v="&lt;null&gt;"/>
    <s v="&lt;null&gt;"/>
    <s v="&lt;null&gt;"/>
    <s v="&lt;null&gt;"/>
    <m/>
    <m/>
    <m/>
  </r>
  <r>
    <x v="87"/>
    <x v="87"/>
    <s v="Fiets"/>
    <x v="0"/>
    <n v="2823"/>
    <s v="IN/002130"/>
    <s v="N748 Peer Aanleg fietspaden Bokt"/>
    <s v="&lt;null&gt;"/>
    <s v="Structurele Ingreep"/>
    <s v="WL/INV/N748/1"/>
    <b v="0"/>
    <s v="Ingreep wordt niet opgevolgd in BOD"/>
    <s v="&lt;null&gt;"/>
    <s v="&lt;null&gt;"/>
    <s v="&lt;null&gt;"/>
    <s v="&lt;null&gt;"/>
    <n v="80"/>
    <m/>
    <m/>
  </r>
  <r>
    <x v="18"/>
    <x v="18"/>
    <s v="&lt;null&gt;"/>
    <x v="3"/>
    <n v="2824"/>
    <s v="IN/002131"/>
    <s v="E17 Waasmunster - plaatsing geluidsschermen"/>
    <s v="&lt;null&gt;"/>
    <s v="Structurele Ingreep"/>
    <s v="WOV/INV/E17/3"/>
    <b v="0"/>
    <s v="Ingreep wordt niet opgevolgd in BOD"/>
    <s v="&lt;null&gt;"/>
    <s v="&lt;null&gt;"/>
    <s v="&lt;null&gt;"/>
    <s v="&lt;null&gt;"/>
    <m/>
    <m/>
    <m/>
  </r>
  <r>
    <x v="18"/>
    <x v="18"/>
    <s v="&lt;null&gt;"/>
    <x v="3"/>
    <n v="2825"/>
    <s v="IN/002132"/>
    <s v="N42 Wetteren - Bouw van een carpoolparking"/>
    <s v="*1: Aanpassing huidige parking aan Krëfel\n*2: Nieuwe locatie op voormalig terrein van AWV-regie in Wetteren (naast politie), dus niet langs gewestweg."/>
    <s v="Structurele Ingreep"/>
    <s v="WOV/INV/N42/4"/>
    <b v="0"/>
    <s v="Ingreep wordt niet opgevolgd in BOD"/>
    <s v="&lt;null&gt;"/>
    <s v="&lt;null&gt;"/>
    <s v="&lt;null&gt;"/>
    <s v="&lt;null&gt;"/>
    <m/>
    <m/>
    <m/>
  </r>
  <r>
    <x v="18"/>
    <x v="18"/>
    <s v="&lt;null&gt;"/>
    <x v="3"/>
    <n v="2826"/>
    <s v="IN/002133"/>
    <s v="E40/R4 tss Merelbeke"/>
    <s v="&lt;null&gt;"/>
    <s v="Structurele Ingreep"/>
    <s v="WOV/INV/E40/1"/>
    <b v="0"/>
    <s v="Ingreep wordt niet opgevolgd in BOD"/>
    <s v="&lt;null&gt;"/>
    <s v="&lt;null&gt;"/>
    <s v="&lt;null&gt;"/>
    <s v="&lt;null&gt;"/>
    <m/>
    <m/>
    <m/>
  </r>
  <r>
    <x v="18"/>
    <x v="18"/>
    <s v="&lt;null&gt;"/>
    <x v="3"/>
    <n v="2827"/>
    <s v="IN/002134"/>
    <s v="E34 Stekene - project nieuw nevenbedrijf"/>
    <s v="&lt;null&gt;"/>
    <s v="Structurele Ingreep"/>
    <s v="WOV/INV/E34/1"/>
    <b v="0"/>
    <s v="Ingreep wordt niet opgevolgd in BOD"/>
    <s v="&lt;null&gt;"/>
    <s v="&lt;null&gt;"/>
    <s v="&lt;null&gt;"/>
    <s v="&lt;null&gt;"/>
    <m/>
    <m/>
    <m/>
  </r>
  <r>
    <x v="18"/>
    <x v="18"/>
    <s v="&lt;null&gt;"/>
    <x v="3"/>
    <n v="2828"/>
    <s v="IN/002135"/>
    <s v="E17 tss Temse / Kruibeke - optimalisatie"/>
    <s v="MKBA-studie naar optimalisatie E17 tss Temse en Kruibeke"/>
    <s v="Structurele Ingreep"/>
    <s v="WOV/INV/E17/2"/>
    <b v="0"/>
    <s v="Ingreep wordt niet opgevolgd in BOD"/>
    <s v="&lt;null&gt;"/>
    <s v="&lt;null&gt;"/>
    <s v="&lt;null&gt;"/>
    <s v="&lt;null&gt;"/>
    <m/>
    <m/>
    <m/>
  </r>
  <r>
    <x v="18"/>
    <x v="18"/>
    <s v="&lt;null&gt;"/>
    <x v="3"/>
    <n v="2829"/>
    <s v="IN/002136"/>
    <s v="N44 Aalter - geluidsschermen langs N44"/>
    <s v="&lt;null&gt;"/>
    <s v="Structurele Ingreep"/>
    <s v="WOV/INV/N44/2"/>
    <b v="0"/>
    <s v="Ingreep wordt niet opgevolgd in BOD"/>
    <s v="&lt;null&gt;"/>
    <s v="&lt;null&gt;"/>
    <s v="&lt;null&gt;"/>
    <s v="&lt;null&gt;"/>
    <m/>
    <m/>
    <m/>
  </r>
  <r>
    <x v="18"/>
    <x v="18"/>
    <s v="&lt;null&gt;"/>
    <x v="3"/>
    <n v="2830"/>
    <s v="IN/002137"/>
    <s v="E17 Waasmunster - project uitbreiding nevenbedrijf"/>
    <s v="&lt;null&gt;"/>
    <s v="Structurele Ingreep"/>
    <s v="WOV/INV/E17/7"/>
    <b v="0"/>
    <s v="Ingreep wordt niet opgevolgd in BOD"/>
    <s v="&lt;null&gt;"/>
    <s v="&lt;null&gt;"/>
    <s v="&lt;null&gt;"/>
    <s v="&lt;null&gt;"/>
    <m/>
    <m/>
    <m/>
  </r>
  <r>
    <x v="18"/>
    <x v="18"/>
    <s v="&lt;null&gt;"/>
    <x v="3"/>
    <n v="2831"/>
    <s v="IN/002138"/>
    <s v="A10/E40 Drongen vervangen 2 bovenbruggen"/>
    <s v="&lt;null&gt;"/>
    <s v="Structurele Ingreep"/>
    <s v="WOV/INV/A10/6"/>
    <b v="0"/>
    <s v="Ingreep wordt niet opgevolgd in BOD"/>
    <s v="&lt;null&gt;"/>
    <s v="&lt;null&gt;"/>
    <s v="&lt;null&gt;"/>
    <s v="&lt;null&gt;"/>
    <m/>
    <m/>
    <m/>
  </r>
  <r>
    <x v="18"/>
    <x v="18"/>
    <s v="&lt;null&gt;"/>
    <x v="3"/>
    <n v="2832"/>
    <s v="IN/002139"/>
    <s v="A10/E40 Erpe Mere vervanging brug spoor"/>
    <s v="&lt;null&gt;"/>
    <s v="Structurele Ingreep"/>
    <s v="WOV/INV/A10/4"/>
    <b v="0"/>
    <s v="Ingreep wordt niet opgevolgd in BOD"/>
    <s v="&lt;null&gt;"/>
    <s v="&lt;null&gt;"/>
    <s v="&lt;null&gt;"/>
    <s v="&lt;null&gt;"/>
    <m/>
    <m/>
    <m/>
  </r>
  <r>
    <x v="18"/>
    <x v="18"/>
    <s v="&lt;null&gt;"/>
    <x v="3"/>
    <n v="2833"/>
    <s v="IN/002140"/>
    <s v="A14/E17 Zwijnaarde Slingerviaducten"/>
    <s v="&lt;null&gt;"/>
    <s v="Structurele Ingreep"/>
    <s v="WOV/INV/A14/2"/>
    <b v="0"/>
    <s v="Ingreep wordt niet opgevolgd in BOD"/>
    <s v="&lt;null&gt;"/>
    <s v="&lt;null&gt;"/>
    <s v="&lt;null&gt;"/>
    <s v="&lt;null&gt;"/>
    <m/>
    <m/>
    <m/>
  </r>
  <r>
    <x v="18"/>
    <x v="18"/>
    <s v="&lt;null&gt;"/>
    <x v="3"/>
    <n v="2834"/>
    <s v="IN/002141"/>
    <s v="E313 Ranst vernieuwen brug Vaartstraat"/>
    <s v="&lt;null&gt;"/>
    <s v="Structurele Ingreep"/>
    <s v="WOV/INV/E313/1"/>
    <b v="0"/>
    <s v="Ingreep wordt niet opgevolgd in BOD"/>
    <s v="&lt;null&gt;"/>
    <s v="&lt;null&gt;"/>
    <s v="&lt;null&gt;"/>
    <s v="&lt;null&gt;"/>
    <m/>
    <m/>
    <m/>
  </r>
  <r>
    <x v="18"/>
    <x v="18"/>
    <s v="&lt;null&gt;"/>
    <x v="3"/>
    <n v="2835"/>
    <s v="IN/002142"/>
    <s v="N152_9 Olen Carpoolparking"/>
    <s v="&lt;null&gt;"/>
    <s v="Structurele Ingreep"/>
    <s v="WA/INV/N152/3"/>
    <b v="0"/>
    <s v="Ingreep wordt niet opgevolgd in BOD"/>
    <s v="&lt;null&gt;"/>
    <s v="&lt;null&gt;"/>
    <s v="&lt;null&gt;"/>
    <s v="&lt;null&gt;"/>
    <m/>
    <m/>
    <m/>
  </r>
  <r>
    <x v="18"/>
    <x v="18"/>
    <s v="&lt;null&gt;"/>
    <x v="3"/>
    <n v="2836"/>
    <s v="IN/002143"/>
    <s v="X21/N253/23 Quick Wins: deel 2"/>
    <s v="&lt;null&gt;"/>
    <s v="Structurele Ingreep"/>
    <s v="WVB/INV/N253/2"/>
    <b v="0"/>
    <s v="Ingreep wordt niet opgevolgd in BOD"/>
    <s v="&lt;null&gt;"/>
    <s v="&lt;null&gt;"/>
    <s v="&lt;null&gt;"/>
    <s v="&lt;null&gt;"/>
    <m/>
    <m/>
    <m/>
  </r>
  <r>
    <x v="18"/>
    <x v="18"/>
    <s v="&lt;null&gt;"/>
    <x v="3"/>
    <n v="2837"/>
    <s v="IN/002144"/>
    <s v="N116 -  RANST - Massenhovensesteenweg"/>
    <s v="&lt;null&gt;"/>
    <s v="Structurele Ingreep"/>
    <s v="WA/INV/N116/2"/>
    <b v="0"/>
    <s v="Ingreep wordt niet opgevolgd in BOD"/>
    <s v="&lt;null&gt;"/>
    <s v="&lt;null&gt;"/>
    <s v="&lt;null&gt;"/>
    <s v="&lt;null&gt;"/>
    <m/>
    <m/>
    <m/>
  </r>
  <r>
    <x v="1500"/>
    <x v="1500"/>
    <s v="Stimuleren Combimobiliteit"/>
    <x v="2"/>
    <n v="2838"/>
    <s v="IN/002145"/>
    <s v="N14 - RANST - Oostmalsesteenweg"/>
    <s v="&lt;null&gt;"/>
    <s v="Structurele Ingreep"/>
    <s v="WA/INV/N14/2"/>
    <b v="0"/>
    <s v="Ingreep wordt niet opgevolgd in BOD"/>
    <s v="&lt;null&gt;"/>
    <s v="&lt;null&gt;"/>
    <s v="&lt;null&gt;"/>
    <s v="&lt;null&gt;"/>
    <n v="0"/>
    <m/>
    <m/>
  </r>
  <r>
    <x v="18"/>
    <x v="18"/>
    <s v="&lt;null&gt;"/>
    <x v="3"/>
    <n v="2839"/>
    <s v="IN/002146"/>
    <s v="E19 SO MEER =&gt; BRECHT (A0010002)"/>
    <s v="&lt;null&gt;"/>
    <s v="Structurele Ingreep"/>
    <s v="WA/INV/A001/6"/>
    <b v="0"/>
    <s v="Ingreep wordt niet opgevolgd in BOD"/>
    <s v="&lt;null&gt;"/>
    <s v="&lt;null&gt;"/>
    <s v="&lt;null&gt;"/>
    <s v="&lt;null&gt;"/>
    <m/>
    <m/>
    <m/>
  </r>
  <r>
    <x v="953"/>
    <x v="953"/>
    <s v="Verkeersveiligheid"/>
    <x v="4"/>
    <n v="2840"/>
    <s v="IN/002147"/>
    <s v="N121 s Gravenwezel - Kruispunt De Kaak"/>
    <s v="&lt;null&gt;"/>
    <s v="Structurele Ingreep"/>
    <s v="WA/INV/N121/3"/>
    <b v="0"/>
    <s v="Ingreep wordt niet opgevolgd in BOD"/>
    <s v="&lt;null&gt;"/>
    <s v="&lt;null&gt;"/>
    <s v="&lt;null&gt;"/>
    <s v="&lt;null&gt;"/>
    <n v="50"/>
    <m/>
    <m/>
  </r>
  <r>
    <x v="18"/>
    <x v="18"/>
    <s v="&lt;null&gt;"/>
    <x v="3"/>
    <n v="2841"/>
    <s v="IN/002148"/>
    <s v="E19 SO GRENS =&gt; MEER + complexen"/>
    <s v="&lt;null&gt;"/>
    <s v="Structurele Ingreep"/>
    <s v="WA/INV/A001/5"/>
    <b v="0"/>
    <s v="Ingreep wordt niet opgevolgd in BOD"/>
    <s v="&lt;null&gt;"/>
    <s v="&lt;null&gt;"/>
    <s v="&lt;null&gt;"/>
    <s v="&lt;null&gt;"/>
    <m/>
    <m/>
    <m/>
  </r>
  <r>
    <x v="1501"/>
    <x v="1501"/>
    <s v="Stimuleren Combimobiliteit"/>
    <x v="2"/>
    <n v="2842"/>
    <s v="IN/002149"/>
    <s v="N014 - ZOERSEL - Ringweg"/>
    <s v="&lt;null&gt;"/>
    <s v="Structurele Ingreep"/>
    <s v="WA/INV/N014/1"/>
    <b v="0"/>
    <s v="Ingreep wordt niet opgevolgd in BOD"/>
    <s v="&lt;null&gt;"/>
    <s v="&lt;null&gt;"/>
    <s v="&lt;null&gt;"/>
    <s v="&lt;null&gt;"/>
    <n v="0"/>
    <m/>
    <m/>
  </r>
  <r>
    <x v="18"/>
    <x v="18"/>
    <s v="&lt;null&gt;"/>
    <x v="3"/>
    <n v="2843"/>
    <s v="IN/002150"/>
    <s v="N012 MALLE - ZOERSEL Vrijliggend fietspad"/>
    <s v="&lt;null&gt;"/>
    <s v="Structurele Ingreep"/>
    <s v="WA/INV/N012/1"/>
    <b v="0"/>
    <s v="Ingreep wordt niet opgevolgd in BOD"/>
    <s v="&lt;null&gt;"/>
    <s v="&lt;null&gt;"/>
    <s v="&lt;null&gt;"/>
    <s v="&lt;null&gt;"/>
    <m/>
    <m/>
    <m/>
  </r>
  <r>
    <x v="18"/>
    <x v="18"/>
    <s v="&lt;null&gt;"/>
    <x v="3"/>
    <n v="2844"/>
    <s v="IN/002151"/>
    <s v="N153 Structureel onderhoud Malle"/>
    <s v="&lt;null&gt;"/>
    <s v="Structurele Ingreep"/>
    <s v="WA/INV/N153/10"/>
    <b v="0"/>
    <s v="Ingreep wordt niet opgevolgd in BOD"/>
    <s v="&lt;null&gt;"/>
    <s v="&lt;null&gt;"/>
    <s v="&lt;null&gt;"/>
    <s v="&lt;null&gt;"/>
    <m/>
    <m/>
    <m/>
  </r>
  <r>
    <x v="1502"/>
    <x v="1502"/>
    <s v="Stimuleren Combimobiliteit"/>
    <x v="2"/>
    <n v="2845"/>
    <s v="IN/002152"/>
    <s v="N111 Kapellen Fietspaden Klinkaardstraat"/>
    <s v="&lt;null&gt;"/>
    <s v="Structurele Ingreep"/>
    <s v="WA/INV/N111/3"/>
    <b v="0"/>
    <s v="Ingreep wordt niet opgevolgd in BOD"/>
    <s v="&lt;null&gt;"/>
    <s v="&lt;null&gt;"/>
    <s v="&lt;null&gt;"/>
    <s v="&lt;null&gt;"/>
    <n v="0"/>
    <m/>
    <m/>
  </r>
  <r>
    <x v="80"/>
    <x v="80"/>
    <s v="Fiets"/>
    <x v="0"/>
    <n v="2846"/>
    <s v="IN/002153"/>
    <s v="N114 Fietspaden Leugenberg - routeplan 2030"/>
    <s v="&lt;null&gt;"/>
    <s v="Structurele Ingreep"/>
    <s v="WA/INV/N114/3"/>
    <b v="0"/>
    <s v="Ingreep wordt niet opgevolgd in BOD"/>
    <s v="&lt;null&gt;"/>
    <s v="&lt;null&gt;"/>
    <s v="&lt;null&gt;"/>
    <s v="&lt;null&gt;"/>
    <n v="25"/>
    <m/>
    <m/>
  </r>
  <r>
    <x v="81"/>
    <x v="81"/>
    <s v="Fiets"/>
    <x v="0"/>
    <n v="2846"/>
    <s v="IN/002153"/>
    <s v="N114 Fietspaden Leugenberg - routeplan 2030"/>
    <s v="&lt;null&gt;"/>
    <s v="Structurele Ingreep"/>
    <s v="WA/INV/N114/3"/>
    <b v="0"/>
    <s v="Ingreep wordt niet opgevolgd in BOD"/>
    <s v="&lt;null&gt;"/>
    <s v="&lt;null&gt;"/>
    <s v="&lt;null&gt;"/>
    <s v="&lt;null&gt;"/>
    <n v="25"/>
    <m/>
    <m/>
  </r>
  <r>
    <x v="207"/>
    <x v="207"/>
    <s v="Fiets"/>
    <x v="0"/>
    <n v="2846"/>
    <s v="IN/002153"/>
    <s v="N114 Fietspaden Leugenberg - routeplan 2030"/>
    <s v="&lt;null&gt;"/>
    <s v="Structurele Ingreep"/>
    <s v="WA/INV/N114/3"/>
    <b v="0"/>
    <s v="Ingreep wordt niet opgevolgd in BOD"/>
    <s v="&lt;null&gt;"/>
    <s v="&lt;null&gt;"/>
    <s v="&lt;null&gt;"/>
    <s v="&lt;null&gt;"/>
    <n v="25"/>
    <m/>
    <m/>
  </r>
  <r>
    <x v="1503"/>
    <x v="1503"/>
    <s v="Fiets"/>
    <x v="0"/>
    <n v="2846"/>
    <s v="IN/002153"/>
    <s v="N114 Fietspaden Leugenberg - routeplan 2030"/>
    <s v="&lt;null&gt;"/>
    <s v="Structurele Ingreep"/>
    <s v="WA/INV/N114/3"/>
    <b v="0"/>
    <s v="Ingreep wordt niet opgevolgd in BOD"/>
    <s v="&lt;null&gt;"/>
    <s v="&lt;null&gt;"/>
    <s v="&lt;null&gt;"/>
    <s v="&lt;null&gt;"/>
    <n v="25"/>
    <m/>
    <m/>
  </r>
  <r>
    <x v="1504"/>
    <x v="1504"/>
    <s v="Stimuleren Combimobiliteit"/>
    <x v="7"/>
    <n v="2847"/>
    <s v="IN/002154"/>
    <s v="Aanpassen bushalte &quot;Sint-Martinusschool&quot;"/>
    <s v="Aanpassen bushalte &quot;Sint-Martinusschool&quot;"/>
    <s v="Kleine Ingreep"/>
    <s v="&lt;null&gt;"/>
    <b v="0"/>
    <s v="Ingreep wordt niet opgevolgd in BOD"/>
    <n v="2022"/>
    <s v="Q2"/>
    <s v="WEGENIS"/>
    <s v="&lt;null&gt;"/>
    <n v="100"/>
    <n v="40000"/>
    <n v="40000"/>
  </r>
  <r>
    <x v="1505"/>
    <x v="1505"/>
    <s v="Stimuleren Combimobiliteit"/>
    <x v="2"/>
    <n v="2848"/>
    <s v="IN/002155"/>
    <s v="N79 : Riemst :Vroenhoven"/>
    <s v="&lt;null&gt;"/>
    <s v="Structurele Ingreep"/>
    <s v="WL/INV/N79/1"/>
    <b v="0"/>
    <s v="Ingreep wordt niet opgevolgd in BOD"/>
    <s v="&lt;null&gt;"/>
    <s v="&lt;null&gt;"/>
    <s v="&lt;null&gt;"/>
    <s v="&lt;null&gt;"/>
    <n v="50"/>
    <m/>
    <m/>
  </r>
  <r>
    <x v="1506"/>
    <x v="1506"/>
    <s v="Stimuleren Combimobiliteit"/>
    <x v="2"/>
    <n v="2848"/>
    <s v="IN/002155"/>
    <s v="N79 : Riemst :Vroenhoven"/>
    <s v="&lt;null&gt;"/>
    <s v="Structurele Ingreep"/>
    <s v="WL/INV/N79/1"/>
    <b v="0"/>
    <s v="Ingreep wordt niet opgevolgd in BOD"/>
    <s v="&lt;null&gt;"/>
    <s v="&lt;null&gt;"/>
    <s v="&lt;null&gt;"/>
    <s v="&lt;null&gt;"/>
    <n v="50"/>
    <m/>
    <m/>
  </r>
  <r>
    <x v="1504"/>
    <x v="1504"/>
    <s v="Stimuleren Combimobiliteit"/>
    <x v="7"/>
    <n v="2849"/>
    <s v="IN/002156"/>
    <s v="aanpassing halte &quot;Sint-Martinusschool&quot;"/>
    <s v="Overijse N4 aanpassing halte &quot;Sint-Martinusschool&quot;"/>
    <s v="Kleine Ingreep"/>
    <s v="WVB/INV/N4/10"/>
    <b v="1"/>
    <s v="Ingreep wordt opgevolgd in BOD"/>
    <n v="2022"/>
    <s v="Q2"/>
    <s v="OVERIGE"/>
    <s v="&lt;null&gt;"/>
    <n v="100"/>
    <n v="40000"/>
    <n v="40000"/>
  </r>
  <r>
    <x v="803"/>
    <x v="803"/>
    <s v="Verkeersveiligheid"/>
    <x v="4"/>
    <n v="2850"/>
    <s v="IN/002157"/>
    <s v="N671 Riemst fase 2 3"/>
    <s v="&lt;null&gt;"/>
    <s v="Structurele Ingreep"/>
    <s v="WL/INV/N671/2"/>
    <b v="0"/>
    <s v="Ingreep wordt niet opgevolgd in BOD"/>
    <s v="&lt;null&gt;"/>
    <s v="&lt;null&gt;"/>
    <s v="&lt;null&gt;"/>
    <s v="&lt;null&gt;"/>
    <n v="100"/>
    <m/>
    <m/>
  </r>
  <r>
    <x v="18"/>
    <x v="18"/>
    <s v="&lt;null&gt;"/>
    <x v="3"/>
    <n v="2851"/>
    <s v="IN/002158"/>
    <s v="N2 : Bilzen :  spoorwegtunnel"/>
    <s v="&lt;null&gt;"/>
    <s v="Structurele Ingreep"/>
    <s v="WL/INV/N2/3"/>
    <b v="0"/>
    <s v="Ingreep wordt niet opgevolgd in BOD"/>
    <s v="&lt;null&gt;"/>
    <s v="&lt;null&gt;"/>
    <s v="&lt;null&gt;"/>
    <s v="&lt;null&gt;"/>
    <m/>
    <m/>
    <m/>
  </r>
  <r>
    <x v="18"/>
    <x v="18"/>
    <s v="&lt;null&gt;"/>
    <x v="3"/>
    <n v="2852"/>
    <s v="IN/002159"/>
    <s v="N3 : St. Truiden : fietspaden"/>
    <s v="&lt;null&gt;"/>
    <s v="Structurele Ingreep"/>
    <s v="WL/INV/N3/1"/>
    <b v="0"/>
    <s v="Ingreep wordt niet opgevolgd in BOD"/>
    <s v="&lt;null&gt;"/>
    <s v="&lt;null&gt;"/>
    <s v="&lt;null&gt;"/>
    <s v="&lt;null&gt;"/>
    <m/>
    <m/>
    <m/>
  </r>
  <r>
    <x v="960"/>
    <x v="960"/>
    <s v="Verkeersveiligheid"/>
    <x v="4"/>
    <n v="2853"/>
    <s v="IN/002160"/>
    <s v="aanpassen VOP + VRI"/>
    <s v="- aanpassen VRI\n- FOP toevoegen\n- FOP verplaatsen naar trageweg\n- voetpad voorzien achter bomen (gracht inbuizen?)"/>
    <s v="Kleine Ingreep"/>
    <s v="WA/INV/N18/15"/>
    <b v="0"/>
    <s v="Ingreep wordt niet opgevolgd in BOD"/>
    <n v="2022"/>
    <s v="Q3"/>
    <s v="OV"/>
    <s v="&lt;null&gt;"/>
    <n v="100"/>
    <n v="5000"/>
    <n v="5000"/>
  </r>
  <r>
    <x v="960"/>
    <x v="960"/>
    <s v="Verkeersveiligheid"/>
    <x v="4"/>
    <n v="2853"/>
    <s v="IN/002160"/>
    <s v="aanpassen VOP + VRI"/>
    <s v="- aanpassen VRI\n- FOP toevoegen\n- FOP verplaatsen naar trageweg\n- voetpad voorzien achter bomen (gracht inbuizen?)"/>
    <s v="Kleine Ingreep"/>
    <s v="WA/INV/N18/15"/>
    <b v="0"/>
    <s v="Ingreep wordt niet opgevolgd in BOD"/>
    <n v="2022"/>
    <s v="Q3"/>
    <s v="VRI"/>
    <s v="&lt;null&gt;"/>
    <n v="100"/>
    <n v="75000"/>
    <n v="75000"/>
  </r>
  <r>
    <x v="960"/>
    <x v="960"/>
    <s v="Verkeersveiligheid"/>
    <x v="4"/>
    <n v="2853"/>
    <s v="IN/002160"/>
    <s v="aanpassen VOP + VRI"/>
    <s v="- aanpassen VRI\n- FOP toevoegen\n- FOP verplaatsen naar trageweg\n- voetpad voorzien achter bomen (gracht inbuizen?)"/>
    <s v="Kleine Ingreep"/>
    <s v="WA/INV/N18/15"/>
    <b v="0"/>
    <s v="Ingreep wordt niet opgevolgd in BOD"/>
    <n v="2022"/>
    <s v="Q3"/>
    <s v="WEGENIS"/>
    <s v="&lt;null&gt;"/>
    <n v="100"/>
    <n v="15000"/>
    <n v="15000"/>
  </r>
  <r>
    <x v="18"/>
    <x v="18"/>
    <s v="&lt;null&gt;"/>
    <x v="3"/>
    <n v="2854"/>
    <s v="IN/002161"/>
    <s v="CP Oostelijke Verbinding - onderzoeksfase"/>
    <s v="&lt;null&gt;"/>
    <s v="Structurele Ingreep"/>
    <s v="WA/INV/CPO/1"/>
    <b v="0"/>
    <s v="Ingreep wordt niet opgevolgd in BOD"/>
    <s v="&lt;null&gt;"/>
    <s v="&lt;null&gt;"/>
    <s v="&lt;null&gt;"/>
    <s v="&lt;null&gt;"/>
    <m/>
    <m/>
    <m/>
  </r>
  <r>
    <x v="18"/>
    <x v="18"/>
    <s v="&lt;null&gt;"/>
    <x v="3"/>
    <n v="2855"/>
    <s v="IN/002162"/>
    <s v="N275 - Aandeel wegenis bij F205 DWV"/>
    <s v="&lt;null&gt;"/>
    <s v="Structurele Ingreep"/>
    <s v="WVB/INV/N275/2"/>
    <b v="0"/>
    <s v="Ingreep wordt niet opgevolgd in BOD"/>
    <s v="&lt;null&gt;"/>
    <s v="&lt;null&gt;"/>
    <s v="&lt;null&gt;"/>
    <s v="&lt;null&gt;"/>
    <m/>
    <m/>
    <m/>
  </r>
  <r>
    <x v="1507"/>
    <x v="1507"/>
    <s v="Verkeersveiligheid"/>
    <x v="4"/>
    <n v="2856"/>
    <s v="IN/002163"/>
    <s v="Verwijderen kolken uit fietspad thv van Bresserdijk"/>
    <s v="&lt;null&gt;"/>
    <s v="Kleine Ingreep"/>
    <s v="WA/INV/N103/3"/>
    <b v="0"/>
    <s v="Ingreep wordt niet opgevolgd in BOD"/>
    <n v="2022"/>
    <s v="Q4"/>
    <s v="WEGENIS"/>
    <s v="&lt;null&gt;"/>
    <n v="100"/>
    <n v="3500"/>
    <n v="3500"/>
  </r>
  <r>
    <x v="675"/>
    <x v="675"/>
    <s v="Verkeersveiligheid"/>
    <x v="4"/>
    <n v="2857"/>
    <s v="IN/002164"/>
    <s v="N28 Pepingen"/>
    <s v="&lt;null&gt;"/>
    <s v="Structurele Ingreep"/>
    <s v="WVB/INV/N28/1"/>
    <b v="0"/>
    <s v="Ingreep wordt niet opgevolgd in BOD"/>
    <s v="&lt;null&gt;"/>
    <s v="&lt;null&gt;"/>
    <s v="&lt;null&gt;"/>
    <s v="&lt;null&gt;"/>
    <n v="2"/>
    <m/>
    <m/>
  </r>
  <r>
    <x v="1508"/>
    <x v="1508"/>
    <s v="Stimuleren Combimobiliteit"/>
    <x v="2"/>
    <n v="2857"/>
    <s v="IN/002164"/>
    <s v="N28 Pepingen"/>
    <s v="&lt;null&gt;"/>
    <s v="Structurele Ingreep"/>
    <s v="WVB/INV/N28/1"/>
    <b v="0"/>
    <s v="Ingreep wordt niet opgevolgd in BOD"/>
    <s v="&lt;null&gt;"/>
    <s v="&lt;null&gt;"/>
    <s v="&lt;null&gt;"/>
    <s v="&lt;null&gt;"/>
    <n v="2"/>
    <m/>
    <m/>
  </r>
  <r>
    <x v="18"/>
    <x v="18"/>
    <s v="&lt;null&gt;"/>
    <x v="3"/>
    <n v="2858"/>
    <s v="IN/002165"/>
    <s v="N285 - Corridorprojecten"/>
    <s v="&lt;null&gt;"/>
    <s v="Structurele Ingreep"/>
    <s v="WVB/INV/N285/2"/>
    <b v="0"/>
    <s v="Ingreep wordt niet opgevolgd in BOD"/>
    <s v="&lt;null&gt;"/>
    <s v="&lt;null&gt;"/>
    <s v="&lt;null&gt;"/>
    <s v="&lt;null&gt;"/>
    <m/>
    <m/>
    <m/>
  </r>
  <r>
    <x v="18"/>
    <x v="18"/>
    <s v="&lt;null&gt;"/>
    <x v="3"/>
    <n v="2859"/>
    <s v="IN/002166"/>
    <s v="N700 Bilzen : westelijke ontsluitingsweg"/>
    <s v="&lt;null&gt;"/>
    <s v="Structurele Ingreep"/>
    <s v="WL/INV/N700/1"/>
    <b v="0"/>
    <s v="Ingreep wordt niet opgevolgd in BOD"/>
    <s v="&lt;null&gt;"/>
    <s v="&lt;null&gt;"/>
    <s v="&lt;null&gt;"/>
    <s v="&lt;null&gt;"/>
    <m/>
    <m/>
    <m/>
  </r>
  <r>
    <x v="18"/>
    <x v="18"/>
    <s v="&lt;null&gt;"/>
    <x v="3"/>
    <n v="2860"/>
    <s v="IN/002167"/>
    <s v="N79 : Tongeren : omleidingsweg fase 3"/>
    <s v="&lt;null&gt;"/>
    <s v="Structurele Ingreep"/>
    <s v="WL/INV/N79/3"/>
    <b v="0"/>
    <s v="Ingreep wordt niet opgevolgd in BOD"/>
    <s v="&lt;null&gt;"/>
    <s v="&lt;null&gt;"/>
    <s v="&lt;null&gt;"/>
    <s v="&lt;null&gt;"/>
    <m/>
    <m/>
    <m/>
  </r>
  <r>
    <x v="299"/>
    <x v="299"/>
    <s v="Verkeersveiligheid"/>
    <x v="1"/>
    <n v="2861"/>
    <s v="IN/002168"/>
    <s v="R10 - aanpassingen markeringen"/>
    <s v="Optimalisatie markering"/>
    <s v="Kleine Ingreep"/>
    <s v="WA/INV/R10/7"/>
    <b v="0"/>
    <s v="Ingreep wordt niet opgevolgd in BOD"/>
    <n v="2022"/>
    <s v="Q2"/>
    <s v="WEGENIS"/>
    <s v="&lt;null&gt;"/>
    <n v="50"/>
    <n v="5000"/>
    <n v="2500"/>
  </r>
  <r>
    <x v="1243"/>
    <x v="1243"/>
    <s v="Verkeersveiligheid"/>
    <x v="1"/>
    <n v="2861"/>
    <s v="IN/002168"/>
    <s v="R10 - aanpassingen markeringen"/>
    <s v="Optimalisatie markering"/>
    <s v="Kleine Ingreep"/>
    <s v="WA/INV/R10/7"/>
    <b v="0"/>
    <s v="Ingreep wordt niet opgevolgd in BOD"/>
    <n v="2022"/>
    <s v="Q2"/>
    <s v="WEGENIS"/>
    <s v="&lt;null&gt;"/>
    <n v="50"/>
    <n v="5000"/>
    <n v="2500"/>
  </r>
  <r>
    <x v="1289"/>
    <x v="1289"/>
    <s v="Verkeersveiligheid"/>
    <x v="1"/>
    <n v="2862"/>
    <s v="IN/002169"/>
    <s v="uitbreiden bebouwde kom + 50 handhaven met trajectcontrole"/>
    <s v="&lt;null&gt;"/>
    <s v="Kleine Ingreep"/>
    <s v="&lt;null&gt;"/>
    <b v="0"/>
    <s v="Ingreep wordt niet opgevolgd in BOD"/>
    <s v="&lt;null&gt;"/>
    <s v="&lt;null&gt;"/>
    <s v="&lt;null&gt;"/>
    <s v="&lt;null&gt;"/>
    <n v="100"/>
    <m/>
    <m/>
  </r>
  <r>
    <x v="1509"/>
    <x v="1509"/>
    <s v="Stimuleren Combimobiliteit"/>
    <x v="7"/>
    <n v="2863"/>
    <s v="IN/002170"/>
    <s v="Sint-Steven-Woluwe halte Woluwedal"/>
    <s v="aanpassing bushalte en fietspad"/>
    <s v="Kleine Ingreep"/>
    <s v="WVB/INV/N2/21"/>
    <b v="1"/>
    <s v="Ingreep wordt opgevolgd in BOD"/>
    <n v="2022"/>
    <s v="Q2"/>
    <s v="WEGENIS"/>
    <s v="&lt;null&gt;"/>
    <n v="100"/>
    <n v="42000"/>
    <n v="42000"/>
  </r>
  <r>
    <x v="1510"/>
    <x v="1510"/>
    <s v="Verkeersveiligheid"/>
    <x v="1"/>
    <n v="2864"/>
    <s v="IN/002171"/>
    <s v="N115 x N117 - Herinrichting Kruispunt"/>
    <s v="PCV dossier"/>
    <s v="Kleine Ingreep"/>
    <s v="&lt;null&gt;"/>
    <b v="0"/>
    <s v="Ingreep wordt niet opgevolgd in BOD"/>
    <n v="2022"/>
    <s v="Q4"/>
    <s v="VRI"/>
    <s v="&lt;null&gt;"/>
    <n v="80"/>
    <n v="100000"/>
    <n v="80000"/>
  </r>
  <r>
    <x v="1511"/>
    <x v="1511"/>
    <s v="Stimuleren Combimobiliteit"/>
    <x v="2"/>
    <n v="2864"/>
    <s v="IN/002171"/>
    <s v="N115 x N117 - Herinrichting Kruispunt"/>
    <s v="PCV dossier"/>
    <s v="Kleine Ingreep"/>
    <s v="&lt;null&gt;"/>
    <b v="0"/>
    <s v="Ingreep wordt niet opgevolgd in BOD"/>
    <n v="2022"/>
    <s v="Q4"/>
    <s v="VRI"/>
    <s v="&lt;null&gt;"/>
    <n v="20"/>
    <n v="100000"/>
    <n v="20000"/>
  </r>
  <r>
    <x v="1512"/>
    <x v="1512"/>
    <s v="Verkeersveiligheid"/>
    <x v="4"/>
    <n v="2865"/>
    <s v="IN/002172"/>
    <s v="Fietspadverlichting"/>
    <s v="&lt;null&gt;"/>
    <s v="Kleine Ingreep"/>
    <s v="&lt;null&gt;"/>
    <b v="0"/>
    <s v="Ingreep wordt niet opgevolgd in BOD"/>
    <s v="&lt;null&gt;"/>
    <s v="&lt;null&gt;"/>
    <s v="&lt;null&gt;"/>
    <s v="&lt;null&gt;"/>
    <n v="100"/>
    <m/>
    <m/>
  </r>
  <r>
    <x v="1513"/>
    <x v="1513"/>
    <s v="Verkeersveiligheid"/>
    <x v="4"/>
    <n v="2866"/>
    <s v="IN/002173"/>
    <s v="N32 Brugsesteenweg Roeselare - fietspad verleggen naar asfaltstrook"/>
    <s v="&lt;null&gt;"/>
    <s v="Kleine Ingreep"/>
    <s v="WWV/INV/N32/11"/>
    <b v="1"/>
    <s v="Ingreep wordt opgevolgd in BOD"/>
    <n v="2022"/>
    <s v="Q4"/>
    <s v="OVERIGE"/>
    <s v="VVOP"/>
    <n v="100"/>
    <n v="100000"/>
    <n v="100000"/>
  </r>
  <r>
    <x v="1513"/>
    <x v="1513"/>
    <s v="Verkeersveiligheid"/>
    <x v="4"/>
    <n v="2866"/>
    <s v="IN/002173"/>
    <s v="N32 Brugsesteenweg Roeselare - fietspad verleggen naar asfaltstrook"/>
    <s v="&lt;null&gt;"/>
    <s v="Kleine Ingreep"/>
    <s v="WWV/INV/N32/11"/>
    <b v="1"/>
    <s v="Ingreep wordt opgevolgd in BOD"/>
    <n v="2022"/>
    <s v="Q4"/>
    <s v="WEGENIS"/>
    <s v="&lt;null&gt;"/>
    <n v="100"/>
    <n v="150000"/>
    <n v="150000"/>
  </r>
  <r>
    <x v="18"/>
    <x v="18"/>
    <s v="&lt;null&gt;"/>
    <x v="3"/>
    <n v="2867"/>
    <s v="IN/002174"/>
    <s v="N119 - Turnhout - Module 13 Kastelein"/>
    <s v="&lt;null&gt;"/>
    <s v="Structurele Ingreep"/>
    <s v="WA/INV/N119/1"/>
    <b v="0"/>
    <s v="Ingreep wordt niet opgevolgd in BOD"/>
    <s v="&lt;null&gt;"/>
    <s v="&lt;null&gt;"/>
    <s v="&lt;null&gt;"/>
    <s v="&lt;null&gt;"/>
    <m/>
    <m/>
    <m/>
  </r>
  <r>
    <x v="18"/>
    <x v="18"/>
    <s v="&lt;null&gt;"/>
    <x v="3"/>
    <n v="2868"/>
    <s v="IN/002175"/>
    <s v="R13 - N119 - Turnhout - Aanpassingen kruispunt"/>
    <s v="&lt;null&gt;"/>
    <s v="Structurele Ingreep"/>
    <s v="WA/INV/R13/1"/>
    <b v="0"/>
    <s v="Ingreep wordt niet opgevolgd in BOD"/>
    <s v="&lt;null&gt;"/>
    <s v="&lt;null&gt;"/>
    <s v="&lt;null&gt;"/>
    <s v="&lt;null&gt;"/>
    <m/>
    <m/>
    <m/>
  </r>
  <r>
    <x v="18"/>
    <x v="18"/>
    <s v="&lt;null&gt;"/>
    <x v="3"/>
    <n v="2869"/>
    <s v="IN/002176"/>
    <s v="N13 - Aansluiting Industrielaan op E313"/>
    <s v="&lt;null&gt;"/>
    <s v="Structurele Ingreep"/>
    <s v="WA/INV/N013/2"/>
    <b v="0"/>
    <s v="Ingreep wordt niet opgevolgd in BOD"/>
    <s v="&lt;null&gt;"/>
    <s v="&lt;null&gt;"/>
    <s v="&lt;null&gt;"/>
    <s v="&lt;null&gt;"/>
    <m/>
    <m/>
    <m/>
  </r>
  <r>
    <x v="18"/>
    <x v="18"/>
    <s v="&lt;null&gt;"/>
    <x v="3"/>
    <n v="2870"/>
    <s v="IN/002177"/>
    <s v="N142 - Geel"/>
    <s v="&lt;null&gt;"/>
    <s v="Structurele Ingreep"/>
    <s v="WA/INV/N142/1"/>
    <b v="0"/>
    <s v="Ingreep wordt niet opgevolgd in BOD"/>
    <s v="&lt;null&gt;"/>
    <s v="&lt;null&gt;"/>
    <s v="&lt;null&gt;"/>
    <s v="&lt;null&gt;"/>
    <m/>
    <m/>
    <m/>
  </r>
  <r>
    <x v="18"/>
    <x v="18"/>
    <s v="&lt;null&gt;"/>
    <x v="3"/>
    <n v="2871"/>
    <s v="IN/002178"/>
    <s v="N71 - Structureel onderhoud Mol"/>
    <s v="&lt;null&gt;"/>
    <s v="Structurele Ingreep"/>
    <s v="WA/INV/N71/2"/>
    <b v="0"/>
    <s v="Ingreep wordt niet opgevolgd in BOD"/>
    <s v="&lt;null&gt;"/>
    <s v="&lt;null&gt;"/>
    <s v="&lt;null&gt;"/>
    <s v="&lt;null&gt;"/>
    <m/>
    <m/>
    <m/>
  </r>
  <r>
    <x v="1514"/>
    <x v="1514"/>
    <s v="Verkeersveiligheid"/>
    <x v="4"/>
    <n v="2872"/>
    <s v="IN/002179"/>
    <s v="Asfalt ipv klinkers op fietspad in doortocht Berlare"/>
    <s v="Asfalt ipv klinkers op fietspad in doortocht Berlare"/>
    <s v="Kleine Ingreep"/>
    <s v="WOV/INV/N467/5"/>
    <b v="0"/>
    <s v="Ingreep wordt niet opgevolgd in BOD"/>
    <n v="2022"/>
    <s v="Q2"/>
    <s v="WEGENIS"/>
    <s v="&lt;null&gt;"/>
    <n v="100"/>
    <n v="35000"/>
    <n v="35000"/>
  </r>
  <r>
    <x v="1249"/>
    <x v="1249"/>
    <s v="Verkeersveiligheid"/>
    <x v="4"/>
    <n v="2902"/>
    <s v="IN/002180"/>
    <s v="Onteigening hoek"/>
    <s v="&lt;null&gt;"/>
    <s v="Kleine Ingreep"/>
    <s v="&lt;null&gt;"/>
    <b v="0"/>
    <s v="Ingreep wordt niet opgevolgd in BOD"/>
    <s v="&lt;null&gt;"/>
    <s v="&lt;null&gt;"/>
    <s v="&lt;null&gt;"/>
    <s v="&lt;null&gt;"/>
    <n v="100"/>
    <m/>
    <m/>
  </r>
  <r>
    <x v="18"/>
    <x v="18"/>
    <s v="&lt;null&gt;"/>
    <x v="3"/>
    <n v="2903"/>
    <s v="IN/002181"/>
    <s v="Heraanleg fietspad in Wijnegem op N12 6.1 - 7.1"/>
    <s v="&lt;null&gt;"/>
    <s v="Kleine Ingreep"/>
    <s v="WA/INV/N12/20"/>
    <b v="1"/>
    <s v="Ingreep wordt opgevolgd in BOD"/>
    <n v="2022"/>
    <s v="Q1"/>
    <s v="WEGENIS"/>
    <s v="&lt;null&gt;"/>
    <m/>
    <n v="237501.17"/>
    <m/>
  </r>
  <r>
    <x v="18"/>
    <x v="18"/>
    <s v="&lt;null&gt;"/>
    <x v="3"/>
    <n v="2904"/>
    <s v="IN/002182"/>
    <s v="Heraanleg fietspad in Wijnegem op N12 9.5 - 10.6"/>
    <s v="&lt;null&gt;"/>
    <s v="Kleine Ingreep"/>
    <s v="WA/INV/N12/21"/>
    <b v="1"/>
    <s v="Ingreep wordt opgevolgd in BOD"/>
    <n v="2022"/>
    <s v="Q1"/>
    <s v="WEGENIS"/>
    <s v="&lt;null&gt;"/>
    <m/>
    <n v="380397.09"/>
    <m/>
  </r>
  <r>
    <x v="1515"/>
    <x v="1515"/>
    <s v="Verkeersveiligheid"/>
    <x v="1"/>
    <n v="2905"/>
    <s v="IN/002183"/>
    <s v="aanpassing veiligheid nav dodelijk ongeval"/>
    <s v="aanpassen en uitbreiden markeringen om snelheid omlaag te halen"/>
    <s v="Kleine Ingreep"/>
    <s v="WVB/INV/N223/5"/>
    <b v="0"/>
    <s v="Ingreep wordt niet opgevolgd in BOD"/>
    <n v="2022"/>
    <s v="Q3"/>
    <s v="WEGENIS"/>
    <s v="&lt;null&gt;"/>
    <n v="100"/>
    <n v="15000"/>
    <n v="15000"/>
  </r>
  <r>
    <x v="1516"/>
    <x v="1516"/>
    <s v="Verkeersveiligheid"/>
    <x v="1"/>
    <n v="2906"/>
    <s v="IN/002184"/>
    <s v="Vroentestraat/Rodestraat, gevaarlijk punt (16,700) PCV-dossier VB-357"/>
    <s v="aanpassingen gevaarlijk kruispunt"/>
    <s v="Kleine Ingreep"/>
    <s v="&lt;null&gt;"/>
    <b v="0"/>
    <s v="Ingreep wordt niet opgevolgd in BOD"/>
    <n v="2022"/>
    <s v="Q3"/>
    <s v="OVERIGE"/>
    <s v="markeringen"/>
    <n v="100"/>
    <n v="10000"/>
    <n v="10000"/>
  </r>
  <r>
    <x v="1070"/>
    <x v="1070"/>
    <s v="Verkeersveiligheid"/>
    <x v="4"/>
    <n v="2907"/>
    <s v="IN/002185"/>
    <s v="SRK: N17 Dendermonde: aanbrengen suggestiestroken aan beide zijden van het kruispunt"/>
    <s v="aanbrengen suggestiestroken aan beide zijden van het kruispunt"/>
    <s v="Kleine Ingreep"/>
    <s v="WOV/INV/N17/7"/>
    <b v="1"/>
    <s v="Ingreep wordt opgevolgd in BOD"/>
    <n v="2022"/>
    <s v="Q3"/>
    <s v="OVERIGE"/>
    <s v="&lt;null&gt;"/>
    <n v="100"/>
    <n v="3300"/>
    <n v="3300"/>
  </r>
  <r>
    <x v="1087"/>
    <x v="1087"/>
    <s v="Verkeersveiligheid"/>
    <x v="4"/>
    <n v="2908"/>
    <s v="IN/002186"/>
    <s v="SRK: N449 Wachtebeke: plateaumarkering thv Overledebrug"/>
    <s v="SRK Overledebrug plateaumarkering (KS370); aangebracht tijdens vernieuwing dorpskern"/>
    <s v="Kleine Ingreep"/>
    <s v="WOV/INV/N449/9"/>
    <b v="0"/>
    <s v="Ingreep wordt niet opgevolgd in BOD"/>
    <n v="2022"/>
    <s v="Q2"/>
    <s v="OVERIGE"/>
    <s v="&lt;null&gt;"/>
    <n v="100"/>
    <n v="2000"/>
    <n v="2000"/>
  </r>
  <r>
    <x v="1517"/>
    <x v="1517"/>
    <s v="Fiets"/>
    <x v="0"/>
    <n v="2909"/>
    <s v="IN/002187"/>
    <s v="Structureel onderhoud fiets - Erpe-Mere kmpt. 3.50-4.80 Volledige heropbouw"/>
    <s v="&lt;null&gt;"/>
    <s v="Kleine Ingreep"/>
    <s v="WOV/INV/N46/15"/>
    <b v="0"/>
    <s v="Ingreep wordt niet opgevolgd in BOD"/>
    <n v="2023"/>
    <s v="Q1"/>
    <s v="WEGENIS"/>
    <s v="&lt;null&gt;"/>
    <n v="100"/>
    <n v="450000"/>
    <n v="450000"/>
  </r>
  <r>
    <x v="1518"/>
    <x v="1518"/>
    <s v="Fiets"/>
    <x v="0"/>
    <n v="2910"/>
    <s v="IN/002188"/>
    <s v="Structureel onderhoud fiets - Ninove kmpt. 10.00-11.40 Volledige heropbouw"/>
    <s v="&lt;null&gt;"/>
    <s v="Kleine Ingreep"/>
    <s v="WOV/INV/N255/4"/>
    <b v="0"/>
    <s v="Ingreep wordt niet opgevolgd in BOD"/>
    <n v="2023"/>
    <s v="Q1"/>
    <s v="WEGENIS"/>
    <s v="&lt;null&gt;"/>
    <n v="100"/>
    <n v="500000"/>
    <n v="500000"/>
  </r>
  <r>
    <x v="1519"/>
    <x v="1519"/>
    <s v="Fiets"/>
    <x v="0"/>
    <n v="2911"/>
    <s v="IN/002189"/>
    <s v="Structureel onderhoud fiets - Ninove kmpt. 14.70-15.20 Volledige heropbouw"/>
    <s v="&lt;null&gt;"/>
    <s v="Kleine Ingreep"/>
    <s v="WOV/INV/N255/5"/>
    <b v="0"/>
    <s v="Ingreep wordt niet opgevolgd in BOD"/>
    <n v="2023"/>
    <s v="Q1"/>
    <s v="WEGENIS"/>
    <s v="&lt;null&gt;"/>
    <n v="100"/>
    <n v="200000"/>
    <n v="200000"/>
  </r>
  <r>
    <x v="1520"/>
    <x v="1520"/>
    <s v="Fiets"/>
    <x v="0"/>
    <n v="2912"/>
    <s v="IN/002190"/>
    <s v="Structureel onderhoud fiets - Dendermonde kmpt. 4.40-4.90 Volledige heropbouw"/>
    <s v="&lt;null&gt;"/>
    <s v="Kleine Ingreep"/>
    <s v="WOV/INV/N406/6"/>
    <b v="0"/>
    <s v="Ingreep wordt niet opgevolgd in BOD"/>
    <n v="2023"/>
    <s v="Q1"/>
    <s v="WEGENIS"/>
    <s v="&lt;null&gt;"/>
    <n v="100"/>
    <n v="200000"/>
    <n v="200000"/>
  </r>
  <r>
    <x v="1521"/>
    <x v="1521"/>
    <s v="Fiets"/>
    <x v="0"/>
    <n v="2913"/>
    <s v="IN/002191"/>
    <s v="Structureel onderhoud fiets - Dendermonde kmpt. 5.20-5.60 Volledige heropbouw"/>
    <s v="&lt;null&gt;"/>
    <s v="Kleine Ingreep"/>
    <s v="WOV/INV/N406/7"/>
    <b v="0"/>
    <s v="Ingreep wordt niet opgevolgd in BOD"/>
    <n v="2023"/>
    <s v="Q1"/>
    <s v="WEGENIS"/>
    <s v="&lt;null&gt;"/>
    <n v="100"/>
    <n v="150000"/>
    <n v="150000"/>
  </r>
  <r>
    <x v="1522"/>
    <x v="1522"/>
    <s v="Fiets"/>
    <x v="0"/>
    <n v="2914"/>
    <s v="IN/002192"/>
    <s v="Structureel onderhoud fiets - Geraardsbergen kmpt. 17.3-19.80 Herstel/optimalisatie toplaag"/>
    <s v="&lt;null&gt;"/>
    <s v="Kleine Ingreep"/>
    <s v="WOV/INV/N460/12"/>
    <b v="0"/>
    <s v="Ingreep wordt niet opgevolgd in BOD"/>
    <n v="2023"/>
    <s v="Q1"/>
    <s v="WEGENIS"/>
    <s v="&lt;null&gt;"/>
    <n v="100"/>
    <n v="800000"/>
    <n v="800000"/>
  </r>
  <r>
    <x v="1523"/>
    <x v="1523"/>
    <s v="Fiets"/>
    <x v="0"/>
    <n v="2915"/>
    <s v="IN/002193"/>
    <s v="Structureel onderhoud fiets - Dendermonde/Wichelen kmpt. 6.00-6.70 Volledige heropbouw"/>
    <s v="&lt;null&gt;"/>
    <s v="Kleine Ingreep"/>
    <s v="WOV/INV/N416/8"/>
    <b v="0"/>
    <s v="Ingreep wordt niet opgevolgd in BOD"/>
    <n v="2023"/>
    <s v="Q1"/>
    <s v="WEGENIS"/>
    <s v="&lt;null&gt;"/>
    <n v="100"/>
    <n v="200000"/>
    <n v="200000"/>
  </r>
  <r>
    <x v="1524"/>
    <x v="1524"/>
    <s v="Fiets"/>
    <x v="0"/>
    <n v="2916"/>
    <s v="IN/002194"/>
    <s v="Structureel onderhoud fiets - Aalst kmpt. 5.60-7.50 Herstel asfalt"/>
    <s v="&lt;null&gt;"/>
    <s v="Kleine Ingreep"/>
    <s v="WOV/INV/N406/8"/>
    <b v="0"/>
    <s v="Ingreep wordt niet opgevolgd in BOD"/>
    <n v="2023"/>
    <s v="Q1"/>
    <s v="WEGENIS"/>
    <s v="&lt;null&gt;"/>
    <n v="100"/>
    <n v="480000"/>
    <n v="480000"/>
  </r>
  <r>
    <x v="1525"/>
    <x v="1525"/>
    <s v="Fiets"/>
    <x v="0"/>
    <n v="2917"/>
    <s v="IN/002195"/>
    <s v="Structureel onderhoud fiets - Wortegem-Petegem kmpt. 4.15-5.00 : heraanleg betonnen fietspad in asfalt kmpt. 4.50-5.00 : verhoogd aanliggend maken"/>
    <s v="&lt;null&gt;"/>
    <s v="Kleine Ingreep"/>
    <s v="WOV/INV/N459/4"/>
    <b v="0"/>
    <s v="Ingreep wordt niet opgevolgd in BOD"/>
    <n v="2023"/>
    <s v="Q1"/>
    <s v="WEGENIS"/>
    <s v="&lt;null&gt;"/>
    <n v="100"/>
    <n v="200000"/>
    <n v="200000"/>
  </r>
  <r>
    <x v="1526"/>
    <x v="1526"/>
    <s v="Fiets"/>
    <x v="0"/>
    <n v="2918"/>
    <s v="IN/002196"/>
    <s v="Structureel onderhoud fiets - Oudenaarde kmpt. 26.55-27.25 Volledige heropbouw"/>
    <s v="&lt;null&gt;"/>
    <s v="Kleine Ingreep"/>
    <s v="WOV/INV/N46/16"/>
    <b v="0"/>
    <s v="Ingreep wordt niet opgevolgd in BOD"/>
    <n v="2023"/>
    <s v="Q1"/>
    <s v="WEGENIS"/>
    <s v="&lt;null&gt;"/>
    <n v="100"/>
    <n v="250000"/>
    <n v="250000"/>
  </r>
  <r>
    <x v="1527"/>
    <x v="1527"/>
    <s v="Fiets"/>
    <x v="0"/>
    <n v="2919"/>
    <s v="IN/002197"/>
    <s v="Structureel onderhoud fiets - Zottegem-Zwalm kmpt 17.18-20.30 Herstel/optimalisatie toplaag"/>
    <s v="&lt;null&gt;"/>
    <s v="Kleine Ingreep"/>
    <s v="WOV/INV/N46/17"/>
    <b v="0"/>
    <s v="Ingreep wordt niet opgevolgd in BOD"/>
    <n v="2023"/>
    <s v="Q1"/>
    <s v="WEGENIS"/>
    <s v="&lt;null&gt;"/>
    <n v="100"/>
    <n v="500000"/>
    <n v="500000"/>
  </r>
  <r>
    <x v="1528"/>
    <x v="1528"/>
    <s v="Fiets"/>
    <x v="0"/>
    <n v="2920"/>
    <s v="IN/002198"/>
    <s v="Structureel onderhoud fiets - Herzele kmpt. 18.54-19.65 Volledige heropbouw"/>
    <s v="&lt;null&gt;"/>
    <s v="Kleine Ingreep"/>
    <s v="WOV/INV/N42/9"/>
    <b v="0"/>
    <s v="Ingreep wordt niet opgevolgd in BOD"/>
    <n v="2023"/>
    <s v="Q2"/>
    <s v="WEGENIS"/>
    <s v="&lt;null&gt;"/>
    <n v="100"/>
    <n v="450000"/>
    <n v="450000"/>
  </r>
  <r>
    <x v="1529"/>
    <x v="1529"/>
    <s v="Fiets"/>
    <x v="0"/>
    <n v="2921"/>
    <s v="IN/002199"/>
    <s v="Structureel onderhoud fiets - Brakel kmpt. 8.32-8.75 Volledige heropbouw"/>
    <s v="&lt;null&gt;"/>
    <s v="Kleine Ingreep"/>
    <s v="WOV/INV/N493/6"/>
    <b v="0"/>
    <s v="Ingreep wordt niet opgevolgd in BOD"/>
    <n v="2023"/>
    <s v="Q2"/>
    <s v="WEGENIS"/>
    <s v="&lt;null&gt;"/>
    <n v="100"/>
    <n v="150000"/>
    <n v="150000"/>
  </r>
  <r>
    <x v="1530"/>
    <x v="1530"/>
    <s v="Fiets"/>
    <x v="0"/>
    <n v="2922"/>
    <s v="IN/002200"/>
    <s v="Structureel onderhoud fiets - Ronse kmpt. 15.30-16.70 Herstel/optimalisatie toplaag"/>
    <s v="&lt;null&gt;"/>
    <s v="Kleine Ingreep"/>
    <s v="WOV/INV/N48/4"/>
    <b v="0"/>
    <s v="Ingreep wordt niet opgevolgd in BOD"/>
    <n v="2023"/>
    <s v="Q2"/>
    <s v="WEGENIS"/>
    <s v="&lt;null&gt;"/>
    <n v="100"/>
    <n v="150000"/>
    <n v="150000"/>
  </r>
  <r>
    <x v="1531"/>
    <x v="1531"/>
    <s v="Fiets"/>
    <x v="0"/>
    <n v="2923"/>
    <s v="IN/002201"/>
    <s v="Structureel onderhoud fiets - Zottegem kmpt. 17.30-19.20 Volledige heropbouw"/>
    <s v="&lt;null&gt;"/>
    <s v="Kleine Ingreep"/>
    <s v="WOV/INV/N462/8"/>
    <b v="0"/>
    <s v="Ingreep wordt niet opgevolgd in BOD"/>
    <n v="2023"/>
    <s v="Q2"/>
    <s v="WEGENIS"/>
    <s v="&lt;null&gt;"/>
    <n v="100"/>
    <n v="600000"/>
    <n v="600000"/>
  </r>
  <r>
    <x v="1532"/>
    <x v="1532"/>
    <s v="Fiets"/>
    <x v="0"/>
    <n v="2924"/>
    <s v="IN/002202"/>
    <s v="Structureel onderhoud fiets - Temse kmp. 0.60-0.80 Volledige heropbouw"/>
    <s v="&lt;null&gt;"/>
    <s v="Kleine Ingreep"/>
    <s v="WOV/INV/N419/13"/>
    <b v="0"/>
    <s v="Ingreep wordt niet opgevolgd in BOD"/>
    <n v="2023"/>
    <s v="Q2"/>
    <s v="WEGENIS"/>
    <s v="&lt;null&gt;"/>
    <n v="100"/>
    <n v="300000"/>
    <n v="300000"/>
  </r>
  <r>
    <x v="1533"/>
    <x v="1533"/>
    <s v="Fiets"/>
    <x v="0"/>
    <n v="2925"/>
    <s v="IN/002203"/>
    <s v="Structureel onderhoud fiets - Temse kmpt. 0.95-1.16 Volledige heropbouw"/>
    <s v="&lt;null&gt;"/>
    <s v="Kleine Ingreep"/>
    <s v="WOV/INV/N419/14"/>
    <b v="0"/>
    <s v="Ingreep wordt niet opgevolgd in BOD"/>
    <n v="2023"/>
    <s v="Q2"/>
    <s v="WEGENIS"/>
    <s v="&lt;null&gt;"/>
    <n v="100"/>
    <n v="300000"/>
    <n v="300000"/>
  </r>
  <r>
    <x v="1534"/>
    <x v="1534"/>
    <s v="Fiets"/>
    <x v="0"/>
    <n v="2926"/>
    <s v="IN/002204"/>
    <s v="Structureel onderhoud fiets - Sint-Niklaas kmpt. 34.4-36.1 Verhoogd aanliggend maken"/>
    <s v="&lt;null&gt;"/>
    <s v="Kleine Ingreep"/>
    <s v="WOV/INV/N70/12"/>
    <b v="0"/>
    <s v="Ingreep wordt niet opgevolgd in BOD"/>
    <n v="2023"/>
    <s v="Q2"/>
    <s v="WEGENIS"/>
    <s v="&lt;null&gt;"/>
    <n v="100"/>
    <n v="500000"/>
    <n v="500000"/>
  </r>
  <r>
    <x v="1535"/>
    <x v="1535"/>
    <s v="Fiets"/>
    <x v="0"/>
    <n v="2927"/>
    <s v="IN/002205"/>
    <s v="Structureel onderhoud fiets - Sint-Niklaas kmpt. 27.30-30.00 Verhoogd aanliggend maken"/>
    <s v="&lt;null&gt;"/>
    <s v="Kleine Ingreep"/>
    <s v="WOV/INV/N70/13"/>
    <b v="0"/>
    <s v="Ingreep wordt niet opgevolgd in BOD"/>
    <n v="2023"/>
    <s v="Q2"/>
    <s v="WEGENIS"/>
    <s v="&lt;null&gt;"/>
    <n v="100"/>
    <n v="800000"/>
    <n v="800000"/>
  </r>
  <r>
    <x v="1536"/>
    <x v="1536"/>
    <s v="Fiets"/>
    <x v="0"/>
    <n v="2928"/>
    <s v="IN/002206"/>
    <s v="Structureel onderhoud fiets - Sint-Niklaas kmpt. 26.30-27.30 Volledige heropbouw"/>
    <s v="&lt;null&gt;"/>
    <s v="Kleine Ingreep"/>
    <s v="WOV/INV/N70/14"/>
    <b v="0"/>
    <s v="Ingreep wordt niet opgevolgd in BOD"/>
    <n v="2023"/>
    <s v="Q2"/>
    <s v="WEGENIS"/>
    <s v="&lt;null&gt;"/>
    <n v="100"/>
    <n v="300000"/>
    <n v="300000"/>
  </r>
  <r>
    <x v="1537"/>
    <x v="1537"/>
    <s v="Fiets"/>
    <x v="0"/>
    <n v="2929"/>
    <s v="IN/002207"/>
    <s v="Structureel onderhoud fiets - Waasmunster kmpt. 21.60-26.10 Volledige heropbouw"/>
    <s v="&lt;null&gt;"/>
    <s v="Kleine Ingreep"/>
    <s v="WOV/INV/N70/15"/>
    <b v="0"/>
    <s v="Ingreep wordt niet opgevolgd in BOD"/>
    <n v="2023"/>
    <s v="Q2"/>
    <s v="WEGENIS"/>
    <s v="&lt;null&gt;"/>
    <n v="100"/>
    <n v="1000000"/>
    <n v="1000000"/>
  </r>
  <r>
    <x v="1538"/>
    <x v="1538"/>
    <s v="Fiets"/>
    <x v="0"/>
    <n v="2930"/>
    <s v="IN/002208"/>
    <s v="Structureel onderhoud fiets - Sint-Niklaas kmpt. 1.35-2.05 Volledige heropbouw"/>
    <s v="&lt;null&gt;"/>
    <s v="Kleine Ingreep"/>
    <s v="WOV/INV/R42/5"/>
    <b v="0"/>
    <s v="Ingreep wordt niet opgevolgd in BOD"/>
    <n v="2023"/>
    <s v="Q2"/>
    <s v="WEGENIS"/>
    <s v="&lt;null&gt;"/>
    <n v="100"/>
    <n v="250000"/>
    <n v="250000"/>
  </r>
  <r>
    <x v="1539"/>
    <x v="1539"/>
    <s v="Fiets"/>
    <x v="0"/>
    <n v="2931"/>
    <s v="IN/002209"/>
    <s v="Structureel onderhoud fiets - Sint-Niklaas kmpt. 0.60-1.35 Volledige heropbouw"/>
    <s v="&lt;null&gt;"/>
    <s v="Kleine Ingreep"/>
    <s v="WOV/INV/R42/6"/>
    <b v="0"/>
    <s v="Ingreep wordt niet opgevolgd in BOD"/>
    <n v="2023"/>
    <s v="Q2"/>
    <s v="WEGENIS"/>
    <s v="&lt;null&gt;"/>
    <n v="100"/>
    <n v="250000"/>
    <n v="250000"/>
  </r>
  <r>
    <x v="1540"/>
    <x v="1540"/>
    <s v="Fiets"/>
    <x v="0"/>
    <n v="2932"/>
    <s v="IN/002210"/>
    <s v="Structureel onderhoud fiets - Sint-Niklaas kmpt. 3.60-4.90 Volledige heropbouw"/>
    <s v="&lt;null&gt;"/>
    <s v="Kleine Ingreep"/>
    <s v="WOV/INV/R42/7"/>
    <b v="0"/>
    <s v="Ingreep wordt niet opgevolgd in BOD"/>
    <n v="2023"/>
    <s v="Q2"/>
    <s v="WEGENIS"/>
    <s v="&lt;null&gt;"/>
    <n v="100"/>
    <n v="500000"/>
    <n v="500000"/>
  </r>
  <r>
    <x v="1541"/>
    <x v="1541"/>
    <s v="Fiets"/>
    <x v="0"/>
    <n v="2933"/>
    <s v="IN/002211"/>
    <s v="Structureel onderhoud fiets - Kruibeke kmpt. 8.50-8.90 Volledige heropbouw"/>
    <s v="&lt;null&gt;"/>
    <s v="Kleine Ingreep"/>
    <s v="WOV/INV/N419/15"/>
    <b v="0"/>
    <s v="Ingreep wordt niet opgevolgd in BOD"/>
    <n v="2023"/>
    <s v="Q3"/>
    <s v="WEGENIS"/>
    <s v="&lt;null&gt;"/>
    <n v="100"/>
    <n v="300000"/>
    <n v="300000"/>
  </r>
  <r>
    <x v="1542"/>
    <x v="1542"/>
    <s v="Fiets"/>
    <x v="0"/>
    <n v="2934"/>
    <s v="IN/002212"/>
    <s v="Structureel onderhoud fiets - Maldegem kmpt. 14.10-14.50 Volledige heropbouw. Ingreep ifv veiligheid fietsers"/>
    <s v="&lt;null&gt;"/>
    <s v="Kleine Ingreep"/>
    <s v="WOV/INV/N44/7"/>
    <b v="0"/>
    <s v="Ingreep wordt niet opgevolgd in BOD"/>
    <n v="2023"/>
    <s v="Q3"/>
    <s v="WEGENIS"/>
    <s v="&lt;null&gt;"/>
    <n v="100"/>
    <n v="100000"/>
    <n v="100000"/>
  </r>
  <r>
    <x v="1543"/>
    <x v="1543"/>
    <s v="Fiets"/>
    <x v="0"/>
    <n v="2935"/>
    <s v="IN/002213"/>
    <s v="Structureel onderhoud fiets - Evergem kmpt. 9.10-10.10 Volledige heropbouw. Affrezen betonnen FP en aanbrengen toplaag in asfalt"/>
    <s v="&lt;null&gt;"/>
    <s v="Kleine Ingreep"/>
    <s v="WOV/INV/N456/17"/>
    <b v="0"/>
    <s v="Ingreep wordt niet opgevolgd in BOD"/>
    <n v="2023"/>
    <s v="Q3"/>
    <s v="WEGENIS"/>
    <s v="&lt;null&gt;"/>
    <n v="100"/>
    <n v="900000"/>
    <n v="900000"/>
  </r>
  <r>
    <x v="1544"/>
    <x v="1544"/>
    <s v="Fiets"/>
    <x v="0"/>
    <n v="2936"/>
    <s v="IN/002214"/>
    <s v="Structureel onderhoud fiets - Merelbeke kmpt. 4.50-5.35 Volledige heropbouw. Uitbraak BSS en vervangen door asfalt"/>
    <s v="&lt;null&gt;"/>
    <s v="Kleine Ingreep"/>
    <s v="WOV/INV/N444/7"/>
    <b v="0"/>
    <s v="Ingreep wordt niet opgevolgd in BOD"/>
    <n v="2023"/>
    <s v="Q3"/>
    <s v="WEGENIS"/>
    <s v="&lt;null&gt;"/>
    <n v="100"/>
    <n v="400000"/>
    <n v="400000"/>
  </r>
  <r>
    <x v="1545"/>
    <x v="1545"/>
    <s v="Fiets"/>
    <x v="0"/>
    <n v="2937"/>
    <s v="IN/002215"/>
    <s v="Structureel onderhoud fiets - Evergem kmpt. 5.25-7.15 Volledige heropbouw. Plaatselijk herstel verzakkingen"/>
    <s v="&lt;null&gt;"/>
    <s v="Kleine Ingreep"/>
    <s v="WOV/INV/N456/18"/>
    <b v="0"/>
    <s v="Ingreep wordt niet opgevolgd in BOD"/>
    <n v="2023"/>
    <s v="Q3"/>
    <s v="WEGENIS"/>
    <s v="&lt;null&gt;"/>
    <n v="100"/>
    <n v="600000"/>
    <n v="600000"/>
  </r>
  <r>
    <x v="1546"/>
    <x v="1546"/>
    <s v="Fiets"/>
    <x v="0"/>
    <n v="2938"/>
    <s v="IN/002216"/>
    <s v="Structureel onderhoud fiets - Assenede kmpt. 3.68-6.80 Herstel/optimalisatie toplaag"/>
    <s v="&lt;null&gt;"/>
    <s v="Kleine Ingreep"/>
    <s v="WOV/INV/N448/6"/>
    <b v="0"/>
    <s v="Ingreep wordt niet opgevolgd in BOD"/>
    <n v="2023"/>
    <s v="Q3"/>
    <s v="WEGENIS"/>
    <s v="&lt;null&gt;"/>
    <n v="100"/>
    <n v="250000"/>
    <n v="250000"/>
  </r>
  <r>
    <x v="1547"/>
    <x v="1547"/>
    <s v="Fiets"/>
    <x v="0"/>
    <n v="2939"/>
    <s v="IN/002217"/>
    <s v="Structureel onderhoud fiets - Aalter kmpt. 5.60-9.40 Herstel/optimalisatie toplaag"/>
    <s v="&lt;null&gt;"/>
    <s v="Kleine Ingreep"/>
    <s v="WOV/INV/N44/8"/>
    <b v="0"/>
    <s v="Ingreep wordt niet opgevolgd in BOD"/>
    <n v="2023"/>
    <s v="Q3"/>
    <s v="WEGENIS"/>
    <s v="&lt;null&gt;"/>
    <n v="100"/>
    <n v="400000"/>
    <n v="400000"/>
  </r>
  <r>
    <x v="1548"/>
    <x v="1548"/>
    <s v="Fiets"/>
    <x v="0"/>
    <n v="2940"/>
    <s v="IN/002218"/>
    <s v="Structureel onderhoud fiets - Merelbeke/Gavere kmpt. 11.00-15.00 Herstel/optimalisatie toplaag"/>
    <s v="&lt;null&gt;"/>
    <s v="Kleine Ingreep"/>
    <s v="WOV/INV/N444/8"/>
    <b v="0"/>
    <s v="Ingreep wordt niet opgevolgd in BOD"/>
    <n v="2023"/>
    <s v="Q3"/>
    <s v="WEGENIS"/>
    <s v="&lt;null&gt;"/>
    <n v="100"/>
    <n v="1000000"/>
    <n v="1000000"/>
  </r>
  <r>
    <x v="1549"/>
    <x v="1549"/>
    <s v="Fiets"/>
    <x v="0"/>
    <n v="2941"/>
    <s v="IN/002219"/>
    <s v="Structureel onderhoud fiets - Gent kmpt. 3.50-5.40 Herstel/optimalisatie. Nieuwe toplaag"/>
    <s v="&lt;null&gt;"/>
    <s v="Kleine Ingreep"/>
    <s v="WOV/INV/N466/8"/>
    <b v="0"/>
    <s v="Ingreep wordt niet opgevolgd in BOD"/>
    <n v="2023"/>
    <s v="Q3"/>
    <s v="WEGENIS"/>
    <s v="&lt;null&gt;"/>
    <n v="100"/>
    <n v="150000"/>
    <n v="150000"/>
  </r>
  <r>
    <x v="1550"/>
    <x v="1550"/>
    <s v="Fiets"/>
    <x v="0"/>
    <n v="2942"/>
    <s v="IN/002220"/>
    <s v="Structureel onderhoud fiets - Aalter kmpt. 19.80-23.60 Herstel/optimalisatie toplaag"/>
    <s v="&lt;null&gt;"/>
    <s v="Kleine Ingreep"/>
    <s v="WOV/INV/N461/4"/>
    <b v="0"/>
    <s v="Ingreep wordt niet opgevolgd in BOD"/>
    <n v="2023"/>
    <s v="Q3"/>
    <s v="WEGENIS"/>
    <s v="&lt;null&gt;"/>
    <n v="100"/>
    <n v="900000"/>
    <n v="900000"/>
  </r>
  <r>
    <x v="18"/>
    <x v="18"/>
    <s v="&lt;null&gt;"/>
    <x v="3"/>
    <n v="2952"/>
    <s v="IN/002221"/>
    <s v="E19 SO LOENHOUT = MEER A0010001"/>
    <s v="&lt;null&gt;"/>
    <s v="Structurele Ingreep"/>
    <s v="WA/INV/A1/5"/>
    <b v="0"/>
    <s v="Ingreep wordt niet opgevolgd in BOD"/>
    <s v="&lt;null&gt;"/>
    <s v="&lt;null&gt;"/>
    <s v="&lt;null&gt;"/>
    <s v="&lt;null&gt;"/>
    <m/>
    <m/>
    <m/>
  </r>
  <r>
    <x v="18"/>
    <x v="18"/>
    <s v="&lt;null&gt;"/>
    <x v="3"/>
    <n v="2953"/>
    <s v="IN/002222"/>
    <s v="E19 SO BRECHT = STJOB A0010002"/>
    <s v="&lt;null&gt;"/>
    <s v="Structurele Ingreep"/>
    <s v="WA/INV/A1/6"/>
    <b v="0"/>
    <s v="Ingreep wordt niet opgevolgd in BOD"/>
    <s v="&lt;null&gt;"/>
    <s v="&lt;null&gt;"/>
    <s v="&lt;null&gt;"/>
    <s v="&lt;null&gt;"/>
    <m/>
    <m/>
    <m/>
  </r>
  <r>
    <x v="1551"/>
    <x v="1551"/>
    <s v="Verkeersveiligheid"/>
    <x v="4"/>
    <n v="2954"/>
    <s v="IN/002223"/>
    <s v="Aanpassing lichtenregeling conform actieplan"/>
    <s v="Ombouw afgestemd op herinrichting Sabbestraat door de stad."/>
    <s v="Kleine Ingreep"/>
    <s v="&lt;null&gt;"/>
    <b v="0"/>
    <s v="Ingreep wordt niet opgevolgd in BOD"/>
    <s v="&lt;null&gt;"/>
    <s v="&lt;null&gt;"/>
    <s v="&lt;null&gt;"/>
    <s v="&lt;null&gt;"/>
    <n v="100"/>
    <m/>
    <m/>
  </r>
  <r>
    <x v="546"/>
    <x v="546"/>
    <s v="Verkeersveiligheid"/>
    <x v="1"/>
    <n v="2955"/>
    <s v="IN/002224"/>
    <s v="Streefbeeldstudie N50 Oostkamp"/>
    <s v="&lt;null&gt;"/>
    <s v="Kleine Ingreep"/>
    <s v="&lt;null&gt;"/>
    <b v="0"/>
    <s v="Ingreep wordt niet opgevolgd in BOD"/>
    <s v="&lt;null&gt;"/>
    <s v="&lt;null&gt;"/>
    <s v="&lt;null&gt;"/>
    <s v="&lt;null&gt;"/>
    <n v="40"/>
    <m/>
    <m/>
  </r>
  <r>
    <x v="1552"/>
    <x v="1552"/>
    <s v="Verkeersveiligheid"/>
    <x v="4"/>
    <n v="2955"/>
    <s v="IN/002224"/>
    <s v="Streefbeeldstudie N50 Oostkamp"/>
    <s v="&lt;null&gt;"/>
    <s v="Kleine Ingreep"/>
    <s v="&lt;null&gt;"/>
    <b v="0"/>
    <s v="Ingreep wordt niet opgevolgd in BOD"/>
    <s v="&lt;null&gt;"/>
    <s v="&lt;null&gt;"/>
    <s v="&lt;null&gt;"/>
    <s v="&lt;null&gt;"/>
    <n v="10"/>
    <m/>
    <m/>
  </r>
  <r>
    <x v="707"/>
    <x v="707"/>
    <s v="Verkeersveiligheid"/>
    <x v="4"/>
    <n v="2955"/>
    <s v="IN/002224"/>
    <s v="Streefbeeldstudie N50 Oostkamp"/>
    <s v="&lt;null&gt;"/>
    <s v="Kleine Ingreep"/>
    <s v="&lt;null&gt;"/>
    <b v="0"/>
    <s v="Ingreep wordt niet opgevolgd in BOD"/>
    <s v="&lt;null&gt;"/>
    <s v="&lt;null&gt;"/>
    <s v="&lt;null&gt;"/>
    <s v="&lt;null&gt;"/>
    <n v="10"/>
    <m/>
    <m/>
  </r>
  <r>
    <x v="1553"/>
    <x v="1553"/>
    <s v="Verkeersveiligheid"/>
    <x v="1"/>
    <n v="2955"/>
    <s v="IN/002224"/>
    <s v="Streefbeeldstudie N50 Oostkamp"/>
    <s v="&lt;null&gt;"/>
    <s v="Kleine Ingreep"/>
    <s v="&lt;null&gt;"/>
    <b v="0"/>
    <s v="Ingreep wordt niet opgevolgd in BOD"/>
    <s v="&lt;null&gt;"/>
    <s v="&lt;null&gt;"/>
    <s v="&lt;null&gt;"/>
    <s v="&lt;null&gt;"/>
    <n v="40"/>
    <m/>
    <m/>
  </r>
  <r>
    <x v="1127"/>
    <x v="1127"/>
    <s v="Verkeersveiligheid"/>
    <x v="4"/>
    <n v="3002"/>
    <s v="IN/002225"/>
    <s v="SRK: N415 x N444 Gavere: tweede rij paaltjes plaatsen"/>
    <s v="Tweede rij paaltjes wordt aangebracht dichter bij de N415 om het afsnijden van de bocht komende van de N444 zuidzijde te vermijden"/>
    <s v="Kleine Ingreep"/>
    <s v="WOV/INV/N415/8"/>
    <b v="0"/>
    <s v="Ingreep wordt niet opgevolgd in BOD"/>
    <n v="2022"/>
    <s v="Q2"/>
    <s v="OVERIGE"/>
    <s v="&lt;null&gt;"/>
    <n v="100"/>
    <n v="1000"/>
    <n v="1000"/>
  </r>
  <r>
    <x v="1051"/>
    <x v="1051"/>
    <s v="Verkeersveiligheid"/>
    <x v="4"/>
    <n v="3003"/>
    <s v="IN/002226"/>
    <s v="SRK: N46 Herzele: fietssuggestiestroken en opschriften thv schoolomgeving"/>
    <s v="- Het AWV verwijdert de asmarkering, daar waar er geen fietspaden aanwezig zijn.\n- Het AWV brengt fietssuggestiestroken aan met een breedte van 1,75 m, daar waar er geen fietspaden aanwezig zijn.\n- Het AWV brengt het opschrift SCHOOL aan op de rijweg te"/>
    <s v="Kleine Ingreep"/>
    <s v="WOV/INV/N46/18"/>
    <b v="1"/>
    <s v="Ingreep wordt opgevolgd in BOD"/>
    <n v="2022"/>
    <s v="Q4"/>
    <s v="OVERIGE"/>
    <s v="&lt;null&gt;"/>
    <n v="100"/>
    <n v="28500"/>
    <n v="28500"/>
  </r>
  <r>
    <x v="1100"/>
    <x v="1100"/>
    <s v="Verkeersveiligheid"/>
    <x v="4"/>
    <n v="3004"/>
    <s v="IN/002227"/>
    <s v="SRK: N9 Wetteren: Kwatrecht-station : bijkomende verticale signalisatie en vernieuwen rode slemlagen"/>
    <s v="- Het aanbrengen van bijkomende signalisatie in de vorm van aanwijzingsborden zodat de te volgen fietsroute duidelijker wordt.\n- Vernieuwen van de rode slemlagen op het kruispunt."/>
    <s v="Kleine Ingreep"/>
    <s v="WOV/INV/N9/33"/>
    <b v="1"/>
    <s v="Ingreep wordt opgevolgd in BOD"/>
    <n v="2022"/>
    <s v="Q4"/>
    <s v="OVERIGE"/>
    <s v="&lt;null&gt;"/>
    <n v="100"/>
    <n v="5000"/>
    <n v="5000"/>
  </r>
  <r>
    <x v="18"/>
    <x v="18"/>
    <s v="&lt;null&gt;"/>
    <x v="3"/>
    <n v="3005"/>
    <s v="IN/002228"/>
    <s v="N9 - Herinrichting tussen Vaal"/>
    <s v="&lt;null&gt;"/>
    <s v="Structurele Ingreep"/>
    <s v="WVB/INV/N9/1"/>
    <b v="0"/>
    <s v="Ingreep wordt niet opgevolgd in BOD"/>
    <s v="&lt;null&gt;"/>
    <s v="&lt;null&gt;"/>
    <s v="&lt;null&gt;"/>
    <s v="&lt;null&gt;"/>
    <m/>
    <m/>
    <m/>
  </r>
  <r>
    <x v="1554"/>
    <x v="1554"/>
    <s v="Verkeersveiligheid"/>
    <x v="5"/>
    <n v="3006"/>
    <s v="IN/002229"/>
    <s v="Genk: N702 vernieuwen rotonde + inspectieputten"/>
    <s v="&lt;null&gt;"/>
    <s v="Kleine Ingreep"/>
    <s v="WL/INV/N702/6"/>
    <b v="1"/>
    <s v="Ingreep wordt opgevolgd in BOD"/>
    <n v="2022"/>
    <s v="Q3"/>
    <s v="WEGENIS"/>
    <s v="&lt;null&gt;"/>
    <n v="100"/>
    <n v="200000"/>
    <n v="200000"/>
  </r>
  <r>
    <x v="1555"/>
    <x v="1555"/>
    <s v="Verkeersveiligheid"/>
    <x v="5"/>
    <n v="3007"/>
    <s v="IN/002230"/>
    <s v="Hasselt: N2 fietsoversteken"/>
    <s v="&lt;null&gt;"/>
    <s v="Kleine Ingreep"/>
    <s v="WL/INV/N2/17"/>
    <b v="1"/>
    <s v="Ingreep wordt opgevolgd in BOD"/>
    <n v="2022"/>
    <s v="Q3"/>
    <s v="WEGENIS"/>
    <s v="&lt;null&gt;"/>
    <n v="50"/>
    <n v="150000"/>
    <n v="75000"/>
  </r>
  <r>
    <x v="1556"/>
    <x v="1556"/>
    <s v="Verkeersveiligheid"/>
    <x v="5"/>
    <n v="3007"/>
    <s v="IN/002230"/>
    <s v="Hasselt: N2 fietsoversteken"/>
    <s v="&lt;null&gt;"/>
    <s v="Kleine Ingreep"/>
    <s v="WL/INV/N2/17"/>
    <b v="1"/>
    <s v="Ingreep wordt opgevolgd in BOD"/>
    <n v="2022"/>
    <s v="Q3"/>
    <s v="WEGENIS"/>
    <s v="&lt;null&gt;"/>
    <n v="50"/>
    <n v="150000"/>
    <n v="75000"/>
  </r>
  <r>
    <x v="1557"/>
    <x v="1557"/>
    <s v="Verkeersveiligheid"/>
    <x v="5"/>
    <n v="3008"/>
    <s v="IN/002231"/>
    <s v="Hoeselt: N730 verbeteren oversteekbaarheid"/>
    <s v="&lt;null&gt;"/>
    <s v="Kleine Ingreep"/>
    <s v="WL/INV/N730/26"/>
    <b v="1"/>
    <s v="Ingreep wordt opgevolgd in BOD"/>
    <n v="2022"/>
    <s v="Q3"/>
    <s v="WEGENIS"/>
    <s v="&lt;null&gt;"/>
    <n v="100"/>
    <n v="50000"/>
    <n v="50000"/>
  </r>
  <r>
    <x v="1558"/>
    <x v="1558"/>
    <s v="Verkeersveiligheid"/>
    <x v="5"/>
    <n v="3009"/>
    <s v="IN/002232"/>
    <s v="Heers: N743 fietsbruggen"/>
    <s v="&lt;null&gt;"/>
    <s v="Kleine Ingreep"/>
    <s v="WL/INV/N743/2"/>
    <b v="1"/>
    <s v="Ingreep wordt opgevolgd in BOD"/>
    <n v="2022"/>
    <s v="Q2"/>
    <s v="WEGENIS"/>
    <s v="&lt;null&gt;"/>
    <n v="100"/>
    <n v="100000"/>
    <n v="100000"/>
  </r>
  <r>
    <x v="1559"/>
    <x v="1559"/>
    <s v="Verkeersveiligheid"/>
    <x v="5"/>
    <n v="3010"/>
    <s v="IN/002233"/>
    <s v="Peer: N73 verzakking overgang asfalt-beton"/>
    <s v="&lt;null&gt;"/>
    <s v="Kleine Ingreep"/>
    <s v="WL/INV/N73/27"/>
    <b v="1"/>
    <s v="Ingreep wordt opgevolgd in BOD"/>
    <n v="2022"/>
    <s v="Q3"/>
    <s v="WEGENIS"/>
    <s v="&lt;null&gt;"/>
    <n v="100"/>
    <n v="80000"/>
    <n v="80000"/>
  </r>
  <r>
    <x v="1560"/>
    <x v="1560"/>
    <s v="Verkeersveiligheid"/>
    <x v="5"/>
    <n v="3011"/>
    <s v="IN/002234"/>
    <s v="Heusden-Zolder: E314 x Weyerman voetpaden brug"/>
    <s v="&lt;null&gt;"/>
    <s v="Kleine Ingreep"/>
    <s v="&lt;null&gt;"/>
    <b v="0"/>
    <s v="Ingreep wordt niet opgevolgd in BOD"/>
    <s v="&lt;null&gt;"/>
    <s v="&lt;null&gt;"/>
    <s v="&lt;null&gt;"/>
    <s v="&lt;null&gt;"/>
    <n v="100"/>
    <m/>
    <m/>
  </r>
  <r>
    <x v="1561"/>
    <x v="1561"/>
    <s v="Verkeersveiligheid"/>
    <x v="5"/>
    <n v="3012"/>
    <s v="IN/002235"/>
    <s v="Borgloon: N79 verzakking Rijkel"/>
    <s v="&lt;null&gt;"/>
    <s v="Kleine Ingreep"/>
    <s v="WL/INV/N79/10"/>
    <b v="1"/>
    <s v="Ingreep wordt opgevolgd in BOD"/>
    <n v="2022"/>
    <s v="Q3"/>
    <s v="WEGENIS"/>
    <s v="&lt;null&gt;"/>
    <n v="100"/>
    <n v="250000"/>
    <n v="250000"/>
  </r>
  <r>
    <x v="1562"/>
    <x v="1562"/>
    <s v="Verkeersveiligheid"/>
    <x v="5"/>
    <n v="3013"/>
    <s v="IN/002236"/>
    <s v="Borgloon: N79 verzakking Gotem"/>
    <s v="&lt;null&gt;"/>
    <s v="Kleine Ingreep"/>
    <s v="WL/INV/N79/11"/>
    <b v="1"/>
    <s v="Ingreep wordt opgevolgd in BOD"/>
    <n v="2022"/>
    <s v="Q3"/>
    <s v="WEGENIS"/>
    <s v="&lt;null&gt;"/>
    <n v="100"/>
    <n v="200000"/>
    <n v="200000"/>
  </r>
  <r>
    <x v="1563"/>
    <x v="1563"/>
    <s v="Verkeersveiligheid"/>
    <x v="5"/>
    <n v="3014"/>
    <s v="IN/002237"/>
    <s v="Borgloon: N79 doorstromingsknelpunt"/>
    <s v="&lt;null&gt;"/>
    <s v="Kleine Ingreep"/>
    <s v="WL/INV/N79/12"/>
    <b v="1"/>
    <s v="Ingreep wordt opgevolgd in BOD"/>
    <n v="2022"/>
    <s v="Q3"/>
    <s v="WEGENIS"/>
    <s v="&lt;null&gt;"/>
    <n v="100"/>
    <n v="300000"/>
    <n v="300000"/>
  </r>
  <r>
    <x v="1564"/>
    <x v="1564"/>
    <s v="Verkeersveiligheid"/>
    <x v="5"/>
    <n v="3015"/>
    <s v="IN/002238"/>
    <s v="Bilzen: N745 verzakking thv nutsdoorsteek"/>
    <s v="&lt;null&gt;"/>
    <s v="Kleine Ingreep"/>
    <s v="WL/INV/N745/3"/>
    <b v="1"/>
    <s v="Ingreep wordt opgevolgd in BOD"/>
    <n v="2022"/>
    <s v="Q3"/>
    <s v="WEGENIS"/>
    <s v="&lt;null&gt;"/>
    <n v="100"/>
    <n v="50000"/>
    <n v="50000"/>
  </r>
  <r>
    <x v="1565"/>
    <x v="1565"/>
    <s v="Stimuleren Combimobiliteit"/>
    <x v="7"/>
    <n v="3016"/>
    <s v="IN/002239"/>
    <s v="combimobiliteit Craenenplein"/>
    <s v="aanleg uitstulpende halte + inrichting hoppinpunt"/>
    <s v="Kleine Ingreep"/>
    <s v="WVB/INV/N2/24"/>
    <b v="0"/>
    <s v="Ingreep wordt niet opgevolgd in BOD"/>
    <n v="2022"/>
    <s v="Q3"/>
    <s v="WEGENIS"/>
    <s v="&lt;null&gt;"/>
    <n v="80"/>
    <n v="60000"/>
    <n v="48000"/>
  </r>
  <r>
    <x v="1566"/>
    <x v="1566"/>
    <s v="Stimuleren Combimobiliteit"/>
    <x v="2"/>
    <n v="3016"/>
    <s v="IN/002239"/>
    <s v="combimobiliteit Craenenplein"/>
    <s v="aanleg uitstulpende halte + inrichting hoppinpunt"/>
    <s v="Kleine Ingreep"/>
    <s v="WVB/INV/N2/24"/>
    <b v="0"/>
    <s v="Ingreep wordt niet opgevolgd in BOD"/>
    <n v="2022"/>
    <s v="Q3"/>
    <s v="WEGENIS"/>
    <s v="&lt;null&gt;"/>
    <n v="20"/>
    <n v="60000"/>
    <n v="12000"/>
  </r>
  <r>
    <x v="1567"/>
    <x v="1567"/>
    <s v="Verkeersveiligheid"/>
    <x v="4"/>
    <n v="3017"/>
    <s v="IN/002240"/>
    <s v="N493  aanleggen fiets en voetpaden"/>
    <s v="Vernieuwen en verbreden van de fietspaden, aanleg van voetpaden in functie van de zwakke weggebruiker"/>
    <s v="Kleine Ingreep"/>
    <s v="&lt;null&gt;"/>
    <b v="0"/>
    <s v="Ingreep wordt niet opgevolgd in BOD"/>
    <n v="2022"/>
    <s v="Q3"/>
    <s v="WEGENIS"/>
    <s v="PCV bestek X40 D400 51"/>
    <n v="100"/>
    <n v="250000"/>
    <n v="250000"/>
  </r>
  <r>
    <x v="1359"/>
    <x v="1359"/>
    <s v="Verkeersveiligheid"/>
    <x v="4"/>
    <n v="3018"/>
    <s v="IN/002241"/>
    <s v="SRK: N445 Laarne: VVOP"/>
    <s v="&lt;null&gt;"/>
    <s v="Kleine Ingreep"/>
    <s v="WOV/INV/N445/8"/>
    <b v="0"/>
    <s v="Ingreep wordt niet opgevolgd in BOD"/>
    <n v="2022"/>
    <s v="Q3"/>
    <s v="OV"/>
    <s v="&lt;null&gt;"/>
    <n v="100"/>
    <n v="25000"/>
    <n v="25000"/>
  </r>
  <r>
    <x v="18"/>
    <x v="18"/>
    <s v="&lt;null&gt;"/>
    <x v="3"/>
    <n v="3019"/>
    <s v="IN/002242"/>
    <s v="N285 Ternat hoppinpunt en doorstroming"/>
    <s v="&lt;null&gt;"/>
    <s v="Structurele Ingreep"/>
    <s v="WVB/INV/N285/11"/>
    <b v="0"/>
    <s v="Ingreep wordt niet opgevolgd in BOD"/>
    <s v="&lt;null&gt;"/>
    <s v="&lt;null&gt;"/>
    <s v="&lt;null&gt;"/>
    <s v="&lt;null&gt;"/>
    <m/>
    <m/>
    <m/>
  </r>
  <r>
    <x v="1121"/>
    <x v="1121"/>
    <s v="Verkeersveiligheid"/>
    <x v="4"/>
    <n v="3020"/>
    <s v="IN/002243"/>
    <s v="N460 -  schoolroute - VVOP"/>
    <s v="Plaatsen van punctuele verlichting"/>
    <s v="Kleine Ingreep"/>
    <s v="WOV/INV/N460/13"/>
    <b v="0"/>
    <s v="Ingreep wordt niet opgevolgd in BOD"/>
    <n v="2022"/>
    <s v="Q4"/>
    <s v="OV"/>
    <s v="&lt;null&gt;"/>
    <n v="100"/>
    <n v="35000"/>
    <n v="35000"/>
  </r>
  <r>
    <x v="1103"/>
    <x v="1103"/>
    <s v="Verkeersveiligheid"/>
    <x v="4"/>
    <n v="3021"/>
    <s v="IN/002244"/>
    <s v="N491 - Kruibeke -schoolroute - VVOP"/>
    <s v="Plaatsen van punctuele verlichting en kleine aanpassing aan de oversteek volgens rapport."/>
    <s v="Kleine Ingreep"/>
    <s v="&lt;null&gt;"/>
    <b v="0"/>
    <s v="Ingreep wordt niet opgevolgd in BOD"/>
    <n v="2022"/>
    <s v="Q4"/>
    <s v="OV"/>
    <s v="&lt;null&gt;"/>
    <n v="100"/>
    <n v="35000"/>
    <n v="35000"/>
  </r>
  <r>
    <x v="1143"/>
    <x v="1143"/>
    <s v="Verkeersveiligheid"/>
    <x v="4"/>
    <n v="3022"/>
    <s v="IN/002245"/>
    <s v="N406 - Gijzegem - uitvoeren V-plan"/>
    <s v="&lt;null&gt;"/>
    <s v="Kleine Ingreep"/>
    <s v="&lt;null&gt;"/>
    <b v="0"/>
    <s v="Ingreep wordt niet opgevolgd in BOD"/>
    <n v="2023"/>
    <s v="Q1"/>
    <s v="VRI"/>
    <s v="&lt;null&gt;"/>
    <n v="100"/>
    <n v="50000"/>
    <n v="50000"/>
  </r>
  <r>
    <x v="1568"/>
    <x v="1568"/>
    <s v="Stimuleren Combimobiliteit"/>
    <x v="7"/>
    <n v="3023"/>
    <s v="IN/002246"/>
    <s v="Aanpassen bushalte N70 thv kp 3.7 - 3.6"/>
    <s v="Op aanvraag van De Lijn wordt de bushalte 1 lange haltehaven ipv 2 haltehavens"/>
    <s v="Kleine Ingreep"/>
    <s v="WOV/INV/N70/16"/>
    <b v="1"/>
    <s v="Ingreep wordt opgevolgd in BOD"/>
    <n v="2022"/>
    <s v="Q4"/>
    <s v="WEGENIS"/>
    <s v="&lt;null&gt;"/>
    <n v="100"/>
    <n v="9600"/>
    <n v="9600"/>
  </r>
  <r>
    <x v="1147"/>
    <x v="1147"/>
    <s v="Verkeersveiligheid"/>
    <x v="4"/>
    <n v="3024"/>
    <s v="IN/002247"/>
    <s v="SRK: N495 Geraardsbergen: aanpassen markeringen Zonnebloemlaan"/>
    <s v="aanpassen markeringen ter hoogte van Zonnebloemlaan en Gentweg"/>
    <s v="Kleine Ingreep"/>
    <s v="WOV/INV/N495/9"/>
    <b v="1"/>
    <s v="Ingreep wordt opgevolgd in BOD"/>
    <n v="2022"/>
    <s v="Q4"/>
    <s v="OVERIGE"/>
    <s v="&lt;null&gt;"/>
    <n v="100"/>
    <n v="11000"/>
    <n v="11000"/>
  </r>
  <r>
    <x v="1146"/>
    <x v="1146"/>
    <s v="Verkeersveiligheid"/>
    <x v="4"/>
    <n v="3025"/>
    <s v="IN/002248"/>
    <s v="SRK: N495 Geraardsbergen: aanpassen markeringen"/>
    <s v="aanbrengen fietspadmarkering en verwijderen afslagstrook"/>
    <s v="Kleine Ingreep"/>
    <s v="WOV/INV/N495/8"/>
    <b v="1"/>
    <s v="Ingreep wordt opgevolgd in BOD"/>
    <n v="2022"/>
    <s v="Q4"/>
    <s v="OVERIGE"/>
    <s v="&lt;null&gt;"/>
    <n v="100"/>
    <n v="5000"/>
    <n v="5000"/>
  </r>
  <r>
    <x v="1569"/>
    <x v="1569"/>
    <s v="Verkeersveiligheid"/>
    <x v="1"/>
    <n v="3026"/>
    <s v="IN/002249"/>
    <s v="N71 Lommel Overkapping Singel thv Stationstraat"/>
    <s v="&lt;null&gt;"/>
    <s v="Structurele Ingreep"/>
    <s v="WL/INV/N71/2"/>
    <b v="0"/>
    <s v="Ingreep wordt niet opgevolgd in BOD"/>
    <s v="&lt;null&gt;"/>
    <s v="&lt;null&gt;"/>
    <s v="&lt;null&gt;"/>
    <s v="&lt;null&gt;"/>
    <n v="100"/>
    <m/>
    <m/>
  </r>
  <r>
    <x v="1570"/>
    <x v="1570"/>
    <s v="Verkeersveiligheid"/>
    <x v="4"/>
    <n v="3027"/>
    <s v="IN/002250"/>
    <s v="Studie op te starten (verwacht 2022)"/>
    <s v="&lt;null&gt;"/>
    <s v="Kleine Ingreep"/>
    <s v="&lt;null&gt;"/>
    <b v="0"/>
    <s v="Ingreep wordt niet opgevolgd in BOD"/>
    <s v="&lt;null&gt;"/>
    <s v="&lt;null&gt;"/>
    <s v="&lt;null&gt;"/>
    <s v="&lt;null&gt;"/>
    <n v="100"/>
    <m/>
    <m/>
  </r>
  <r>
    <x v="1571"/>
    <x v="1571"/>
    <s v="Verkeersveiligheid"/>
    <x v="4"/>
    <n v="3028"/>
    <s v="IN/002251"/>
    <s v="Studietraject op te starten (verwacht 2022)"/>
    <s v="&lt;null&gt;"/>
    <s v="Kleine Ingreep"/>
    <s v="&lt;null&gt;"/>
    <b v="0"/>
    <s v="Ingreep wordt niet opgevolgd in BOD"/>
    <s v="&lt;null&gt;"/>
    <s v="&lt;null&gt;"/>
    <s v="&lt;null&gt;"/>
    <s v="&lt;null&gt;"/>
    <n v="100"/>
    <m/>
    <m/>
  </r>
  <r>
    <x v="1572"/>
    <x v="1572"/>
    <s v="Verkeersveiligheid"/>
    <x v="4"/>
    <n v="3029"/>
    <s v="IN/002252"/>
    <s v="Studietraject op te starten (verwacht 2022)"/>
    <s v="&lt;null&gt;"/>
    <s v="Kleine Ingreep"/>
    <s v="&lt;null&gt;"/>
    <b v="0"/>
    <s v="Ingreep wordt niet opgevolgd in BOD"/>
    <s v="&lt;null&gt;"/>
    <s v="&lt;null&gt;"/>
    <s v="&lt;null&gt;"/>
    <s v="&lt;null&gt;"/>
    <n v="100"/>
    <m/>
    <m/>
  </r>
  <r>
    <x v="1573"/>
    <x v="1573"/>
    <s v="Verkeersveiligheid"/>
    <x v="4"/>
    <n v="3030"/>
    <s v="IN/002253"/>
    <s v="Klinkers vervangen door asfalt"/>
    <s v="&lt;null&gt;"/>
    <s v="Kleine Ingreep"/>
    <s v="WL/INV/N757/2"/>
    <b v="0"/>
    <s v="Ingreep wordt niet opgevolgd in BOD"/>
    <n v="2022"/>
    <s v="Q2"/>
    <s v="WEGENIS"/>
    <s v="&lt;null&gt;"/>
    <n v="100"/>
    <n v="88115.67"/>
    <n v="88115.67"/>
  </r>
  <r>
    <x v="18"/>
    <x v="18"/>
    <s v="&lt;null&gt;"/>
    <x v="3"/>
    <n v="3031"/>
    <s v="IN/002254"/>
    <s v="N012 - MALLE - RING Fase 2 en 3 X10_N12_66"/>
    <s v="&lt;null&gt;"/>
    <s v="Structurele Ingreep"/>
    <s v="WA/INV/N12/2"/>
    <b v="0"/>
    <s v="Ingreep wordt niet opgevolgd in BOD"/>
    <s v="&lt;null&gt;"/>
    <s v="&lt;null&gt;"/>
    <s v="&lt;null&gt;"/>
    <s v="&lt;null&gt;"/>
    <m/>
    <m/>
    <m/>
  </r>
  <r>
    <x v="18"/>
    <x v="18"/>
    <s v="&lt;null&gt;"/>
    <x v="3"/>
    <n v="3032"/>
    <s v="IN/002255"/>
    <s v="N437 St-Martens-Latem heraanleg Pontstraat"/>
    <s v="&lt;null&gt;"/>
    <s v="Structurele Ingreep"/>
    <s v="WOV/INV/N437/1"/>
    <b v="0"/>
    <s v="Ingreep wordt niet opgevolgd in BOD"/>
    <s v="&lt;null&gt;"/>
    <s v="&lt;null&gt;"/>
    <s v="&lt;null&gt;"/>
    <s v="&lt;null&gt;"/>
    <m/>
    <m/>
    <m/>
  </r>
  <r>
    <x v="1574"/>
    <x v="1574"/>
    <s v="Verkeersveiligheid"/>
    <x v="1"/>
    <n v="3033"/>
    <s v="IN/002256"/>
    <s v="Herinrichting en gewijzigd V-plan"/>
    <s v="&lt;null&gt;"/>
    <s v="Kleine Ingreep"/>
    <s v="&lt;null&gt;"/>
    <b v="0"/>
    <s v="Ingreep wordt niet opgevolgd in BOD"/>
    <s v="&lt;null&gt;"/>
    <s v="&lt;null&gt;"/>
    <s v="&lt;null&gt;"/>
    <s v="&lt;null&gt;"/>
    <n v="100"/>
    <m/>
    <m/>
  </r>
  <r>
    <x v="18"/>
    <x v="18"/>
    <s v="&lt;null&gt;"/>
    <x v="3"/>
    <n v="3034"/>
    <s v="IN/002257"/>
    <s v="Ombouw volgens actieplan slimme verkeerslichten"/>
    <s v="&lt;null&gt;"/>
    <s v="Kleine Ingreep"/>
    <s v="&lt;null&gt;"/>
    <b v="0"/>
    <s v="Ingreep wordt niet opgevolgd in BOD"/>
    <s v="&lt;null&gt;"/>
    <s v="&lt;null&gt;"/>
    <s v="&lt;null&gt;"/>
    <s v="&lt;null&gt;"/>
    <m/>
    <m/>
    <m/>
  </r>
  <r>
    <x v="1575"/>
    <x v="1575"/>
    <s v="Verkeersveiligheid"/>
    <x v="1"/>
    <n v="3035"/>
    <s v="IN/002258"/>
    <s v="Aanpak kruispunt + Wegdek"/>
    <s v="&lt;null&gt;"/>
    <s v="Kleine Ingreep"/>
    <s v="WA/INV/N1/26"/>
    <b v="0"/>
    <s v="Ingreep wordt niet opgevolgd in BOD"/>
    <n v="2022"/>
    <s v="Q4"/>
    <s v="WEGENIS"/>
    <s v="schatting"/>
    <n v="100"/>
    <n v="50000"/>
    <n v="50000"/>
  </r>
  <r>
    <x v="1576"/>
    <x v="1576"/>
    <s v="Verkeersveiligheid"/>
    <x v="1"/>
    <n v="3036"/>
    <s v="IN/002259"/>
    <s v="Quick wins"/>
    <s v="- snelheidsverlaging naar 70 (uitgevoerd januari 2021)\n- aanpassing markeringen (uitgevoerd 2020)\n- verbreden FOP's (uitgevoerd september 2021)"/>
    <s v="Kleine Ingreep"/>
    <s v="WL/INV/N76/30"/>
    <b v="0"/>
    <s v="Ingreep wordt niet opgevolgd in BOD"/>
    <n v="2022"/>
    <s v="Q1"/>
    <s v="OVERIGE"/>
    <s v="&lt;null&gt;"/>
    <n v="100"/>
    <n v="1"/>
    <n v="1"/>
  </r>
  <r>
    <x v="1576"/>
    <x v="1576"/>
    <s v="Verkeersveiligheid"/>
    <x v="1"/>
    <n v="3037"/>
    <s v="IN/002260"/>
    <s v="Trajectcontrole N76"/>
    <s v="&lt;null&gt;"/>
    <s v="Kleine Ingreep"/>
    <s v="&lt;null&gt;"/>
    <b v="0"/>
    <s v="Ingreep wordt niet opgevolgd in BOD"/>
    <s v="&lt;null&gt;"/>
    <s v="&lt;null&gt;"/>
    <s v="&lt;null&gt;"/>
    <s v="&lt;null&gt;"/>
    <n v="100"/>
    <m/>
    <m/>
  </r>
  <r>
    <x v="18"/>
    <x v="18"/>
    <s v="&lt;null&gt;"/>
    <x v="3"/>
    <n v="3038"/>
    <s v="IN/002261"/>
    <s v="A1 MEER Aanleg fietspad douanecomplex"/>
    <s v="&lt;null&gt;"/>
    <s v="Structurele Ingreep"/>
    <s v="WA/INV/A1/7"/>
    <b v="0"/>
    <s v="Ingreep wordt niet opgevolgd in BOD"/>
    <s v="&lt;null&gt;"/>
    <s v="&lt;null&gt;"/>
    <s v="&lt;null&gt;"/>
    <s v="&lt;null&gt;"/>
    <m/>
    <m/>
    <m/>
  </r>
  <r>
    <x v="18"/>
    <x v="18"/>
    <s v="&lt;null&gt;"/>
    <x v="3"/>
    <n v="3039"/>
    <s v="IN/002262"/>
    <s v="N117 ESSEN MOD13 Fietspad van tussen N122 en N133"/>
    <s v="&lt;null&gt;"/>
    <s v="Structurele Ingreep"/>
    <s v="WA/INV/N122/4"/>
    <b v="0"/>
    <s v="Ingreep wordt niet opgevolgd in BOD"/>
    <s v="&lt;null&gt;"/>
    <s v="&lt;null&gt;"/>
    <s v="&lt;null&gt;"/>
    <s v="&lt;null&gt;"/>
    <m/>
    <m/>
    <m/>
  </r>
  <r>
    <x v="1577"/>
    <x v="1577"/>
    <s v="Stimuleren Combimobiliteit"/>
    <x v="2"/>
    <n v="3040"/>
    <s v="IN/002263"/>
    <s v="N133 - WUUSTWEZEL - SO Fietspad/parking N111"/>
    <s v="&lt;null&gt;"/>
    <s v="Structurele Ingreep"/>
    <s v="WA/INV/N133/4"/>
    <b v="0"/>
    <s v="Ingreep wordt niet opgevolgd in BOD"/>
    <s v="&lt;null&gt;"/>
    <s v="&lt;null&gt;"/>
    <s v="&lt;null&gt;"/>
    <s v="&lt;null&gt;"/>
    <n v="0"/>
    <m/>
    <m/>
  </r>
  <r>
    <x v="1578"/>
    <x v="1578"/>
    <s v="Stimuleren Combimobiliteit"/>
    <x v="2"/>
    <n v="3040"/>
    <s v="IN/002263"/>
    <s v="N133 - WUUSTWEZEL - SO Fietspad/parking N111"/>
    <s v="&lt;null&gt;"/>
    <s v="Structurele Ingreep"/>
    <s v="WA/INV/N133/4"/>
    <b v="0"/>
    <s v="Ingreep wordt niet opgevolgd in BOD"/>
    <s v="&lt;null&gt;"/>
    <s v="&lt;null&gt;"/>
    <s v="&lt;null&gt;"/>
    <s v="&lt;null&gt;"/>
    <n v="0"/>
    <m/>
    <m/>
  </r>
  <r>
    <x v="18"/>
    <x v="18"/>
    <s v="&lt;null&gt;"/>
    <x v="3"/>
    <n v="3041"/>
    <s v="IN/002264"/>
    <s v="N010 LIER PCV Keerlussen en toegankelijke haltes"/>
    <s v="&lt;null&gt;"/>
    <s v="Structurele Ingreep"/>
    <s v="WA/INV/N10/18"/>
    <b v="0"/>
    <s v="Ingreep wordt niet opgevolgd in BOD"/>
    <s v="&lt;null&gt;"/>
    <s v="&lt;null&gt;"/>
    <s v="&lt;null&gt;"/>
    <s v="&lt;null&gt;"/>
    <m/>
    <m/>
    <m/>
  </r>
  <r>
    <x v="18"/>
    <x v="18"/>
    <s v="&lt;null&gt;"/>
    <x v="3"/>
    <n v="3042"/>
    <s v="IN/002265"/>
    <s v="Renovatie Vierarmentunnel Fase 2"/>
    <s v="&lt;null&gt;"/>
    <s v="Structurele Ingreep"/>
    <s v="WA/INV/VIE/4"/>
    <b v="0"/>
    <s v="Ingreep wordt niet opgevolgd in BOD"/>
    <s v="&lt;null&gt;"/>
    <s v="&lt;null&gt;"/>
    <s v="&lt;null&gt;"/>
    <s v="&lt;null&gt;"/>
    <m/>
    <m/>
    <m/>
  </r>
  <r>
    <x v="18"/>
    <x v="18"/>
    <s v="&lt;null&gt;"/>
    <x v="3"/>
    <n v="3043"/>
    <s v="IN/002266"/>
    <s v="N407 en N407a Laarne Heraanleg"/>
    <s v="&lt;null&gt;"/>
    <s v="Structurele Ingreep"/>
    <s v="WOV/INV/N407/2"/>
    <b v="0"/>
    <s v="Ingreep wordt niet opgevolgd in BOD"/>
    <s v="&lt;null&gt;"/>
    <s v="&lt;null&gt;"/>
    <s v="&lt;null&gt;"/>
    <s v="&lt;null&gt;"/>
    <m/>
    <m/>
    <m/>
  </r>
  <r>
    <x v="18"/>
    <x v="18"/>
    <s v="&lt;null&gt;"/>
    <x v="3"/>
    <n v="3044"/>
    <s v="IN/002267"/>
    <s v="B401 Afbraak en de gevolgen ervan in Gent"/>
    <s v="&lt;null&gt;"/>
    <s v="Structurele Ingreep"/>
    <s v="WOV/INV/B401/1"/>
    <b v="0"/>
    <s v="Ingreep wordt niet opgevolgd in BOD"/>
    <s v="&lt;null&gt;"/>
    <s v="&lt;null&gt;"/>
    <s v="&lt;null&gt;"/>
    <s v="&lt;null&gt;"/>
    <m/>
    <m/>
    <m/>
  </r>
  <r>
    <x v="18"/>
    <x v="18"/>
    <s v="&lt;null&gt;"/>
    <x v="3"/>
    <n v="3045"/>
    <s v="IN/002268"/>
    <s v="N70  Heraanleg wegvak te Waasmunster"/>
    <s v="&lt;null&gt;"/>
    <s v="Structurele Ingreep"/>
    <s v="&lt;null&gt;"/>
    <b v="0"/>
    <s v="Ingreep wordt niet opgevolgd in BOD"/>
    <s v="&lt;null&gt;"/>
    <s v="&lt;null&gt;"/>
    <s v="&lt;null&gt;"/>
    <s v="&lt;null&gt;"/>
    <m/>
    <m/>
    <m/>
  </r>
  <r>
    <x v="18"/>
    <x v="18"/>
    <s v="&lt;null&gt;"/>
    <x v="3"/>
    <n v="3046"/>
    <s v="IN/002269"/>
    <s v="N79 Tongeren - omleiding Overhaem"/>
    <s v="&lt;null&gt;"/>
    <s v="Structurele Ingreep"/>
    <s v="WL/INV/N79/5"/>
    <b v="0"/>
    <s v="Ingreep wordt niet opgevolgd in BOD"/>
    <s v="&lt;null&gt;"/>
    <s v="&lt;null&gt;"/>
    <s v="&lt;null&gt;"/>
    <s v="&lt;null&gt;"/>
    <m/>
    <m/>
    <m/>
  </r>
  <r>
    <x v="18"/>
    <x v="18"/>
    <s v="&lt;null&gt;"/>
    <x v="3"/>
    <n v="3047"/>
    <s v="IN/002270"/>
    <s v="N41 Aalst-Dendermonde missing link"/>
    <s v="&lt;null&gt;"/>
    <s v="Structurele Ingreep"/>
    <s v="WOV/INV/N41/2"/>
    <b v="0"/>
    <s v="Ingreep wordt niet opgevolgd in BOD"/>
    <s v="&lt;null&gt;"/>
    <s v="&lt;null&gt;"/>
    <s v="&lt;null&gt;"/>
    <s v="&lt;null&gt;"/>
    <m/>
    <m/>
    <m/>
  </r>
  <r>
    <x v="18"/>
    <x v="18"/>
    <s v="&lt;null&gt;"/>
    <x v="3"/>
    <n v="3048"/>
    <s v="IN/002271"/>
    <s v="N465a Oosterzele fietspaden Geraardbergsesteenweg"/>
    <s v="&lt;null&gt;"/>
    <s v="Structurele Ingreep"/>
    <s v="WOV/INV/N465A/1"/>
    <b v="0"/>
    <s v="Ingreep wordt niet opgevolgd in BOD"/>
    <s v="&lt;null&gt;"/>
    <s v="&lt;null&gt;"/>
    <s v="&lt;null&gt;"/>
    <s v="&lt;null&gt;"/>
    <m/>
    <m/>
    <m/>
  </r>
  <r>
    <x v="18"/>
    <x v="18"/>
    <s v="&lt;null&gt;"/>
    <x v="3"/>
    <n v="3049"/>
    <s v="IN/002272"/>
    <s v="N454 Zottegem Langestraat - Tweekerkenstraat"/>
    <s v="&lt;null&gt;"/>
    <s v="Structurele Ingreep"/>
    <s v="WOV/INV/N454/1"/>
    <b v="0"/>
    <s v="Ingreep wordt niet opgevolgd in BOD"/>
    <s v="&lt;null&gt;"/>
    <s v="&lt;null&gt;"/>
    <s v="&lt;null&gt;"/>
    <s v="&lt;null&gt;"/>
    <m/>
    <m/>
    <m/>
  </r>
  <r>
    <x v="18"/>
    <x v="18"/>
    <s v="&lt;null&gt;"/>
    <x v="3"/>
    <n v="3050"/>
    <s v="IN/002273"/>
    <s v="N405 Aalst Denderleeuw SO VII  Wildebeek - Dekaply"/>
    <s v="&lt;null&gt;"/>
    <s v="Structurele Ingreep"/>
    <s v="WOV/INV/N405/4"/>
    <b v="0"/>
    <s v="Ingreep wordt niet opgevolgd in BOD"/>
    <s v="&lt;null&gt;"/>
    <s v="&lt;null&gt;"/>
    <s v="&lt;null&gt;"/>
    <s v="&lt;null&gt;"/>
    <m/>
    <m/>
    <m/>
  </r>
  <r>
    <x v="18"/>
    <x v="18"/>
    <s v="&lt;null&gt;"/>
    <x v="3"/>
    <n v="3051"/>
    <s v="IN/002274"/>
    <s v="E314 - Vernieuwen toplaag tussen E40 en Viaduct"/>
    <s v="&lt;null&gt;"/>
    <s v="Structurele Ingreep"/>
    <s v="WVB/INV/A2/5"/>
    <b v="0"/>
    <s v="Ingreep wordt niet opgevolgd in BOD"/>
    <s v="&lt;null&gt;"/>
    <s v="&lt;null&gt;"/>
    <s v="&lt;null&gt;"/>
    <s v="&lt;null&gt;"/>
    <m/>
    <m/>
    <m/>
  </r>
  <r>
    <x v="18"/>
    <x v="18"/>
    <s v="&lt;null&gt;"/>
    <x v="3"/>
    <n v="3052"/>
    <s v="IN/002275"/>
    <s v="N462 Sint-Lievens-Houtem doortocht"/>
    <s v="&lt;null&gt;"/>
    <s v="Structurele Ingreep"/>
    <s v="WOV/INV/N462/4"/>
    <b v="0"/>
    <s v="Ingreep wordt niet opgevolgd in BOD"/>
    <s v="&lt;null&gt;"/>
    <s v="&lt;null&gt;"/>
    <s v="&lt;null&gt;"/>
    <s v="&lt;null&gt;"/>
    <m/>
    <m/>
    <m/>
  </r>
  <r>
    <x v="18"/>
    <x v="18"/>
    <s v="&lt;null&gt;"/>
    <x v="3"/>
    <n v="3053"/>
    <s v="IN/002276"/>
    <s v="N14 Malle tangent fase 1"/>
    <s v="&lt;null&gt;"/>
    <s v="Structurele Ingreep"/>
    <s v="WA/INV/N12/1"/>
    <b v="0"/>
    <s v="Ingreep wordt niet opgevolgd in BOD"/>
    <s v="&lt;null&gt;"/>
    <s v="&lt;null&gt;"/>
    <s v="&lt;null&gt;"/>
    <s v="&lt;null&gt;"/>
    <m/>
    <m/>
    <m/>
  </r>
  <r>
    <x v="18"/>
    <x v="18"/>
    <s v="&lt;null&gt;"/>
    <x v="3"/>
    <n v="3054"/>
    <s v="IN/002277"/>
    <s v="N111 SO Achterbroeksteenweg samen met mod13"/>
    <s v="&lt;null&gt;"/>
    <s v="Structurele Ingreep"/>
    <s v="WA/INV/N111/4"/>
    <b v="0"/>
    <s v="Ingreep wordt niet opgevolgd in BOD"/>
    <s v="&lt;null&gt;"/>
    <s v="&lt;null&gt;"/>
    <s v="&lt;null&gt;"/>
    <s v="&lt;null&gt;"/>
    <m/>
    <m/>
    <m/>
  </r>
  <r>
    <x v="18"/>
    <x v="18"/>
    <s v="&lt;null&gt;"/>
    <x v="3"/>
    <n v="3055"/>
    <s v="IN/002278"/>
    <s v="A001 Schoten Bermbrug VAPEO"/>
    <s v="&lt;null&gt;"/>
    <s v="Structurele Ingreep"/>
    <s v="WA/INV/A001/3"/>
    <b v="0"/>
    <s v="Ingreep wordt niet opgevolgd in BOD"/>
    <s v="&lt;null&gt;"/>
    <s v="&lt;null&gt;"/>
    <s v="&lt;null&gt;"/>
    <s v="&lt;null&gt;"/>
    <m/>
    <m/>
    <m/>
  </r>
  <r>
    <x v="18"/>
    <x v="18"/>
    <s v="&lt;null&gt;"/>
    <x v="3"/>
    <n v="3056"/>
    <s v="IN/002279"/>
    <s v="Bouwen van een tijdelijke dam in de Damse Vaart"/>
    <s v="&lt;null&gt;"/>
    <s v="Structurele Ingreep"/>
    <s v="WWV/INV/N49/2"/>
    <b v="0"/>
    <s v="Ingreep wordt niet opgevolgd in BOD"/>
    <s v="&lt;null&gt;"/>
    <s v="&lt;null&gt;"/>
    <s v="&lt;null&gt;"/>
    <s v="&lt;null&gt;"/>
    <m/>
    <m/>
    <m/>
  </r>
  <r>
    <x v="18"/>
    <x v="18"/>
    <s v="&lt;null&gt;"/>
    <x v="3"/>
    <n v="3057"/>
    <s v="IN/002280"/>
    <s v="N49 Damme - Ventweg Hoeke"/>
    <s v="&lt;null&gt;"/>
    <s v="Structurele Ingreep"/>
    <s v="WWV/INV/N49/3"/>
    <b v="0"/>
    <s v="Ingreep wordt niet opgevolgd in BOD"/>
    <s v="&lt;null&gt;"/>
    <s v="&lt;null&gt;"/>
    <s v="&lt;null&gt;"/>
    <s v="&lt;null&gt;"/>
    <m/>
    <m/>
    <m/>
  </r>
  <r>
    <x v="18"/>
    <x v="18"/>
    <s v="&lt;null&gt;"/>
    <x v="3"/>
    <n v="3058"/>
    <s v="IN/002281"/>
    <s v="A11 Brugge Veldgebied Cathemgoed landinrichting"/>
    <s v="&lt;null&gt;"/>
    <s v="Structurele Ingreep"/>
    <s v="WWV/INV/A11/1"/>
    <b v="0"/>
    <s v="Ingreep wordt niet opgevolgd in BOD"/>
    <s v="&lt;null&gt;"/>
    <s v="&lt;null&gt;"/>
    <s v="&lt;null&gt;"/>
    <s v="&lt;null&gt;"/>
    <m/>
    <m/>
    <m/>
  </r>
  <r>
    <x v="18"/>
    <x v="18"/>
    <s v="&lt;null&gt;"/>
    <x v="3"/>
    <n v="3059"/>
    <s v="IN/002282"/>
    <s v="N49 Maldegem-Damme studie"/>
    <s v="&lt;null&gt;"/>
    <s v="Structurele Ingreep"/>
    <s v="WWV/INV/N49/5"/>
    <b v="0"/>
    <s v="Ingreep wordt niet opgevolgd in BOD"/>
    <s v="&lt;null&gt;"/>
    <s v="&lt;null&gt;"/>
    <s v="&lt;null&gt;"/>
    <s v="&lt;null&gt;"/>
    <m/>
    <m/>
    <m/>
  </r>
  <r>
    <x v="18"/>
    <x v="18"/>
    <s v="&lt;null&gt;"/>
    <x v="3"/>
    <n v="3060"/>
    <s v="IN/002283"/>
    <s v="N49 Tunnels Lapscheurestraat en Nonnendijk en heri"/>
    <s v="&lt;null&gt;"/>
    <s v="Structurele Ingreep"/>
    <s v="WWV/INV/N49/7"/>
    <b v="0"/>
    <s v="Ingreep wordt niet opgevolgd in BOD"/>
    <s v="&lt;null&gt;"/>
    <s v="&lt;null&gt;"/>
    <s v="&lt;null&gt;"/>
    <s v="&lt;null&gt;"/>
    <m/>
    <m/>
    <m/>
  </r>
  <r>
    <x v="18"/>
    <x v="18"/>
    <s v="&lt;null&gt;"/>
    <x v="3"/>
    <n v="3061"/>
    <s v="IN/002284"/>
    <s v="N49 sloopbestek 2 2020"/>
    <s v="&lt;null&gt;"/>
    <s v="Structurele Ingreep"/>
    <s v="WWV/INV/N49/8"/>
    <b v="0"/>
    <s v="Ingreep wordt niet opgevolgd in BOD"/>
    <s v="&lt;null&gt;"/>
    <s v="&lt;null&gt;"/>
    <s v="&lt;null&gt;"/>
    <s v="&lt;null&gt;"/>
    <m/>
    <m/>
    <m/>
  </r>
  <r>
    <x v="18"/>
    <x v="18"/>
    <s v="&lt;null&gt;"/>
    <x v="3"/>
    <n v="3062"/>
    <s v="IN/002285"/>
    <s v="N49 Sloopbestek 3 2021"/>
    <s v="&lt;null&gt;"/>
    <s v="Structurele Ingreep"/>
    <s v="WWV/INV/N49/9"/>
    <b v="0"/>
    <s v="Ingreep wordt niet opgevolgd in BOD"/>
    <s v="&lt;null&gt;"/>
    <s v="&lt;null&gt;"/>
    <s v="&lt;null&gt;"/>
    <s v="&lt;null&gt;"/>
    <m/>
    <m/>
    <m/>
  </r>
  <r>
    <x v="1491"/>
    <x v="1491"/>
    <s v="Verkeersveiligheid"/>
    <x v="1"/>
    <n v="3063"/>
    <s v="IN/002286"/>
    <s v="Ombouw van de N49 - onteigeningen"/>
    <s v="&lt;null&gt;"/>
    <s v="Structurele Ingreep"/>
    <s v="&lt;null&gt;"/>
    <b v="0"/>
    <s v="Ingreep wordt niet opgevolgd in BOD"/>
    <s v="&lt;null&gt;"/>
    <s v="&lt;null&gt;"/>
    <s v="&lt;null&gt;"/>
    <s v="&lt;null&gt;"/>
    <n v="10"/>
    <m/>
    <m/>
  </r>
  <r>
    <x v="18"/>
    <x v="18"/>
    <s v="&lt;null&gt;"/>
    <x v="3"/>
    <n v="3064"/>
    <s v="IN/002287"/>
    <s v="N49 Bruggen Oosthoek en Nieuwburgstraat"/>
    <s v="&lt;null&gt;"/>
    <s v="Structurele Ingreep"/>
    <s v="WOV/INV/N49/2"/>
    <b v="0"/>
    <s v="Ingreep wordt niet opgevolgd in BOD"/>
    <s v="&lt;null&gt;"/>
    <s v="&lt;null&gt;"/>
    <s v="&lt;null&gt;"/>
    <s v="&lt;null&gt;"/>
    <m/>
    <m/>
    <m/>
  </r>
  <r>
    <x v="18"/>
    <x v="18"/>
    <s v="&lt;null&gt;"/>
    <x v="3"/>
    <n v="3065"/>
    <s v="IN/002288"/>
    <s v="Ombouw van de N49 tot autosnelweg, deelproject Dam"/>
    <s v="&lt;null&gt;"/>
    <s v="Structurele Ingreep"/>
    <s v="WOV/INV/N49/3"/>
    <b v="0"/>
    <s v="Ingreep wordt niet opgevolgd in BOD"/>
    <s v="&lt;null&gt;"/>
    <s v="&lt;null&gt;"/>
    <s v="&lt;null&gt;"/>
    <s v="&lt;null&gt;"/>
    <m/>
    <m/>
    <m/>
  </r>
  <r>
    <x v="18"/>
    <x v="18"/>
    <s v="&lt;null&gt;"/>
    <x v="3"/>
    <n v="3066"/>
    <s v="IN/002289"/>
    <s v="Ombouw van de N49 tot autosnelweg, deelproject Dam"/>
    <s v="&lt;null&gt;"/>
    <s v="Structurele Ingreep"/>
    <s v="WOV/INV/N49/4"/>
    <b v="0"/>
    <s v="Ingreep wordt niet opgevolgd in BOD"/>
    <s v="&lt;null&gt;"/>
    <s v="&lt;null&gt;"/>
    <s v="&lt;null&gt;"/>
    <s v="&lt;null&gt;"/>
    <m/>
    <m/>
    <m/>
  </r>
  <r>
    <x v="18"/>
    <x v="18"/>
    <s v="&lt;null&gt;"/>
    <x v="3"/>
    <n v="3067"/>
    <s v="IN/002290"/>
    <s v="N49 Complex Kaprijke"/>
    <s v="&lt;null&gt;"/>
    <s v="Structurele Ingreep"/>
    <s v="WOV/INV/N49/6"/>
    <b v="0"/>
    <s v="Ingreep wordt niet opgevolgd in BOD"/>
    <s v="&lt;null&gt;"/>
    <s v="&lt;null&gt;"/>
    <s v="&lt;null&gt;"/>
    <s v="&lt;null&gt;"/>
    <m/>
    <m/>
    <m/>
  </r>
  <r>
    <x v="18"/>
    <x v="18"/>
    <s v="&lt;null&gt;"/>
    <x v="3"/>
    <n v="3068"/>
    <s v="IN/002291"/>
    <s v="N49 Complex N49-N44"/>
    <s v="&lt;null&gt;"/>
    <s v="Structurele Ingreep"/>
    <s v="WOV/INV/N49/7"/>
    <b v="0"/>
    <s v="Ingreep wordt niet opgevolgd in BOD"/>
    <s v="&lt;null&gt;"/>
    <s v="&lt;null&gt;"/>
    <s v="&lt;null&gt;"/>
    <s v="&lt;null&gt;"/>
    <m/>
    <m/>
    <m/>
  </r>
  <r>
    <x v="18"/>
    <x v="18"/>
    <s v="&lt;null&gt;"/>
    <x v="3"/>
    <n v="3069"/>
    <s v="IN/002292"/>
    <s v="N49 kruispunt N49-Noordstraat N410"/>
    <s v="&lt;null&gt;"/>
    <s v="Structurele Ingreep"/>
    <s v="WOV/INV/N49/8"/>
    <b v="0"/>
    <s v="Ingreep wordt niet opgevolgd in BOD"/>
    <s v="&lt;null&gt;"/>
    <s v="&lt;null&gt;"/>
    <s v="&lt;null&gt;"/>
    <s v="&lt;null&gt;"/>
    <m/>
    <m/>
    <m/>
  </r>
  <r>
    <x v="18"/>
    <x v="18"/>
    <s v="&lt;null&gt;"/>
    <x v="3"/>
    <n v="3070"/>
    <s v="IN/002293"/>
    <s v="N49 brug Stoepestraat"/>
    <s v="&lt;null&gt;"/>
    <s v="Structurele Ingreep"/>
    <s v="WOV/INV/N49/9"/>
    <b v="0"/>
    <s v="Ingreep wordt niet opgevolgd in BOD"/>
    <s v="&lt;null&gt;"/>
    <s v="&lt;null&gt;"/>
    <s v="&lt;null&gt;"/>
    <s v="&lt;null&gt;"/>
    <m/>
    <m/>
    <m/>
  </r>
  <r>
    <x v="18"/>
    <x v="18"/>
    <s v="&lt;null&gt;"/>
    <x v="3"/>
    <n v="3071"/>
    <s v="IN/002294"/>
    <s v="E19 SO GRENS = MEER A0010002"/>
    <s v="&lt;null&gt;"/>
    <s v="Structurele Ingreep"/>
    <s v="WA/INV/A001/7"/>
    <b v="0"/>
    <s v="Ingreep wordt niet opgevolgd in BOD"/>
    <s v="&lt;null&gt;"/>
    <s v="&lt;null&gt;"/>
    <s v="&lt;null&gt;"/>
    <s v="&lt;null&gt;"/>
    <m/>
    <m/>
    <m/>
  </r>
  <r>
    <x v="18"/>
    <x v="18"/>
    <s v="&lt;null&gt;"/>
    <x v="3"/>
    <n v="3072"/>
    <s v="IN/002295"/>
    <s v="N117 Brasschaat, Kapellen, Kalmthout - SO"/>
    <s v="&lt;null&gt;"/>
    <s v="Structurele Ingreep"/>
    <s v="WA/INV/N117/2"/>
    <b v="0"/>
    <s v="Ingreep wordt niet opgevolgd in BOD"/>
    <s v="&lt;null&gt;"/>
    <s v="&lt;null&gt;"/>
    <s v="&lt;null&gt;"/>
    <s v="&lt;null&gt;"/>
    <m/>
    <m/>
    <m/>
  </r>
  <r>
    <x v="18"/>
    <x v="18"/>
    <s v="&lt;null&gt;"/>
    <x v="3"/>
    <n v="3073"/>
    <s v="IN/002296"/>
    <s v="N121 Schilde, Schoten, Brasschaat - Nieuwe toplaag"/>
    <s v="&lt;null&gt;"/>
    <s v="Structurele Ingreep"/>
    <s v="WA/INV/N121/4"/>
    <b v="0"/>
    <s v="Ingreep wordt niet opgevolgd in BOD"/>
    <s v="&lt;null&gt;"/>
    <s v="&lt;null&gt;"/>
    <s v="&lt;null&gt;"/>
    <s v="&lt;null&gt;"/>
    <m/>
    <m/>
    <m/>
  </r>
  <r>
    <x v="18"/>
    <x v="18"/>
    <s v="&lt;null&gt;"/>
    <x v="3"/>
    <n v="3074"/>
    <s v="IN/002297"/>
    <s v="N153 Malle Brecht - SO rijbaan en fietspaden"/>
    <s v="&lt;null&gt;"/>
    <s v="Structurele Ingreep"/>
    <s v="WA/INV/N153/5"/>
    <b v="0"/>
    <s v="Ingreep wordt niet opgevolgd in BOD"/>
    <s v="&lt;null&gt;"/>
    <s v="&lt;null&gt;"/>
    <s v="&lt;null&gt;"/>
    <s v="&lt;null&gt;"/>
    <m/>
    <m/>
    <m/>
  </r>
  <r>
    <x v="18"/>
    <x v="18"/>
    <s v="&lt;null&gt;"/>
    <x v="3"/>
    <n v="3075"/>
    <s v="IN/002298"/>
    <s v="E19 SO STJOB = OUDE BAREEL A0010002"/>
    <s v="&lt;null&gt;"/>
    <s v="Structurele Ingreep"/>
    <s v="WA/INV/A1/8"/>
    <b v="0"/>
    <s v="Ingreep wordt niet opgevolgd in BOD"/>
    <s v="&lt;null&gt;"/>
    <s v="&lt;null&gt;"/>
    <s v="&lt;null&gt;"/>
    <s v="&lt;null&gt;"/>
    <m/>
    <m/>
    <m/>
  </r>
  <r>
    <x v="18"/>
    <x v="18"/>
    <s v="&lt;null&gt;"/>
    <x v="3"/>
    <n v="3076"/>
    <s v="IN/002299"/>
    <s v="E19 SO OUDE BAREEL = STJOB A0010001"/>
    <s v="&lt;null&gt;"/>
    <s v="Structurele Ingreep"/>
    <s v="WA/INV/A1/9"/>
    <b v="0"/>
    <s v="Ingreep wordt niet opgevolgd in BOD"/>
    <s v="&lt;null&gt;"/>
    <s v="&lt;null&gt;"/>
    <s v="&lt;null&gt;"/>
    <s v="&lt;null&gt;"/>
    <m/>
    <m/>
    <m/>
  </r>
  <r>
    <x v="18"/>
    <x v="18"/>
    <s v="&lt;null&gt;"/>
    <x v="3"/>
    <n v="3077"/>
    <s v="IN/002300"/>
    <s v="E19 SO STJOB = BRECHT A0010001"/>
    <s v="&lt;null&gt;"/>
    <s v="Structurele Ingreep"/>
    <s v="WA/INV/A1/10"/>
    <b v="0"/>
    <s v="Ingreep wordt niet opgevolgd in BOD"/>
    <s v="&lt;null&gt;"/>
    <s v="&lt;null&gt;"/>
    <s v="&lt;null&gt;"/>
    <s v="&lt;null&gt;"/>
    <m/>
    <m/>
    <m/>
  </r>
  <r>
    <x v="18"/>
    <x v="18"/>
    <s v="&lt;null&gt;"/>
    <x v="3"/>
    <n v="3078"/>
    <s v="IN/002301"/>
    <s v="E19 SO BRECHT = LOENHOUT A0010001"/>
    <s v="&lt;null&gt;"/>
    <s v="Structurele Ingreep"/>
    <s v="WA/INV/A1/11"/>
    <b v="0"/>
    <s v="Ingreep wordt niet opgevolgd in BOD"/>
    <s v="&lt;null&gt;"/>
    <s v="&lt;null&gt;"/>
    <s v="&lt;null&gt;"/>
    <s v="&lt;null&gt;"/>
    <m/>
    <m/>
    <m/>
  </r>
  <r>
    <x v="18"/>
    <x v="18"/>
    <s v="&lt;null&gt;"/>
    <x v="3"/>
    <n v="3079"/>
    <s v="IN/002302"/>
    <s v="N127/1 bochtverbetering   fp Langenberg Diest"/>
    <s v="&lt;null&gt;"/>
    <s v="Structurele Ingreep"/>
    <s v="&lt;null&gt;"/>
    <b v="0"/>
    <s v="Ingreep wordt niet opgevolgd in BOD"/>
    <s v="&lt;null&gt;"/>
    <s v="&lt;null&gt;"/>
    <s v="&lt;null&gt;"/>
    <s v="&lt;null&gt;"/>
    <m/>
    <m/>
    <m/>
  </r>
  <r>
    <x v="1579"/>
    <x v="1579"/>
    <s v="Verkeersveiligheid"/>
    <x v="1"/>
    <n v="3080"/>
    <s v="IN/002303"/>
    <s v="Verduidelijken situatie"/>
    <s v="Markeringswerken"/>
    <s v="Kleine Ingreep"/>
    <s v="WA/INV/N15/9"/>
    <b v="0"/>
    <s v="Ingreep wordt niet opgevolgd in BOD"/>
    <n v="2022"/>
    <s v="Q2"/>
    <s v="WEGENIS"/>
    <s v="3de"/>
    <n v="100"/>
    <n v="1"/>
    <n v="1"/>
  </r>
  <r>
    <x v="1580"/>
    <x v="1580"/>
    <s v="Verkeersveiligheid"/>
    <x v="4"/>
    <n v="3081"/>
    <s v="IN/002304"/>
    <s v="Fietspadmarkeringen"/>
    <s v="Aanvullen ontbrekende markeringen"/>
    <s v="Kleine Ingreep"/>
    <s v="WL/INV/N717/9"/>
    <b v="0"/>
    <s v="Ingreep wordt niet opgevolgd in BOD"/>
    <n v="2022"/>
    <s v="Q1"/>
    <s v="WEGENIS"/>
    <s v="dummy, lopend contract"/>
    <n v="100"/>
    <n v="1"/>
    <n v="1"/>
  </r>
  <r>
    <x v="1581"/>
    <x v="1581"/>
    <s v="Verkeersveiligheid"/>
    <x v="4"/>
    <n v="3082"/>
    <s v="IN/002305"/>
    <s v="Snelheidsbeperking 50km/u"/>
    <s v="&lt;null&gt;"/>
    <s v="Kleine Ingreep"/>
    <s v="WVB/INV/N267/6"/>
    <b v="0"/>
    <s v="Ingreep wordt niet opgevolgd in BOD"/>
    <n v="2022"/>
    <s v="Q1"/>
    <s v="WEGENIS"/>
    <s v="dummy"/>
    <n v="100"/>
    <n v="1"/>
    <n v="1"/>
  </r>
  <r>
    <x v="18"/>
    <x v="18"/>
    <s v="&lt;null&gt;"/>
    <x v="3"/>
    <n v="3083"/>
    <s v="IN/002306"/>
    <s v="N141/N126 - Laakdal - Doortocht Vorst-Meerlaar"/>
    <s v="&lt;null&gt;"/>
    <s v="Structurele Ingreep"/>
    <s v="WA/INV/N141/1"/>
    <b v="0"/>
    <s v="Ingreep wordt niet opgevolgd in BOD"/>
    <s v="&lt;null&gt;"/>
    <s v="&lt;null&gt;"/>
    <s v="&lt;null&gt;"/>
    <s v="&lt;null&gt;"/>
    <m/>
    <m/>
    <m/>
  </r>
  <r>
    <x v="18"/>
    <x v="18"/>
    <s v="&lt;null&gt;"/>
    <x v="3"/>
    <n v="3084"/>
    <s v="IN/002307"/>
    <s v="Kruispunt N6 x Wittouckstraat SPL"/>
    <s v="&lt;null&gt;"/>
    <s v="Structurele Ingreep"/>
    <s v="WVB/INV/N6/2"/>
    <b v="0"/>
    <s v="Ingreep wordt niet opgevolgd in BOD"/>
    <s v="&lt;null&gt;"/>
    <s v="&lt;null&gt;"/>
    <s v="&lt;null&gt;"/>
    <s v="&lt;null&gt;"/>
    <m/>
    <m/>
    <m/>
  </r>
  <r>
    <x v="18"/>
    <x v="18"/>
    <s v="&lt;null&gt;"/>
    <x v="3"/>
    <n v="3102"/>
    <s v="IN/002308"/>
    <s v="E19 MEER = LOENHOUT"/>
    <s v="&lt;null&gt;"/>
    <s v="Structurele Ingreep"/>
    <s v="WA/INV/A1/12"/>
    <b v="0"/>
    <s v="Ingreep wordt niet opgevolgd in BOD"/>
    <s v="&lt;null&gt;"/>
    <s v="&lt;null&gt;"/>
    <s v="&lt;null&gt;"/>
    <s v="&lt;null&gt;"/>
    <m/>
    <m/>
    <m/>
  </r>
  <r>
    <x v="18"/>
    <x v="18"/>
    <s v="&lt;null&gt;"/>
    <x v="3"/>
    <n v="3103"/>
    <s v="IN/002309"/>
    <s v="E19 SO MEER = GRENS"/>
    <s v="&lt;null&gt;"/>
    <s v="Structurele Ingreep"/>
    <s v="WA/INV/A1/13"/>
    <b v="0"/>
    <s v="Ingreep wordt niet opgevolgd in BOD"/>
    <s v="&lt;null&gt;"/>
    <s v="&lt;null&gt;"/>
    <s v="&lt;null&gt;"/>
    <s v="&lt;null&gt;"/>
    <m/>
    <m/>
    <m/>
  </r>
  <r>
    <x v="18"/>
    <x v="18"/>
    <s v="&lt;null&gt;"/>
    <x v="3"/>
    <n v="3104"/>
    <s v="IN/002310"/>
    <s v="X21/N21/32 Haacht Station Flyover"/>
    <s v="&lt;null&gt;"/>
    <s v="Structurele Ingreep"/>
    <s v="WVB/INV/N21/6"/>
    <b v="0"/>
    <s v="Ingreep wordt niet opgevolgd in BOD"/>
    <s v="&lt;null&gt;"/>
    <s v="&lt;null&gt;"/>
    <s v="&lt;null&gt;"/>
    <s v="&lt;null&gt;"/>
    <m/>
    <m/>
    <m/>
  </r>
  <r>
    <x v="18"/>
    <x v="18"/>
    <s v="&lt;null&gt;"/>
    <x v="3"/>
    <n v="3105"/>
    <s v="IN/002311"/>
    <s v="N730 : Bilzen : aanleg fietspaden"/>
    <s v="&lt;null&gt;"/>
    <s v="Structurele Ingreep"/>
    <s v="WL/INV/N730/1"/>
    <b v="0"/>
    <s v="Ingreep wordt niet opgevolgd in BOD"/>
    <s v="&lt;null&gt;"/>
    <s v="&lt;null&gt;"/>
    <s v="&lt;null&gt;"/>
    <s v="&lt;null&gt;"/>
    <m/>
    <m/>
    <m/>
  </r>
  <r>
    <x v="93"/>
    <x v="93"/>
    <s v="Fiets"/>
    <x v="0"/>
    <n v="3106"/>
    <s v="IN/002312"/>
    <s v="N648 : Voeren : fietspaden"/>
    <s v="&lt;null&gt;"/>
    <s v="Structurele Ingreep"/>
    <s v="WL/INV/N648/1"/>
    <b v="0"/>
    <s v="Ingreep wordt niet opgevolgd in BOD"/>
    <s v="&lt;null&gt;"/>
    <s v="&lt;null&gt;"/>
    <s v="&lt;null&gt;"/>
    <s v="&lt;null&gt;"/>
    <n v="50"/>
    <m/>
    <m/>
  </r>
  <r>
    <x v="739"/>
    <x v="739"/>
    <s v="Verkeersveiligheid"/>
    <x v="4"/>
    <n v="3106"/>
    <s v="IN/002312"/>
    <s v="N648 : Voeren : fietspaden"/>
    <s v="&lt;null&gt;"/>
    <s v="Structurele Ingreep"/>
    <s v="WL/INV/N648/1"/>
    <b v="0"/>
    <s v="Ingreep wordt niet opgevolgd in BOD"/>
    <s v="&lt;null&gt;"/>
    <s v="&lt;null&gt;"/>
    <s v="&lt;null&gt;"/>
    <s v="&lt;null&gt;"/>
    <n v="25"/>
    <m/>
    <m/>
  </r>
  <r>
    <x v="18"/>
    <x v="18"/>
    <s v="&lt;null&gt;"/>
    <x v="3"/>
    <n v="3107"/>
    <s v="IN/002313"/>
    <s v="N2/75 St.Bernard - doorstr BOB/uitst. haltes"/>
    <s v="&lt;null&gt;"/>
    <s v="Structurele Ingreep"/>
    <s v="WVB/INV/N2/2"/>
    <b v="0"/>
    <s v="Ingreep wordt niet opgevolgd in BOD"/>
    <s v="&lt;null&gt;"/>
    <s v="&lt;null&gt;"/>
    <s v="&lt;null&gt;"/>
    <s v="&lt;null&gt;"/>
    <m/>
    <m/>
    <m/>
  </r>
  <r>
    <x v="18"/>
    <x v="18"/>
    <s v="&lt;null&gt;"/>
    <x v="3"/>
    <n v="3108"/>
    <s v="IN/002314"/>
    <s v="N79 Borgloon - Sint-Truiden : aanleg fietspaden"/>
    <s v="&lt;null&gt;"/>
    <s v="Structurele Ingreep"/>
    <s v="WL/INV/N79/6"/>
    <b v="0"/>
    <s v="Ingreep wordt niet opgevolgd in BOD"/>
    <s v="&lt;null&gt;"/>
    <s v="&lt;null&gt;"/>
    <s v="&lt;null&gt;"/>
    <s v="&lt;null&gt;"/>
    <m/>
    <m/>
    <m/>
  </r>
  <r>
    <x v="129"/>
    <x v="129"/>
    <s v="Fiets"/>
    <x v="0"/>
    <n v="3109"/>
    <s v="IN/002315"/>
    <s v="Fase 2 vernieuwen fietspaden N290 Wemmel"/>
    <s v="N290 kmpt 5.0 - 6.8. Vervangen volledige bestaande opbouw fietspad en aanhorigheden (fase 2) alsook vernieuwing toplaag rijbaan."/>
    <s v="Kleine Ingreep"/>
    <s v="&lt;null&gt;"/>
    <b v="0"/>
    <s v="Ingreep wordt niet opgevolgd in BOD"/>
    <s v="&lt;null&gt;"/>
    <s v="&lt;null&gt;"/>
    <s v="&lt;null&gt;"/>
    <s v="&lt;null&gt;"/>
    <n v="100"/>
    <m/>
    <m/>
  </r>
  <r>
    <x v="1582"/>
    <x v="1582"/>
    <s v="Verkeersveiligheid"/>
    <x v="4"/>
    <n v="3110"/>
    <s v="IN/002316"/>
    <s v="Leuven Vernieuwen fietssuggestiestrook + instellen zone 30 op N251 Naamsesteenweg"/>
    <s v="Instellen zone 30, aanbrengen fietslogo's, verwijderen asmarkering"/>
    <s v="Kleine Ingreep"/>
    <s v="WVB/INV/N251/6"/>
    <b v="0"/>
    <s v="Ingreep wordt niet opgevolgd in BOD"/>
    <n v="2022"/>
    <s v="Q4"/>
    <s v="WEGENIS"/>
    <s v="&lt;null&gt;"/>
    <n v="100"/>
    <n v="15000"/>
    <n v="15000"/>
  </r>
  <r>
    <x v="790"/>
    <x v="790"/>
    <s v="Verkeersveiligheid"/>
    <x v="4"/>
    <n v="3111"/>
    <s v="IN/002317"/>
    <s v="ZEM Beekstraat VVOP / VRI"/>
    <s v="Gemeente vraagt of dit kruispunt zal worden uitgerust met verkeerslichten, mits  flankerende maatregelen zoals door AWV reeds werd toegelicht \nen besproken op 9 november ll. Tijdens dit overleg werd \nduidelijk dat een globalere aanpak van de zuidelijk d"/>
    <s v="Kleine Ingreep"/>
    <s v="&lt;null&gt;"/>
    <b v="0"/>
    <s v="Ingreep wordt niet opgevolgd in BOD"/>
    <n v="2023"/>
    <s v="Q3"/>
    <s v="OV"/>
    <s v="&lt;null&gt;"/>
    <n v="100"/>
    <n v="30000"/>
    <n v="30000"/>
  </r>
  <r>
    <x v="790"/>
    <x v="790"/>
    <s v="Verkeersveiligheid"/>
    <x v="4"/>
    <n v="3111"/>
    <s v="IN/002317"/>
    <s v="ZEM Beekstraat VVOP / VRI"/>
    <s v="Gemeente vraagt of dit kruispunt zal worden uitgerust met verkeerslichten, mits  flankerende maatregelen zoals door AWV reeds werd toegelicht \nen besproken op 9 november ll. Tijdens dit overleg werd \nduidelijk dat een globalere aanpak van de zuidelijk d"/>
    <s v="Kleine Ingreep"/>
    <s v="&lt;null&gt;"/>
    <b v="0"/>
    <s v="Ingreep wordt niet opgevolgd in BOD"/>
    <n v="2023"/>
    <s v="Q3"/>
    <s v="VRI"/>
    <s v="&lt;null&gt;"/>
    <n v="100"/>
    <n v="200000"/>
    <n v="200000"/>
  </r>
  <r>
    <x v="582"/>
    <x v="582"/>
    <s v="Verkeersveiligheid"/>
    <x v="1"/>
    <n v="3112"/>
    <s v="IN/002318"/>
    <s v="VRI aanpassen kruispunt N227 x N21"/>
    <s v="Maximaal conflictvrije regeling volgens actieplan"/>
    <s v="Kleine Ingreep"/>
    <s v="WVB/INV/N227/9"/>
    <b v="1"/>
    <s v="Ingreep wordt opgevolgd in BOD"/>
    <n v="2022"/>
    <s v="Q4"/>
    <s v="VRI"/>
    <s v="&lt;null&gt;"/>
    <n v="100"/>
    <n v="190000"/>
    <n v="190000"/>
  </r>
  <r>
    <x v="18"/>
    <x v="18"/>
    <s v="&lt;null&gt;"/>
    <x v="3"/>
    <n v="3122"/>
    <s v="IN/002328"/>
    <s v="E313: Renovatie Hasselt-Oost Diepenbeek"/>
    <s v="&lt;null&gt;"/>
    <s v="Structurele Ingreep"/>
    <s v="WL/INV/E313/4"/>
    <b v="0"/>
    <s v="Ingreep wordt niet opgevolgd in BOD"/>
    <s v="&lt;null&gt;"/>
    <s v="&lt;null&gt;"/>
    <s v="&lt;null&gt;"/>
    <s v="&lt;null&gt;"/>
    <m/>
    <m/>
    <m/>
  </r>
  <r>
    <x v="18"/>
    <x v="18"/>
    <s v="&lt;null&gt;"/>
    <x v="3"/>
    <n v="3123"/>
    <s v="IN/002329"/>
    <s v="N702 x Kiezelstraat, Hasselt"/>
    <s v="&lt;null&gt;"/>
    <s v="Structurele Ingreep"/>
    <s v="WL/INV/N702/1"/>
    <b v="0"/>
    <s v="Ingreep wordt niet opgevolgd in BOD"/>
    <s v="&lt;null&gt;"/>
    <s v="&lt;null&gt;"/>
    <s v="&lt;null&gt;"/>
    <s v="&lt;null&gt;"/>
    <m/>
    <m/>
    <m/>
  </r>
  <r>
    <x v="18"/>
    <x v="18"/>
    <s v="&lt;null&gt;"/>
    <x v="3"/>
    <n v="3124"/>
    <s v="IN/002330"/>
    <s v="N712 Pelt, Renovatie Ringlaan"/>
    <s v="&lt;null&gt;"/>
    <s v="Structurele Ingreep"/>
    <s v="WL/INV/N712/2"/>
    <b v="0"/>
    <s v="Ingreep wordt niet opgevolgd in BOD"/>
    <s v="&lt;null&gt;"/>
    <s v="&lt;null&gt;"/>
    <s v="&lt;null&gt;"/>
    <s v="&lt;null&gt;"/>
    <m/>
    <m/>
    <m/>
  </r>
  <r>
    <x v="18"/>
    <x v="18"/>
    <s v="&lt;null&gt;"/>
    <x v="3"/>
    <n v="3125"/>
    <s v="IN/002331"/>
    <s v="N26 Herent keerpunt Zuid"/>
    <s v="&lt;null&gt;"/>
    <s v="Structurele Ingreep"/>
    <s v="WVB/INV/N26/5"/>
    <b v="0"/>
    <s v="Ingreep wordt niet opgevolgd in BOD"/>
    <s v="&lt;null&gt;"/>
    <s v="&lt;null&gt;"/>
    <s v="&lt;null&gt;"/>
    <s v="&lt;null&gt;"/>
    <m/>
    <m/>
    <m/>
  </r>
  <r>
    <x v="18"/>
    <x v="18"/>
    <s v="&lt;null&gt;"/>
    <x v="3"/>
    <n v="3126"/>
    <s v="IN/002332"/>
    <s v="N26 Leuven Herinrichting thv complex E314/18"/>
    <s v="&lt;null&gt;"/>
    <s v="Structurele Ingreep"/>
    <s v="WVB/INV/N26/4"/>
    <b v="0"/>
    <s v="Ingreep wordt niet opgevolgd in BOD"/>
    <s v="&lt;null&gt;"/>
    <s v="&lt;null&gt;"/>
    <s v="&lt;null&gt;"/>
    <s v="&lt;null&gt;"/>
    <m/>
    <m/>
    <m/>
  </r>
  <r>
    <x v="18"/>
    <x v="18"/>
    <s v="&lt;null&gt;"/>
    <x v="3"/>
    <n v="3127"/>
    <s v="IN/002333"/>
    <s v="R43 Eeklo fase 4 Tieltsesteenweg-Gentsesteenweg"/>
    <s v="&lt;null&gt;"/>
    <s v="Structurele Ingreep"/>
    <s v="WOV/INV/R43/4"/>
    <b v="0"/>
    <s v="Ingreep wordt niet opgevolgd in BOD"/>
    <s v="&lt;null&gt;"/>
    <s v="&lt;null&gt;"/>
    <s v="&lt;null&gt;"/>
    <s v="&lt;null&gt;"/>
    <m/>
    <m/>
    <m/>
  </r>
  <r>
    <x v="18"/>
    <x v="18"/>
    <s v="&lt;null&gt;"/>
    <x v="3"/>
    <n v="3128"/>
    <s v="IN/002334"/>
    <s v="N466a Deinze SO i.c.m. fietspaden en schoolomgevin"/>
    <s v="&lt;null&gt;"/>
    <s v="Structurele Ingreep"/>
    <s v="WOV/INV/N466A/1"/>
    <b v="0"/>
    <s v="Ingreep wordt niet opgevolgd in BOD"/>
    <s v="&lt;null&gt;"/>
    <s v="&lt;null&gt;"/>
    <s v="&lt;null&gt;"/>
    <s v="&lt;null&gt;"/>
    <m/>
    <m/>
    <m/>
  </r>
  <r>
    <x v="1235"/>
    <x v="1235"/>
    <s v="Verkeersveiligheid"/>
    <x v="1"/>
    <n v="3129"/>
    <s v="IN/002335"/>
    <s v="N9 Melle heraanleg wegvak nabij R4 - doorstroming"/>
    <s v="&lt;null&gt;"/>
    <s v="Structurele Ingreep"/>
    <s v="WOV/INV/N9/12"/>
    <b v="0"/>
    <s v="Ingreep wordt niet opgevolgd in BOD"/>
    <s v="&lt;null&gt;"/>
    <s v="&lt;null&gt;"/>
    <s v="&lt;null&gt;"/>
    <s v="&lt;null&gt;"/>
    <n v="50"/>
    <m/>
    <m/>
  </r>
  <r>
    <x v="1583"/>
    <x v="1583"/>
    <s v="Verkeersveiligheid"/>
    <x v="4"/>
    <n v="3129"/>
    <s v="IN/002335"/>
    <s v="N9 Melle heraanleg wegvak nabij R4 - doorstroming"/>
    <s v="&lt;null&gt;"/>
    <s v="Structurele Ingreep"/>
    <s v="WOV/INV/N9/12"/>
    <b v="0"/>
    <s v="Ingreep wordt niet opgevolgd in BOD"/>
    <s v="&lt;null&gt;"/>
    <s v="&lt;null&gt;"/>
    <s v="&lt;null&gt;"/>
    <s v="&lt;null&gt;"/>
    <n v="5"/>
    <m/>
    <m/>
  </r>
  <r>
    <x v="1584"/>
    <x v="1584"/>
    <s v="Stimuleren Combimobiliteit"/>
    <x v="7"/>
    <n v="3130"/>
    <s v="IN/002336"/>
    <s v="bushalte Kaudenaardestraat aanpassen"/>
    <s v="bushalte Kaudenaardestraat uitstulpend verhoogd maken"/>
    <s v="Kleine Ingreep"/>
    <s v="WVB/INV/N8/4"/>
    <b v="0"/>
    <s v="Ingreep wordt niet opgevolgd in BOD"/>
    <n v="2023"/>
    <s v="Q2"/>
    <s v="OVERIGE"/>
    <s v="&lt;null&gt;"/>
    <n v="100"/>
    <n v="40000"/>
    <n v="40000"/>
  </r>
  <r>
    <x v="1585"/>
    <x v="1585"/>
    <s v="Stimuleren Combimobiliteit"/>
    <x v="2"/>
    <n v="3131"/>
    <s v="IN/002337"/>
    <s v="Dilbeek N8 aanpassen bushalte Stelplaats"/>
    <s v="haltehaven verhoogd maken met achterliggend fietspad"/>
    <s v="Kleine Ingreep"/>
    <s v="WVB/INV/N8/5"/>
    <b v="0"/>
    <s v="Ingreep wordt niet opgevolgd in BOD"/>
    <n v="2023"/>
    <s v="Q2"/>
    <s v="OVERIGE"/>
    <s v="&lt;null&gt;"/>
    <n v="0"/>
    <n v="40000"/>
    <n v="0"/>
  </r>
  <r>
    <x v="1586"/>
    <x v="1586"/>
    <s v="Stimuleren Combimobiliteit"/>
    <x v="7"/>
    <n v="3131"/>
    <s v="IN/002337"/>
    <s v="Dilbeek N8 aanpassen bushalte Stelplaats"/>
    <s v="haltehaven verhoogd maken met achterliggend fietspad"/>
    <s v="Kleine Ingreep"/>
    <s v="WVB/INV/N8/5"/>
    <b v="0"/>
    <s v="Ingreep wordt niet opgevolgd in BOD"/>
    <n v="2023"/>
    <s v="Q2"/>
    <s v="OVERIGE"/>
    <s v="&lt;null&gt;"/>
    <n v="100"/>
    <n v="40000"/>
    <n v="40000"/>
  </r>
  <r>
    <x v="1338"/>
    <x v="1338"/>
    <s v="Stimuleren Combimobiliteit"/>
    <x v="7"/>
    <n v="3132"/>
    <s v="IN/002338"/>
    <s v="aanleg bushaltes  N207 Liedekerke Warandestraat"/>
    <s v="aanleg van 2 uitstulpend verhoogde bushaltes"/>
    <s v="Kleine Ingreep"/>
    <s v="WVB/INV/N207/7"/>
    <b v="0"/>
    <s v="Ingreep wordt niet opgevolgd in BOD"/>
    <n v="2023"/>
    <s v="Q2"/>
    <s v="OVERIGE"/>
    <s v="&lt;null&gt;"/>
    <n v="100"/>
    <n v="80000"/>
    <n v="80000"/>
  </r>
  <r>
    <x v="1587"/>
    <x v="1587"/>
    <s v="Verkeersveiligheid"/>
    <x v="4"/>
    <n v="3133"/>
    <s v="IN/002339"/>
    <s v="Scherpenheuvel-Zichem Aanbrengen fietssuggestiestrook Molenstraat"/>
    <s v="Aanbrengen fietssuggestiestrook"/>
    <s v="Kleine Ingreep"/>
    <s v="WVB/INV/N212/3"/>
    <b v="0"/>
    <s v="Ingreep wordt niet opgevolgd in BOD"/>
    <n v="2022"/>
    <s v="Q2"/>
    <s v="OVERIGE"/>
    <s v="niet relance middelen"/>
    <n v="100"/>
    <n v="10000"/>
    <n v="10000"/>
  </r>
  <r>
    <x v="1588"/>
    <x v="1588"/>
    <s v="Verkeersveiligheid"/>
    <x v="4"/>
    <n v="3134"/>
    <s v="IN/002340"/>
    <s v="Leuven Zone 30 maken op de N3"/>
    <s v="Aanpassen naar zone 30."/>
    <s v="Kleine Ingreep"/>
    <s v="WVB/INV/N3/16"/>
    <b v="0"/>
    <s v="Ingreep wordt niet opgevolgd in BOD"/>
    <n v="2022"/>
    <s v="Q4"/>
    <s v="WEGENIS"/>
    <s v="niet relance middelen"/>
    <n v="100"/>
    <n v="2000"/>
    <n v="2000"/>
  </r>
  <r>
    <x v="1361"/>
    <x v="1361"/>
    <s v="Verkeersveiligheid"/>
    <x v="4"/>
    <n v="3135"/>
    <s v="IN/002341"/>
    <s v="punctuele contrastverlichting voor 2 nieuwe VOP's"/>
    <s v="&lt;null&gt;"/>
    <s v="Kleine Ingreep"/>
    <s v="WL/INV/N746/12"/>
    <b v="0"/>
    <s v="Ingreep wordt niet opgevolgd in BOD"/>
    <n v="2023"/>
    <s v="Q1"/>
    <s v="OV"/>
    <s v="&lt;null&gt;"/>
    <n v="100"/>
    <n v="150000"/>
    <n v="150000"/>
  </r>
  <r>
    <x v="1589"/>
    <x v="1589"/>
    <s v="Verkeersveiligheid"/>
    <x v="4"/>
    <n v="3136"/>
    <s v="IN/002342"/>
    <s v="Lubbeek Verplaatsing zebrapad N2 x Rozenweg"/>
    <s v="Lubbeek wenst een oversteek ter hoogte van Rozenstraat. In onmiddelijke nabeijheid liggen 2 andere oversteken. \nBesproken op PCV van december 2021. \n\nVolgende acties: gemeente maakt AR op voor uitbreiding snelheidsregime 50km/u en voor schrappen zebrap"/>
    <s v="Kleine Ingreep"/>
    <s v="&lt;null&gt;"/>
    <b v="0"/>
    <s v="Ingreep wordt niet opgevolgd in BOD"/>
    <n v="2023"/>
    <s v="Q2"/>
    <s v="WEGENIS"/>
    <s v="verwijderen markeringen en bi-flash, + aanbrengen middeneiland en signalisatie"/>
    <n v="100"/>
    <n v="15000"/>
    <n v="15000"/>
  </r>
  <r>
    <x v="717"/>
    <x v="717"/>
    <s v="Verkeersveiligheid"/>
    <x v="4"/>
    <n v="3137"/>
    <s v="IN/002343"/>
    <s v="Onderzoek schoolroute"/>
    <s v="Onderzoek schoolroute\nBijkomende maatregelen gevraagd door de gemeente"/>
    <s v="Kleine Ingreep"/>
    <s v="&lt;null&gt;"/>
    <b v="0"/>
    <s v="Ingreep wordt niet opgevolgd in BOD"/>
    <s v="&lt;null&gt;"/>
    <s v="&lt;null&gt;"/>
    <s v="&lt;null&gt;"/>
    <s v="&lt;null&gt;"/>
    <n v="100"/>
    <m/>
    <m/>
  </r>
  <r>
    <x v="476"/>
    <x v="476"/>
    <s v="Verkeersveiligheid"/>
    <x v="1"/>
    <n v="3138"/>
    <s v="IN/002344"/>
    <s v="Aanpassen markeringen op de brug"/>
    <s v="- op de brug over A10: inhaalstroken verwijderen\n- op krpt: van 2 naar 1 opstelstrook"/>
    <s v="Kleine Ingreep"/>
    <s v="&lt;null&gt;"/>
    <b v="0"/>
    <s v="Ingreep wordt niet opgevolgd in BOD"/>
    <s v="&lt;null&gt;"/>
    <s v="&lt;null&gt;"/>
    <s v="&lt;null&gt;"/>
    <s v="&lt;null&gt;"/>
    <n v="100"/>
    <m/>
    <m/>
  </r>
  <r>
    <x v="18"/>
    <x v="18"/>
    <s v="&lt;null&gt;"/>
    <x v="3"/>
    <n v="3139"/>
    <s v="IN/002345"/>
    <s v="N758 Levensduur verlengend onderhoud"/>
    <s v="&lt;null&gt;"/>
    <s v="Structurele Ingreep"/>
    <s v="WL/INV/N758/4"/>
    <b v="0"/>
    <s v="Ingreep wordt niet opgevolgd in BOD"/>
    <s v="&lt;null&gt;"/>
    <s v="&lt;null&gt;"/>
    <s v="&lt;null&gt;"/>
    <s v="&lt;null&gt;"/>
    <m/>
    <m/>
    <m/>
  </r>
  <r>
    <x v="1590"/>
    <x v="1590"/>
    <s v="Verkeersveiligheid"/>
    <x v="4"/>
    <n v="3140"/>
    <s v="IN/002346"/>
    <s v="Scherpenheuvel-Zichem Aanbrengen van fietssuggestiestroken"/>
    <s v="Vernieuwen van bestaande fietssuggestiestroken en doortrekken van de fietssuggestiestroken tot waar fietspad start."/>
    <s v="Kleine Ingreep"/>
    <s v="WVB/INV/N10/6"/>
    <b v="0"/>
    <s v="Ingreep wordt niet opgevolgd in BOD"/>
    <n v="2022"/>
    <s v="Q2"/>
    <s v="WEGENIS"/>
    <s v="niet relance middelen"/>
    <n v="100"/>
    <n v="20000"/>
    <n v="20000"/>
  </r>
  <r>
    <x v="1591"/>
    <x v="1591"/>
    <s v="Verkeersveiligheid"/>
    <x v="4"/>
    <n v="3141"/>
    <s v="IN/002347"/>
    <s v="Haacht Aanleg van volwaardig fietspad i.p.v. moordstrookjes op N21 tss spoorweg en Wespelaarsebaan"/>
    <s v="Smalle aanliggende fietspaden ombouwen tot verhoogde (indien mogelijk bredere) fietspaden, aansluitend op deze aan het kruispunt van de Grote Baan."/>
    <s v="Kleine Ingreep"/>
    <s v="&lt;null&gt;"/>
    <b v="0"/>
    <s v="Ingreep wordt niet opgevolgd in BOD"/>
    <s v="&lt;null&gt;"/>
    <s v="&lt;null&gt;"/>
    <s v="&lt;null&gt;"/>
    <s v="&lt;null&gt;"/>
    <n v="100"/>
    <m/>
    <m/>
  </r>
  <r>
    <x v="1592"/>
    <x v="1592"/>
    <s v="Verkeersveiligheid"/>
    <x v="4"/>
    <n v="3142"/>
    <s v="IN/002348"/>
    <s v="Tervuren Aanpassing VRI kruispunt N3 en Oppemstraat"/>
    <s v="Lange oversteektijd voor voetgangers en fietsers. Voetgangers kunnen vaak niet in één beweging de Tervurenlaan kruisen en hebben daarvoor vaak twee groenfasen nodig"/>
    <s v="Kleine Ingreep"/>
    <s v="&lt;null&gt;"/>
    <b v="0"/>
    <s v="Ingreep wordt niet opgevolgd in BOD"/>
    <s v="&lt;null&gt;"/>
    <s v="&lt;null&gt;"/>
    <s v="&lt;null&gt;"/>
    <s v="&lt;null&gt;"/>
    <n v="100"/>
    <m/>
    <m/>
  </r>
  <r>
    <x v="1593"/>
    <x v="1593"/>
    <s v="Verkeersveiligheid"/>
    <x v="4"/>
    <n v="3143"/>
    <s v="IN/002349"/>
    <s v="GAL Tollembeek Zone 30"/>
    <s v="Zone 30 in dorpskern."/>
    <s v="Kleine Ingreep"/>
    <s v="&lt;null&gt;"/>
    <b v="0"/>
    <s v="Ingreep wordt niet opgevolgd in BOD"/>
    <s v="&lt;null&gt;"/>
    <s v="&lt;null&gt;"/>
    <s v="&lt;null&gt;"/>
    <s v="&lt;null&gt;"/>
    <n v="100"/>
    <m/>
    <m/>
  </r>
  <r>
    <x v="1594"/>
    <x v="1594"/>
    <s v="Verkeersveiligheid"/>
    <x v="4"/>
    <n v="3144"/>
    <s v="IN/002350"/>
    <s v="Roosdaal Vernieuwen kruispunt N8 x Ramerstraat"/>
    <s v="Aanpassen kruispunt N8 met Ramerstraat / Daalbeekstraat.\nVia SWO met Roosdaal (grotere werken in Ramerstraat incl. rioleringen)\nPCV VB-220"/>
    <s v="Kleine Ingreep"/>
    <s v="&lt;null&gt;"/>
    <b v="0"/>
    <s v="Ingreep wordt niet opgevolgd in BOD"/>
    <n v="2023"/>
    <s v="Q1"/>
    <s v="WEGENIS"/>
    <s v="Kylie bekijkt nog om werken te beperken om tot lager bedrag te komen."/>
    <n v="100"/>
    <n v="400000"/>
    <n v="400000"/>
  </r>
  <r>
    <x v="18"/>
    <x v="18"/>
    <s v="&lt;null&gt;"/>
    <x v="3"/>
    <n v="3145"/>
    <s v="IN/002351"/>
    <s v="Noorderlaan Texaco afgerond"/>
    <s v="&lt;null&gt;"/>
    <s v="Structurele Ingreep"/>
    <s v="WA/INV/N180/1"/>
    <b v="0"/>
    <s v="Ingreep wordt niet opgevolgd in BOD"/>
    <s v="&lt;null&gt;"/>
    <s v="&lt;null&gt;"/>
    <s v="&lt;null&gt;"/>
    <s v="&lt;null&gt;"/>
    <m/>
    <m/>
    <m/>
  </r>
  <r>
    <x v="18"/>
    <x v="18"/>
    <s v="&lt;null&gt;"/>
    <x v="3"/>
    <n v="3146"/>
    <s v="IN/002352"/>
    <s v="E313 Antwerp: Vervang brug Sterckshoflei Cornelis"/>
    <s v="&lt;null&gt;"/>
    <s v="Structurele Ingreep"/>
    <s v="WA/INV/E313/1"/>
    <b v="0"/>
    <s v="Ingreep wordt niet opgevolgd in BOD"/>
    <s v="&lt;null&gt;"/>
    <s v="&lt;null&gt;"/>
    <s v="&lt;null&gt;"/>
    <s v="&lt;null&gt;"/>
    <m/>
    <m/>
    <m/>
  </r>
  <r>
    <x v="18"/>
    <x v="18"/>
    <s v="&lt;null&gt;"/>
    <x v="3"/>
    <n v="3147"/>
    <s v="IN/002353"/>
    <s v="A013 - ZANDHOVEN brug O15 te Massenhoven Viersel"/>
    <s v="&lt;null&gt;"/>
    <s v="Structurele Ingreep"/>
    <s v="WA/INV/A013/1"/>
    <b v="0"/>
    <s v="Ingreep wordt niet opgevolgd in BOD"/>
    <s v="&lt;null&gt;"/>
    <s v="&lt;null&gt;"/>
    <s v="&lt;null&gt;"/>
    <s v="&lt;null&gt;"/>
    <m/>
    <m/>
    <m/>
  </r>
  <r>
    <x v="18"/>
    <x v="18"/>
    <s v="&lt;null&gt;"/>
    <x v="3"/>
    <n v="3148"/>
    <s v="IN/002354"/>
    <s v="N180 Antwerpen Noorderlaan 2020"/>
    <s v="&lt;null&gt;"/>
    <s v="Structurele Ingreep"/>
    <s v="WA/INV/N180/2"/>
    <b v="0"/>
    <s v="Ingreep wordt niet opgevolgd in BOD"/>
    <s v="&lt;null&gt;"/>
    <s v="&lt;null&gt;"/>
    <s v="&lt;null&gt;"/>
    <s v="&lt;null&gt;"/>
    <m/>
    <m/>
    <m/>
  </r>
  <r>
    <x v="18"/>
    <x v="18"/>
    <s v="&lt;null&gt;"/>
    <x v="3"/>
    <n v="3149"/>
    <s v="IN/002355"/>
    <s v="renovatie brug bussestraat"/>
    <s v="&lt;null&gt;"/>
    <s v="Structurele Ingreep"/>
    <s v="WA/INV/A1/14"/>
    <b v="0"/>
    <s v="Ingreep wordt niet opgevolgd in BOD"/>
    <s v="&lt;null&gt;"/>
    <s v="&lt;null&gt;"/>
    <s v="&lt;null&gt;"/>
    <s v="&lt;null&gt;"/>
    <m/>
    <m/>
    <m/>
  </r>
  <r>
    <x v="18"/>
    <x v="18"/>
    <s v="&lt;null&gt;"/>
    <x v="3"/>
    <n v="3150"/>
    <s v="IN/002356"/>
    <s v="Markeringen R1 afgerond"/>
    <s v="&lt;null&gt;"/>
    <s v="Structurele Ingreep"/>
    <s v="WA/INV/R1/8"/>
    <b v="0"/>
    <s v="Ingreep wordt niet opgevolgd in BOD"/>
    <s v="&lt;null&gt;"/>
    <s v="&lt;null&gt;"/>
    <s v="&lt;null&gt;"/>
    <s v="&lt;null&gt;"/>
    <m/>
    <m/>
    <m/>
  </r>
  <r>
    <x v="18"/>
    <x v="18"/>
    <s v="&lt;null&gt;"/>
    <x v="3"/>
    <n v="3151"/>
    <s v="IN/002357"/>
    <s v="Geluidsstudie Wilrijk Viaduct en omgeving"/>
    <s v="&lt;null&gt;"/>
    <s v="Structurele Ingreep"/>
    <s v="WA/INV/A12/4"/>
    <b v="0"/>
    <s v="Ingreep wordt niet opgevolgd in BOD"/>
    <s v="&lt;null&gt;"/>
    <s v="&lt;null&gt;"/>
    <s v="&lt;null&gt;"/>
    <s v="&lt;null&gt;"/>
    <m/>
    <m/>
    <m/>
  </r>
  <r>
    <x v="18"/>
    <x v="18"/>
    <s v="&lt;null&gt;"/>
    <x v="3"/>
    <n v="3152"/>
    <s v="IN/002358"/>
    <s v="A12 Antwerpen Muisbroekpasserelle afgerond"/>
    <s v="&lt;null&gt;"/>
    <s v="Structurele Ingreep"/>
    <s v="WA/INV/A12/14"/>
    <b v="0"/>
    <s v="Ingreep wordt niet opgevolgd in BOD"/>
    <s v="&lt;null&gt;"/>
    <s v="&lt;null&gt;"/>
    <s v="&lt;null&gt;"/>
    <s v="&lt;null&gt;"/>
    <m/>
    <m/>
    <m/>
  </r>
  <r>
    <x v="18"/>
    <x v="18"/>
    <s v="&lt;null&gt;"/>
    <x v="3"/>
    <n v="3153"/>
    <s v="IN/002359"/>
    <s v="N101 Antwerpen Noordlandbrug afgerond"/>
    <s v="&lt;null&gt;"/>
    <s v="Structurele Ingreep"/>
    <s v="WA/INV/N101/1"/>
    <b v="0"/>
    <s v="Ingreep wordt niet opgevolgd in BOD"/>
    <s v="&lt;null&gt;"/>
    <s v="&lt;null&gt;"/>
    <s v="&lt;null&gt;"/>
    <s v="&lt;null&gt;"/>
    <m/>
    <m/>
    <m/>
  </r>
  <r>
    <x v="18"/>
    <x v="18"/>
    <s v="&lt;null&gt;"/>
    <x v="3"/>
    <n v="3154"/>
    <s v="IN/002360"/>
    <s v="Boudewijnbrug"/>
    <s v="&lt;null&gt;"/>
    <s v="Structurele Ingreep"/>
    <s v="WA/INV/N101/6"/>
    <b v="0"/>
    <s v="Ingreep wordt niet opgevolgd in BOD"/>
    <s v="&lt;null&gt;"/>
    <s v="&lt;null&gt;"/>
    <s v="&lt;null&gt;"/>
    <s v="&lt;null&gt;"/>
    <m/>
    <m/>
    <m/>
  </r>
  <r>
    <x v="18"/>
    <x v="18"/>
    <s v="&lt;null&gt;"/>
    <x v="3"/>
    <n v="3155"/>
    <s v="IN/002361"/>
    <s v="Rioolbeheer R1 22"/>
    <s v="&lt;null&gt;"/>
    <s v="Structurele Ingreep"/>
    <s v="WA/INV/R1/2"/>
    <b v="0"/>
    <s v="Ingreep wordt niet opgevolgd in BOD"/>
    <s v="&lt;null&gt;"/>
    <s v="&lt;null&gt;"/>
    <s v="&lt;null&gt;"/>
    <s v="&lt;null&gt;"/>
    <m/>
    <m/>
    <m/>
  </r>
  <r>
    <x v="18"/>
    <x v="18"/>
    <s v="&lt;null&gt;"/>
    <x v="3"/>
    <n v="3156"/>
    <s v="IN/002362"/>
    <s v="N101 Antwerpen scheldelaan 2020"/>
    <s v="&lt;null&gt;"/>
    <s v="Structurele Ingreep"/>
    <s v="WA/INV/N101/2"/>
    <b v="0"/>
    <s v="Ingreep wordt niet opgevolgd in BOD"/>
    <s v="&lt;null&gt;"/>
    <s v="&lt;null&gt;"/>
    <s v="&lt;null&gt;"/>
    <s v="&lt;null&gt;"/>
    <m/>
    <m/>
    <m/>
  </r>
  <r>
    <x v="18"/>
    <x v="18"/>
    <s v="&lt;null&gt;"/>
    <x v="3"/>
    <n v="3157"/>
    <s v="IN/002363"/>
    <s v="renovatie Netebruggen: Fase 1"/>
    <s v="&lt;null&gt;"/>
    <s v="Structurele Ingreep"/>
    <s v="WA/INV/A001/2"/>
    <b v="0"/>
    <s v="Ingreep wordt niet opgevolgd in BOD"/>
    <s v="&lt;null&gt;"/>
    <s v="&lt;null&gt;"/>
    <s v="&lt;null&gt;"/>
    <s v="&lt;null&gt;"/>
    <m/>
    <m/>
    <m/>
  </r>
  <r>
    <x v="18"/>
    <x v="18"/>
    <s v="&lt;null&gt;"/>
    <x v="3"/>
    <n v="3158"/>
    <s v="IN/002364"/>
    <s v="B5313 vervangen leuningen geen budget op GIP"/>
    <s v="&lt;null&gt;"/>
    <s v="Structurele Ingreep"/>
    <s v="WA/INV/A012/3"/>
    <b v="0"/>
    <s v="Ingreep wordt niet opgevolgd in BOD"/>
    <s v="&lt;null&gt;"/>
    <s v="&lt;null&gt;"/>
    <s v="&lt;null&gt;"/>
    <s v="&lt;null&gt;"/>
    <m/>
    <m/>
    <m/>
  </r>
  <r>
    <x v="18"/>
    <x v="18"/>
    <s v="&lt;null&gt;"/>
    <x v="3"/>
    <n v="3159"/>
    <s v="IN/002365"/>
    <s v="A13 Antwerpen 3 Bruggen thv Rondpunt Wommelgem"/>
    <s v="&lt;null&gt;"/>
    <s v="Structurele Ingreep"/>
    <s v="WA/INV/A13/4"/>
    <b v="0"/>
    <s v="Ingreep wordt niet opgevolgd in BOD"/>
    <s v="&lt;null&gt;"/>
    <s v="&lt;null&gt;"/>
    <s v="&lt;null&gt;"/>
    <s v="&lt;null&gt;"/>
    <m/>
    <m/>
    <m/>
  </r>
  <r>
    <x v="18"/>
    <x v="18"/>
    <s v="&lt;null&gt;"/>
    <x v="3"/>
    <n v="3160"/>
    <s v="IN/002366"/>
    <s v="N129 Antwerpen theunisbrug: missing link  VRI"/>
    <s v="&lt;null&gt;"/>
    <s v="Structurele Ingreep"/>
    <s v="WA/INV/N129/3"/>
    <b v="0"/>
    <s v="Ingreep wordt niet opgevolgd in BOD"/>
    <s v="&lt;null&gt;"/>
    <s v="&lt;null&gt;"/>
    <s v="&lt;null&gt;"/>
    <s v="&lt;null&gt;"/>
    <m/>
    <m/>
    <m/>
  </r>
  <r>
    <x v="18"/>
    <x v="18"/>
    <s v="&lt;null&gt;"/>
    <x v="3"/>
    <n v="3161"/>
    <s v="IN/002367"/>
    <s v="Herstelling voeg Blancefloerlaan"/>
    <s v="&lt;null&gt;"/>
    <s v="Structurele Ingreep"/>
    <s v="WA/INV/N70/3"/>
    <b v="0"/>
    <s v="Ingreep wordt niet opgevolgd in BOD"/>
    <s v="&lt;null&gt;"/>
    <s v="&lt;null&gt;"/>
    <s v="&lt;null&gt;"/>
    <s v="&lt;null&gt;"/>
    <m/>
    <m/>
    <m/>
  </r>
  <r>
    <x v="18"/>
    <x v="18"/>
    <s v="&lt;null&gt;"/>
    <x v="3"/>
    <n v="3162"/>
    <s v="IN/002368"/>
    <s v="Renovatie B101"/>
    <s v="&lt;null&gt;"/>
    <s v="Structurele Ingreep"/>
    <s v="WA/INV/B101/1"/>
    <b v="0"/>
    <s v="Ingreep wordt niet opgevolgd in BOD"/>
    <s v="&lt;null&gt;"/>
    <s v="&lt;null&gt;"/>
    <s v="&lt;null&gt;"/>
    <s v="&lt;null&gt;"/>
    <m/>
    <m/>
    <m/>
  </r>
  <r>
    <x v="18"/>
    <x v="18"/>
    <s v="&lt;null&gt;"/>
    <x v="3"/>
    <n v="3163"/>
    <s v="IN/002369"/>
    <s v="renovatie Netebruggen: Fase 2"/>
    <s v="&lt;null&gt;"/>
    <s v="Structurele Ingreep"/>
    <s v="WA/INV/A001/9"/>
    <b v="0"/>
    <s v="Ingreep wordt niet opgevolgd in BOD"/>
    <s v="&lt;null&gt;"/>
    <s v="&lt;null&gt;"/>
    <s v="&lt;null&gt;"/>
    <s v="&lt;null&gt;"/>
    <m/>
    <m/>
    <m/>
  </r>
  <r>
    <x v="18"/>
    <x v="18"/>
    <s v="&lt;null&gt;"/>
    <x v="3"/>
    <n v="3164"/>
    <s v="IN/002370"/>
    <s v="Kath bescherming geen budget op GIP"/>
    <s v="&lt;null&gt;"/>
    <s v="Structurele Ingreep"/>
    <s v="WA/INV/A012/7"/>
    <b v="0"/>
    <s v="Ingreep wordt niet opgevolgd in BOD"/>
    <s v="&lt;null&gt;"/>
    <s v="&lt;null&gt;"/>
    <s v="&lt;null&gt;"/>
    <s v="&lt;null&gt;"/>
    <m/>
    <m/>
    <m/>
  </r>
  <r>
    <x v="18"/>
    <x v="18"/>
    <s v="&lt;null&gt;"/>
    <x v="3"/>
    <n v="3165"/>
    <s v="IN/002371"/>
    <s v="Kunstwerken V21 V22 V23 V24 V25"/>
    <s v="&lt;null&gt;"/>
    <s v="Structurele Ingreep"/>
    <s v="&lt;null&gt;"/>
    <b v="0"/>
    <s v="Ingreep wordt niet opgevolgd in BOD"/>
    <s v="&lt;null&gt;"/>
    <s v="&lt;null&gt;"/>
    <s v="&lt;null&gt;"/>
    <s v="&lt;null&gt;"/>
    <m/>
    <m/>
    <m/>
  </r>
  <r>
    <x v="18"/>
    <x v="18"/>
    <s v="&lt;null&gt;"/>
    <x v="3"/>
    <n v="3166"/>
    <s v="IN/002372"/>
    <s v="Rioolbeheer R1 GIP   VNN"/>
    <s v="&lt;null&gt;"/>
    <s v="Structurele Ingreep"/>
    <s v="WA/INV/R1/9"/>
    <b v="0"/>
    <s v="Ingreep wordt niet opgevolgd in BOD"/>
    <s v="&lt;null&gt;"/>
    <s v="&lt;null&gt;"/>
    <s v="&lt;null&gt;"/>
    <s v="&lt;null&gt;"/>
    <m/>
    <m/>
    <m/>
  </r>
  <r>
    <x v="18"/>
    <x v="18"/>
    <s v="&lt;null&gt;"/>
    <x v="3"/>
    <n v="3167"/>
    <s v="IN/002373"/>
    <s v="Rioolbeheer R1 24"/>
    <s v="&lt;null&gt;"/>
    <s v="Structurele Ingreep"/>
    <s v="WA/INV/R1/4"/>
    <b v="0"/>
    <s v="Ingreep wordt niet opgevolgd in BOD"/>
    <s v="&lt;null&gt;"/>
    <s v="&lt;null&gt;"/>
    <s v="&lt;null&gt;"/>
    <s v="&lt;null&gt;"/>
    <m/>
    <m/>
    <m/>
  </r>
  <r>
    <x v="18"/>
    <x v="18"/>
    <s v="&lt;null&gt;"/>
    <x v="3"/>
    <n v="3168"/>
    <s v="IN/002374"/>
    <s v="N101 Antwerpen Scheldelaan 2025"/>
    <s v="&lt;null&gt;"/>
    <s v="Structurele Ingreep"/>
    <s v="WA/INV/N101/3"/>
    <b v="0"/>
    <s v="Ingreep wordt niet opgevolgd in BOD"/>
    <s v="&lt;null&gt;"/>
    <s v="&lt;null&gt;"/>
    <s v="&lt;null&gt;"/>
    <s v="&lt;null&gt;"/>
    <m/>
    <m/>
    <m/>
  </r>
  <r>
    <x v="18"/>
    <x v="18"/>
    <s v="&lt;null&gt;"/>
    <x v="3"/>
    <n v="3169"/>
    <s v="IN/002375"/>
    <s v="N180 Antwerpen Noorderlaan 2023"/>
    <s v="&lt;null&gt;"/>
    <s v="Structurele Ingreep"/>
    <s v="WA/INV/N180/6"/>
    <b v="0"/>
    <s v="Ingreep wordt niet opgevolgd in BOD"/>
    <s v="&lt;null&gt;"/>
    <s v="&lt;null&gt;"/>
    <s v="&lt;null&gt;"/>
    <s v="&lt;null&gt;"/>
    <m/>
    <m/>
    <m/>
  </r>
  <r>
    <x v="18"/>
    <x v="18"/>
    <s v="&lt;null&gt;"/>
    <x v="3"/>
    <n v="3170"/>
    <s v="IN/002376"/>
    <s v="N180 Antwerpen Noorderlaan 2024"/>
    <s v="&lt;null&gt;"/>
    <s v="Structurele Ingreep"/>
    <s v="WA/INV/N180/3"/>
    <b v="0"/>
    <s v="Ingreep wordt niet opgevolgd in BOD"/>
    <s v="&lt;null&gt;"/>
    <s v="&lt;null&gt;"/>
    <s v="&lt;null&gt;"/>
    <s v="&lt;null&gt;"/>
    <m/>
    <m/>
    <m/>
  </r>
  <r>
    <x v="330"/>
    <x v="330"/>
    <s v="Verkeersveiligheid"/>
    <x v="1"/>
    <n v="3171"/>
    <s v="IN/002377"/>
    <s v="Quick-win : belijning, aanpassing bushalte en plaatsing VVOP"/>
    <s v="Uitvoeren van Quick-win om de veiligheid te verbeteren."/>
    <s v="Kleine Ingreep"/>
    <s v="WL/INV/N72/24"/>
    <b v="1"/>
    <s v="Ingreep wordt opgevolgd in BOD"/>
    <n v="2022"/>
    <s v="Q3"/>
    <s v="WEGENIS"/>
    <s v="Quick-win"/>
    <n v="100"/>
    <n v="20000"/>
    <n v="20000"/>
  </r>
  <r>
    <x v="18"/>
    <x v="18"/>
    <s v="&lt;null&gt;"/>
    <x v="3"/>
    <n v="3172"/>
    <s v="IN/002378"/>
    <s v="N8 Heestert - Avelgem: herinrichting"/>
    <s v="&lt;null&gt;"/>
    <s v="Structurele Ingreep"/>
    <s v="WWV/INV/N8/6"/>
    <b v="0"/>
    <s v="Ingreep wordt niet opgevolgd in BOD"/>
    <s v="&lt;null&gt;"/>
    <s v="&lt;null&gt;"/>
    <s v="&lt;null&gt;"/>
    <s v="&lt;null&gt;"/>
    <m/>
    <m/>
    <m/>
  </r>
  <r>
    <x v="18"/>
    <x v="18"/>
    <s v="&lt;null&gt;"/>
    <x v="3"/>
    <n v="3173"/>
    <s v="IN/002379"/>
    <s v="N336 Heuvelland: aanleg fietspad met structureel o"/>
    <s v="&lt;null&gt;"/>
    <s v="Structurele Ingreep"/>
    <s v="WWV/INV/N336/1"/>
    <b v="0"/>
    <s v="Ingreep wordt niet opgevolgd in BOD"/>
    <s v="&lt;null&gt;"/>
    <s v="&lt;null&gt;"/>
    <s v="&lt;null&gt;"/>
    <s v="&lt;null&gt;"/>
    <m/>
    <m/>
    <m/>
  </r>
  <r>
    <x v="18"/>
    <x v="18"/>
    <s v="&lt;null&gt;"/>
    <x v="3"/>
    <n v="3174"/>
    <s v="IN/002380"/>
    <s v="N391a Balcaenstraat Avelgem, herinrichting"/>
    <s v="&lt;null&gt;"/>
    <s v="Structurele Ingreep"/>
    <s v="WWV/INV/N391A/1"/>
    <b v="0"/>
    <s v="Ingreep wordt niet opgevolgd in BOD"/>
    <s v="&lt;null&gt;"/>
    <s v="&lt;null&gt;"/>
    <s v="&lt;null&gt;"/>
    <s v="&lt;null&gt;"/>
    <m/>
    <m/>
    <m/>
  </r>
  <r>
    <x v="18"/>
    <x v="18"/>
    <s v="&lt;null&gt;"/>
    <x v="3"/>
    <n v="3175"/>
    <s v="IN/002381"/>
    <s v="N382 verbetering doorstroming Anzegem"/>
    <s v="&lt;null&gt;"/>
    <s v="Structurele Ingreep"/>
    <s v="WWV/INV/N382/4"/>
    <b v="0"/>
    <s v="Ingreep wordt niet opgevolgd in BOD"/>
    <s v="&lt;null&gt;"/>
    <s v="&lt;null&gt;"/>
    <s v="&lt;null&gt;"/>
    <s v="&lt;null&gt;"/>
    <m/>
    <m/>
    <m/>
  </r>
  <r>
    <x v="1595"/>
    <x v="1595"/>
    <s v="Stimuleren Combimobiliteit"/>
    <x v="2"/>
    <n v="3176"/>
    <s v="IN/002382"/>
    <s v="N8 ontsluiting Evolis"/>
    <s v="&lt;null&gt;"/>
    <s v="Structurele Ingreep"/>
    <s v="WWV/INV/N8/9"/>
    <b v="0"/>
    <s v="Ingreep wordt niet opgevolgd in BOD"/>
    <s v="&lt;null&gt;"/>
    <s v="&lt;null&gt;"/>
    <s v="&lt;null&gt;"/>
    <s v="&lt;null&gt;"/>
    <n v="10"/>
    <m/>
    <m/>
  </r>
  <r>
    <x v="18"/>
    <x v="18"/>
    <s v="&lt;null&gt;"/>
    <x v="3"/>
    <n v="3177"/>
    <s v="IN/002383"/>
    <s v="N382b Waregem aanleg dubbelrichtingsfietspad."/>
    <s v="&lt;null&gt;"/>
    <s v="Structurele Ingreep"/>
    <s v="WWV/INV/N382B/1"/>
    <b v="0"/>
    <s v="Ingreep wordt niet opgevolgd in BOD"/>
    <s v="&lt;null&gt;"/>
    <s v="&lt;null&gt;"/>
    <s v="&lt;null&gt;"/>
    <s v="&lt;null&gt;"/>
    <m/>
    <m/>
    <m/>
  </r>
  <r>
    <x v="18"/>
    <x v="18"/>
    <s v="&lt;null&gt;"/>
    <x v="3"/>
    <n v="3178"/>
    <s v="IN/002384"/>
    <s v="N382 Anzegem, ontlasten doortocht."/>
    <s v="&lt;null&gt;"/>
    <s v="Structurele Ingreep"/>
    <s v="WWV/INV/N382/5"/>
    <b v="0"/>
    <s v="Ingreep wordt niet opgevolgd in BOD"/>
    <s v="&lt;null&gt;"/>
    <s v="&lt;null&gt;"/>
    <s v="&lt;null&gt;"/>
    <s v="&lt;null&gt;"/>
    <m/>
    <m/>
    <m/>
  </r>
  <r>
    <x v="31"/>
    <x v="31"/>
    <s v="Fiets"/>
    <x v="0"/>
    <n v="3179"/>
    <s v="IN/002385"/>
    <s v="N357 Waregem: heraanleg Vijfseweg met fietspaden"/>
    <s v="&lt;null&gt;"/>
    <s v="Structurele Ingreep"/>
    <s v="WWV/INV/N357/10"/>
    <b v="0"/>
    <s v="Ingreep wordt niet opgevolgd in BOD"/>
    <s v="&lt;null&gt;"/>
    <s v="&lt;null&gt;"/>
    <s v="&lt;null&gt;"/>
    <s v="&lt;null&gt;"/>
    <n v="25"/>
    <m/>
    <m/>
  </r>
  <r>
    <x v="18"/>
    <x v="18"/>
    <s v="&lt;null&gt;"/>
    <x v="3"/>
    <n v="3180"/>
    <s v="IN/002386"/>
    <s v="E403 Wevelgem - herbruik drainagewater"/>
    <s v="&lt;null&gt;"/>
    <s v="Structurele Ingreep"/>
    <s v="WWV/INV/E403/8"/>
    <b v="0"/>
    <s v="Ingreep wordt niet opgevolgd in BOD"/>
    <s v="&lt;null&gt;"/>
    <s v="&lt;null&gt;"/>
    <s v="&lt;null&gt;"/>
    <s v="&lt;null&gt;"/>
    <m/>
    <m/>
    <m/>
  </r>
  <r>
    <x v="18"/>
    <x v="18"/>
    <s v="&lt;null&gt;"/>
    <x v="3"/>
    <n v="3181"/>
    <s v="IN/002387"/>
    <s v="N357 Waregem - fietspaden en carpoolparking"/>
    <s v="&lt;null&gt;"/>
    <s v="Structurele Ingreep"/>
    <s v="WWV/INV/N357/8"/>
    <b v="0"/>
    <s v="Ingreep wordt niet opgevolgd in BOD"/>
    <s v="&lt;null&gt;"/>
    <s v="&lt;null&gt;"/>
    <s v="&lt;null&gt;"/>
    <s v="&lt;null&gt;"/>
    <m/>
    <m/>
    <m/>
  </r>
  <r>
    <x v="18"/>
    <x v="18"/>
    <s v="&lt;null&gt;"/>
    <x v="3"/>
    <n v="3182"/>
    <s v="IN/002388"/>
    <s v="E17 Kortrijk - digitale signalisatie"/>
    <s v="&lt;null&gt;"/>
    <s v="Structurele Ingreep"/>
    <s v="WWV/INV/E17/9"/>
    <b v="0"/>
    <s v="Ingreep wordt niet opgevolgd in BOD"/>
    <s v="&lt;null&gt;"/>
    <s v="&lt;null&gt;"/>
    <s v="&lt;null&gt;"/>
    <s v="&lt;null&gt;"/>
    <m/>
    <m/>
    <m/>
  </r>
  <r>
    <x v="18"/>
    <x v="18"/>
    <s v="&lt;null&gt;"/>
    <x v="3"/>
    <n v="3183"/>
    <s v="IN/002389"/>
    <s v="E403 Kortrijk - ontsnippering Preshoekbos"/>
    <s v="&lt;null&gt;"/>
    <s v="Structurele Ingreep"/>
    <s v="WWV/INV/E403/5"/>
    <b v="0"/>
    <s v="Ingreep wordt niet opgevolgd in BOD"/>
    <s v="&lt;null&gt;"/>
    <s v="&lt;null&gt;"/>
    <s v="&lt;null&gt;"/>
    <s v="&lt;null&gt;"/>
    <m/>
    <m/>
    <m/>
  </r>
  <r>
    <x v="18"/>
    <x v="18"/>
    <s v="&lt;null&gt;"/>
    <x v="3"/>
    <n v="3184"/>
    <s v="IN/002390"/>
    <s v="E17 Waregem - geluidsberm Galgewegel"/>
    <s v="&lt;null&gt;"/>
    <s v="Structurele Ingreep"/>
    <s v="WWV/INV/E17/5"/>
    <b v="0"/>
    <s v="Ingreep wordt niet opgevolgd in BOD"/>
    <s v="&lt;null&gt;"/>
    <s v="&lt;null&gt;"/>
    <s v="&lt;null&gt;"/>
    <s v="&lt;null&gt;"/>
    <m/>
    <m/>
    <m/>
  </r>
  <r>
    <x v="18"/>
    <x v="18"/>
    <s v="&lt;null&gt;"/>
    <x v="3"/>
    <n v="3185"/>
    <s v="IN/002391"/>
    <s v="E17 Harelbeke - geluidsberm Keizershoek"/>
    <s v="&lt;null&gt;"/>
    <s v="Structurele Ingreep"/>
    <s v="WWV/INV/E17/4"/>
    <b v="0"/>
    <s v="Ingreep wordt niet opgevolgd in BOD"/>
    <s v="&lt;null&gt;"/>
    <s v="&lt;null&gt;"/>
    <s v="&lt;null&gt;"/>
    <s v="&lt;null&gt;"/>
    <m/>
    <m/>
    <m/>
  </r>
  <r>
    <x v="18"/>
    <x v="18"/>
    <s v="&lt;null&gt;"/>
    <x v="3"/>
    <n v="3186"/>
    <s v="IN/002392"/>
    <s v="N382 Anzegem Kaster - heraanleg met fietspaden"/>
    <s v="&lt;null&gt;"/>
    <s v="Structurele Ingreep"/>
    <s v="WWV/INV/N382/3"/>
    <b v="0"/>
    <s v="Ingreep wordt niet opgevolgd in BOD"/>
    <s v="&lt;null&gt;"/>
    <s v="&lt;null&gt;"/>
    <s v="&lt;null&gt;"/>
    <s v="&lt;null&gt;"/>
    <m/>
    <m/>
    <m/>
  </r>
  <r>
    <x v="18"/>
    <x v="18"/>
    <s v="&lt;null&gt;"/>
    <x v="3"/>
    <n v="3187"/>
    <s v="IN/002393"/>
    <s v="E403 vak Ledegem-Roeselare - structureel onderhoud"/>
    <s v="&lt;null&gt;"/>
    <s v="Structurele Ingreep"/>
    <s v="WWV/INV/E403/3"/>
    <b v="0"/>
    <s v="Ingreep wordt niet opgevolgd in BOD"/>
    <s v="&lt;null&gt;"/>
    <s v="&lt;null&gt;"/>
    <s v="&lt;null&gt;"/>
    <s v="&lt;null&gt;"/>
    <m/>
    <m/>
    <m/>
  </r>
  <r>
    <x v="18"/>
    <x v="18"/>
    <s v="&lt;null&gt;"/>
    <x v="3"/>
    <n v="3188"/>
    <s v="IN/002394"/>
    <s v="N36d Kuurne Harelbeke - heraanleg met fietspaden"/>
    <s v="&lt;null&gt;"/>
    <s v="Structurele Ingreep"/>
    <s v="WWV/INV/N36D/1"/>
    <b v="0"/>
    <s v="Ingreep wordt niet opgevolgd in BOD"/>
    <s v="&lt;null&gt;"/>
    <s v="&lt;null&gt;"/>
    <s v="&lt;null&gt;"/>
    <s v="&lt;null&gt;"/>
    <m/>
    <m/>
    <m/>
  </r>
  <r>
    <x v="18"/>
    <x v="18"/>
    <s v="&lt;null&gt;"/>
    <x v="3"/>
    <n v="3189"/>
    <s v="IN/002395"/>
    <s v="E17 Aalbeke-Kortrijk Oost - structureel onderhoud"/>
    <s v="&lt;null&gt;"/>
    <s v="Structurele Ingreep"/>
    <s v="WWV/INV/E17/2"/>
    <b v="0"/>
    <s v="Ingreep wordt niet opgevolgd in BOD"/>
    <s v="&lt;null&gt;"/>
    <s v="&lt;null&gt;"/>
    <s v="&lt;null&gt;"/>
    <s v="&lt;null&gt;"/>
    <m/>
    <m/>
    <m/>
  </r>
  <r>
    <x v="18"/>
    <x v="18"/>
    <s v="&lt;null&gt;"/>
    <x v="3"/>
    <n v="3190"/>
    <s v="IN/002396"/>
    <s v="ontbreken veilige fietspaden"/>
    <s v="Tussen WIngene (Zwevezele) en Lichtervelde liggen momenteel geen veilige fietspaden. Tussen kmpt 17 en 19 liggen geen fietspaden waardoor de fietser op de rijweg moet rijden. Tussen 19 en 21 zijn sommige stukken vrijliggen maar veel stukken zijn aanliggen"/>
    <s v="Kleine Ingreep"/>
    <s v="&lt;null&gt;"/>
    <b v="0"/>
    <s v="Ingreep wordt niet opgevolgd in BOD"/>
    <s v="&lt;null&gt;"/>
    <s v="&lt;null&gt;"/>
    <s v="&lt;null&gt;"/>
    <s v="&lt;null&gt;"/>
    <m/>
    <m/>
    <m/>
  </r>
  <r>
    <x v="18"/>
    <x v="18"/>
    <s v="&lt;null&gt;"/>
    <x v="3"/>
    <n v="3191"/>
    <s v="IN/002397"/>
    <s v="R23 Wijnpers Leuven"/>
    <s v="&lt;null&gt;"/>
    <s v="Structurele Ingreep"/>
    <s v="WVB/INV/R23/2"/>
    <b v="0"/>
    <s v="Ingreep wordt niet opgevolgd in BOD"/>
    <s v="&lt;null&gt;"/>
    <s v="&lt;null&gt;"/>
    <s v="&lt;null&gt;"/>
    <s v="&lt;null&gt;"/>
    <m/>
    <m/>
    <m/>
  </r>
  <r>
    <x v="94"/>
    <x v="94"/>
    <s v="Fiets"/>
    <x v="0"/>
    <n v="3192"/>
    <s v="IN/002398"/>
    <s v="N235 Sint-Victor Beersel"/>
    <s v="&lt;null&gt;"/>
    <s v="Structurele Ingreep"/>
    <s v="WVB/INV/N235/1"/>
    <b v="0"/>
    <s v="Ingreep wordt niet opgevolgd in BOD"/>
    <s v="&lt;null&gt;"/>
    <s v="&lt;null&gt;"/>
    <s v="&lt;null&gt;"/>
    <s v="&lt;null&gt;"/>
    <n v="25"/>
    <m/>
    <m/>
  </r>
  <r>
    <x v="18"/>
    <x v="18"/>
    <s v="&lt;null&gt;"/>
    <x v="3"/>
    <n v="3193"/>
    <s v="IN/002399"/>
    <s v="R23 Ludenscheid Leuven"/>
    <s v="&lt;null&gt;"/>
    <s v="Structurele Ingreep"/>
    <s v="WVB/INV/R23/5"/>
    <b v="0"/>
    <s v="Ingreep wordt niet opgevolgd in BOD"/>
    <s v="&lt;null&gt;"/>
    <s v="&lt;null&gt;"/>
    <s v="&lt;null&gt;"/>
    <s v="&lt;null&gt;"/>
    <m/>
    <m/>
    <m/>
  </r>
  <r>
    <x v="18"/>
    <x v="18"/>
    <s v="&lt;null&gt;"/>
    <x v="3"/>
    <n v="3194"/>
    <s v="IN/002400"/>
    <s v="LEO bewarende maatregelen"/>
    <s v="&lt;null&gt;"/>
    <s v="Structurele Ingreep"/>
    <s v="WA/INV/LEO/1"/>
    <b v="0"/>
    <s v="Ingreep wordt niet opgevolgd in BOD"/>
    <s v="&lt;null&gt;"/>
    <s v="&lt;null&gt;"/>
    <s v="&lt;null&gt;"/>
    <s v="&lt;null&gt;"/>
    <m/>
    <m/>
    <m/>
  </r>
  <r>
    <x v="18"/>
    <x v="18"/>
    <s v="&lt;null&gt;"/>
    <x v="3"/>
    <n v="3195"/>
    <s v="IN/002401"/>
    <s v="N1 Wuustwezel fietspaden Braken X10-N1-92"/>
    <s v="&lt;null&gt;"/>
    <s v="Structurele Ingreep"/>
    <s v="WA/INV/N1/4"/>
    <b v="0"/>
    <s v="Ingreep wordt niet opgevolgd in BOD"/>
    <s v="&lt;null&gt;"/>
    <s v="&lt;null&gt;"/>
    <s v="&lt;null&gt;"/>
    <s v="&lt;null&gt;"/>
    <m/>
    <m/>
    <m/>
  </r>
  <r>
    <x v="18"/>
    <x v="18"/>
    <s v="&lt;null&gt;"/>
    <x v="3"/>
    <n v="3196"/>
    <s v="IN/002402"/>
    <s v="N370 Wingene Zwevezele Bruggestraat en fietspad"/>
    <s v="&lt;null&gt;"/>
    <s v="Structurele Ingreep"/>
    <s v="WWV/INV/N370/2"/>
    <b v="0"/>
    <s v="Ingreep wordt niet opgevolgd in BOD"/>
    <s v="&lt;null&gt;"/>
    <s v="&lt;null&gt;"/>
    <s v="&lt;null&gt;"/>
    <s v="&lt;null&gt;"/>
    <m/>
    <m/>
    <m/>
  </r>
  <r>
    <x v="1067"/>
    <x v="1067"/>
    <s v="Verkeersveiligheid"/>
    <x v="4"/>
    <n v="3197"/>
    <s v="IN/002403"/>
    <s v="Heraanleg kruispunt Markt"/>
    <s v="&lt;null&gt;"/>
    <s v="Kleine Ingreep"/>
    <s v="&lt;null&gt;"/>
    <b v="0"/>
    <s v="Ingreep wordt niet opgevolgd in BOD"/>
    <s v="&lt;null&gt;"/>
    <s v="&lt;null&gt;"/>
    <s v="&lt;null&gt;"/>
    <s v="&lt;null&gt;"/>
    <n v="100"/>
    <m/>
    <m/>
  </r>
  <r>
    <x v="18"/>
    <x v="18"/>
    <s v="&lt;null&gt;"/>
    <x v="3"/>
    <n v="3198"/>
    <s v="IN/002404"/>
    <s v="N127 - Turnhoutsebaan van Kruisstr tot Tessenderlo"/>
    <s v="&lt;null&gt;"/>
    <s v="Structurele Ingreep"/>
    <s v="WVB/INV/N127/3"/>
    <b v="0"/>
    <s v="Ingreep wordt niet opgevolgd in BOD"/>
    <s v="&lt;null&gt;"/>
    <s v="&lt;null&gt;"/>
    <s v="&lt;null&gt;"/>
    <s v="&lt;null&gt;"/>
    <m/>
    <m/>
    <m/>
  </r>
  <r>
    <x v="18"/>
    <x v="18"/>
    <s v="&lt;null&gt;"/>
    <x v="3"/>
    <n v="3199"/>
    <s v="IN/002405"/>
    <s v="N19/29 Aarschot Herinrich weg"/>
    <s v="&lt;null&gt;"/>
    <s v="Structurele Ingreep"/>
    <s v="WVB/INV/N19/2"/>
    <b v="0"/>
    <s v="Ingreep wordt niet opgevolgd in BOD"/>
    <s v="&lt;null&gt;"/>
    <s v="&lt;null&gt;"/>
    <s v="&lt;null&gt;"/>
    <s v="&lt;null&gt;"/>
    <m/>
    <m/>
    <m/>
  </r>
  <r>
    <x v="18"/>
    <x v="18"/>
    <s v="&lt;null&gt;"/>
    <x v="3"/>
    <n v="3200"/>
    <s v="IN/002406"/>
    <s v="N29 Lummen Rotonde Grote Baan x Blanklaerstraat"/>
    <s v="&lt;null&gt;"/>
    <s v="Structurele Ingreep"/>
    <s v="WVB/INV/N29/3"/>
    <b v="1"/>
    <s v="Ingreep wordt opgevolgd in BOD"/>
    <s v="&lt;null&gt;"/>
    <s v="&lt;null&gt;"/>
    <s v="&lt;null&gt;"/>
    <s v="&lt;null&gt;"/>
    <m/>
    <m/>
    <m/>
  </r>
  <r>
    <x v="18"/>
    <x v="18"/>
    <s v="&lt;null&gt;"/>
    <x v="3"/>
    <n v="3201"/>
    <s v="IN/002407"/>
    <s v="N29 - Doortocht Schaffen"/>
    <s v="&lt;null&gt;"/>
    <s v="Structurele Ingreep"/>
    <s v="WVB/INV/N29/9"/>
    <b v="0"/>
    <s v="Ingreep wordt niet opgevolgd in BOD"/>
    <s v="&lt;null&gt;"/>
    <s v="&lt;null&gt;"/>
    <s v="&lt;null&gt;"/>
    <s v="&lt;null&gt;"/>
    <m/>
    <m/>
    <m/>
  </r>
  <r>
    <x v="18"/>
    <x v="18"/>
    <s v="&lt;null&gt;"/>
    <x v="3"/>
    <n v="3202"/>
    <s v="IN/002408"/>
    <s v="N141 Leopoldsburg Asfaltrenovatie"/>
    <s v="&lt;null&gt;"/>
    <s v="Structurele Ingreep"/>
    <s v="WL/INV/N141/3"/>
    <b v="0"/>
    <s v="Ingreep wordt niet opgevolgd in BOD"/>
    <s v="&lt;null&gt;"/>
    <s v="&lt;null&gt;"/>
    <s v="&lt;null&gt;"/>
    <s v="&lt;null&gt;"/>
    <m/>
    <m/>
    <m/>
  </r>
  <r>
    <x v="18"/>
    <x v="18"/>
    <s v="&lt;null&gt;"/>
    <x v="3"/>
    <n v="3203"/>
    <s v="IN/002409"/>
    <s v="N73 Tessenderlo-Ham-Beringen Doortrekking N73"/>
    <s v="&lt;null&gt;"/>
    <s v="Structurele Ingreep"/>
    <s v="WL/INV/N73/10"/>
    <b v="0"/>
    <s v="Ingreep wordt niet opgevolgd in BOD"/>
    <s v="&lt;null&gt;"/>
    <s v="&lt;null&gt;"/>
    <s v="&lt;null&gt;"/>
    <s v="&lt;null&gt;"/>
    <m/>
    <m/>
    <m/>
  </r>
  <r>
    <x v="18"/>
    <x v="18"/>
    <s v="&lt;null&gt;"/>
    <x v="3"/>
    <n v="3204"/>
    <s v="IN/002410"/>
    <s v="N10 - LIER - SO Aarschotsesteenweg KP13.4-17.4"/>
    <s v="&lt;null&gt;"/>
    <s v="Structurele Ingreep"/>
    <s v="WA/INV/N10/19"/>
    <b v="0"/>
    <s v="Ingreep wordt niet opgevolgd in BOD"/>
    <s v="&lt;null&gt;"/>
    <s v="&lt;null&gt;"/>
    <s v="&lt;null&gt;"/>
    <s v="&lt;null&gt;"/>
    <m/>
    <m/>
    <m/>
  </r>
  <r>
    <x v="1596"/>
    <x v="1596"/>
    <s v="Verkeersveiligheid"/>
    <x v="1"/>
    <n v="3205"/>
    <s v="IN/002411"/>
    <s v="Afsluiten kruispunt N36 x Koestraat dmv middenberm"/>
    <s v="Afsluiten van kruispunt N36 x Koestraat dmv plaatsen fysieke middenberm (betonnen constructie) op de N36 tussen Moorseelsesteenweg en Oekensestraat.\nOversteek vanuit Koestraat niet meer mogelijk, voor alle weggebruikers."/>
    <s v="Kleine Ingreep"/>
    <s v="WWV/INV/N36/18"/>
    <b v="0"/>
    <s v="Ingreep wordt niet opgevolgd in BOD"/>
    <n v="2022"/>
    <s v="Q1"/>
    <s v="WEGENIS"/>
    <s v="dummy ingreep"/>
    <n v="100"/>
    <n v="1"/>
    <n v="1"/>
  </r>
  <r>
    <x v="1119"/>
    <x v="1119"/>
    <s v="Verkeersveiligheid"/>
    <x v="4"/>
    <n v="3206"/>
    <s v="IN/002412"/>
    <s v="SRK: N405 Ninove: fietsoversteek thv Snoeckgrachtweg"/>
    <s v="SRK: N405 Ninove: fietsoversteek thv Snoeckgrachtweg"/>
    <s v="Kleine Ingreep"/>
    <s v="WOV/INV/N405/8"/>
    <b v="1"/>
    <s v="Ingreep wordt opgevolgd in BOD"/>
    <n v="2022"/>
    <s v="Q4"/>
    <s v="WEGENIS"/>
    <s v="&lt;null&gt;"/>
    <n v="100"/>
    <n v="12500"/>
    <n v="12500"/>
  </r>
  <r>
    <x v="1597"/>
    <x v="1597"/>
    <s v="Stimuleren Combimobiliteit"/>
    <x v="7"/>
    <n v="3207"/>
    <s v="IN/002413"/>
    <s v="Bus: N42 Geraardsbergen: aanleg verhoogde bushaltes"/>
    <s v="Bus: N42 Geraardsbergen: aanleg verhoogde bushaltes, halte Burgstraat"/>
    <s v="Kleine Ingreep"/>
    <s v="WOV/INV/N42/10"/>
    <b v="1"/>
    <s v="Ingreep wordt opgevolgd in BOD"/>
    <n v="2023"/>
    <s v="Q1"/>
    <s v="OVERIGE"/>
    <s v="&lt;null&gt;"/>
    <n v="100"/>
    <n v="43000"/>
    <n v="43000"/>
  </r>
  <r>
    <x v="1598"/>
    <x v="1598"/>
    <s v="Stimuleren Combimobiliteit"/>
    <x v="7"/>
    <n v="3208"/>
    <s v="IN/002414"/>
    <s v="Bus: N42 Geraardsbergen: aanleg verhoogde bushalte (halte parochiaal centrum)"/>
    <s v="Bus: N42 Geraardsbergen: aanleg verhoogde bushalte (halte parochiaal centrum)"/>
    <s v="Kleine Ingreep"/>
    <s v="WOV/INV/N42/11"/>
    <b v="1"/>
    <s v="Ingreep wordt opgevolgd in BOD"/>
    <n v="2023"/>
    <s v="Q1"/>
    <s v="OVERIGE"/>
    <s v="&lt;null&gt;"/>
    <n v="100"/>
    <n v="42000"/>
    <n v="42000"/>
  </r>
  <r>
    <x v="1599"/>
    <x v="1599"/>
    <s v="Stimuleren Combimobiliteit"/>
    <x v="7"/>
    <n v="3209"/>
    <s v="IN/002415"/>
    <s v="Bus: N42 Geraardsbergen: aanleg verhoogde halte (halte Plankweg)"/>
    <s v="Bus: N42 Geraardsbergen: aanleg verhoogde halte (halte Plankweg)"/>
    <s v="Kleine Ingreep"/>
    <s v="WOV/INV/N42/12"/>
    <b v="1"/>
    <s v="Ingreep wordt opgevolgd in BOD"/>
    <n v="2023"/>
    <s v="Q1"/>
    <s v="OVERIGE"/>
    <s v="&lt;null&gt;"/>
    <n v="100"/>
    <n v="28000"/>
    <n v="28000"/>
  </r>
  <r>
    <x v="1600"/>
    <x v="1600"/>
    <s v="Stimuleren Combimobiliteit"/>
    <x v="7"/>
    <n v="3210"/>
    <s v="IN/002416"/>
    <s v="Bus: N406 Dendermonde: aanleggen toegankelijke halte (halte Donckstraat)"/>
    <s v="Bus: N406 Dendermonde: aanleggen toegankelijke halte (halte Donckstraat)"/>
    <s v="Kleine Ingreep"/>
    <s v="WOV/INV/N406/9"/>
    <b v="1"/>
    <s v="Ingreep wordt opgevolgd in BOD"/>
    <n v="2023"/>
    <s v="Q2"/>
    <s v="OVERIGE"/>
    <s v="&lt;null&gt;"/>
    <n v="100"/>
    <n v="70000"/>
    <n v="70000"/>
  </r>
  <r>
    <x v="1601"/>
    <x v="1601"/>
    <s v="Stimuleren Combimobiliteit"/>
    <x v="7"/>
    <n v="3211"/>
    <s v="IN/002417"/>
    <s v="Bus: N460 Haaltert: aanleggen verhoogde bushaltehaven (Leistraat zuid)"/>
    <s v="Bus: N460 Haaltert: aanleggen verhoogde bushaltehaven (Leistraat zuid)"/>
    <s v="Kleine Ingreep"/>
    <s v="WOV/INV/N460/14"/>
    <b v="1"/>
    <s v="Ingreep wordt opgevolgd in BOD"/>
    <n v="2023"/>
    <s v="Q2"/>
    <s v="OVERIGE"/>
    <s v="&lt;null&gt;"/>
    <n v="100"/>
    <n v="66000"/>
    <n v="66000"/>
  </r>
  <r>
    <x v="1602"/>
    <x v="1602"/>
    <s v="Verkeersveiligheid"/>
    <x v="1"/>
    <n v="3212"/>
    <s v="IN/002418"/>
    <s v="Aanpassing kruispunt Holdestraat x N399"/>
    <s v="1 opstelrij voor voertuigen, fietspad uit de zijtak aangepast, beter in zicht gebracht"/>
    <s v="Kleine Ingreep"/>
    <s v="WWV/INV/N399/3"/>
    <b v="0"/>
    <s v="Ingreep wordt niet opgevolgd in BOD"/>
    <n v="2022"/>
    <s v="Q1"/>
    <s v="WEGENIS"/>
    <s v="dummy ingreep"/>
    <n v="100"/>
    <n v="1"/>
    <n v="1"/>
  </r>
  <r>
    <x v="1603"/>
    <x v="1603"/>
    <s v="Stimuleren Combimobiliteit"/>
    <x v="7"/>
    <n v="3213"/>
    <s v="IN/002419"/>
    <s v="Bus: N462 Zottegem: aanleg verhoogde bushalte (halte Atheneum)"/>
    <s v="Bus: N462 Zottegem: aanleg verhoogde bushalte (halte Atheneum)"/>
    <s v="Kleine Ingreep"/>
    <s v="WOV/INV/N462/9"/>
    <b v="1"/>
    <s v="Ingreep wordt opgevolgd in BOD"/>
    <n v="2022"/>
    <s v="Q4"/>
    <s v="OVERIGE"/>
    <s v="&lt;null&gt;"/>
    <n v="100"/>
    <n v="32000"/>
    <n v="32000"/>
  </r>
  <r>
    <x v="1604"/>
    <x v="1604"/>
    <s v="Stimuleren Combimobiliteit"/>
    <x v="7"/>
    <n v="3214"/>
    <s v="IN/002420"/>
    <s v="Bus: N462 Zottegem: aanleg verhoogde bushalte (halte Sint-Maria-Oudenhove Faliestraat)"/>
    <s v="Bus: N462 Zottegem: aanleg verhoogde bushalte (halte Sint-Maria-Oudenhove Faliestraat), thv huisnr.40"/>
    <s v="Kleine Ingreep"/>
    <s v="WOV/INV/N462/10"/>
    <b v="1"/>
    <s v="Ingreep wordt opgevolgd in BOD"/>
    <n v="2022"/>
    <s v="Q4"/>
    <s v="OVERIGE"/>
    <s v="&lt;null&gt;"/>
    <n v="100"/>
    <n v="6000"/>
    <n v="6000"/>
  </r>
  <r>
    <x v="1605"/>
    <x v="1605"/>
    <s v="Stimuleren Combimobiliteit"/>
    <x v="7"/>
    <n v="3215"/>
    <s v="IN/002421"/>
    <s v="Bus: N462 Zottegem: aanleggen verhoogde bushalte (halte Sint-Maria-Oudenhove Dorp)"/>
    <s v="Bus: N462 Zottegem: aanleggen verhoogde bushalte (halte Sint-Maria-Oudenhove Dorp)"/>
    <s v="Kleine Ingreep"/>
    <s v="WOV/INV/N462/11"/>
    <b v="1"/>
    <s v="Ingreep wordt opgevolgd in BOD"/>
    <n v="2022"/>
    <s v="Q4"/>
    <s v="OVERIGE"/>
    <s v="&lt;null&gt;"/>
    <n v="100"/>
    <n v="37000"/>
    <n v="37000"/>
  </r>
  <r>
    <x v="1081"/>
    <x v="1081"/>
    <s v="Verkeersveiligheid"/>
    <x v="4"/>
    <n v="3216"/>
    <s v="IN/002422"/>
    <s v="SRK: N436 Assenede: aanleggen fietssuggestiestroken"/>
    <s v="SRK: N436 Assenede: aanleggen fietssuggestiestroken"/>
    <s v="Kleine Ingreep"/>
    <s v="WOV/INV/N436/4"/>
    <b v="1"/>
    <s v="Ingreep wordt opgevolgd in BOD"/>
    <n v="2022"/>
    <s v="Q4"/>
    <s v="OVERIGE"/>
    <s v="&lt;null&gt;"/>
    <n v="100"/>
    <n v="24000"/>
    <n v="24000"/>
  </r>
  <r>
    <x v="1137"/>
    <x v="1137"/>
    <s v="Verkeersveiligheid"/>
    <x v="4"/>
    <n v="3217"/>
    <s v="IN/002423"/>
    <s v="SRK: N458 Assenede: aanbrengen fietslogo-markeringen"/>
    <s v="SRK: N458 Assenede: aanbrengen fietslogo-markeringen"/>
    <s v="Kleine Ingreep"/>
    <s v="WOV/INV/N458/8"/>
    <b v="1"/>
    <s v="Ingreep wordt opgevolgd in BOD"/>
    <n v="2022"/>
    <s v="Q4"/>
    <s v="OVERIGE"/>
    <s v="&lt;null&gt;"/>
    <n v="100"/>
    <n v="1700"/>
    <n v="1700"/>
  </r>
  <r>
    <x v="18"/>
    <x v="18"/>
    <s v="&lt;null&gt;"/>
    <x v="3"/>
    <n v="3218"/>
    <s v="IN/002424"/>
    <s v="N437 Deinze Damstraat"/>
    <s v="&lt;null&gt;"/>
    <s v="Structurele Ingreep"/>
    <s v="WOV/INV/N437/7"/>
    <b v="0"/>
    <s v="Ingreep wordt niet opgevolgd in BOD"/>
    <s v="&lt;null&gt;"/>
    <s v="&lt;null&gt;"/>
    <s v="&lt;null&gt;"/>
    <s v="&lt;null&gt;"/>
    <m/>
    <m/>
    <m/>
  </r>
  <r>
    <x v="18"/>
    <x v="18"/>
    <s v="&lt;null&gt;"/>
    <x v="3"/>
    <n v="3219"/>
    <s v="IN/002425"/>
    <s v="N448 Assenede Struct Onderh bij rioleringsproject"/>
    <s v="&lt;null&gt;"/>
    <s v="Structurele Ingreep"/>
    <s v="WOV/INV/N448/1"/>
    <b v="0"/>
    <s v="Ingreep wordt niet opgevolgd in BOD"/>
    <s v="&lt;null&gt;"/>
    <s v="&lt;null&gt;"/>
    <s v="&lt;null&gt;"/>
    <s v="&lt;null&gt;"/>
    <m/>
    <m/>
    <m/>
  </r>
  <r>
    <x v="18"/>
    <x v="18"/>
    <s v="&lt;null&gt;"/>
    <x v="3"/>
    <n v="3220"/>
    <s v="IN/002426"/>
    <s v="N448 Evergem-Assenede aanleg fietspaden Stoepestr"/>
    <s v="&lt;null&gt;"/>
    <s v="Structurele Ingreep"/>
    <s v="WOV/INV/N448/2"/>
    <b v="0"/>
    <s v="Ingreep wordt niet opgevolgd in BOD"/>
    <s v="&lt;null&gt;"/>
    <s v="&lt;null&gt;"/>
    <s v="&lt;null&gt;"/>
    <s v="&lt;null&gt;"/>
    <m/>
    <m/>
    <m/>
  </r>
  <r>
    <x v="18"/>
    <x v="18"/>
    <s v="&lt;null&gt;"/>
    <x v="3"/>
    <n v="3221"/>
    <s v="IN/002427"/>
    <s v="N466 Deinze Leernsesteenweg herinrichting"/>
    <s v="&lt;null&gt;"/>
    <s v="Structurele Ingreep"/>
    <s v="WOV/INV/N466/1"/>
    <b v="0"/>
    <s v="Ingreep wordt niet opgevolgd in BOD"/>
    <s v="&lt;null&gt;"/>
    <s v="&lt;null&gt;"/>
    <s v="&lt;null&gt;"/>
    <s v="&lt;null&gt;"/>
    <m/>
    <m/>
    <m/>
  </r>
  <r>
    <x v="18"/>
    <x v="18"/>
    <s v="&lt;null&gt;"/>
    <x v="3"/>
    <n v="3222"/>
    <s v="IN/002428"/>
    <s v="N9 Maldegem Sint Barbarastraat aanleg ovonde"/>
    <s v="&lt;null&gt;"/>
    <s v="Structurele Ingreep"/>
    <s v="WOV/INV/N9/6"/>
    <b v="0"/>
    <s v="Ingreep wordt niet opgevolgd in BOD"/>
    <s v="&lt;null&gt;"/>
    <s v="&lt;null&gt;"/>
    <s v="&lt;null&gt;"/>
    <s v="&lt;null&gt;"/>
    <m/>
    <m/>
    <m/>
  </r>
  <r>
    <x v="18"/>
    <x v="18"/>
    <s v="&lt;null&gt;"/>
    <x v="3"/>
    <n v="3223"/>
    <s v="IN/002429"/>
    <s v="R43 Eeklo fase 3 Nieuwendorpe-Tieltsesteenweg"/>
    <s v="&lt;null&gt;"/>
    <s v="Structurele Ingreep"/>
    <s v="WOV/INV/R43/3"/>
    <b v="0"/>
    <s v="Ingreep wordt niet opgevolgd in BOD"/>
    <s v="&lt;null&gt;"/>
    <s v="&lt;null&gt;"/>
    <s v="&lt;null&gt;"/>
    <s v="&lt;null&gt;"/>
    <m/>
    <m/>
    <m/>
  </r>
  <r>
    <x v="18"/>
    <x v="18"/>
    <s v="&lt;null&gt;"/>
    <x v="3"/>
    <n v="3224"/>
    <s v="IN/002430"/>
    <s v="N8 Oudenaarde Vervangen duiker Maarkebeek"/>
    <s v="&lt;null&gt;"/>
    <s v="Structurele Ingreep"/>
    <s v="WOV/INV/N8/2"/>
    <b v="0"/>
    <s v="Ingreep wordt niet opgevolgd in BOD"/>
    <s v="&lt;null&gt;"/>
    <s v="&lt;null&gt;"/>
    <s v="&lt;null&gt;"/>
    <s v="&lt;null&gt;"/>
    <m/>
    <m/>
    <m/>
  </r>
  <r>
    <x v="18"/>
    <x v="18"/>
    <s v="&lt;null&gt;"/>
    <x v="3"/>
    <n v="3225"/>
    <s v="IN/002431"/>
    <s v="A10/E40 Drongen vervanging Goedingebrug over Leie"/>
    <s v="&lt;null&gt;"/>
    <s v="Structurele Ingreep"/>
    <s v="WOV/INV/A10/5"/>
    <b v="0"/>
    <s v="Ingreep wordt niet opgevolgd in BOD"/>
    <s v="&lt;null&gt;"/>
    <s v="&lt;null&gt;"/>
    <s v="&lt;null&gt;"/>
    <s v="&lt;null&gt;"/>
    <m/>
    <m/>
    <m/>
  </r>
  <r>
    <x v="18"/>
    <x v="18"/>
    <s v="&lt;null&gt;"/>
    <x v="3"/>
    <n v="3226"/>
    <s v="IN/002432"/>
    <s v="A10/E40 Nevele/Gent/Aalst 5 bovenbruggen"/>
    <s v="&lt;null&gt;"/>
    <s v="Structurele Ingreep"/>
    <s v="WOV/INV/A10/7"/>
    <b v="0"/>
    <s v="Ingreep wordt niet opgevolgd in BOD"/>
    <s v="&lt;null&gt;"/>
    <s v="&lt;null&gt;"/>
    <s v="&lt;null&gt;"/>
    <s v="&lt;null&gt;"/>
    <m/>
    <m/>
    <m/>
  </r>
  <r>
    <x v="18"/>
    <x v="18"/>
    <s v="&lt;null&gt;"/>
    <x v="3"/>
    <n v="3227"/>
    <s v="IN/002433"/>
    <s v="A14/E17 Nazareth, Lochristie, Temse, Melsele"/>
    <s v="&lt;null&gt;"/>
    <s v="Structurele Ingreep"/>
    <s v="WOV/INV/A14/3"/>
    <b v="0"/>
    <s v="Ingreep wordt niet opgevolgd in BOD"/>
    <s v="&lt;null&gt;"/>
    <s v="&lt;null&gt;"/>
    <s v="&lt;null&gt;"/>
    <s v="&lt;null&gt;"/>
    <m/>
    <m/>
    <m/>
  </r>
  <r>
    <x v="18"/>
    <x v="18"/>
    <s v="&lt;null&gt;"/>
    <x v="3"/>
    <n v="3228"/>
    <s v="IN/002434"/>
    <s v="A10/E40 Nevele vervanging brug Schipdonkkanaal"/>
    <s v="&lt;null&gt;"/>
    <s v="Structurele Ingreep"/>
    <s v="WOV/INV/A10/9"/>
    <b v="0"/>
    <s v="Ingreep wordt niet opgevolgd in BOD"/>
    <s v="&lt;null&gt;"/>
    <s v="&lt;null&gt;"/>
    <s v="&lt;null&gt;"/>
    <s v="&lt;null&gt;"/>
    <m/>
    <m/>
    <m/>
  </r>
  <r>
    <x v="18"/>
    <x v="18"/>
    <s v="&lt;null&gt;"/>
    <x v="3"/>
    <n v="3229"/>
    <s v="IN/002435"/>
    <s v="E17 Saneren  Moscouviaduct incl. geluidsschermen"/>
    <s v="&lt;null&gt;"/>
    <s v="Structurele Ingreep"/>
    <s v="&lt;null&gt;"/>
    <b v="0"/>
    <s v="Ingreep wordt niet opgevolgd in BOD"/>
    <s v="&lt;null&gt;"/>
    <s v="&lt;null&gt;"/>
    <s v="&lt;null&gt;"/>
    <s v="&lt;null&gt;"/>
    <m/>
    <m/>
    <m/>
  </r>
  <r>
    <x v="18"/>
    <x v="18"/>
    <s v="&lt;null&gt;"/>
    <x v="3"/>
    <n v="3230"/>
    <s v="IN/002436"/>
    <s v="N496 Geraardsbergen saneren brug Dender"/>
    <s v="&lt;null&gt;"/>
    <s v="Structurele Ingreep"/>
    <s v="WOV/INV/N496/1"/>
    <b v="0"/>
    <s v="Ingreep wordt niet opgevolgd in BOD"/>
    <s v="&lt;null&gt;"/>
    <s v="&lt;null&gt;"/>
    <s v="&lt;null&gt;"/>
    <s v="&lt;null&gt;"/>
    <m/>
    <m/>
    <m/>
  </r>
  <r>
    <x v="18"/>
    <x v="18"/>
    <s v="&lt;null&gt;"/>
    <x v="3"/>
    <n v="3231"/>
    <s v="IN/002437"/>
    <s v="A10/E40 Drongen renovatie Solvynsdreef"/>
    <s v="&lt;null&gt;"/>
    <s v="Structurele Ingreep"/>
    <s v="WOV/INV/A10/13"/>
    <b v="0"/>
    <s v="Ingreep wordt niet opgevolgd in BOD"/>
    <s v="&lt;null&gt;"/>
    <s v="&lt;null&gt;"/>
    <s v="&lt;null&gt;"/>
    <s v="&lt;null&gt;"/>
    <m/>
    <m/>
    <m/>
  </r>
  <r>
    <x v="1606"/>
    <x v="1606"/>
    <s v="Stimuleren Combimobiliteit"/>
    <x v="7"/>
    <n v="3232"/>
    <s v="IN/002438"/>
    <s v="Bus: N495 Geraardsbergen: aanleggen verhoogde bushalte (halte Denderland)"/>
    <s v="Bus: N495 Geraardsbergen: aanleggen verhoogde bushalte (halte Denderland)"/>
    <s v="Kleine Ingreep"/>
    <s v="WOV/INV/N495/10"/>
    <b v="1"/>
    <s v="Ingreep wordt opgevolgd in BOD"/>
    <n v="2023"/>
    <s v="Q2"/>
    <s v="OVERIGE"/>
    <s v="&lt;null&gt;"/>
    <n v="100"/>
    <n v="29000"/>
    <n v="29000"/>
  </r>
  <r>
    <x v="1607"/>
    <x v="1607"/>
    <s v="Stimuleren Combimobiliteit"/>
    <x v="2"/>
    <n v="3233"/>
    <s v="IN/002439"/>
    <s v="Tienen - Parking Kabbeekvest (Oplintersepoort thv. sociaal huis) (ID1694)"/>
    <s v="toekomstige ontwikkeling ziekenhuis op til, eerst daarover duidelijkheid nodig. Dus voor nu gewoon zuil plaatsen"/>
    <s v="Kleine Ingreep"/>
    <s v="&lt;null&gt;"/>
    <b v="0"/>
    <s v="Ingreep wordt niet opgevolgd in BOD"/>
    <n v="2022"/>
    <s v="Q4"/>
    <s v="OVERIGE"/>
    <s v="&lt;null&gt;"/>
    <n v="100"/>
    <n v="8000"/>
    <n v="8000"/>
  </r>
  <r>
    <x v="1608"/>
    <x v="1608"/>
    <s v="Stimuleren Combimobiliteit"/>
    <x v="7"/>
    <n v="3234"/>
    <s v="IN/002440"/>
    <s v="Bus: N454 Maarkedal: aanleg verhoogde bushalte (halte Leideveld)"/>
    <s v="Bus: N454 Maarkedal: aanleg verhoogde bushalte (halte Leideveld)"/>
    <s v="Kleine Ingreep"/>
    <s v="WOV/INV/N454/11"/>
    <b v="1"/>
    <s v="Ingreep wordt opgevolgd in BOD"/>
    <n v="2022"/>
    <s v="Q4"/>
    <s v="OVERIGE"/>
    <s v="&lt;null&gt;"/>
    <n v="100"/>
    <n v="29000"/>
    <n v="29000"/>
  </r>
  <r>
    <x v="18"/>
    <x v="18"/>
    <s v="&lt;null&gt;"/>
    <x v="3"/>
    <n v="3252"/>
    <s v="IN/002441"/>
    <s v="N390 heraanleg weg en rotonde met N8g"/>
    <s v="&lt;null&gt;"/>
    <s v="Structurele Ingreep"/>
    <s v="WWV/INV/N390/1"/>
    <b v="0"/>
    <s v="Ingreep wordt niet opgevolgd in BOD"/>
    <s v="&lt;null&gt;"/>
    <s v="&lt;null&gt;"/>
    <s v="&lt;null&gt;"/>
    <s v="&lt;null&gt;"/>
    <m/>
    <m/>
    <m/>
  </r>
  <r>
    <x v="84"/>
    <x v="84"/>
    <s v="Fiets"/>
    <x v="0"/>
    <n v="3253"/>
    <s v="IN/002442"/>
    <s v="N72 Beringen Fietspaden Beringen-Mijn"/>
    <s v="&lt;null&gt;"/>
    <s v="Structurele Ingreep"/>
    <s v="WL/INV/N72/5"/>
    <b v="0"/>
    <s v="Ingreep wordt niet opgevolgd in BOD"/>
    <s v="&lt;null&gt;"/>
    <s v="&lt;null&gt;"/>
    <s v="&lt;null&gt;"/>
    <s v="&lt;null&gt;"/>
    <n v="20"/>
    <m/>
    <m/>
  </r>
  <r>
    <x v="798"/>
    <x v="798"/>
    <s v="Verkeersveiligheid"/>
    <x v="4"/>
    <n v="3253"/>
    <s v="IN/002442"/>
    <s v="N72 Beringen Fietspaden Beringen-Mijn"/>
    <s v="&lt;null&gt;"/>
    <s v="Structurele Ingreep"/>
    <s v="WL/INV/N72/5"/>
    <b v="0"/>
    <s v="Ingreep wordt niet opgevolgd in BOD"/>
    <s v="&lt;null&gt;"/>
    <s v="&lt;null&gt;"/>
    <s v="&lt;null&gt;"/>
    <s v="&lt;null&gt;"/>
    <n v="20"/>
    <m/>
    <m/>
  </r>
  <r>
    <x v="18"/>
    <x v="18"/>
    <s v="&lt;null&gt;"/>
    <x v="3"/>
    <n v="3254"/>
    <s v="IN/002443"/>
    <s v="N156 Ham Ongelijkgrondse kruising fietssnelweg"/>
    <s v="&lt;null&gt;"/>
    <s v="Structurele Ingreep"/>
    <s v="WL/INV/N156/1"/>
    <b v="0"/>
    <s v="Ingreep wordt niet opgevolgd in BOD"/>
    <s v="&lt;null&gt;"/>
    <s v="&lt;null&gt;"/>
    <s v="&lt;null&gt;"/>
    <s v="&lt;null&gt;"/>
    <m/>
    <m/>
    <m/>
  </r>
  <r>
    <x v="18"/>
    <x v="18"/>
    <s v="&lt;null&gt;"/>
    <x v="3"/>
    <n v="3255"/>
    <s v="IN/002444"/>
    <s v="Ontsluiting Kanaal-Zuid, tussenkomst ikv mod 14 ge"/>
    <s v="&lt;null&gt;"/>
    <s v="Structurele Ingreep"/>
    <s v="WL/INV/N73/28"/>
    <b v="0"/>
    <s v="Ingreep wordt niet opgevolgd in BOD"/>
    <s v="&lt;null&gt;"/>
    <s v="&lt;null&gt;"/>
    <s v="&lt;null&gt;"/>
    <s v="&lt;null&gt;"/>
    <m/>
    <m/>
    <m/>
  </r>
  <r>
    <x v="18"/>
    <x v="18"/>
    <s v="&lt;null&gt;"/>
    <x v="3"/>
    <n v="3256"/>
    <s v="IN/002445"/>
    <s v="N717 Lummen ingrepen verkeersveiligheid"/>
    <s v="&lt;null&gt;"/>
    <s v="Structurele Ingreep"/>
    <s v="WL/INV/N717/3"/>
    <b v="0"/>
    <s v="Ingreep wordt niet opgevolgd in BOD"/>
    <s v="&lt;null&gt;"/>
    <s v="&lt;null&gt;"/>
    <s v="&lt;null&gt;"/>
    <s v="&lt;null&gt;"/>
    <m/>
    <m/>
    <m/>
  </r>
  <r>
    <x v="1287"/>
    <x v="1287"/>
    <s v="Verkeersveiligheid"/>
    <x v="1"/>
    <n v="3257"/>
    <s v="IN/002446"/>
    <s v="N712 Pelt doortocht   riolering"/>
    <s v="&lt;null&gt;"/>
    <s v="Structurele Ingreep"/>
    <s v="WL/INV/N712/3"/>
    <b v="0"/>
    <s v="Ingreep wordt niet opgevolgd in BOD"/>
    <s v="&lt;null&gt;"/>
    <s v="&lt;null&gt;"/>
    <s v="&lt;null&gt;"/>
    <s v="&lt;null&gt;"/>
    <n v="10"/>
    <m/>
    <m/>
  </r>
  <r>
    <x v="1288"/>
    <x v="1288"/>
    <s v="Verkeersveiligheid"/>
    <x v="4"/>
    <n v="3257"/>
    <s v="IN/002446"/>
    <s v="N712 Pelt doortocht   riolering"/>
    <s v="&lt;null&gt;"/>
    <s v="Structurele Ingreep"/>
    <s v="WL/INV/N712/3"/>
    <b v="0"/>
    <s v="Ingreep wordt niet opgevolgd in BOD"/>
    <s v="&lt;null&gt;"/>
    <s v="&lt;null&gt;"/>
    <s v="&lt;null&gt;"/>
    <s v="&lt;null&gt;"/>
    <n v="5"/>
    <m/>
    <m/>
  </r>
  <r>
    <x v="1268"/>
    <x v="1268"/>
    <s v="Verkeersveiligheid"/>
    <x v="5"/>
    <n v="3257"/>
    <s v="IN/002446"/>
    <s v="N712 Pelt doortocht   riolering"/>
    <s v="&lt;null&gt;"/>
    <s v="Structurele Ingreep"/>
    <s v="WL/INV/N712/3"/>
    <b v="0"/>
    <s v="Ingreep wordt niet opgevolgd in BOD"/>
    <s v="&lt;null&gt;"/>
    <s v="&lt;null&gt;"/>
    <s v="&lt;null&gt;"/>
    <s v="&lt;null&gt;"/>
    <n v="5"/>
    <m/>
    <m/>
  </r>
  <r>
    <x v="1253"/>
    <x v="1253"/>
    <s v="Verkeersveiligheid"/>
    <x v="5"/>
    <n v="3258"/>
    <s v="IN/002447"/>
    <s v="N74 structureel onderhoud Pelt/Lommel"/>
    <s v="&lt;null&gt;"/>
    <s v="Structurele Ingreep"/>
    <s v="WL/INV/N74/12"/>
    <b v="0"/>
    <s v="Ingreep wordt niet opgevolgd in BOD"/>
    <s v="&lt;null&gt;"/>
    <s v="&lt;null&gt;"/>
    <s v="&lt;null&gt;"/>
    <s v="&lt;null&gt;"/>
    <n v="1"/>
    <m/>
    <m/>
  </r>
  <r>
    <x v="1278"/>
    <x v="1278"/>
    <s v="Stimuleren Combimobiliteit"/>
    <x v="2"/>
    <n v="3258"/>
    <s v="IN/002447"/>
    <s v="N74 structureel onderhoud Pelt/Lommel"/>
    <s v="&lt;null&gt;"/>
    <s v="Structurele Ingreep"/>
    <s v="WL/INV/N74/12"/>
    <b v="0"/>
    <s v="Ingreep wordt niet opgevolgd in BOD"/>
    <s v="&lt;null&gt;"/>
    <s v="&lt;null&gt;"/>
    <s v="&lt;null&gt;"/>
    <s v="&lt;null&gt;"/>
    <n v="15"/>
    <m/>
    <m/>
  </r>
  <r>
    <x v="1609"/>
    <x v="1609"/>
    <s v="Verkeersveiligheid"/>
    <x v="6"/>
    <n v="3258"/>
    <s v="IN/002447"/>
    <s v="N74 structureel onderhoud Pelt/Lommel"/>
    <s v="&lt;null&gt;"/>
    <s v="Structurele Ingreep"/>
    <s v="WL/INV/N74/12"/>
    <b v="0"/>
    <s v="Ingreep wordt niet opgevolgd in BOD"/>
    <s v="&lt;null&gt;"/>
    <s v="&lt;null&gt;"/>
    <s v="&lt;null&gt;"/>
    <s v="&lt;null&gt;"/>
    <n v="5"/>
    <m/>
    <m/>
  </r>
  <r>
    <x v="18"/>
    <x v="18"/>
    <s v="&lt;null&gt;"/>
    <x v="3"/>
    <n v="3260"/>
    <s v="IN/002449"/>
    <s v="Aanleg fietspad op N757 tussen Kinrooi en Maaseik"/>
    <s v="&lt;null&gt;"/>
    <s v="Structurele Ingreep"/>
    <s v="WL/INV/N757/3"/>
    <b v="0"/>
    <s v="Ingreep wordt niet opgevolgd in BOD"/>
    <s v="&lt;null&gt;"/>
    <s v="&lt;null&gt;"/>
    <s v="&lt;null&gt;"/>
    <s v="&lt;null&gt;"/>
    <m/>
    <m/>
    <m/>
  </r>
  <r>
    <x v="1610"/>
    <x v="1610"/>
    <s v="Verkeersveiligheid"/>
    <x v="1"/>
    <n v="3302"/>
    <s v="IN/002450"/>
    <s v="PCV-dossier kruispunt met Rodenbachstraat"/>
    <s v="&lt;null&gt;"/>
    <s v="Kleine Ingreep"/>
    <s v="&lt;null&gt;"/>
    <b v="0"/>
    <s v="Ingreep wordt niet opgevolgd in BOD"/>
    <s v="&lt;null&gt;"/>
    <s v="&lt;null&gt;"/>
    <s v="&lt;null&gt;"/>
    <s v="&lt;null&gt;"/>
    <n v="100"/>
    <m/>
    <m/>
  </r>
  <r>
    <x v="1611"/>
    <x v="1611"/>
    <s v="Verkeersveiligheid"/>
    <x v="1"/>
    <n v="3303"/>
    <s v="IN/002451"/>
    <s v="aanleg terugkeerrotonde op N208"/>
    <s v="aanleg terugkeerrotonde op N208"/>
    <s v="Kleine Ingreep"/>
    <s v="&lt;null&gt;"/>
    <b v="0"/>
    <s v="Ingreep wordt niet opgevolgd in BOD"/>
    <n v="2023"/>
    <s v="Q1"/>
    <s v="WEGENIS"/>
    <s v="&lt;null&gt;"/>
    <n v="100"/>
    <n v="500000"/>
    <n v="500000"/>
  </r>
  <r>
    <x v="1612"/>
    <x v="1612"/>
    <s v="Fiets"/>
    <x v="0"/>
    <n v="3304"/>
    <s v="IN/002452"/>
    <s v="Lokaal structureel onderhoud fietspad op de N 36 te Ronse"/>
    <s v="&lt;null&gt;"/>
    <s v="Kleine Ingreep"/>
    <s v="WOV/INV/N36/3"/>
    <b v="1"/>
    <s v="Ingreep wordt opgevolgd in BOD"/>
    <n v="2023"/>
    <s v="Q1"/>
    <s v="WEGENIS"/>
    <s v="&lt;null&gt;"/>
    <n v="100"/>
    <n v="100000"/>
    <n v="100000"/>
  </r>
  <r>
    <x v="18"/>
    <x v="18"/>
    <s v="&lt;null&gt;"/>
    <x v="3"/>
    <n v="3305"/>
    <s v="IN/002453"/>
    <s v="N10 - aanleg middenberm voor ontdubbelen N10"/>
    <s v="&lt;null&gt;"/>
    <s v="Structurele Ingreep"/>
    <s v="WA/INV/N10/14"/>
    <b v="0"/>
    <s v="Ingreep wordt niet opgevolgd in BOD"/>
    <s v="&lt;null&gt;"/>
    <s v="&lt;null&gt;"/>
    <s v="&lt;null&gt;"/>
    <s v="&lt;null&gt;"/>
    <m/>
    <m/>
    <m/>
  </r>
  <r>
    <x v="861"/>
    <x v="861"/>
    <s v="Verkeersveiligheid"/>
    <x v="4"/>
    <n v="3306"/>
    <s v="IN/002454"/>
    <s v="verplaatsen fietsenrekken"/>
    <s v="&lt;null&gt;"/>
    <s v="Kleine Ingreep"/>
    <s v="&lt;null&gt;"/>
    <b v="0"/>
    <s v="Ingreep wordt niet opgevolgd in BOD"/>
    <s v="&lt;null&gt;"/>
    <s v="&lt;null&gt;"/>
    <s v="&lt;null&gt;"/>
    <s v="&lt;null&gt;"/>
    <n v="100"/>
    <m/>
    <m/>
  </r>
  <r>
    <x v="1613"/>
    <x v="1613"/>
    <s v="Stimuleren Combimobiliteit"/>
    <x v="2"/>
    <n v="3307"/>
    <s v="IN/002455"/>
    <s v="Hoppinpunt Kwaadmechelen Kerk"/>
    <s v="Aanleg van een Hoppinpunt"/>
    <s v="Kleine Ingreep"/>
    <s v="&lt;null&gt;"/>
    <b v="0"/>
    <s v="Ingreep wordt niet opgevolgd in BOD"/>
    <s v="&lt;null&gt;"/>
    <s v="&lt;null&gt;"/>
    <s v="&lt;null&gt;"/>
    <s v="&lt;null&gt;"/>
    <n v="100"/>
    <m/>
    <m/>
  </r>
  <r>
    <x v="1614"/>
    <x v="1614"/>
    <s v="Stimuleren Combimobiliteit"/>
    <x v="2"/>
    <n v="3308"/>
    <s v="IN/002456"/>
    <s v="Oostham Warande"/>
    <s v="Aanleg van een Hoppinpunt"/>
    <s v="Kleine Ingreep"/>
    <s v="&lt;null&gt;"/>
    <b v="0"/>
    <s v="Ingreep wordt niet opgevolgd in BOD"/>
    <s v="&lt;null&gt;"/>
    <s v="&lt;null&gt;"/>
    <s v="&lt;null&gt;"/>
    <s v="&lt;null&gt;"/>
    <n v="100"/>
    <m/>
    <m/>
  </r>
  <r>
    <x v="1615"/>
    <x v="1615"/>
    <s v="Stimuleren Combimobiliteit"/>
    <x v="2"/>
    <n v="3309"/>
    <s v="IN/002457"/>
    <s v="Koersel Beringen Mijnen"/>
    <s v="Aanleg van een Hoppinpunt"/>
    <s v="Kleine Ingreep"/>
    <s v="&lt;null&gt;"/>
    <b v="0"/>
    <s v="Ingreep wordt niet opgevolgd in BOD"/>
    <n v="2023"/>
    <s v="Q2"/>
    <s v="WEGENIS"/>
    <s v="&lt;null&gt;"/>
    <n v="100"/>
    <n v="25000"/>
    <n v="25000"/>
  </r>
  <r>
    <x v="1616"/>
    <x v="1616"/>
    <s v="Stimuleren Combimobiliteit"/>
    <x v="2"/>
    <n v="3310"/>
    <s v="IN/002458"/>
    <s v="Bree Kanaal Noord"/>
    <s v="Aanleg van een Hoppinpunt"/>
    <s v="Kleine Ingreep"/>
    <s v="&lt;null&gt;"/>
    <b v="0"/>
    <s v="Ingreep wordt niet opgevolgd in BOD"/>
    <s v="&lt;null&gt;"/>
    <s v="&lt;null&gt;"/>
    <s v="&lt;null&gt;"/>
    <s v="&lt;null&gt;"/>
    <n v="100"/>
    <m/>
    <m/>
  </r>
  <r>
    <x v="1617"/>
    <x v="1617"/>
    <s v="Stimuleren Combimobiliteit"/>
    <x v="2"/>
    <n v="3311"/>
    <s v="IN/002459"/>
    <s v="Achel Kerk"/>
    <s v="Aanleg van een Hoppinpunt"/>
    <s v="Kleine Ingreep"/>
    <s v="&lt;null&gt;"/>
    <b v="0"/>
    <s v="Ingreep wordt niet opgevolgd in BOD"/>
    <s v="&lt;null&gt;"/>
    <s v="&lt;null&gt;"/>
    <s v="&lt;null&gt;"/>
    <s v="&lt;null&gt;"/>
    <n v="100"/>
    <m/>
    <m/>
  </r>
  <r>
    <x v="1618"/>
    <x v="1618"/>
    <s v="Stimuleren Combimobiliteit"/>
    <x v="2"/>
    <n v="3312"/>
    <s v="IN/002460"/>
    <s v="Eksel Kerkstraat"/>
    <s v="Aanleg van een Hoppinpunt"/>
    <s v="Kleine Ingreep"/>
    <s v="&lt;null&gt;"/>
    <b v="0"/>
    <s v="Ingreep wordt niet opgevolgd in BOD"/>
    <s v="&lt;null&gt;"/>
    <s v="&lt;null&gt;"/>
    <s v="&lt;null&gt;"/>
    <s v="&lt;null&gt;"/>
    <n v="100"/>
    <m/>
    <m/>
  </r>
  <r>
    <x v="1619"/>
    <x v="1619"/>
    <s v="Stimuleren Combimobiliteit"/>
    <x v="2"/>
    <n v="3313"/>
    <s v="IN/002461"/>
    <s v="Verveteren bereikbaarheid P+R"/>
    <s v="&lt;null&gt;"/>
    <s v="Kleine Ingreep"/>
    <s v="WA/INV/R11/8"/>
    <b v="0"/>
    <s v="Ingreep wordt niet opgevolgd in BOD"/>
    <n v="2022"/>
    <s v="Q4"/>
    <s v="VRI"/>
    <s v="&lt;null&gt;"/>
    <n v="100"/>
    <n v="50000"/>
    <n v="50000"/>
  </r>
  <r>
    <x v="1619"/>
    <x v="1619"/>
    <s v="Stimuleren Combimobiliteit"/>
    <x v="2"/>
    <n v="3313"/>
    <s v="IN/002461"/>
    <s v="Verveteren bereikbaarheid P+R"/>
    <s v="&lt;null&gt;"/>
    <s v="Kleine Ingreep"/>
    <s v="WA/INV/R11/8"/>
    <b v="0"/>
    <s v="Ingreep wordt niet opgevolgd in BOD"/>
    <n v="2022"/>
    <s v="Q4"/>
    <s v="WEGENIS"/>
    <m/>
    <n v="100"/>
    <n v="1"/>
    <n v="1"/>
  </r>
  <r>
    <x v="18"/>
    <x v="18"/>
    <s v="&lt;null&gt;"/>
    <x v="3"/>
    <n v="3352"/>
    <s v="IN/002462"/>
    <s v="N76 Ophaalsluis Lozen"/>
    <s v="&lt;null&gt;"/>
    <s v="Structurele Ingreep"/>
    <s v="WL/INV/N76/8"/>
    <b v="0"/>
    <s v="Ingreep wordt niet opgevolgd in BOD"/>
    <s v="&lt;null&gt;"/>
    <s v="&lt;null&gt;"/>
    <s v="&lt;null&gt;"/>
    <s v="&lt;null&gt;"/>
    <m/>
    <m/>
    <m/>
  </r>
  <r>
    <x v="18"/>
    <x v="18"/>
    <s v="&lt;null&gt;"/>
    <x v="3"/>
    <n v="3353"/>
    <s v="IN/002463"/>
    <s v="E313 Beringen Ham aanleg van spitsstroken"/>
    <s v="&lt;null&gt;"/>
    <s v="Structurele Ingreep"/>
    <s v="WL/INV/E313/3"/>
    <b v="1"/>
    <s v="Ingreep wordt opgevolgd in BOD"/>
    <s v="&lt;null&gt;"/>
    <s v="&lt;null&gt;"/>
    <s v="&lt;null&gt;"/>
    <s v="&lt;null&gt;"/>
    <m/>
    <m/>
    <m/>
  </r>
  <r>
    <x v="18"/>
    <x v="18"/>
    <s v="&lt;null&gt;"/>
    <x v="3"/>
    <n v="3354"/>
    <s v="IN/002464"/>
    <s v="N715 Zonhoven - herinrichting"/>
    <s v="&lt;null&gt;"/>
    <s v="Structurele Ingreep"/>
    <s v="WL/INV/N715/10"/>
    <b v="0"/>
    <s v="Ingreep wordt niet opgevolgd in BOD"/>
    <s v="&lt;null&gt;"/>
    <s v="&lt;null&gt;"/>
    <s v="&lt;null&gt;"/>
    <s v="&lt;null&gt;"/>
    <m/>
    <m/>
    <m/>
  </r>
  <r>
    <x v="231"/>
    <x v="231"/>
    <s v="Verkeersveiligheid"/>
    <x v="1"/>
    <n v="3402"/>
    <s v="IN/002465"/>
    <s v="Trajectcontrole N258 Aarschot - Scherpenheuvel - Tielt-Winge"/>
    <s v="&lt;null&gt;"/>
    <s v="Kleine Ingreep"/>
    <s v="&lt;null&gt;"/>
    <b v="0"/>
    <s v="Ingreep wordt niet opgevolgd in BOD"/>
    <s v="&lt;null&gt;"/>
    <s v="&lt;null&gt;"/>
    <s v="&lt;null&gt;"/>
    <s v="&lt;null&gt;"/>
    <n v="100"/>
    <m/>
    <m/>
  </r>
  <r>
    <x v="1620"/>
    <x v="1620"/>
    <s v="Verkeersveiligheid"/>
    <x v="6"/>
    <n v="3403"/>
    <s v="IN/002466"/>
    <s v="Veilige rolstoeloversteekplaats N726 (Wagemanskeel x Boekrakelaan)"/>
    <s v="De stad Genk is vragende partij  voor een veilige oversteekplaats voor rolstoelgebruikers ter hoogte van het kruispunt  van de N726 met de Boekrakelaan."/>
    <s v="Kleine Ingreep"/>
    <s v="WL/INV/N726/3"/>
    <b v="0"/>
    <s v="Ingreep wordt niet opgevolgd in BOD"/>
    <n v="2023"/>
    <s v="Q2"/>
    <s v="WEGENIS"/>
    <s v="&lt;null&gt;"/>
    <n v="100"/>
    <n v="120000"/>
    <n v="120000"/>
  </r>
  <r>
    <x v="18"/>
    <x v="18"/>
    <s v="&lt;null&gt;"/>
    <x v="3"/>
    <n v="3404"/>
    <s v="IN/002467"/>
    <s v="E17 heraanleg zone 1 St-Niklaas - Kruibeke"/>
    <s v="&lt;null&gt;"/>
    <s v="Structurele Ingreep"/>
    <s v="WOV/INV/E17/4"/>
    <b v="0"/>
    <s v="Ingreep wordt niet opgevolgd in BOD"/>
    <s v="&lt;null&gt;"/>
    <s v="&lt;null&gt;"/>
    <s v="&lt;null&gt;"/>
    <s v="&lt;null&gt;"/>
    <m/>
    <m/>
    <m/>
  </r>
  <r>
    <x v="18"/>
    <x v="18"/>
    <s v="&lt;null&gt;"/>
    <x v="3"/>
    <n v="3405"/>
    <s v="IN/002468"/>
    <s v="E17 heraanleg zone 2 Sint-Niklaas - Lokeren"/>
    <s v="&lt;null&gt;"/>
    <s v="Structurele Ingreep"/>
    <s v="WOV/INV/E17/5"/>
    <b v="0"/>
    <s v="Ingreep wordt niet opgevolgd in BOD"/>
    <s v="&lt;null&gt;"/>
    <s v="&lt;null&gt;"/>
    <s v="&lt;null&gt;"/>
    <s v="&lt;null&gt;"/>
    <m/>
    <m/>
    <m/>
  </r>
  <r>
    <x v="18"/>
    <x v="18"/>
    <s v="&lt;null&gt;"/>
    <x v="3"/>
    <n v="3406"/>
    <s v="IN/002469"/>
    <s v="E34 heraanleg zone 1 Kemzeke - Moerbeke"/>
    <s v="&lt;null&gt;"/>
    <s v="Structurele Ingreep"/>
    <s v="WOV/INV/E34/3"/>
    <b v="0"/>
    <s v="Ingreep wordt niet opgevolgd in BOD"/>
    <s v="&lt;null&gt;"/>
    <s v="&lt;null&gt;"/>
    <s v="&lt;null&gt;"/>
    <s v="&lt;null&gt;"/>
    <m/>
    <m/>
    <m/>
  </r>
  <r>
    <x v="18"/>
    <x v="18"/>
    <s v="&lt;null&gt;"/>
    <x v="3"/>
    <n v="3407"/>
    <s v="IN/002470"/>
    <s v="E34 heraanleg zone 2 Moerbeke - Kemzeke"/>
    <s v="&lt;null&gt;"/>
    <s v="Structurele Ingreep"/>
    <s v="WOV/INV/E34/2"/>
    <b v="0"/>
    <s v="Ingreep wordt niet opgevolgd in BOD"/>
    <s v="&lt;null&gt;"/>
    <s v="&lt;null&gt;"/>
    <s v="&lt;null&gt;"/>
    <s v="&lt;null&gt;"/>
    <m/>
    <m/>
    <m/>
  </r>
  <r>
    <x v="18"/>
    <x v="18"/>
    <s v="&lt;null&gt;"/>
    <x v="3"/>
    <n v="3408"/>
    <s v="IN/002471"/>
    <s v="E40 heraanleg zone 1 VLBR - Vlekkem"/>
    <s v="&lt;null&gt;"/>
    <s v="Structurele Ingreep"/>
    <s v="WOV/INV/E40/4"/>
    <b v="0"/>
    <s v="Ingreep wordt niet opgevolgd in BOD"/>
    <s v="&lt;null&gt;"/>
    <s v="&lt;null&gt;"/>
    <s v="&lt;null&gt;"/>
    <s v="&lt;null&gt;"/>
    <m/>
    <m/>
    <m/>
  </r>
  <r>
    <x v="18"/>
    <x v="18"/>
    <s v="&lt;null&gt;"/>
    <x v="3"/>
    <n v="3409"/>
    <s v="IN/002472"/>
    <s v="E40 heraanleg zone 2 Vlekkem - VLBR"/>
    <s v="&lt;null&gt;"/>
    <s v="Structurele Ingreep"/>
    <s v="WOV/INV/E40/5"/>
    <b v="0"/>
    <s v="Ingreep wordt niet opgevolgd in BOD"/>
    <s v="&lt;null&gt;"/>
    <s v="&lt;null&gt;"/>
    <s v="&lt;null&gt;"/>
    <s v="&lt;null&gt;"/>
    <m/>
    <m/>
    <m/>
  </r>
  <r>
    <x v="1621"/>
    <x v="1621"/>
    <s v="Verkeersveiligheid"/>
    <x v="6"/>
    <n v="3410"/>
    <s v="IN/002473"/>
    <s v="Zutendaal - N77 - fietsoversteekplaats Terboekt"/>
    <s v="fietsoversteekplaats via middeneiland (ook voor menners) + VFOP"/>
    <s v="Kleine Ingreep"/>
    <s v="WL/INV/N77/8"/>
    <b v="0"/>
    <s v="Ingreep wordt niet opgevolgd in BOD"/>
    <n v="2023"/>
    <s v="Q2"/>
    <s v="WEGENIS"/>
    <s v="&lt;null&gt;"/>
    <n v="100"/>
    <n v="150000"/>
    <n v="150000"/>
  </r>
  <r>
    <x v="1622"/>
    <x v="1622"/>
    <s v="Verkeersveiligheid"/>
    <x v="6"/>
    <n v="3411"/>
    <s v="IN/002474"/>
    <s v="Zonhoven – N72 x Purmo x Nachtegalenstraat"/>
    <s v="Opstelruimte creëren voor de fietsoversteekplaats (noord), fietspad naar buiten buigen en ter plaatse verbreden naar de nieuwe normen (2m)"/>
    <s v="Kleine Ingreep"/>
    <s v="WL/INV/N72/25"/>
    <b v="0"/>
    <s v="Ingreep wordt niet opgevolgd in BOD"/>
    <n v="2023"/>
    <s v="Q1"/>
    <s v="WEGENIS"/>
    <s v="&lt;null&gt;"/>
    <n v="100"/>
    <n v="25000"/>
    <n v="25000"/>
  </r>
  <r>
    <x v="1623"/>
    <x v="1623"/>
    <s v="Fiets"/>
    <x v="0"/>
    <n v="3412"/>
    <s v="IN/002475"/>
    <s v="Alken – N754 x Groenmolenstraat Fietsoversteek - dubbelrichtingsfietspad - FVOP"/>
    <s v="Fietsoversteek - dubbelrichtingsfietspad - FVOP"/>
    <s v="Kleine Ingreep"/>
    <s v="WL/INV/N754/16"/>
    <b v="0"/>
    <s v="Ingreep wordt niet opgevolgd in BOD"/>
    <n v="2023"/>
    <s v="Q2"/>
    <s v="WEGENIS"/>
    <s v="&lt;null&gt;"/>
    <n v="100"/>
    <n v="200000"/>
    <n v="200000"/>
  </r>
  <r>
    <x v="1624"/>
    <x v="1624"/>
    <s v="Stimuleren Combimobiliteit"/>
    <x v="2"/>
    <n v="3413"/>
    <s v="IN/002476"/>
    <s v="Inrichten Hoppinpunt"/>
    <s v="&lt;null&gt;"/>
    <s v="Kleine Ingreep"/>
    <s v="WL/INV/N754/17"/>
    <b v="0"/>
    <s v="Ingreep wordt niet opgevolgd in BOD"/>
    <n v="2023"/>
    <s v="Q3"/>
    <s v="OVERIGE"/>
    <s v="&lt;null&gt;"/>
    <n v="100"/>
    <n v="25000"/>
    <n v="25000"/>
  </r>
  <r>
    <x v="18"/>
    <x v="18"/>
    <s v="&lt;null&gt;"/>
    <x v="3"/>
    <n v="3414"/>
    <s v="IN/002477"/>
    <s v="N342 Brugge Herinrichting Stationslaan"/>
    <s v="&lt;null&gt;"/>
    <s v="Structurele Ingreep"/>
    <s v="WWV/INV/N342/2"/>
    <b v="0"/>
    <s v="Ingreep wordt niet opgevolgd in BOD"/>
    <s v="&lt;null&gt;"/>
    <s v="&lt;null&gt;"/>
    <s v="&lt;null&gt;"/>
    <s v="&lt;null&gt;"/>
    <m/>
    <m/>
    <m/>
  </r>
  <r>
    <x v="1625"/>
    <x v="1625"/>
    <s v="Stimuleren Combimobiliteit"/>
    <x v="2"/>
    <n v="3415"/>
    <s v="IN/002478"/>
    <s v="Hoppinpunt 831"/>
    <s v="Aanleg van een Hoppinpunt"/>
    <s v="Kleine Ingreep"/>
    <s v="WL/INV/N730/27"/>
    <b v="0"/>
    <s v="Ingreep wordt niet opgevolgd in BOD"/>
    <n v="2023"/>
    <s v="Q1"/>
    <s v="OVERIGE"/>
    <s v="&lt;null&gt;"/>
    <n v="100"/>
    <n v="40000"/>
    <n v="40000"/>
  </r>
  <r>
    <x v="18"/>
    <x v="18"/>
    <s v="&lt;null&gt;"/>
    <x v="3"/>
    <n v="3416"/>
    <s v="IN/002479"/>
    <s v="N35b Lichtervelde: herinrichting Koolskampstraat"/>
    <s v="&lt;null&gt;"/>
    <s v="Structurele Ingreep"/>
    <s v="WWV/INV/N35B/1"/>
    <b v="0"/>
    <s v="Ingreep wordt niet opgevolgd in BOD"/>
    <s v="&lt;null&gt;"/>
    <s v="&lt;null&gt;"/>
    <s v="&lt;null&gt;"/>
    <s v="&lt;null&gt;"/>
    <m/>
    <m/>
    <m/>
  </r>
  <r>
    <x v="18"/>
    <x v="18"/>
    <s v="&lt;null&gt;"/>
    <x v="3"/>
    <n v="3417"/>
    <s v="IN/002480"/>
    <s v="N9 Brugge Studie herinrichting Maalse Steenweg"/>
    <s v="&lt;null&gt;"/>
    <s v="Structurele Ingreep"/>
    <s v="WWV/INV/N9/2"/>
    <b v="0"/>
    <s v="Ingreep wordt niet opgevolgd in BOD"/>
    <s v="&lt;null&gt;"/>
    <s v="&lt;null&gt;"/>
    <s v="&lt;null&gt;"/>
    <s v="&lt;null&gt;"/>
    <m/>
    <m/>
    <m/>
  </r>
  <r>
    <x v="237"/>
    <x v="237"/>
    <s v="Verkeersveiligheid"/>
    <x v="1"/>
    <n v="3418"/>
    <s v="IN/002481"/>
    <s v="A12 ongelijkvloerse verbinding zwakke weggebruiker"/>
    <s v="&lt;null&gt;"/>
    <s v="Structurele Ingreep"/>
    <s v="WA/INV/A12/5"/>
    <b v="0"/>
    <s v="Ingreep wordt niet opgevolgd in BOD"/>
    <s v="&lt;null&gt;"/>
    <s v="&lt;null&gt;"/>
    <s v="&lt;null&gt;"/>
    <s v="&lt;null&gt;"/>
    <n v="100"/>
    <m/>
    <m/>
  </r>
  <r>
    <x v="18"/>
    <x v="18"/>
    <s v="&lt;null&gt;"/>
    <x v="3"/>
    <n v="3419"/>
    <s v="IN/002482"/>
    <s v="R001 Antwerpen Verleggen afwatering R1 Nieuw Zuid"/>
    <s v="&lt;null&gt;"/>
    <s v="Structurele Ingreep"/>
    <s v="WA/INV/R001/1"/>
    <b v="0"/>
    <s v="Ingreep wordt niet opgevolgd in BOD"/>
    <s v="&lt;null&gt;"/>
    <s v="&lt;null&gt;"/>
    <s v="&lt;null&gt;"/>
    <s v="&lt;null&gt;"/>
    <m/>
    <m/>
    <m/>
  </r>
  <r>
    <x v="861"/>
    <x v="861"/>
    <s v="Verkeersveiligheid"/>
    <x v="4"/>
    <n v="3420"/>
    <s v="IN/002483"/>
    <s v="A13 Hasselt - Ontsluitingsinfra parallel E313"/>
    <s v="&lt;null&gt;"/>
    <s v="Structurele Ingreep"/>
    <s v="WL/INV/E313/2"/>
    <b v="0"/>
    <s v="Ingreep wordt niet opgevolgd in BOD"/>
    <s v="&lt;null&gt;"/>
    <s v="&lt;null&gt;"/>
    <s v="&lt;null&gt;"/>
    <s v="&lt;null&gt;"/>
    <n v="1"/>
    <m/>
    <m/>
  </r>
  <r>
    <x v="1328"/>
    <x v="1328"/>
    <s v="Verkeersveiligheid"/>
    <x v="4"/>
    <n v="3420"/>
    <s v="IN/002483"/>
    <s v="A13 Hasselt - Ontsluitingsinfra parallel E313"/>
    <s v="&lt;null&gt;"/>
    <s v="Structurele Ingreep"/>
    <s v="WL/INV/E313/2"/>
    <b v="0"/>
    <s v="Ingreep wordt niet opgevolgd in BOD"/>
    <s v="&lt;null&gt;"/>
    <s v="&lt;null&gt;"/>
    <s v="&lt;null&gt;"/>
    <s v="&lt;null&gt;"/>
    <n v="1"/>
    <m/>
    <m/>
  </r>
  <r>
    <x v="1626"/>
    <x v="1626"/>
    <s v="Verkeersveiligheid"/>
    <x v="1"/>
    <n v="3420"/>
    <s v="IN/002483"/>
    <s v="A13 Hasselt - Ontsluitingsinfra parallel E313"/>
    <s v="&lt;null&gt;"/>
    <s v="Structurele Ingreep"/>
    <s v="WL/INV/E313/2"/>
    <b v="0"/>
    <s v="Ingreep wordt niet opgevolgd in BOD"/>
    <s v="&lt;null&gt;"/>
    <s v="&lt;null&gt;"/>
    <s v="&lt;null&gt;"/>
    <s v="&lt;null&gt;"/>
    <n v="1"/>
    <m/>
    <m/>
  </r>
  <r>
    <x v="18"/>
    <x v="18"/>
    <s v="&lt;null&gt;"/>
    <x v="3"/>
    <n v="3421"/>
    <s v="IN/002484"/>
    <s v="N730 Hoeselt - aanleg carpool"/>
    <s v="&lt;null&gt;"/>
    <s v="Structurele Ingreep"/>
    <s v="WL/INV/N730/3"/>
    <b v="0"/>
    <s v="Ingreep wordt niet opgevolgd in BOD"/>
    <s v="&lt;null&gt;"/>
    <s v="&lt;null&gt;"/>
    <s v="&lt;null&gt;"/>
    <s v="&lt;null&gt;"/>
    <m/>
    <m/>
    <m/>
  </r>
  <r>
    <x v="862"/>
    <x v="862"/>
    <s v="Verkeersveiligheid"/>
    <x v="4"/>
    <n v="3422"/>
    <s v="IN/002485"/>
    <s v="Herinrichting ter hoogte van Lutselus Diepenbeek"/>
    <s v="&lt;null&gt;"/>
    <s v="Structurele Ingreep"/>
    <s v="WL/INV/N76/25"/>
    <b v="0"/>
    <s v="Ingreep wordt niet opgevolgd in BOD"/>
    <s v="&lt;null&gt;"/>
    <s v="&lt;null&gt;"/>
    <s v="&lt;null&gt;"/>
    <s v="&lt;null&gt;"/>
    <n v="1"/>
    <m/>
    <m/>
  </r>
  <r>
    <x v="1627"/>
    <x v="1627"/>
    <s v="Stimuleren Combimobiliteit"/>
    <x v="2"/>
    <n v="3423"/>
    <s v="IN/002486"/>
    <s v="R70 Hasselt - Bampslaan Leopoldplein"/>
    <s v="&lt;null&gt;"/>
    <s v="Structurele Ingreep"/>
    <s v="WL/INV/R70/1"/>
    <b v="0"/>
    <s v="Ingreep wordt niet opgevolgd in BOD"/>
    <s v="&lt;null&gt;"/>
    <s v="&lt;null&gt;"/>
    <s v="&lt;null&gt;"/>
    <s v="&lt;null&gt;"/>
    <n v="1"/>
    <m/>
    <m/>
  </r>
  <r>
    <x v="18"/>
    <x v="18"/>
    <s v="&lt;null&gt;"/>
    <x v="3"/>
    <n v="3424"/>
    <s v="IN/002487"/>
    <s v="N211 - Heraanleg Merchtemsesteenweg MEI MER"/>
    <s v="&lt;null&gt;"/>
    <s v="Structurele Ingreep"/>
    <s v="WVB/INV/N211/1"/>
    <b v="0"/>
    <s v="Ingreep wordt niet opgevolgd in BOD"/>
    <s v="&lt;null&gt;"/>
    <s v="&lt;null&gt;"/>
    <s v="&lt;null&gt;"/>
    <s v="&lt;null&gt;"/>
    <m/>
    <m/>
    <m/>
  </r>
  <r>
    <x v="18"/>
    <x v="18"/>
    <s v="&lt;null&gt;"/>
    <x v="3"/>
    <n v="3425"/>
    <s v="IN/002488"/>
    <s v="N235 - Herinrichting kruispunt Brouwerijstraat"/>
    <s v="&lt;null&gt;"/>
    <s v="Structurele Ingreep"/>
    <s v="WVB/INV/N235/3"/>
    <b v="0"/>
    <s v="Ingreep wordt niet opgevolgd in BOD"/>
    <s v="&lt;null&gt;"/>
    <s v="&lt;null&gt;"/>
    <s v="&lt;null&gt;"/>
    <s v="&lt;null&gt;"/>
    <m/>
    <m/>
    <m/>
  </r>
  <r>
    <x v="189"/>
    <x v="189"/>
    <s v="Fiets"/>
    <x v="0"/>
    <n v="3426"/>
    <s v="IN/002489"/>
    <s v="N5 - Heraanleg Waterlosesteenweg"/>
    <s v="&lt;null&gt;"/>
    <s v="Structurele Ingreep"/>
    <s v="WVB/INV/N5/1"/>
    <b v="0"/>
    <s v="Ingreep wordt niet opgevolgd in BOD"/>
    <s v="&lt;null&gt;"/>
    <s v="&lt;null&gt;"/>
    <s v="&lt;null&gt;"/>
    <s v="&lt;null&gt;"/>
    <n v="10"/>
    <m/>
    <m/>
  </r>
  <r>
    <x v="1628"/>
    <x v="1628"/>
    <s v="Stimuleren Combimobiliteit"/>
    <x v="2"/>
    <n v="3426"/>
    <s v="IN/002489"/>
    <s v="N5 - Heraanleg Waterlosesteenweg"/>
    <s v="&lt;null&gt;"/>
    <s v="Structurele Ingreep"/>
    <s v="WVB/INV/N5/1"/>
    <b v="0"/>
    <s v="Ingreep wordt niet opgevolgd in BOD"/>
    <s v="&lt;null&gt;"/>
    <s v="&lt;null&gt;"/>
    <s v="&lt;null&gt;"/>
    <s v="&lt;null&gt;"/>
    <n v="1"/>
    <m/>
    <m/>
  </r>
  <r>
    <x v="1629"/>
    <x v="1629"/>
    <s v="Stimuleren Combimobiliteit"/>
    <x v="7"/>
    <n v="3427"/>
    <s v="IN/002490"/>
    <s v="N411 Aalst Moorselbaan str. onderhoud bij m13"/>
    <s v="&lt;null&gt;"/>
    <s v="Structurele Ingreep"/>
    <s v="WOV/INV/N411/1"/>
    <b v="0"/>
    <s v="Ingreep wordt niet opgevolgd in BOD"/>
    <s v="&lt;null&gt;"/>
    <s v="&lt;null&gt;"/>
    <s v="&lt;null&gt;"/>
    <s v="&lt;null&gt;"/>
    <n v="2"/>
    <m/>
    <m/>
  </r>
  <r>
    <x v="1630"/>
    <x v="1630"/>
    <s v="Verkeersveiligheid"/>
    <x v="1"/>
    <n v="3427"/>
    <s v="IN/002490"/>
    <s v="N411 Aalst Moorselbaan str. onderhoud bij m13"/>
    <s v="&lt;null&gt;"/>
    <s v="Structurele Ingreep"/>
    <s v="WOV/INV/N411/1"/>
    <b v="0"/>
    <s v="Ingreep wordt niet opgevolgd in BOD"/>
    <s v="&lt;null&gt;"/>
    <s v="&lt;null&gt;"/>
    <s v="&lt;null&gt;"/>
    <s v="&lt;null&gt;"/>
    <n v="1"/>
    <m/>
    <m/>
  </r>
  <r>
    <x v="96"/>
    <x v="96"/>
    <s v="Fiets"/>
    <x v="0"/>
    <n v="3430"/>
    <s v="IN/002493"/>
    <s v="N8 - Verbinding fietspad Schepdaal"/>
    <s v="&lt;null&gt;"/>
    <s v="Structurele Ingreep"/>
    <s v="WVB/INV/N8/2"/>
    <b v="0"/>
    <s v="Ingreep wordt niet opgevolgd in BOD"/>
    <s v="&lt;null&gt;"/>
    <s v="&lt;null&gt;"/>
    <s v="&lt;null&gt;"/>
    <s v="&lt;null&gt;"/>
    <n v="100"/>
    <m/>
    <m/>
  </r>
  <r>
    <x v="18"/>
    <x v="18"/>
    <s v="&lt;null&gt;"/>
    <x v="3"/>
    <n v="3431"/>
    <s v="IN/002494"/>
    <s v="N226 - Kraainem - aanleg fietspaden"/>
    <s v="&lt;null&gt;"/>
    <s v="Structurele Ingreep"/>
    <s v="WVB/INV/N226/2"/>
    <b v="0"/>
    <s v="Ingreep wordt niet opgevolgd in BOD"/>
    <s v="&lt;null&gt;"/>
    <s v="&lt;null&gt;"/>
    <s v="&lt;null&gt;"/>
    <s v="&lt;null&gt;"/>
    <m/>
    <m/>
    <m/>
  </r>
  <r>
    <x v="18"/>
    <x v="18"/>
    <s v="&lt;null&gt;"/>
    <x v="3"/>
    <n v="3432"/>
    <s v="IN/002495"/>
    <s v="N21 - Boortmeerbeek: heraanleg ifv module 10/13"/>
    <s v="&lt;null&gt;"/>
    <s v="Structurele Ingreep"/>
    <s v="WVB/INV/N21/14"/>
    <b v="0"/>
    <s v="Ingreep wordt niet opgevolgd in BOD"/>
    <s v="&lt;null&gt;"/>
    <s v="&lt;null&gt;"/>
    <s v="&lt;null&gt;"/>
    <s v="&lt;null&gt;"/>
    <m/>
    <m/>
    <m/>
  </r>
  <r>
    <x v="129"/>
    <x v="129"/>
    <s v="Fiets"/>
    <x v="0"/>
    <n v="3433"/>
    <s v="IN/002496"/>
    <s v="N290 - Wemmel: heraanleg fietspaden"/>
    <s v="&lt;null&gt;"/>
    <s v="Structurele Ingreep"/>
    <s v="WVB/INV/N290/3"/>
    <b v="0"/>
    <s v="Ingreep wordt niet opgevolgd in BOD"/>
    <s v="&lt;null&gt;"/>
    <s v="&lt;null&gt;"/>
    <s v="&lt;null&gt;"/>
    <s v="&lt;null&gt;"/>
    <n v="60"/>
    <m/>
    <m/>
  </r>
  <r>
    <x v="18"/>
    <x v="18"/>
    <s v="&lt;null&gt;"/>
    <x v="3"/>
    <n v="3434"/>
    <s v="IN/002497"/>
    <s v="N26 - Boortmeerbeek - herinrichting"/>
    <s v="&lt;null&gt;"/>
    <s v="Structurele Ingreep"/>
    <s v="WVB/INV/N26/19"/>
    <b v="0"/>
    <s v="Ingreep wordt niet opgevolgd in BOD"/>
    <s v="&lt;null&gt;"/>
    <s v="&lt;null&gt;"/>
    <s v="&lt;null&gt;"/>
    <s v="&lt;null&gt;"/>
    <m/>
    <m/>
    <m/>
  </r>
  <r>
    <x v="18"/>
    <x v="18"/>
    <s v="&lt;null&gt;"/>
    <x v="3"/>
    <n v="3435"/>
    <s v="IN/002498"/>
    <s v="N26 - Kampenhout: aanleg fietspaden"/>
    <s v="&lt;null&gt;"/>
    <s v="Structurele Ingreep"/>
    <s v="WVB/INV/N26/20"/>
    <b v="0"/>
    <s v="Ingreep wordt niet opgevolgd in BOD"/>
    <s v="&lt;null&gt;"/>
    <s v="&lt;null&gt;"/>
    <s v="&lt;null&gt;"/>
    <s v="&lt;null&gt;"/>
    <m/>
    <m/>
    <m/>
  </r>
  <r>
    <x v="18"/>
    <x v="18"/>
    <s v="&lt;null&gt;"/>
    <x v="3"/>
    <n v="3436"/>
    <s v="IN/002499"/>
    <s v="N9 Bredene - Kruispunt Blauwe Sluis/Esperantolaan"/>
    <s v="&lt;null&gt;"/>
    <s v="Structurele Ingreep"/>
    <s v="WWV/INV/N9/1"/>
    <b v="0"/>
    <s v="Ingreep wordt niet opgevolgd in BOD"/>
    <s v="&lt;null&gt;"/>
    <s v="&lt;null&gt;"/>
    <s v="&lt;null&gt;"/>
    <s v="&lt;null&gt;"/>
    <m/>
    <m/>
    <m/>
  </r>
  <r>
    <x v="18"/>
    <x v="18"/>
    <s v="&lt;null&gt;"/>
    <x v="3"/>
    <n v="3437"/>
    <s v="IN/002500"/>
    <s v="N305 Dentergem: aanleg fietspaden"/>
    <s v="&lt;null&gt;"/>
    <s v="Structurele Ingreep"/>
    <s v="WWV/INV/N305/2"/>
    <b v="0"/>
    <s v="Ingreep wordt niet opgevolgd in BOD"/>
    <s v="&lt;null&gt;"/>
    <s v="&lt;null&gt;"/>
    <s v="&lt;null&gt;"/>
    <s v="&lt;null&gt;"/>
    <m/>
    <m/>
    <m/>
  </r>
  <r>
    <x v="18"/>
    <x v="18"/>
    <s v="&lt;null&gt;"/>
    <x v="3"/>
    <n v="3438"/>
    <s v="IN/002501"/>
    <s v="N357 Oostrozebeke - Ingelmunster: herinrichting"/>
    <s v="&lt;null&gt;"/>
    <s v="Structurele Ingreep"/>
    <s v="WWV/INV/N357/11"/>
    <b v="0"/>
    <s v="Ingreep wordt niet opgevolgd in BOD"/>
    <s v="&lt;null&gt;"/>
    <s v="&lt;null&gt;"/>
    <s v="&lt;null&gt;"/>
    <s v="&lt;null&gt;"/>
    <m/>
    <m/>
    <m/>
  </r>
  <r>
    <x v="18"/>
    <x v="18"/>
    <s v="&lt;null&gt;"/>
    <x v="3"/>
    <n v="3442"/>
    <s v="IN/002505"/>
    <s v="Debietmeters KEN CRA RUP TYS WAA"/>
    <s v="&lt;null&gt;"/>
    <s v="Structurele Ingreep"/>
    <s v="WA/INV/KEN/7"/>
    <b v="0"/>
    <s v="Ingreep wordt niet opgevolgd in BOD"/>
    <s v="&lt;null&gt;"/>
    <s v="&lt;null&gt;"/>
    <s v="&lt;null&gt;"/>
    <s v="&lt;null&gt;"/>
    <m/>
    <m/>
    <m/>
  </r>
  <r>
    <x v="18"/>
    <x v="18"/>
    <s v="&lt;null&gt;"/>
    <x v="3"/>
    <n v="3443"/>
    <s v="IN/002506"/>
    <s v="structureel onderhoud E313 van R1 tot Wommelgem"/>
    <s v="&lt;null&gt;"/>
    <s v="Structurele Ingreep"/>
    <s v="WA/INV/A13/7"/>
    <b v="0"/>
    <s v="Ingreep wordt niet opgevolgd in BOD"/>
    <s v="&lt;null&gt;"/>
    <s v="&lt;null&gt;"/>
    <s v="&lt;null&gt;"/>
    <s v="&lt;null&gt;"/>
    <m/>
    <m/>
    <m/>
  </r>
  <r>
    <x v="18"/>
    <x v="18"/>
    <s v="&lt;null&gt;"/>
    <x v="3"/>
    <n v="3444"/>
    <s v="IN/002507"/>
    <s v="A1 Mechelen Ecotunnels en ecoduikers VAPEO"/>
    <s v="&lt;null&gt;"/>
    <s v="Structurele Ingreep"/>
    <s v="WA/INV/A001/4"/>
    <b v="0"/>
    <s v="Ingreep wordt niet opgevolgd in BOD"/>
    <s v="&lt;null&gt;"/>
    <s v="&lt;null&gt;"/>
    <s v="&lt;null&gt;"/>
    <s v="&lt;null&gt;"/>
    <m/>
    <m/>
    <m/>
  </r>
  <r>
    <x v="18"/>
    <x v="18"/>
    <s v="&lt;null&gt;"/>
    <x v="3"/>
    <n v="3445"/>
    <s v="IN/002508"/>
    <s v="heraanleg kruispunt N19 x N13 - Punt"/>
    <s v="&lt;null&gt;"/>
    <s v="Structurele Ingreep"/>
    <s v="WA/INV/N019/3"/>
    <b v="0"/>
    <s v="Ingreep wordt niet opgevolgd in BOD"/>
    <s v="&lt;null&gt;"/>
    <s v="&lt;null&gt;"/>
    <s v="&lt;null&gt;"/>
    <s v="&lt;null&gt;"/>
    <m/>
    <m/>
    <m/>
  </r>
  <r>
    <x v="18"/>
    <x v="18"/>
    <s v="&lt;null&gt;"/>
    <x v="3"/>
    <n v="3446"/>
    <s v="IN/002509"/>
    <s v="N102 - Meerhout - aanleg vrijliggende fietspaden"/>
    <s v="&lt;null&gt;"/>
    <s v="Structurele Ingreep"/>
    <s v="WA/INV/N102/1"/>
    <b v="0"/>
    <s v="Ingreep wordt niet opgevolgd in BOD"/>
    <s v="&lt;null&gt;"/>
    <s v="&lt;null&gt;"/>
    <s v="&lt;null&gt;"/>
    <s v="&lt;null&gt;"/>
    <m/>
    <m/>
    <m/>
  </r>
  <r>
    <x v="18"/>
    <x v="18"/>
    <s v="&lt;null&gt;"/>
    <x v="3"/>
    <n v="3447"/>
    <s v="IN/002510"/>
    <s v="N118 - Aanleg vrijliggend fietspad en fp op brug"/>
    <s v="&lt;null&gt;"/>
    <s v="Structurele Ingreep"/>
    <s v="WA/INV/N118/5"/>
    <b v="0"/>
    <s v="Ingreep wordt niet opgevolgd in BOD"/>
    <s v="&lt;null&gt;"/>
    <s v="&lt;null&gt;"/>
    <s v="&lt;null&gt;"/>
    <s v="&lt;null&gt;"/>
    <m/>
    <m/>
    <m/>
  </r>
  <r>
    <x v="18"/>
    <x v="18"/>
    <s v="&lt;null&gt;"/>
    <x v="3"/>
    <n v="3448"/>
    <s v="IN/002511"/>
    <s v="N126 - Laakdal-Meerhout - Structureel Onderhoud"/>
    <s v="&lt;null&gt;"/>
    <s v="Structurele Ingreep"/>
    <s v="WA/INV/N126/1"/>
    <b v="0"/>
    <s v="Ingreep wordt niet opgevolgd in BOD"/>
    <s v="&lt;null&gt;"/>
    <s v="&lt;null&gt;"/>
    <s v="&lt;null&gt;"/>
    <s v="&lt;null&gt;"/>
    <m/>
    <m/>
    <m/>
  </r>
  <r>
    <x v="18"/>
    <x v="18"/>
    <s v="&lt;null&gt;"/>
    <x v="3"/>
    <n v="3449"/>
    <s v="IN/002512"/>
    <s v="A12 Boom Persleiding Aquafin thv Bosbeek"/>
    <s v="&lt;null&gt;"/>
    <s v="Structurele Ingreep"/>
    <s v="WA/INV/A012/2"/>
    <b v="0"/>
    <s v="Ingreep wordt niet opgevolgd in BOD"/>
    <s v="&lt;null&gt;"/>
    <s v="&lt;null&gt;"/>
    <s v="&lt;null&gt;"/>
    <s v="&lt;null&gt;"/>
    <m/>
    <m/>
    <m/>
  </r>
  <r>
    <x v="18"/>
    <x v="18"/>
    <s v="&lt;null&gt;"/>
    <x v="3"/>
    <n v="3450"/>
    <s v="IN/002513"/>
    <s v="N136 - Mol - Module 13 Postel"/>
    <s v="&lt;null&gt;"/>
    <s v="Structurele Ingreep"/>
    <s v="WA/INV/N136/1"/>
    <b v="0"/>
    <s v="Ingreep wordt niet opgevolgd in BOD"/>
    <s v="&lt;null&gt;"/>
    <s v="&lt;null&gt;"/>
    <s v="&lt;null&gt;"/>
    <s v="&lt;null&gt;"/>
    <m/>
    <m/>
    <m/>
  </r>
  <r>
    <x v="155"/>
    <x v="155"/>
    <s v="Fiets"/>
    <x v="0"/>
    <n v="3451"/>
    <s v="IN/002514"/>
    <s v="N142 - Geel - Parkeervakken omvormen tot fietspade"/>
    <s v="&lt;null&gt;"/>
    <s v="Structurele Ingreep"/>
    <s v="WA/INV/N142/2"/>
    <b v="0"/>
    <s v="Ingreep wordt niet opgevolgd in BOD"/>
    <s v="&lt;null&gt;"/>
    <s v="&lt;null&gt;"/>
    <s v="&lt;null&gt;"/>
    <s v="&lt;null&gt;"/>
    <n v="95"/>
    <m/>
    <m/>
  </r>
  <r>
    <x v="1631"/>
    <x v="1631"/>
    <s v="Stimuleren Combimobiliteit"/>
    <x v="2"/>
    <n v="3451"/>
    <s v="IN/002514"/>
    <s v="N142 - Geel - Parkeervakken omvormen tot fietspade"/>
    <s v="&lt;null&gt;"/>
    <s v="Structurele Ingreep"/>
    <s v="WA/INV/N142/2"/>
    <b v="0"/>
    <s v="Ingreep wordt niet opgevolgd in BOD"/>
    <s v="&lt;null&gt;"/>
    <s v="&lt;null&gt;"/>
    <s v="&lt;null&gt;"/>
    <s v="&lt;null&gt;"/>
    <n v="5"/>
    <m/>
    <m/>
  </r>
  <r>
    <x v="18"/>
    <x v="18"/>
    <s v="&lt;null&gt;"/>
    <x v="3"/>
    <n v="3452"/>
    <s v="IN/002515"/>
    <s v="N15 HODB Oostelijke rondweg"/>
    <s v="&lt;null&gt;"/>
    <s v="Structurele Ingreep"/>
    <s v="WA/INV/N015/2"/>
    <b v="0"/>
    <s v="Ingreep wordt niet opgevolgd in BOD"/>
    <s v="&lt;null&gt;"/>
    <s v="&lt;null&gt;"/>
    <s v="&lt;null&gt;"/>
    <s v="&lt;null&gt;"/>
    <m/>
    <m/>
    <m/>
  </r>
  <r>
    <x v="18"/>
    <x v="18"/>
    <s v="&lt;null&gt;"/>
    <x v="3"/>
    <n v="3453"/>
    <s v="IN/002516"/>
    <s v="R12 Mechelen onsluiting keerdok- en eandissite"/>
    <s v="&lt;null&gt;"/>
    <s v="Structurele Ingreep"/>
    <s v="WA/INV/N16/2"/>
    <b v="0"/>
    <s v="Ingreep wordt niet opgevolgd in BOD"/>
    <s v="&lt;null&gt;"/>
    <s v="&lt;null&gt;"/>
    <s v="&lt;null&gt;"/>
    <s v="&lt;null&gt;"/>
    <m/>
    <m/>
    <m/>
  </r>
  <r>
    <x v="18"/>
    <x v="18"/>
    <s v="&lt;null&gt;"/>
    <x v="3"/>
    <n v="3454"/>
    <s v="IN/002517"/>
    <s v="N10 Berlaar Ontsluiting De Hutten"/>
    <s v="&lt;null&gt;"/>
    <s v="Structurele Ingreep"/>
    <s v="WA/INV/N10/2"/>
    <b v="0"/>
    <s v="Ingreep wordt niet opgevolgd in BOD"/>
    <s v="&lt;null&gt;"/>
    <s v="&lt;null&gt;"/>
    <s v="&lt;null&gt;"/>
    <s v="&lt;null&gt;"/>
    <m/>
    <m/>
    <m/>
  </r>
  <r>
    <x v="18"/>
    <x v="18"/>
    <s v="&lt;null&gt;"/>
    <x v="3"/>
    <n v="3455"/>
    <s v="IN/002518"/>
    <s v="N15 - Hulshout - Structureel onderhoud"/>
    <s v="&lt;null&gt;"/>
    <s v="Structurele Ingreep"/>
    <s v="WA/INV/N15/4"/>
    <b v="0"/>
    <s v="Ingreep wordt niet opgevolgd in BOD"/>
    <s v="&lt;null&gt;"/>
    <s v="&lt;null&gt;"/>
    <s v="&lt;null&gt;"/>
    <s v="&lt;null&gt;"/>
    <m/>
    <m/>
    <m/>
  </r>
  <r>
    <x v="18"/>
    <x v="18"/>
    <s v="&lt;null&gt;"/>
    <x v="3"/>
    <n v="3456"/>
    <s v="IN/002519"/>
    <s v="N227 Mechelen Herinrichting Jubellaan miv fietspad"/>
    <s v="&lt;null&gt;"/>
    <s v="Structurele Ingreep"/>
    <s v="WA/INV/N227/1"/>
    <b v="0"/>
    <s v="Ingreep wordt niet opgevolgd in BOD"/>
    <s v="&lt;null&gt;"/>
    <s v="&lt;null&gt;"/>
    <s v="&lt;null&gt;"/>
    <s v="&lt;null&gt;"/>
    <m/>
    <m/>
    <m/>
  </r>
  <r>
    <x v="70"/>
    <x v="70"/>
    <s v="Fiets"/>
    <x v="0"/>
    <n v="3457"/>
    <s v="IN/002520"/>
    <s v="N171 Kontich Fietstunnel Sint-Rita"/>
    <s v="&lt;null&gt;"/>
    <s v="Structurele Ingreep"/>
    <s v="WA/INV/N171/2"/>
    <b v="0"/>
    <s v="Ingreep wordt niet opgevolgd in BOD"/>
    <s v="&lt;null&gt;"/>
    <s v="&lt;null&gt;"/>
    <s v="&lt;null&gt;"/>
    <s v="&lt;null&gt;"/>
    <n v="75"/>
    <m/>
    <m/>
  </r>
  <r>
    <x v="484"/>
    <x v="484"/>
    <s v="Verkeersveiligheid"/>
    <x v="1"/>
    <n v="3457"/>
    <s v="IN/002520"/>
    <s v="N171 Kontich Fietstunnel Sint-Rita"/>
    <s v="&lt;null&gt;"/>
    <s v="Structurele Ingreep"/>
    <s v="WA/INV/N171/2"/>
    <b v="0"/>
    <s v="Ingreep wordt niet opgevolgd in BOD"/>
    <s v="&lt;null&gt;"/>
    <s v="&lt;null&gt;"/>
    <s v="&lt;null&gt;"/>
    <s v="&lt;null&gt;"/>
    <n v="25"/>
    <m/>
    <m/>
  </r>
  <r>
    <x v="18"/>
    <x v="18"/>
    <s v="&lt;null&gt;"/>
    <x v="3"/>
    <n v="3458"/>
    <s v="IN/002521"/>
    <s v="X10/N153/21 Lille - Herentals Mod 13"/>
    <s v="&lt;null&gt;"/>
    <s v="Structurele Ingreep"/>
    <s v="WA/INV/N153/4"/>
    <b v="0"/>
    <s v="Ingreep wordt niet opgevolgd in BOD"/>
    <s v="&lt;null&gt;"/>
    <s v="&lt;null&gt;"/>
    <s v="&lt;null&gt;"/>
    <s v="&lt;null&gt;"/>
    <m/>
    <m/>
    <m/>
  </r>
  <r>
    <x v="1632"/>
    <x v="1632"/>
    <s v="Verkeersveiligheid"/>
    <x v="4"/>
    <n v="3459"/>
    <s v="IN/002522"/>
    <s v="Zaventem N2 x Wezembeekstraat"/>
    <s v="Aanpassen VRI geregeld kruispunt voor oversteek van fietsers.\nEventueel bushaltes vlakbij dit kruispunt mee aanpakken?"/>
    <s v="Kleine Ingreep"/>
    <s v="&lt;null&gt;"/>
    <b v="0"/>
    <s v="Ingreep wordt niet opgevolgd in BOD"/>
    <n v="2023"/>
    <s v="Q1"/>
    <s v="VRI"/>
    <s v="&lt;null&gt;"/>
    <n v="100"/>
    <n v="50000"/>
    <n v="50000"/>
  </r>
  <r>
    <x v="1632"/>
    <x v="1632"/>
    <s v="Verkeersveiligheid"/>
    <x v="4"/>
    <n v="3459"/>
    <s v="IN/002522"/>
    <s v="Zaventem N2 x Wezembeekstraat"/>
    <s v="Aanpassen VRI geregeld kruispunt voor oversteek van fietsers.\nEventueel bushaltes vlakbij dit kruispunt mee aanpakken?"/>
    <s v="Kleine Ingreep"/>
    <s v="&lt;null&gt;"/>
    <b v="0"/>
    <s v="Ingreep wordt niet opgevolgd in BOD"/>
    <n v="2023"/>
    <s v="Q1"/>
    <s v="WEGENIS"/>
    <s v="&lt;null&gt;"/>
    <n v="100"/>
    <n v="100000"/>
    <n v="100000"/>
  </r>
  <r>
    <x v="18"/>
    <x v="18"/>
    <s v="&lt;null&gt;"/>
    <x v="3"/>
    <n v="3460"/>
    <s v="IN/002523"/>
    <s v="R16 - LIER - 11 Fiestostrade Antwerpen-Lier"/>
    <s v="&lt;null&gt;"/>
    <s v="Structurele Ingreep"/>
    <s v="WA/INV/R16/4"/>
    <b v="0"/>
    <s v="Ingreep wordt niet opgevolgd in BOD"/>
    <s v="&lt;null&gt;"/>
    <s v="&lt;null&gt;"/>
    <s v="&lt;null&gt;"/>
    <s v="&lt;null&gt;"/>
    <m/>
    <m/>
    <m/>
  </r>
  <r>
    <x v="18"/>
    <x v="18"/>
    <s v="&lt;null&gt;"/>
    <x v="3"/>
    <n v="3461"/>
    <s v="IN/002524"/>
    <s v="N165 - Fietspaden Noord Laakdal"/>
    <s v="&lt;null&gt;"/>
    <s v="Structurele Ingreep"/>
    <s v="WA/INV/N165/2"/>
    <b v="0"/>
    <s v="Ingreep wordt niet opgevolgd in BOD"/>
    <s v="&lt;null&gt;"/>
    <s v="&lt;null&gt;"/>
    <s v="&lt;null&gt;"/>
    <s v="&lt;null&gt;"/>
    <m/>
    <m/>
    <m/>
  </r>
  <r>
    <x v="18"/>
    <x v="18"/>
    <s v="&lt;null&gt;"/>
    <x v="3"/>
    <n v="3462"/>
    <s v="IN/002525"/>
    <s v="N156 - Geel - Kruispunten"/>
    <s v="&lt;null&gt;"/>
    <s v="Structurele Ingreep"/>
    <s v="WA/INV/N156/2"/>
    <b v="0"/>
    <s v="Ingreep wordt niet opgevolgd in BOD"/>
    <s v="&lt;null&gt;"/>
    <s v="&lt;null&gt;"/>
    <s v="&lt;null&gt;"/>
    <s v="&lt;null&gt;"/>
    <m/>
    <m/>
    <m/>
  </r>
  <r>
    <x v="18"/>
    <x v="18"/>
    <s v="&lt;null&gt;"/>
    <x v="3"/>
    <n v="3463"/>
    <s v="IN/002526"/>
    <s v="Omgevingsvergunning Krijgsbaantunnel"/>
    <s v="&lt;null&gt;"/>
    <s v="Structurele Ingreep"/>
    <s v="WA/INV/R11/5"/>
    <b v="0"/>
    <s v="Ingreep wordt niet opgevolgd in BOD"/>
    <s v="&lt;null&gt;"/>
    <s v="&lt;null&gt;"/>
    <s v="&lt;null&gt;"/>
    <s v="&lt;null&gt;"/>
    <m/>
    <m/>
    <m/>
  </r>
  <r>
    <x v="18"/>
    <x v="18"/>
    <s v="&lt;null&gt;"/>
    <x v="3"/>
    <n v="3464"/>
    <s v="IN/002527"/>
    <s v="A001 - vervangen randbalk O33"/>
    <s v="&lt;null&gt;"/>
    <s v="Structurele Ingreep"/>
    <s v="WA/INV/A001/8"/>
    <b v="0"/>
    <s v="Ingreep wordt niet opgevolgd in BOD"/>
    <s v="&lt;null&gt;"/>
    <s v="&lt;null&gt;"/>
    <s v="&lt;null&gt;"/>
    <s v="&lt;null&gt;"/>
    <m/>
    <m/>
    <m/>
  </r>
  <r>
    <x v="18"/>
    <x v="18"/>
    <s v="&lt;null&gt;"/>
    <x v="3"/>
    <n v="3465"/>
    <s v="IN/002528"/>
    <s v="N26 Mechelen Structureel onderhoud"/>
    <s v="&lt;null&gt;"/>
    <s v="Structurele Ingreep"/>
    <s v="WA/INV/N26/1"/>
    <b v="0"/>
    <s v="Ingreep wordt niet opgevolgd in BOD"/>
    <s v="&lt;null&gt;"/>
    <s v="&lt;null&gt;"/>
    <s v="&lt;null&gt;"/>
    <s v="&lt;null&gt;"/>
    <m/>
    <m/>
    <m/>
  </r>
  <r>
    <x v="1633"/>
    <x v="1633"/>
    <s v="Fiets"/>
    <x v="0"/>
    <n v="3466"/>
    <s v="IN/002529"/>
    <s v="N442 herinrichting kruispunt met de Ommeganglaan"/>
    <s v="&lt;null&gt;"/>
    <s v="Structurele Ingreep"/>
    <s v="WOV/INV/N442/2"/>
    <b v="0"/>
    <s v="Ingreep wordt niet opgevolgd in BOD"/>
    <s v="&lt;null&gt;"/>
    <s v="&lt;null&gt;"/>
    <s v="&lt;null&gt;"/>
    <s v="&lt;null&gt;"/>
    <n v="50"/>
    <m/>
    <m/>
  </r>
  <r>
    <x v="1634"/>
    <x v="1634"/>
    <s v="Verkeersveiligheid"/>
    <x v="1"/>
    <n v="3467"/>
    <s v="IN/002530"/>
    <s v="E19 vanaf Kleine Bareel   afrit tot Horstebaan"/>
    <s v="&lt;null&gt;"/>
    <s v="Structurele Ingreep"/>
    <s v="WA/INV/A1/15"/>
    <b v="0"/>
    <s v="Ingreep wordt niet opgevolgd in BOD"/>
    <s v="&lt;null&gt;"/>
    <s v="&lt;null&gt;"/>
    <s v="&lt;null&gt;"/>
    <s v="&lt;null&gt;"/>
    <n v="5"/>
    <m/>
    <m/>
  </r>
  <r>
    <x v="1635"/>
    <x v="1635"/>
    <s v="Verkeersveiligheid"/>
    <x v="1"/>
    <n v="3467"/>
    <s v="IN/002530"/>
    <s v="E19 vanaf Kleine Bareel   afrit tot Horstebaan"/>
    <s v="&lt;null&gt;"/>
    <s v="Structurele Ingreep"/>
    <s v="WA/INV/A1/15"/>
    <b v="0"/>
    <s v="Ingreep wordt niet opgevolgd in BOD"/>
    <s v="&lt;null&gt;"/>
    <s v="&lt;null&gt;"/>
    <s v="&lt;null&gt;"/>
    <s v="&lt;null&gt;"/>
    <n v="5"/>
    <m/>
    <m/>
  </r>
  <r>
    <x v="18"/>
    <x v="18"/>
    <s v="&lt;null&gt;"/>
    <x v="3"/>
    <n v="3468"/>
    <s v="IN/002531"/>
    <s v="renovatie brugdek thv de sporen"/>
    <s v="renovatie brugdek thv de sporen"/>
    <s v="Kleine Ingreep"/>
    <s v="&lt;null&gt;"/>
    <b v="0"/>
    <s v="Ingreep wordt niet opgevolgd in BOD"/>
    <s v="&lt;null&gt;"/>
    <s v="&lt;null&gt;"/>
    <s v="&lt;null&gt;"/>
    <s v="&lt;null&gt;"/>
    <m/>
    <m/>
    <m/>
  </r>
  <r>
    <x v="18"/>
    <x v="18"/>
    <s v="&lt;null&gt;"/>
    <x v="3"/>
    <n v="3469"/>
    <s v="IN/002532"/>
    <s v="N757 Fietstunnel F571 Dilsen Stokkem"/>
    <s v="&lt;null&gt;"/>
    <s v="Structurele Ingreep"/>
    <s v="WL/INV/N757/4"/>
    <b v="0"/>
    <s v="Ingreep wordt niet opgevolgd in BOD"/>
    <s v="&lt;null&gt;"/>
    <s v="&lt;null&gt;"/>
    <s v="&lt;null&gt;"/>
    <s v="&lt;null&gt;"/>
    <m/>
    <m/>
    <m/>
  </r>
  <r>
    <x v="1636"/>
    <x v="1636"/>
    <s v="Verkeersveiligheid"/>
    <x v="1"/>
    <n v="3470"/>
    <s v="IN/002533"/>
    <s v="Ombouw slimme verkeerslichten volgens actieplan"/>
    <s v="&lt;null&gt;"/>
    <s v="Kleine Ingreep"/>
    <s v="&lt;null&gt;"/>
    <b v="0"/>
    <s v="Ingreep wordt niet opgevolgd in BOD"/>
    <s v="&lt;null&gt;"/>
    <s v="&lt;null&gt;"/>
    <s v="&lt;null&gt;"/>
    <s v="&lt;null&gt;"/>
    <n v="100"/>
    <m/>
    <m/>
  </r>
  <r>
    <x v="1626"/>
    <x v="1626"/>
    <s v="Verkeersveiligheid"/>
    <x v="1"/>
    <n v="3471"/>
    <s v="IN/002534"/>
    <s v="Optimaliseren lichtenregelingen"/>
    <s v="&lt;null&gt;"/>
    <s v="Kleine Ingreep"/>
    <s v="&lt;null&gt;"/>
    <b v="0"/>
    <s v="Ingreep wordt niet opgevolgd in BOD"/>
    <s v="&lt;null&gt;"/>
    <s v="&lt;null&gt;"/>
    <s v="&lt;null&gt;"/>
    <s v="&lt;null&gt;"/>
    <n v="100"/>
    <m/>
    <m/>
  </r>
  <r>
    <x v="1637"/>
    <x v="1637"/>
    <s v="Verkeersveiligheid"/>
    <x v="1"/>
    <n v="3472"/>
    <s v="IN/002535"/>
    <s v="Herinrichting kruispunt (trekker stad Genk)"/>
    <s v="Grondige herinrichting van het kruispunt (compacter maken, zijstraten haaks aansluiten, betere oversteekbaarheid voor fietsers/voetgangers)"/>
    <s v="Kleine Ingreep"/>
    <s v="&lt;null&gt;"/>
    <b v="0"/>
    <s v="Ingreep wordt niet opgevolgd in BOD"/>
    <s v="&lt;null&gt;"/>
    <s v="&lt;null&gt;"/>
    <s v="&lt;null&gt;"/>
    <s v="&lt;null&gt;"/>
    <n v="100"/>
    <m/>
    <m/>
  </r>
  <r>
    <x v="18"/>
    <x v="18"/>
    <s v="&lt;null&gt;"/>
    <x v="3"/>
    <n v="3473"/>
    <s v="IN/002536"/>
    <s v="regionale ontsluiting kleinstedelijk gebied geel"/>
    <s v="&lt;null&gt;"/>
    <s v="Structurele Ingreep"/>
    <s v="WA/INV/N118/4"/>
    <b v="0"/>
    <s v="Ingreep wordt niet opgevolgd in BOD"/>
    <s v="&lt;null&gt;"/>
    <s v="&lt;null&gt;"/>
    <s v="&lt;null&gt;"/>
    <s v="&lt;null&gt;"/>
    <m/>
    <m/>
    <m/>
  </r>
  <r>
    <x v="18"/>
    <x v="18"/>
    <s v="&lt;null&gt;"/>
    <x v="3"/>
    <n v="3474"/>
    <s v="IN/002537"/>
    <s v="E313 vernieuwen van de brug O41 in de E313"/>
    <s v="&lt;null&gt;"/>
    <s v="Structurele Ingreep"/>
    <s v="WA/INV/A013/10"/>
    <b v="0"/>
    <s v="Ingreep wordt niet opgevolgd in BOD"/>
    <s v="&lt;null&gt;"/>
    <s v="&lt;null&gt;"/>
    <s v="&lt;null&gt;"/>
    <s v="&lt;null&gt;"/>
    <m/>
    <m/>
    <m/>
  </r>
  <r>
    <x v="1638"/>
    <x v="1638"/>
    <s v="Verkeersveiligheid"/>
    <x v="1"/>
    <n v="3475"/>
    <s v="IN/002538"/>
    <s v="Zijstraat Genkerhei wordt afgesloten thv N75 (werken door stad Genk)"/>
    <s v="&lt;null&gt;"/>
    <s v="Kleine Ingreep"/>
    <s v="&lt;null&gt;"/>
    <b v="0"/>
    <s v="Ingreep wordt niet opgevolgd in BOD"/>
    <s v="&lt;null&gt;"/>
    <s v="&lt;null&gt;"/>
    <s v="&lt;null&gt;"/>
    <s v="&lt;null&gt;"/>
    <n v="100"/>
    <m/>
    <m/>
  </r>
  <r>
    <x v="18"/>
    <x v="18"/>
    <s v="&lt;null&gt;"/>
    <x v="3"/>
    <n v="3476"/>
    <s v="IN/002539"/>
    <s v="N13 - wegwerken missing link fp thv spoorwegbrug"/>
    <s v="&lt;null&gt;"/>
    <s v="Structurele Ingreep"/>
    <s v="WA/INV/N13/4"/>
    <b v="0"/>
    <s v="Ingreep wordt niet opgevolgd in BOD"/>
    <s v="&lt;null&gt;"/>
    <s v="&lt;null&gt;"/>
    <s v="&lt;null&gt;"/>
    <s v="&lt;null&gt;"/>
    <m/>
    <m/>
    <m/>
  </r>
  <r>
    <x v="18"/>
    <x v="18"/>
    <s v="&lt;null&gt;"/>
    <x v="3"/>
    <n v="3477"/>
    <s v="IN/002540"/>
    <s v="X10/N153/31 - Herentals afschaffen overwegen"/>
    <s v="&lt;null&gt;"/>
    <s v="Structurele Ingreep"/>
    <s v="WA/INV/N153/7"/>
    <b v="0"/>
    <s v="Ingreep wordt niet opgevolgd in BOD"/>
    <s v="&lt;null&gt;"/>
    <s v="&lt;null&gt;"/>
    <s v="&lt;null&gt;"/>
    <s v="&lt;null&gt;"/>
    <m/>
    <m/>
    <m/>
  </r>
  <r>
    <x v="18"/>
    <x v="18"/>
    <s v="&lt;null&gt;"/>
    <x v="3"/>
    <n v="3478"/>
    <s v="IN/002541"/>
    <s v="X10/N212/13"/>
    <s v="&lt;null&gt;"/>
    <s v="Structurele Ingreep"/>
    <s v="WA/INV/N212/1"/>
    <b v="0"/>
    <s v="Ingreep wordt niet opgevolgd in BOD"/>
    <s v="&lt;null&gt;"/>
    <s v="&lt;null&gt;"/>
    <s v="&lt;null&gt;"/>
    <s v="&lt;null&gt;"/>
    <m/>
    <m/>
    <m/>
  </r>
  <r>
    <x v="18"/>
    <x v="18"/>
    <s v="&lt;null&gt;"/>
    <x v="3"/>
    <n v="3479"/>
    <s v="IN/002542"/>
    <s v="Stalen afdak fietsersingang KEN"/>
    <s v="&lt;null&gt;"/>
    <s v="Structurele Ingreep"/>
    <s v="WA/INV/KEN/6"/>
    <b v="0"/>
    <s v="Ingreep wordt niet opgevolgd in BOD"/>
    <s v="&lt;null&gt;"/>
    <s v="&lt;null&gt;"/>
    <s v="&lt;null&gt;"/>
    <s v="&lt;null&gt;"/>
    <m/>
    <m/>
    <m/>
  </r>
  <r>
    <x v="18"/>
    <x v="18"/>
    <s v="&lt;null&gt;"/>
    <x v="3"/>
    <n v="3480"/>
    <s v="IN/002543"/>
    <s v="WAA Dakdichting ventillatiegebouw LO"/>
    <s v="&lt;null&gt;"/>
    <s v="Structurele Ingreep"/>
    <s v="WA/INV/WAA/1"/>
    <b v="0"/>
    <s v="Ingreep wordt niet opgevolgd in BOD"/>
    <s v="&lt;null&gt;"/>
    <s v="&lt;null&gt;"/>
    <s v="&lt;null&gt;"/>
    <s v="&lt;null&gt;"/>
    <m/>
    <m/>
    <m/>
  </r>
  <r>
    <x v="1639"/>
    <x v="1639"/>
    <s v="Stimuleren Combimobiliteit"/>
    <x v="2"/>
    <n v="3481"/>
    <s v="IN/002544"/>
    <s v="N12 SCHILDE Doorstroming busbaan"/>
    <s v="&lt;null&gt;"/>
    <s v="Structurele Ingreep"/>
    <s v="WA/INV/N12/3"/>
    <b v="0"/>
    <s v="Ingreep wordt niet opgevolgd in BOD"/>
    <s v="&lt;null&gt;"/>
    <s v="&lt;null&gt;"/>
    <s v="&lt;null&gt;"/>
    <s v="&lt;null&gt;"/>
    <n v="0"/>
    <m/>
    <m/>
  </r>
  <r>
    <x v="1640"/>
    <x v="1640"/>
    <s v="Stimuleren Combimobiliteit"/>
    <x v="2"/>
    <n v="3482"/>
    <s v="IN/002545"/>
    <s v="N014 - ZOERSEL Fietspaden Oostmalle"/>
    <s v="&lt;null&gt;"/>
    <s v="Structurele Ingreep"/>
    <s v="WA/INV/N014/2"/>
    <b v="0"/>
    <s v="Ingreep wordt niet opgevolgd in BOD"/>
    <s v="&lt;null&gt;"/>
    <s v="&lt;null&gt;"/>
    <s v="&lt;null&gt;"/>
    <s v="&lt;null&gt;"/>
    <n v="0"/>
    <m/>
    <m/>
  </r>
  <r>
    <x v="1641"/>
    <x v="1641"/>
    <s v="Verkeersveiligheid"/>
    <x v="1"/>
    <n v="3483"/>
    <s v="IN/002546"/>
    <s v="N11 Ekeren Brasschaat Herinrichting wegvak"/>
    <s v="&lt;null&gt;"/>
    <s v="Structurele Ingreep"/>
    <s v="WA/INV/N11/1"/>
    <b v="0"/>
    <s v="Ingreep wordt niet opgevolgd in BOD"/>
    <s v="&lt;null&gt;"/>
    <s v="&lt;null&gt;"/>
    <s v="&lt;null&gt;"/>
    <s v="&lt;null&gt;"/>
    <n v="0"/>
    <m/>
    <m/>
  </r>
  <r>
    <x v="1642"/>
    <x v="1642"/>
    <s v="Stimuleren Combimobiliteit"/>
    <x v="2"/>
    <n v="3483"/>
    <s v="IN/002546"/>
    <s v="N11 Ekeren Brasschaat Herinrichting wegvak"/>
    <s v="&lt;null&gt;"/>
    <s v="Structurele Ingreep"/>
    <s v="WA/INV/N11/1"/>
    <b v="0"/>
    <s v="Ingreep wordt niet opgevolgd in BOD"/>
    <s v="&lt;null&gt;"/>
    <s v="&lt;null&gt;"/>
    <s v="&lt;null&gt;"/>
    <s v="&lt;null&gt;"/>
    <n v="0"/>
    <m/>
    <m/>
  </r>
  <r>
    <x v="1643"/>
    <x v="1643"/>
    <s v="Stimuleren Combimobiliteit"/>
    <x v="2"/>
    <n v="3483"/>
    <s v="IN/002546"/>
    <s v="N11 Ekeren Brasschaat Herinrichting wegvak"/>
    <s v="&lt;null&gt;"/>
    <s v="Structurele Ingreep"/>
    <s v="WA/INV/N11/1"/>
    <b v="0"/>
    <s v="Ingreep wordt niet opgevolgd in BOD"/>
    <s v="&lt;null&gt;"/>
    <s v="&lt;null&gt;"/>
    <s v="&lt;null&gt;"/>
    <s v="&lt;null&gt;"/>
    <n v="0"/>
    <m/>
    <m/>
  </r>
  <r>
    <x v="1644"/>
    <x v="1644"/>
    <s v="Stimuleren Combimobiliteit"/>
    <x v="2"/>
    <n v="3484"/>
    <s v="IN/002547"/>
    <s v="N403 Heraanleg van de weg"/>
    <s v="&lt;null&gt;"/>
    <s v="Structurele Ingreep"/>
    <s v="WOV/INV/N403/4"/>
    <b v="0"/>
    <s v="Ingreep wordt niet opgevolgd in BOD"/>
    <s v="&lt;null&gt;"/>
    <s v="&lt;null&gt;"/>
    <s v="&lt;null&gt;"/>
    <s v="&lt;null&gt;"/>
    <n v="1"/>
    <m/>
    <m/>
  </r>
  <r>
    <x v="1645"/>
    <x v="1645"/>
    <s v="Stimuleren Combimobiliteit"/>
    <x v="2"/>
    <n v="3484"/>
    <s v="IN/002547"/>
    <s v="N403 Heraanleg van de weg"/>
    <s v="&lt;null&gt;"/>
    <s v="Structurele Ingreep"/>
    <s v="WOV/INV/N403/4"/>
    <b v="0"/>
    <s v="Ingreep wordt niet opgevolgd in BOD"/>
    <s v="&lt;null&gt;"/>
    <s v="&lt;null&gt;"/>
    <s v="&lt;null&gt;"/>
    <s v="&lt;null&gt;"/>
    <n v="1"/>
    <m/>
    <m/>
  </r>
  <r>
    <x v="1646"/>
    <x v="1646"/>
    <s v="Stimuleren Combimobiliteit"/>
    <x v="2"/>
    <n v="3485"/>
    <s v="IN/002548"/>
    <s v="N12 - SCHILDE - Doortocht"/>
    <s v="&lt;null&gt;"/>
    <s v="Structurele Ingreep"/>
    <s v="WA/INV/N012/2"/>
    <b v="0"/>
    <s v="Ingreep wordt niet opgevolgd in BOD"/>
    <s v="&lt;null&gt;"/>
    <s v="&lt;null&gt;"/>
    <s v="&lt;null&gt;"/>
    <s v="&lt;null&gt;"/>
    <n v="0"/>
    <m/>
    <m/>
  </r>
  <r>
    <x v="1647"/>
    <x v="1647"/>
    <s v="Stimuleren Combimobiliteit"/>
    <x v="2"/>
    <n v="3486"/>
    <s v="IN/002549"/>
    <s v="N117 - KALMTHOUT - SWO Bosduin Industriezone"/>
    <s v="&lt;null&gt;"/>
    <s v="Structurele Ingreep"/>
    <s v="WA/INV/N117/1"/>
    <b v="0"/>
    <s v="Ingreep wordt niet opgevolgd in BOD"/>
    <s v="&lt;null&gt;"/>
    <s v="&lt;null&gt;"/>
    <s v="&lt;null&gt;"/>
    <s v="&lt;null&gt;"/>
    <n v="0"/>
    <m/>
    <m/>
  </r>
  <r>
    <x v="1648"/>
    <x v="1648"/>
    <s v="Verkeersveiligheid"/>
    <x v="1"/>
    <n v="3487"/>
    <s v="IN/002550"/>
    <s v="Fietszone centrum Izegem"/>
    <s v="Roeselaarsestraat onderdeel van fietszone centrum Izegem (aaneenschakeling van fietsstraten).\nMax snelheid beperkt tot 30 km/u, inhaalverbod gemotoriseerde voertuigen."/>
    <s v="Kleine Ingreep"/>
    <s v="WWV/INV/N357/12"/>
    <b v="0"/>
    <s v="Ingreep wordt niet opgevolgd in BOD"/>
    <n v="2022"/>
    <s v="Q1"/>
    <s v="WEGENIS"/>
    <s v="&lt;null&gt;"/>
    <n v="100"/>
    <n v="1"/>
    <n v="1"/>
  </r>
  <r>
    <x v="1649"/>
    <x v="1649"/>
    <s v="Verkeersveiligheid"/>
    <x v="1"/>
    <n v="3488"/>
    <s v="IN/002551"/>
    <s v="QW-maatregelen fietser"/>
    <s v="Aparte fietsfase ingevoerd (conflictvrij), fietspad omgelegd"/>
    <s v="Kleine Ingreep"/>
    <s v="WWV/INV/N358/5"/>
    <b v="0"/>
    <s v="Ingreep wordt niet opgevolgd in BOD"/>
    <n v="2022"/>
    <s v="Q1"/>
    <s v="WEGENIS"/>
    <s v="2021 uitgevoerd"/>
    <n v="100"/>
    <n v="11600"/>
    <n v="11600"/>
  </r>
  <r>
    <x v="1650"/>
    <x v="1650"/>
    <s v="Verkeersveiligheid"/>
    <x v="1"/>
    <n v="3489"/>
    <s v="IN/002552"/>
    <s v="Conflictvrij maken kruispunt"/>
    <s v="Actieplan VRI\nfietspadmarkeringen thv kruispunt"/>
    <s v="Kleine Ingreep"/>
    <s v="WWV/INV/R32/4"/>
    <b v="0"/>
    <s v="Ingreep wordt niet opgevolgd in BOD"/>
    <n v="2022"/>
    <s v="Q1"/>
    <s v="VRI"/>
    <s v="dummy - reeds uitgevoerd"/>
    <n v="100"/>
    <n v="1"/>
    <n v="1"/>
  </r>
  <r>
    <x v="18"/>
    <x v="18"/>
    <s v="&lt;null&gt;"/>
    <x v="3"/>
    <n v="3490"/>
    <s v="IN/002553"/>
    <s v="N43 Deinze - nieuwe oostelijke verbinding met N35"/>
    <s v="&lt;null&gt;"/>
    <s v="Structurele Ingreep"/>
    <s v="WOV/INV/N43/4"/>
    <b v="0"/>
    <s v="Ingreep wordt niet opgevolgd in BOD"/>
    <s v="&lt;null&gt;"/>
    <s v="&lt;null&gt;"/>
    <s v="&lt;null&gt;"/>
    <s v="&lt;null&gt;"/>
    <m/>
    <m/>
    <m/>
  </r>
  <r>
    <x v="18"/>
    <x v="18"/>
    <s v="&lt;null&gt;"/>
    <x v="3"/>
    <n v="3491"/>
    <s v="IN/002554"/>
    <s v="N455/R43 Eeklo Ontsluitingsweg Balgerhoeke"/>
    <s v="&lt;null&gt;"/>
    <s v="Structurele Ingreep"/>
    <s v="WOV/INV/N455/1"/>
    <b v="0"/>
    <s v="Ingreep wordt niet opgevolgd in BOD"/>
    <s v="&lt;null&gt;"/>
    <s v="&lt;null&gt;"/>
    <s v="&lt;null&gt;"/>
    <s v="&lt;null&gt;"/>
    <m/>
    <m/>
    <m/>
  </r>
  <r>
    <x v="18"/>
    <x v="18"/>
    <s v="&lt;null&gt;"/>
    <x v="3"/>
    <n v="3492"/>
    <s v="IN/002555"/>
    <s v="R40 Gent  vertramming lijn 7"/>
    <s v="&lt;null&gt;"/>
    <s v="Structurele Ingreep"/>
    <s v="WOV/INV/R40/6"/>
    <b v="0"/>
    <s v="Ingreep wordt niet opgevolgd in BOD"/>
    <s v="&lt;null&gt;"/>
    <s v="&lt;null&gt;"/>
    <s v="&lt;null&gt;"/>
    <s v="&lt;null&gt;"/>
    <m/>
    <m/>
    <m/>
  </r>
  <r>
    <x v="899"/>
    <x v="899"/>
    <s v="Verkeersveiligheid"/>
    <x v="4"/>
    <n v="3493"/>
    <s v="IN/002556"/>
    <s v="Installatie verkeerslichten"/>
    <s v="&lt;null&gt;"/>
    <s v="Kleine Ingreep"/>
    <s v="&lt;null&gt;"/>
    <b v="0"/>
    <s v="Ingreep wordt niet opgevolgd in BOD"/>
    <s v="&lt;null&gt;"/>
    <s v="&lt;null&gt;"/>
    <s v="&lt;null&gt;"/>
    <s v="&lt;null&gt;"/>
    <n v="100"/>
    <m/>
    <m/>
  </r>
  <r>
    <x v="869"/>
    <x v="869"/>
    <s v="Verkeersveiligheid"/>
    <x v="4"/>
    <n v="3494"/>
    <s v="IN/002557"/>
    <s v="Installatie verkeerslichten"/>
    <s v="&lt;null&gt;"/>
    <s v="Kleine Ingreep"/>
    <s v="&lt;null&gt;"/>
    <b v="0"/>
    <s v="Ingreep wordt niet opgevolgd in BOD"/>
    <s v="&lt;null&gt;"/>
    <s v="&lt;null&gt;"/>
    <s v="&lt;null&gt;"/>
    <s v="&lt;null&gt;"/>
    <n v="100"/>
    <m/>
    <m/>
  </r>
  <r>
    <x v="1651"/>
    <x v="1651"/>
    <s v="Verkeersveiligheid"/>
    <x v="4"/>
    <n v="3495"/>
    <s v="IN/002558"/>
    <s v="Rotonde ombouwen naar lichtengeregeld kruispunt"/>
    <s v="(tijdelijk kleine ingreep ingevoerd, in afwachting van koppeling aan Enterprise One"/>
    <s v="Kleine Ingreep"/>
    <s v="&lt;null&gt;"/>
    <b v="0"/>
    <s v="Ingreep wordt niet opgevolgd in BOD"/>
    <s v="&lt;null&gt;"/>
    <s v="&lt;null&gt;"/>
    <s v="&lt;null&gt;"/>
    <s v="&lt;null&gt;"/>
    <n v="100"/>
    <m/>
    <m/>
  </r>
  <r>
    <x v="30"/>
    <x v="30"/>
    <s v="Fiets"/>
    <x v="0"/>
    <n v="3496"/>
    <s v="IN/002559"/>
    <s v="Relance: FP in Ieper, Langemark, Wervik en Staden"/>
    <s v="N313 Relance"/>
    <s v="Kleine Ingreep"/>
    <s v="WWV/INV/N313/6"/>
    <b v="0"/>
    <s v="Ingreep wordt niet opgevolgd in BOD"/>
    <n v="2022"/>
    <s v="Q1"/>
    <s v="WEGENIS"/>
    <s v="incl BTW"/>
    <n v="100"/>
    <n v="1365000"/>
    <n v="1365000"/>
  </r>
  <r>
    <x v="1059"/>
    <x v="1059"/>
    <s v="Verkeersveiligheid"/>
    <x v="4"/>
    <n v="3497"/>
    <s v="IN/002560"/>
    <s v="SRK : Brakel N8 : Kruispunt N8-Haeyershoek te voorzien van een verkeersplateau"/>
    <s v="SRK : Brakel N8 : Kruispunt N8-Haeyershoek te voorzien van een verkeersplateau"/>
    <s v="Kleine Ingreep"/>
    <s v="&lt;null&gt;"/>
    <b v="0"/>
    <s v="Ingreep wordt niet opgevolgd in BOD"/>
    <s v="&lt;null&gt;"/>
    <s v="&lt;null&gt;"/>
    <s v="&lt;null&gt;"/>
    <s v="&lt;null&gt;"/>
    <n v="100"/>
    <m/>
    <m/>
  </r>
  <r>
    <x v="407"/>
    <x v="407"/>
    <s v="Verkeersveiligheid"/>
    <x v="1"/>
    <n v="3498"/>
    <s v="IN/002561"/>
    <s v="in Gent : B401 Richting A14, Bellevue, Dierentuinlaan, Gustaaf Callierlaan, Keizervest, Sint-Lievenslaan, Zuidparklaan"/>
    <s v="Fietsonderdoorgang + aanpassingen infra (werken bezig) + aanpassing VRI"/>
    <s v="Kleine Ingreep"/>
    <s v="WOV/INV/R40/14"/>
    <b v="0"/>
    <s v="Ingreep wordt niet opgevolgd in BOD"/>
    <n v="2022"/>
    <s v="Q1"/>
    <s v="WEGENIS"/>
    <s v="dummy"/>
    <n v="100"/>
    <n v="1"/>
    <n v="1"/>
  </r>
  <r>
    <x v="1652"/>
    <x v="1652"/>
    <s v="Verkeersveiligheid"/>
    <x v="4"/>
    <n v="3499"/>
    <s v="IN/002562"/>
    <s v="Structureel onderhoud"/>
    <s v="&lt;null&gt;"/>
    <s v="Kleine Ingreep"/>
    <s v="WOV/INV/NX/10"/>
    <b v="0"/>
    <s v="Ingreep wordt niet opgevolgd in BOD"/>
    <n v="2022"/>
    <s v="Q1"/>
    <s v="WEGENIS"/>
    <s v="&lt;null&gt;"/>
    <n v="100"/>
    <n v="1"/>
    <n v="1"/>
  </r>
  <r>
    <x v="18"/>
    <x v="18"/>
    <s v="&lt;null&gt;"/>
    <x v="3"/>
    <n v="3500"/>
    <s v="IN/002563"/>
    <s v="N4 structureel onderhoud verharding"/>
    <s v="Vervanging wegopbouw"/>
    <s v="Kleine Ingreep"/>
    <s v="&lt;null&gt;"/>
    <b v="0"/>
    <s v="Ingreep wordt niet opgevolgd in BOD"/>
    <s v="&lt;null&gt;"/>
    <s v="&lt;null&gt;"/>
    <s v="&lt;null&gt;"/>
    <s v="&lt;null&gt;"/>
    <m/>
    <m/>
    <m/>
  </r>
  <r>
    <x v="18"/>
    <x v="18"/>
    <s v="&lt;null&gt;"/>
    <x v="3"/>
    <n v="3501"/>
    <s v="IN/002564"/>
    <s v="N2 Herk-de-Stad herinrichting kruispunt Pastorijst"/>
    <s v="&lt;null&gt;"/>
    <s v="Structurele Ingreep"/>
    <s v="WL/INV/N2/18"/>
    <b v="0"/>
    <s v="Ingreep wordt niet opgevolgd in BOD"/>
    <s v="&lt;null&gt;"/>
    <s v="&lt;null&gt;"/>
    <s v="&lt;null&gt;"/>
    <s v="&lt;null&gt;"/>
    <m/>
    <m/>
    <m/>
  </r>
  <r>
    <x v="404"/>
    <x v="404"/>
    <s v="Verkeersveiligheid"/>
    <x v="1"/>
    <n v="3502"/>
    <s v="IN/002565"/>
    <s v="N76-N779 Genk herinrichting kruispunt"/>
    <s v="&lt;null&gt;"/>
    <s v="Structurele Ingreep"/>
    <s v="WL/INV/N76/31"/>
    <b v="0"/>
    <s v="Ingreep wordt niet opgevolgd in BOD"/>
    <s v="&lt;null&gt;"/>
    <s v="&lt;null&gt;"/>
    <s v="&lt;null&gt;"/>
    <s v="&lt;null&gt;"/>
    <n v="100"/>
    <m/>
    <m/>
  </r>
  <r>
    <x v="456"/>
    <x v="456"/>
    <s v="Verkeersveiligheid"/>
    <x v="1"/>
    <n v="3503"/>
    <s v="IN/002566"/>
    <s v="N20 Hasselt fietstunnel t.h.v. R71/Jessa"/>
    <s v="&lt;null&gt;"/>
    <s v="Structurele Ingreep"/>
    <s v="WL/INV/N20/13"/>
    <b v="0"/>
    <s v="Ingreep wordt niet opgevolgd in BOD"/>
    <s v="&lt;null&gt;"/>
    <s v="&lt;null&gt;"/>
    <s v="&lt;null&gt;"/>
    <s v="&lt;null&gt;"/>
    <n v="10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bedragen KIM pivot" cacheId="1" applyNumberFormats="0" applyBorderFormats="0" applyFontFormats="0" applyPatternFormats="0" applyAlignmentFormats="0" applyWidthHeightFormats="0" dataCaption="" updatedVersion="7" compact="0" compactData="0">
  <location ref="A3:C662" firstHeaderRow="1" firstDataRow="1" firstDataCol="2" rowPageCount="1" colPageCount="1"/>
  <pivotFields count="19">
    <pivotField name="knelpunt_id" axis="axisRow" compact="0" outline="0" multipleItemSelectionAllowed="1" showAll="0" sortType="ascending" defaultSubtotal="0">
      <items count="1653">
        <item x="0"/>
        <item x="1"/>
        <item x="4"/>
        <item x="5"/>
        <item x="6"/>
        <item x="7"/>
        <item x="8"/>
        <item x="9"/>
        <item x="10"/>
        <item x="11"/>
        <item x="12"/>
        <item x="13"/>
        <item x="14"/>
        <item x="15"/>
        <item x="16"/>
        <item x="17"/>
        <item x="615"/>
        <item x="19"/>
        <item x="20"/>
        <item x="21"/>
        <item x="22"/>
        <item x="220"/>
        <item x="23"/>
        <item x="24"/>
        <item x="25"/>
        <item x="27"/>
        <item x="29"/>
        <item x="30"/>
        <item x="31"/>
        <item x="28"/>
        <item x="32"/>
        <item x="33"/>
        <item x="34"/>
        <item x="35"/>
        <item x="36"/>
        <item x="37"/>
        <item x="38"/>
        <item x="39"/>
        <item x="40"/>
        <item x="41"/>
        <item x="42"/>
        <item x="43"/>
        <item x="44"/>
        <item x="45"/>
        <item x="46"/>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1329"/>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223"/>
        <item x="131"/>
        <item x="132"/>
        <item x="133"/>
        <item x="134"/>
        <item x="135"/>
        <item x="136"/>
        <item x="137"/>
        <item x="139"/>
        <item x="140"/>
        <item x="141"/>
        <item x="142"/>
        <item x="143"/>
        <item x="144"/>
        <item x="145"/>
        <item x="1400"/>
        <item x="146"/>
        <item x="147"/>
        <item x="151"/>
        <item x="153"/>
        <item x="154"/>
        <item x="155"/>
        <item x="156"/>
        <item x="157"/>
        <item x="158"/>
        <item x="160"/>
        <item x="161"/>
        <item x="162"/>
        <item x="163"/>
        <item x="164"/>
        <item x="165"/>
        <item x="168"/>
        <item x="170"/>
        <item x="171"/>
        <item x="172"/>
        <item x="173"/>
        <item x="174"/>
        <item x="176"/>
        <item x="1325"/>
        <item x="178"/>
        <item x="179"/>
        <item x="180"/>
        <item x="181"/>
        <item x="182"/>
        <item x="1633"/>
        <item x="183"/>
        <item x="184"/>
        <item x="185"/>
        <item x="186"/>
        <item x="187"/>
        <item x="188"/>
        <item x="189"/>
        <item x="190"/>
        <item x="1185"/>
        <item x="191"/>
        <item x="192"/>
        <item x="193"/>
        <item x="194"/>
        <item x="195"/>
        <item x="196"/>
        <item x="1362"/>
        <item x="197"/>
        <item x="198"/>
        <item x="199"/>
        <item x="200"/>
        <item x="201"/>
        <item x="202"/>
        <item x="203"/>
        <item x="204"/>
        <item x="1374"/>
        <item x="205"/>
        <item x="206"/>
        <item x="207"/>
        <item x="208"/>
        <item x="209"/>
        <item x="210"/>
        <item x="211"/>
        <item x="212"/>
        <item x="213"/>
        <item x="214"/>
        <item x="215"/>
        <item x="216"/>
        <item x="217"/>
        <item x="218"/>
        <item x="1503"/>
        <item x="219"/>
        <item x="221"/>
        <item x="225"/>
        <item x="1480"/>
        <item x="222"/>
        <item x="223"/>
        <item x="226"/>
        <item x="227"/>
        <item x="228"/>
        <item x="229"/>
        <item x="230"/>
        <item x="231"/>
        <item x="232"/>
        <item x="233"/>
        <item x="234"/>
        <item x="235"/>
        <item x="236"/>
        <item x="237"/>
        <item x="238"/>
        <item x="239"/>
        <item x="240"/>
        <item x="241"/>
        <item x="242"/>
        <item x="243"/>
        <item x="245"/>
        <item x="246"/>
        <item x="247"/>
        <item x="248"/>
        <item x="249"/>
        <item x="250"/>
        <item x="251"/>
        <item x="252"/>
        <item x="253"/>
        <item x="254"/>
        <item x="271"/>
        <item x="255"/>
        <item x="256"/>
        <item x="1479"/>
        <item x="257"/>
        <item x="259"/>
        <item x="260"/>
        <item x="261"/>
        <item x="262"/>
        <item x="263"/>
        <item x="264"/>
        <item x="265"/>
        <item x="266"/>
        <item x="267"/>
        <item x="268"/>
        <item x="270"/>
        <item x="272"/>
        <item x="275"/>
        <item x="277"/>
        <item x="278"/>
        <item x="279"/>
        <item x="244"/>
        <item x="280"/>
        <item x="283"/>
        <item x="284"/>
        <item x="285"/>
        <item x="286"/>
        <item x="287"/>
        <item x="289"/>
        <item x="290"/>
        <item x="291"/>
        <item x="292"/>
        <item x="293"/>
        <item x="294"/>
        <item x="295"/>
        <item x="296"/>
        <item x="297"/>
        <item x="1634"/>
        <item x="298"/>
        <item x="1478"/>
        <item x="299"/>
        <item x="300"/>
        <item x="301"/>
        <item x="302"/>
        <item x="303"/>
        <item x="304"/>
        <item x="305"/>
        <item x="1477"/>
        <item x="306"/>
        <item x="1380"/>
        <item x="308"/>
        <item x="309"/>
        <item x="310"/>
        <item x="311"/>
        <item x="312"/>
        <item x="313"/>
        <item x="314"/>
        <item x="315"/>
        <item x="316"/>
        <item x="317"/>
        <item x="281"/>
        <item x="273"/>
        <item x="318"/>
        <item x="319"/>
        <item x="320"/>
        <item x="321"/>
        <item x="322"/>
        <item x="323"/>
        <item x="324"/>
        <item x="325"/>
        <item x="326"/>
        <item x="327"/>
        <item x="328"/>
        <item x="329"/>
        <item x="330"/>
        <item x="331"/>
        <item x="332"/>
        <item x="333"/>
        <item x="334"/>
        <item x="335"/>
        <item x="336"/>
        <item x="152"/>
        <item x="337"/>
        <item x="338"/>
        <item x="339"/>
        <item x="341"/>
        <item x="342"/>
        <item x="343"/>
        <item x="344"/>
        <item x="345"/>
        <item x="1476"/>
        <item x="346"/>
        <item x="347"/>
        <item x="348"/>
        <item x="349"/>
        <item x="350"/>
        <item x="351"/>
        <item x="353"/>
        <item x="354"/>
        <item x="1475"/>
        <item x="355"/>
        <item x="356"/>
        <item x="357"/>
        <item x="358"/>
        <item x="359"/>
        <item x="360"/>
        <item x="361"/>
        <item x="362"/>
        <item x="363"/>
        <item x="364"/>
        <item x="352"/>
        <item x="365"/>
        <item x="366"/>
        <item x="367"/>
        <item x="1474"/>
        <item x="368"/>
        <item x="369"/>
        <item x="370"/>
        <item x="371"/>
        <item x="372"/>
        <item x="373"/>
        <item x="375"/>
        <item x="374"/>
        <item x="376"/>
        <item x="378"/>
        <item x="379"/>
        <item x="380"/>
        <item x="381"/>
        <item x="1473"/>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7"/>
        <item x="418"/>
        <item x="419"/>
        <item x="420"/>
        <item x="421"/>
        <item x="416"/>
        <item x="422"/>
        <item x="423"/>
        <item x="424"/>
        <item x="425"/>
        <item x="426"/>
        <item x="427"/>
        <item x="428"/>
        <item x="429"/>
        <item x="430"/>
        <item x="431"/>
        <item x="432"/>
        <item x="433"/>
        <item x="434"/>
        <item x="435"/>
        <item x="436"/>
        <item x="437"/>
        <item x="438"/>
        <item x="439"/>
        <item x="440"/>
        <item x="441"/>
        <item x="442"/>
        <item x="443"/>
        <item x="444"/>
        <item x="445"/>
        <item x="446"/>
        <item x="1192"/>
        <item x="447"/>
        <item x="448"/>
        <item x="449"/>
        <item x="450"/>
        <item x="492"/>
        <item x="451"/>
        <item x="452"/>
        <item x="453"/>
        <item x="454"/>
        <item x="455"/>
        <item x="456"/>
        <item x="457"/>
        <item x="1472"/>
        <item x="458"/>
        <item x="459"/>
        <item x="460"/>
        <item x="461"/>
        <item x="462"/>
        <item x="463"/>
        <item x="464"/>
        <item x="465"/>
        <item x="466"/>
        <item x="467"/>
        <item x="468"/>
        <item x="469"/>
        <item x="470"/>
        <item x="471"/>
        <item x="472"/>
        <item x="473"/>
        <item x="474"/>
        <item x="475"/>
        <item x="476"/>
        <item x="477"/>
        <item x="478"/>
        <item x="2"/>
        <item x="479"/>
        <item x="480"/>
        <item x="481"/>
        <item x="482"/>
        <item x="483"/>
        <item x="484"/>
        <item x="485"/>
        <item x="486"/>
        <item x="487"/>
        <item x="488"/>
        <item x="489"/>
        <item x="490"/>
        <item x="491"/>
        <item x="493"/>
        <item x="495"/>
        <item x="496"/>
        <item x="497"/>
        <item x="498"/>
        <item x="499"/>
        <item x="500"/>
        <item x="501"/>
        <item x="502"/>
        <item x="503"/>
        <item x="504"/>
        <item x="505"/>
        <item x="506"/>
        <item x="507"/>
        <item x="508"/>
        <item x="509"/>
        <item x="510"/>
        <item x="1471"/>
        <item x="511"/>
        <item x="1569"/>
        <item x="512"/>
        <item x="513"/>
        <item x="514"/>
        <item x="1420"/>
        <item x="515"/>
        <item x="516"/>
        <item x="517"/>
        <item x="1470"/>
        <item x="518"/>
        <item x="519"/>
        <item x="520"/>
        <item x="521"/>
        <item x="522"/>
        <item x="523"/>
        <item x="524"/>
        <item x="525"/>
        <item x="526"/>
        <item x="527"/>
        <item x="528"/>
        <item x="529"/>
        <item x="530"/>
        <item x="531"/>
        <item x="1235"/>
        <item x="532"/>
        <item x="533"/>
        <item x="534"/>
        <item x="535"/>
        <item x="536"/>
        <item x="537"/>
        <item x="538"/>
        <item x="539"/>
        <item x="540"/>
        <item x="1200"/>
        <item x="541"/>
        <item x="542"/>
        <item x="543"/>
        <item x="544"/>
        <item x="545"/>
        <item x="546"/>
        <item x="547"/>
        <item x="548"/>
        <item x="549"/>
        <item x="550"/>
        <item x="551"/>
        <item x="1469"/>
        <item x="552"/>
        <item x="553"/>
        <item x="554"/>
        <item x="555"/>
        <item x="556"/>
        <item x="557"/>
        <item x="558"/>
        <item x="559"/>
        <item x="560"/>
        <item x="561"/>
        <item x="1468"/>
        <item x="562"/>
        <item x="563"/>
        <item x="564"/>
        <item x="565"/>
        <item x="566"/>
        <item x="567"/>
        <item x="568"/>
        <item x="569"/>
        <item x="570"/>
        <item x="571"/>
        <item x="572"/>
        <item x="573"/>
        <item x="574"/>
        <item x="575"/>
        <item x="576"/>
        <item x="577"/>
        <item x="578"/>
        <item x="579"/>
        <item x="580"/>
        <item x="581"/>
        <item x="582"/>
        <item x="583"/>
        <item x="584"/>
        <item x="585"/>
        <item x="1467"/>
        <item x="586"/>
        <item x="587"/>
        <item x="588"/>
        <item x="589"/>
        <item x="591"/>
        <item x="592"/>
        <item x="593"/>
        <item x="594"/>
        <item x="596"/>
        <item x="597"/>
        <item x="595"/>
        <item x="599"/>
        <item x="600"/>
        <item x="601"/>
        <item x="602"/>
        <item x="603"/>
        <item x="604"/>
        <item x="605"/>
        <item x="606"/>
        <item x="607"/>
        <item x="608"/>
        <item x="609"/>
        <item x="610"/>
        <item x="611"/>
        <item x="612"/>
        <item x="613"/>
        <item x="614"/>
        <item x="616"/>
        <item x="617"/>
        <item x="1466"/>
        <item x="618"/>
        <item x="619"/>
        <item x="620"/>
        <item x="621"/>
        <item x="622"/>
        <item x="623"/>
        <item x="624"/>
        <item x="625"/>
        <item x="626"/>
        <item x="627"/>
        <item x="628"/>
        <item x="629"/>
        <item x="630"/>
        <item x="631"/>
        <item x="632"/>
        <item x="1465"/>
        <item x="633"/>
        <item x="1464"/>
        <item x="634"/>
        <item x="635"/>
        <item x="636"/>
        <item x="637"/>
        <item x="638"/>
        <item x="639"/>
        <item x="641"/>
        <item x="642"/>
        <item x="1234"/>
        <item x="224"/>
        <item x="1195"/>
        <item x="1196"/>
        <item x="1244"/>
        <item x="1371"/>
        <item x="307"/>
        <item x="274"/>
        <item x="1194"/>
        <item x="1243"/>
        <item x="1635"/>
        <item x="1463"/>
        <item x="1461"/>
        <item x="1239"/>
        <item x="1641"/>
        <item x="1197"/>
        <item x="1379"/>
        <item x="656"/>
        <item x="659"/>
        <item x="1396"/>
        <item x="1193"/>
        <item x="647"/>
        <item x="1510"/>
        <item x="663"/>
        <item x="1212"/>
        <item x="1231"/>
        <item x="1233"/>
        <item x="1516"/>
        <item x="643"/>
        <item x="655"/>
        <item x="1638"/>
        <item x="1207"/>
        <item x="660"/>
        <item x="661"/>
        <item x="662"/>
        <item x="1230"/>
        <item x="644"/>
        <item x="1490"/>
        <item x="1579"/>
        <item x="1206"/>
        <item x="1290"/>
        <item x="648"/>
        <item x="1289"/>
        <item x="1421"/>
        <item x="1211"/>
        <item x="1404"/>
        <item x="1403"/>
        <item x="1242"/>
        <item x="649"/>
        <item x="1209"/>
        <item x="1575"/>
        <item x="1287"/>
        <item x="658"/>
        <item x="1462"/>
        <item x="1205"/>
        <item x="1369"/>
        <item x="1282"/>
        <item x="1232"/>
        <item x="646"/>
        <item x="847"/>
        <item x="1515"/>
        <item x="657"/>
        <item x="1364"/>
        <item x="664"/>
        <item x="665"/>
        <item x="666"/>
        <item x="1440"/>
        <item x="667"/>
        <item x="668"/>
        <item x="669"/>
        <item x="1273"/>
        <item x="1407"/>
        <item x="1326"/>
        <item x="1573"/>
        <item x="1373"/>
        <item x="177"/>
        <item x="670"/>
        <item x="1294"/>
        <item x="671"/>
        <item x="672"/>
        <item x="673"/>
        <item x="674"/>
        <item x="675"/>
        <item x="1163"/>
        <item x="676"/>
        <item x="677"/>
        <item x="1312"/>
        <item x="678"/>
        <item x="679"/>
        <item x="1594"/>
        <item x="680"/>
        <item x="681"/>
        <item x="682"/>
        <item x="683"/>
        <item x="684"/>
        <item x="685"/>
        <item x="1459"/>
        <item x="686"/>
        <item x="687"/>
        <item x="688"/>
        <item x="689"/>
        <item x="690"/>
        <item x="691"/>
        <item x="692"/>
        <item x="693"/>
        <item x="694"/>
        <item x="695"/>
        <item x="696"/>
        <item x="1249"/>
        <item x="159"/>
        <item x="1482"/>
        <item x="697"/>
        <item x="698"/>
        <item x="699"/>
        <item x="700"/>
        <item x="701"/>
        <item x="702"/>
        <item x="1460"/>
        <item x="703"/>
        <item x="704"/>
        <item x="705"/>
        <item x="706"/>
        <item x="1552"/>
        <item x="707"/>
        <item x="1458"/>
        <item x="708"/>
        <item x="709"/>
        <item x="710"/>
        <item x="711"/>
        <item x="712"/>
        <item x="713"/>
        <item x="714"/>
        <item x="715"/>
        <item x="716"/>
        <item x="590"/>
        <item x="717"/>
        <item x="718"/>
        <item x="1310"/>
        <item x="719"/>
        <item x="720"/>
        <item x="721"/>
        <item x="722"/>
        <item x="723"/>
        <item x="724"/>
        <item x="725"/>
        <item x="726"/>
        <item x="727"/>
        <item x="728"/>
        <item x="729"/>
        <item x="730"/>
        <item x="1295"/>
        <item x="1296"/>
        <item x="731"/>
        <item x="732"/>
        <item x="733"/>
        <item x="734"/>
        <item x="735"/>
        <item x="736"/>
        <item x="737"/>
        <item x="1361"/>
        <item x="1297"/>
        <item x="738"/>
        <item x="739"/>
        <item x="1651"/>
        <item x="1236"/>
        <item x="740"/>
        <item x="742"/>
        <item x="741"/>
        <item x="743"/>
        <item x="744"/>
        <item x="745"/>
        <item x="1457"/>
        <item x="746"/>
        <item x="747"/>
        <item x="748"/>
        <item x="749"/>
        <item x="750"/>
        <item x="751"/>
        <item x="752"/>
        <item x="1456"/>
        <item x="753"/>
        <item x="754"/>
        <item x="755"/>
        <item x="1203"/>
        <item x="756"/>
        <item x="1580"/>
        <item x="757"/>
        <item x="1581"/>
        <item x="758"/>
        <item x="760"/>
        <item x="1292"/>
        <item x="761"/>
        <item x="762"/>
        <item x="763"/>
        <item x="1180"/>
        <item x="764"/>
        <item x="765"/>
        <item x="766"/>
        <item x="767"/>
        <item x="768"/>
        <item x="769"/>
        <item x="770"/>
        <item x="771"/>
        <item x="1507"/>
        <item x="772"/>
        <item x="1355"/>
        <item x="773"/>
        <item x="774"/>
        <item x="775"/>
        <item x="776"/>
        <item x="1299"/>
        <item x="777"/>
        <item x="1183"/>
        <item x="1221"/>
        <item x="778"/>
        <item x="779"/>
        <item x="780"/>
        <item x="781"/>
        <item x="782"/>
        <item x="1280"/>
        <item x="783"/>
        <item x="784"/>
        <item x="1593"/>
        <item x="785"/>
        <item x="786"/>
        <item x="787"/>
        <item x="788"/>
        <item x="789"/>
        <item x="790"/>
        <item x="791"/>
        <item x="792"/>
        <item x="793"/>
        <item x="794"/>
        <item x="796"/>
        <item x="797"/>
        <item x="798"/>
        <item x="494"/>
        <item x="799"/>
        <item x="800"/>
        <item x="801"/>
        <item x="1455"/>
        <item x="1454"/>
        <item x="802"/>
        <item x="803"/>
        <item x="804"/>
        <item x="805"/>
        <item x="806"/>
        <item x="1320"/>
        <item x="807"/>
        <item x="808"/>
        <item x="809"/>
        <item x="810"/>
        <item x="811"/>
        <item x="650"/>
        <item x="651"/>
        <item x="652"/>
        <item x="812"/>
        <item x="813"/>
        <item x="175"/>
        <item x="814"/>
        <item x="815"/>
        <item x="47"/>
        <item x="48"/>
        <item x="816"/>
        <item x="1590"/>
        <item x="1587"/>
        <item x="817"/>
        <item x="818"/>
        <item x="819"/>
        <item x="820"/>
        <item x="821"/>
        <item x="822"/>
        <item x="823"/>
        <item x="824"/>
        <item x="825"/>
        <item x="826"/>
        <item x="827"/>
        <item x="828"/>
        <item x="1288"/>
        <item x="829"/>
        <item x="830"/>
        <item x="598"/>
        <item x="831"/>
        <item x="1387"/>
        <item x="1582"/>
        <item x="1588"/>
        <item x="832"/>
        <item x="1453"/>
        <item x="833"/>
        <item x="834"/>
        <item x="835"/>
        <item x="836"/>
        <item x="837"/>
        <item x="838"/>
        <item x="1283"/>
        <item x="839"/>
        <item x="1308"/>
        <item x="840"/>
        <item x="841"/>
        <item x="842"/>
        <item x="843"/>
        <item x="148"/>
        <item x="844"/>
        <item x="1452"/>
        <item x="149"/>
        <item x="845"/>
        <item x="846"/>
        <item x="1592"/>
        <item x="848"/>
        <item x="849"/>
        <item x="850"/>
        <item x="851"/>
        <item x="1360"/>
        <item x="1182"/>
        <item x="852"/>
        <item x="853"/>
        <item x="854"/>
        <item x="49"/>
        <item x="855"/>
        <item x="1258"/>
        <item x="856"/>
        <item x="857"/>
        <item x="858"/>
        <item x="859"/>
        <item x="860"/>
        <item x="861"/>
        <item x="645"/>
        <item x="862"/>
        <item x="863"/>
        <item x="864"/>
        <item x="1513"/>
        <item x="865"/>
        <item x="866"/>
        <item x="1451"/>
        <item x="1450"/>
        <item x="867"/>
        <item x="1301"/>
        <item x="1370"/>
        <item x="868"/>
        <item x="1449"/>
        <item x="869"/>
        <item x="870"/>
        <item x="871"/>
        <item x="872"/>
        <item x="873"/>
        <item x="874"/>
        <item x="875"/>
        <item x="876"/>
        <item x="877"/>
        <item x="26"/>
        <item x="878"/>
        <item x="879"/>
        <item x="1448"/>
        <item x="1311"/>
        <item x="880"/>
        <item x="881"/>
        <item x="882"/>
        <item x="883"/>
        <item x="884"/>
        <item x="1447"/>
        <item x="885"/>
        <item x="886"/>
        <item x="887"/>
        <item x="1446"/>
        <item x="888"/>
        <item x="889"/>
        <item x="890"/>
        <item x="891"/>
        <item x="892"/>
        <item x="893"/>
        <item x="894"/>
        <item x="1175"/>
        <item x="895"/>
        <item x="288"/>
        <item x="276"/>
        <item x="282"/>
        <item x="896"/>
        <item x="897"/>
        <item x="898"/>
        <item x="1293"/>
        <item x="899"/>
        <item x="900"/>
        <item x="901"/>
        <item x="902"/>
        <item x="903"/>
        <item x="904"/>
        <item x="905"/>
        <item x="906"/>
        <item x="907"/>
        <item x="908"/>
        <item x="909"/>
        <item x="910"/>
        <item x="911"/>
        <item x="912"/>
        <item x="913"/>
        <item x="914"/>
        <item x="915"/>
        <item x="916"/>
        <item x="917"/>
        <item x="918"/>
        <item x="1445"/>
        <item x="919"/>
        <item x="1444"/>
        <item x="920"/>
        <item x="921"/>
        <item x="922"/>
        <item x="923"/>
        <item x="924"/>
        <item x="925"/>
        <item x="926"/>
        <item x="166"/>
        <item x="167"/>
        <item x="927"/>
        <item x="928"/>
        <item x="929"/>
        <item x="930"/>
        <item x="931"/>
        <item x="932"/>
        <item x="933"/>
        <item x="934"/>
        <item x="935"/>
        <item x="936"/>
        <item x="937"/>
        <item x="938"/>
        <item x="939"/>
        <item x="340"/>
        <item x="1381"/>
        <item x="940"/>
        <item x="1591"/>
        <item x="941"/>
        <item x="942"/>
        <item x="943"/>
        <item x="944"/>
        <item x="945"/>
        <item x="1219"/>
        <item x="946"/>
        <item x="1443"/>
        <item x="947"/>
        <item x="948"/>
        <item x="949"/>
        <item x="950"/>
        <item x="1237"/>
        <item x="951"/>
        <item x="952"/>
        <item x="953"/>
        <item x="954"/>
        <item x="955"/>
        <item x="956"/>
        <item x="957"/>
        <item x="958"/>
        <item x="959"/>
        <item x="960"/>
        <item x="961"/>
        <item x="962"/>
        <item x="963"/>
        <item x="1589"/>
        <item x="1442"/>
        <item x="1358"/>
        <item x="150"/>
        <item x="50"/>
        <item x="964"/>
        <item x="965"/>
        <item x="966"/>
        <item x="967"/>
        <item x="968"/>
        <item x="969"/>
        <item x="169"/>
        <item x="1250"/>
        <item x="970"/>
        <item x="971"/>
        <item x="972"/>
        <item x="973"/>
        <item x="974"/>
        <item x="975"/>
        <item x="1441"/>
        <item x="976"/>
        <item x="977"/>
        <item x="978"/>
        <item x="979"/>
        <item x="980"/>
        <item x="981"/>
        <item x="1302"/>
        <item x="982"/>
        <item x="983"/>
        <item x="984"/>
        <item x="1313"/>
        <item x="1314"/>
        <item x="985"/>
        <item x="986"/>
        <item x="1173"/>
        <item x="987"/>
        <item x="988"/>
        <item x="1154"/>
        <item x="759"/>
        <item x="653"/>
        <item x="654"/>
        <item x="989"/>
        <item x="990"/>
        <item x="991"/>
        <item x="992"/>
        <item x="993"/>
        <item x="1155"/>
        <item x="994"/>
        <item x="995"/>
        <item x="996"/>
        <item x="1512"/>
        <item x="1218"/>
        <item x="1217"/>
        <item x="997"/>
        <item x="998"/>
        <item x="999"/>
        <item x="1000"/>
        <item x="1001"/>
        <item x="1002"/>
        <item x="1323"/>
        <item x="1328"/>
        <item x="1003"/>
        <item x="1004"/>
        <item x="1005"/>
        <item x="1006"/>
        <item x="1007"/>
        <item x="1008"/>
        <item x="1009"/>
        <item x="1010"/>
        <item x="1011"/>
        <item x="1012"/>
        <item x="1013"/>
        <item x="1014"/>
        <item x="1015"/>
        <item x="1551"/>
        <item x="1016"/>
        <item x="1176"/>
        <item x="1372"/>
        <item x="1017"/>
        <item x="258"/>
        <item x="1018"/>
        <item x="1019"/>
        <item x="1020"/>
        <item x="1572"/>
        <item x="1571"/>
        <item x="1570"/>
        <item x="1303"/>
        <item x="1021"/>
        <item x="1022"/>
        <item x="1023"/>
        <item x="1024"/>
        <item x="1025"/>
        <item x="1026"/>
        <item x="1027"/>
        <item x="1028"/>
        <item x="1029"/>
        <item x="1030"/>
        <item x="1315"/>
        <item x="1031"/>
        <item x="1032"/>
        <item x="1439"/>
        <item x="1033"/>
        <item x="1034"/>
        <item x="1035"/>
        <item x="1036"/>
        <item x="1037"/>
        <item x="1038"/>
        <item x="1039"/>
        <item x="1040"/>
        <item x="1041"/>
        <item x="1042"/>
        <item x="1043"/>
        <item x="1044"/>
        <item x="1045"/>
        <item x="1333"/>
        <item x="1046"/>
        <item x="1047"/>
        <item x="1048"/>
        <item x="1309"/>
        <item x="1049"/>
        <item x="1050"/>
        <item x="1153"/>
        <item x="1051"/>
        <item x="1052"/>
        <item x="1359"/>
        <item x="1053"/>
        <item x="1054"/>
        <item x="1055"/>
        <item x="1227"/>
        <item x="1056"/>
        <item x="1057"/>
        <item x="1228"/>
        <item x="1058"/>
        <item x="1059"/>
        <item x="1514"/>
        <item x="1060"/>
        <item x="1061"/>
        <item x="1062"/>
        <item x="1063"/>
        <item x="1064"/>
        <item x="1065"/>
        <item x="1340"/>
        <item x="1066"/>
        <item x="1067"/>
        <item x="1068"/>
        <item x="1069"/>
        <item x="1070"/>
        <item x="1191"/>
        <item x="1071"/>
        <item x="1072"/>
        <item x="1073"/>
        <item x="1074"/>
        <item x="1075"/>
        <item x="1076"/>
        <item x="1077"/>
        <item x="1078"/>
        <item x="1079"/>
        <item x="1080"/>
        <item x="1081"/>
        <item x="1082"/>
        <item x="1083"/>
        <item x="1084"/>
        <item x="1085"/>
        <item x="1086"/>
        <item x="1087"/>
        <item x="1088"/>
        <item x="1324"/>
        <item x="1089"/>
        <item x="1090"/>
        <item x="1091"/>
        <item x="1092"/>
        <item x="1093"/>
        <item x="1094"/>
        <item x="1438"/>
        <item x="1095"/>
        <item x="1096"/>
        <item x="1097"/>
        <item x="1378"/>
        <item x="1583"/>
        <item x="1098"/>
        <item x="1099"/>
        <item x="1100"/>
        <item x="1101"/>
        <item x="1102"/>
        <item x="1103"/>
        <item x="1104"/>
        <item x="1105"/>
        <item x="1106"/>
        <item x="1107"/>
        <item x="1108"/>
        <item x="1437"/>
        <item x="1109"/>
        <item x="1245"/>
        <item x="1110"/>
        <item x="138"/>
        <item x="1240"/>
        <item x="1111"/>
        <item x="1112"/>
        <item x="1113"/>
        <item x="1436"/>
        <item x="1435"/>
        <item x="1434"/>
        <item x="1652"/>
        <item x="1114"/>
        <item x="1433"/>
        <item x="1115"/>
        <item x="1116"/>
        <item x="1432"/>
        <item x="1431"/>
        <item x="1118"/>
        <item x="1430"/>
        <item x="1119"/>
        <item x="1120"/>
        <item x="1121"/>
        <item x="1122"/>
        <item x="1123"/>
        <item x="1429"/>
        <item x="1428"/>
        <item x="1427"/>
        <item x="1426"/>
        <item x="1124"/>
        <item x="1125"/>
        <item x="1425"/>
        <item x="1126"/>
        <item x="1127"/>
        <item x="1424"/>
        <item x="1128"/>
        <item x="1129"/>
        <item x="1130"/>
        <item x="1131"/>
        <item x="1132"/>
        <item x="1133"/>
        <item x="1134"/>
        <item x="1135"/>
        <item x="1136"/>
        <item x="1137"/>
        <item x="1138"/>
        <item x="1139"/>
        <item x="1140"/>
        <item x="1141"/>
        <item x="1377"/>
        <item x="1279"/>
        <item x="1142"/>
        <item x="1143"/>
        <item x="1204"/>
        <item x="1144"/>
        <item x="1145"/>
        <item x="1305"/>
        <item x="1306"/>
        <item x="1146"/>
        <item x="1147"/>
        <item x="1148"/>
        <item x="1567"/>
        <item x="1117"/>
        <item x="1149"/>
        <item x="1423"/>
        <item x="1150"/>
        <item x="1151"/>
        <item x="1152"/>
        <item x="1202"/>
        <item x="1281"/>
        <item x="1201"/>
        <item x="1271"/>
        <item x="1186"/>
        <item x="1187"/>
        <item x="1188"/>
        <item x="1189"/>
        <item x="1405"/>
        <item x="1215"/>
        <item x="1554"/>
        <item x="1322"/>
        <item x="1555"/>
        <item x="1556"/>
        <item x="1269"/>
        <item x="1274"/>
        <item x="1276"/>
        <item x="1190"/>
        <item x="1226"/>
        <item x="1261"/>
        <item x="1260"/>
        <item x="1263"/>
        <item x="1264"/>
        <item x="1262"/>
        <item x="1184"/>
        <item x="1560"/>
        <item x="1257"/>
        <item x="1268"/>
        <item x="1366"/>
        <item x="1564"/>
        <item x="1563"/>
        <item x="1365"/>
        <item x="1395"/>
        <item x="1157"/>
        <item x="1158"/>
        <item x="1159"/>
        <item x="1160"/>
        <item x="1161"/>
        <item x="1162"/>
        <item x="1164"/>
        <item x="1166"/>
        <item x="1167"/>
        <item x="1165"/>
        <item x="1168"/>
        <item x="1169"/>
        <item x="1170"/>
        <item x="1171"/>
        <item x="1172"/>
        <item x="1156"/>
        <item x="1225"/>
        <item x="1174"/>
        <item x="1177"/>
        <item x="1178"/>
        <item x="1179"/>
        <item x="1181"/>
        <item x="1492"/>
        <item x="1208"/>
        <item x="1210"/>
        <item x="1612"/>
        <item x="1213"/>
        <item x="1214"/>
        <item x="1300"/>
        <item x="1220"/>
        <item x="1216"/>
        <item x="1222"/>
        <item x="1224"/>
        <item x="1238"/>
        <item x="1241"/>
        <item x="1481"/>
        <item x="1247"/>
        <item x="1251"/>
        <item x="1252"/>
        <item x="1253"/>
        <item x="1254"/>
        <item x="1255"/>
        <item x="1256"/>
        <item x="1259"/>
        <item x="1265"/>
        <item x="1266"/>
        <item x="1267"/>
        <item x="1270"/>
        <item x="1272"/>
        <item x="1275"/>
        <item x="1335"/>
        <item x="1284"/>
        <item x="1304"/>
        <item x="1316"/>
        <item x="1317"/>
        <item x="1318"/>
        <item x="1319"/>
        <item x="1559"/>
        <item x="1389"/>
        <item x="1562"/>
        <item x="1561"/>
        <item x="1558"/>
        <item x="1557"/>
        <item x="1368"/>
        <item x="1367"/>
        <item x="1388"/>
        <item x="1341"/>
        <item x="1327"/>
        <item x="1330"/>
        <item x="1331"/>
        <item x="1332"/>
        <item x="1336"/>
        <item x="1338"/>
        <item x="1353"/>
        <item x="1351"/>
        <item x="1337"/>
        <item x="1401"/>
        <item x="1363"/>
        <item x="1629"/>
        <item x="1402"/>
        <item x="1600"/>
        <item x="1339"/>
        <item x="1342"/>
        <item x="1343"/>
        <item x="1344"/>
        <item x="1345"/>
        <item x="1346"/>
        <item x="1347"/>
        <item x="1348"/>
        <item x="1349"/>
        <item x="1350"/>
        <item x="269"/>
        <item x="1354"/>
        <item x="1565"/>
        <item x="1394"/>
        <item x="1393"/>
        <item x="1392"/>
        <item x="1390"/>
        <item x="1375"/>
        <item x="1376"/>
        <item x="1382"/>
        <item x="1383"/>
        <item x="1384"/>
        <item x="1385"/>
        <item x="1386"/>
        <item x="1495"/>
        <item x="1496"/>
        <item x="1497"/>
        <item x="1498"/>
        <item x="1285"/>
        <item x="1286"/>
        <item x="1511"/>
        <item x="1647"/>
        <item x="1577"/>
        <item x="1356"/>
        <item x="1248"/>
        <item x="1334"/>
        <item x="1229"/>
        <item x="1646"/>
        <item x="1619"/>
        <item x="1291"/>
        <item x="1357"/>
        <item x="1502"/>
        <item x="1642"/>
        <item x="1406"/>
        <item x="1413"/>
        <item x="1419"/>
        <item x="1418"/>
        <item x="1417"/>
        <item x="1422"/>
        <item x="1416"/>
        <item x="1412"/>
        <item x="1488"/>
        <item x="1411"/>
        <item x="1487"/>
        <item x="1410"/>
        <item x="1409"/>
        <item x="1408"/>
        <item x="1631"/>
        <item x="1486"/>
        <item x="1485"/>
        <item x="1484"/>
        <item x="1483"/>
        <item x="1595"/>
        <item x="1615"/>
        <item x="1624"/>
        <item x="1616"/>
        <item x="1613"/>
        <item x="1614"/>
        <item x="1617"/>
        <item x="1627"/>
        <item x="1618"/>
        <item x="1277"/>
        <item x="1489"/>
        <item x="1625"/>
        <item x="1278"/>
        <item x="1505"/>
        <item x="1506"/>
        <item x="1499"/>
        <item x="1585"/>
        <item x="1628"/>
        <item x="1644"/>
        <item x="1645"/>
        <item x="1414"/>
        <item x="1566"/>
        <item x="795"/>
        <item x="1607"/>
        <item x="1352"/>
        <item x="1508"/>
        <item x="1643"/>
        <item x="3"/>
        <item x="1640"/>
        <item x="1500"/>
        <item x="1639"/>
        <item x="1493"/>
        <item x="1578"/>
        <item x="1501"/>
        <item x="1298"/>
        <item x="1391"/>
        <item x="1397"/>
        <item x="1398"/>
        <item x="1399"/>
        <item x="1307"/>
        <item x="1415"/>
        <item x="1504"/>
        <item x="1609"/>
        <item x="1509"/>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630"/>
        <item x="1611"/>
        <item x="1198"/>
        <item x="1199"/>
        <item x="1576"/>
        <item x="1491"/>
        <item x="377"/>
        <item x="1637"/>
        <item x="1626"/>
        <item x="1574"/>
        <item x="1648"/>
        <item x="1321"/>
        <item x="1246"/>
        <item x="1494"/>
        <item x="1649"/>
        <item x="1596"/>
        <item x="1650"/>
        <item x="1610"/>
        <item x="1636"/>
        <item x="1602"/>
        <item x="640"/>
        <item x="1553"/>
        <item x="1568"/>
        <item x="1584"/>
        <item x="1586"/>
        <item x="1597"/>
        <item x="1598"/>
        <item x="1599"/>
        <item x="1601"/>
        <item x="1603"/>
        <item x="1604"/>
        <item x="1605"/>
        <item x="1606"/>
        <item x="1608"/>
        <item x="1620"/>
        <item x="1621"/>
        <item x="1622"/>
        <item x="1623"/>
        <item x="1632"/>
        <item x="18"/>
      </items>
    </pivotField>
    <pivotField name="knelpuntnummer" axis="axisRow" compact="0" outline="0" multipleItemSelectionAllowed="1" showAll="0" sortType="ascending">
      <items count="1654">
        <item x="18"/>
        <item x="0"/>
        <item x="1"/>
        <item x="4"/>
        <item x="5"/>
        <item x="6"/>
        <item x="7"/>
        <item x="8"/>
        <item x="9"/>
        <item x="10"/>
        <item x="11"/>
        <item x="12"/>
        <item x="13"/>
        <item x="14"/>
        <item x="15"/>
        <item x="16"/>
        <item x="17"/>
        <item x="615"/>
        <item x="19"/>
        <item x="20"/>
        <item x="21"/>
        <item x="22"/>
        <item x="220"/>
        <item x="23"/>
        <item x="24"/>
        <item x="25"/>
        <item x="27"/>
        <item x="29"/>
        <item x="30"/>
        <item x="31"/>
        <item x="28"/>
        <item x="32"/>
        <item x="33"/>
        <item x="34"/>
        <item x="35"/>
        <item x="36"/>
        <item x="37"/>
        <item x="38"/>
        <item x="39"/>
        <item x="40"/>
        <item x="41"/>
        <item x="42"/>
        <item x="43"/>
        <item x="44"/>
        <item x="45"/>
        <item x="46"/>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1329"/>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223"/>
        <item x="131"/>
        <item x="132"/>
        <item x="133"/>
        <item x="134"/>
        <item x="135"/>
        <item x="136"/>
        <item x="137"/>
        <item x="139"/>
        <item x="140"/>
        <item x="141"/>
        <item x="142"/>
        <item x="143"/>
        <item x="144"/>
        <item x="145"/>
        <item x="1400"/>
        <item x="146"/>
        <item x="147"/>
        <item x="151"/>
        <item x="153"/>
        <item x="154"/>
        <item x="155"/>
        <item x="156"/>
        <item x="157"/>
        <item x="158"/>
        <item x="160"/>
        <item x="161"/>
        <item x="162"/>
        <item x="163"/>
        <item x="164"/>
        <item x="165"/>
        <item x="168"/>
        <item x="170"/>
        <item x="171"/>
        <item x="172"/>
        <item x="173"/>
        <item x="174"/>
        <item x="176"/>
        <item x="1325"/>
        <item x="178"/>
        <item x="179"/>
        <item x="180"/>
        <item x="181"/>
        <item x="182"/>
        <item x="1633"/>
        <item x="183"/>
        <item x="184"/>
        <item x="185"/>
        <item x="186"/>
        <item x="187"/>
        <item x="188"/>
        <item x="189"/>
        <item x="190"/>
        <item x="1185"/>
        <item x="191"/>
        <item x="192"/>
        <item x="193"/>
        <item x="194"/>
        <item x="195"/>
        <item x="196"/>
        <item x="1362"/>
        <item x="197"/>
        <item x="198"/>
        <item x="199"/>
        <item x="200"/>
        <item x="201"/>
        <item x="202"/>
        <item x="203"/>
        <item x="204"/>
        <item x="1374"/>
        <item x="205"/>
        <item x="206"/>
        <item x="207"/>
        <item x="208"/>
        <item x="209"/>
        <item x="210"/>
        <item x="211"/>
        <item x="212"/>
        <item x="213"/>
        <item x="214"/>
        <item x="215"/>
        <item x="216"/>
        <item x="217"/>
        <item x="218"/>
        <item x="1503"/>
        <item x="219"/>
        <item x="221"/>
        <item x="225"/>
        <item x="1480"/>
        <item x="222"/>
        <item x="223"/>
        <item x="226"/>
        <item x="227"/>
        <item x="228"/>
        <item x="229"/>
        <item x="230"/>
        <item x="231"/>
        <item x="232"/>
        <item x="233"/>
        <item x="234"/>
        <item x="235"/>
        <item x="236"/>
        <item x="237"/>
        <item x="238"/>
        <item x="239"/>
        <item x="240"/>
        <item x="241"/>
        <item x="242"/>
        <item x="243"/>
        <item x="245"/>
        <item x="246"/>
        <item x="247"/>
        <item x="248"/>
        <item x="249"/>
        <item x="250"/>
        <item x="251"/>
        <item x="252"/>
        <item x="253"/>
        <item x="254"/>
        <item x="271"/>
        <item x="255"/>
        <item x="256"/>
        <item x="1479"/>
        <item x="257"/>
        <item x="259"/>
        <item x="260"/>
        <item x="261"/>
        <item x="262"/>
        <item x="263"/>
        <item x="264"/>
        <item x="265"/>
        <item x="266"/>
        <item x="267"/>
        <item x="268"/>
        <item x="270"/>
        <item x="272"/>
        <item x="275"/>
        <item x="277"/>
        <item x="278"/>
        <item x="279"/>
        <item x="244"/>
        <item x="280"/>
        <item x="283"/>
        <item x="284"/>
        <item x="285"/>
        <item x="286"/>
        <item x="287"/>
        <item x="289"/>
        <item x="290"/>
        <item x="291"/>
        <item x="292"/>
        <item x="293"/>
        <item x="294"/>
        <item x="295"/>
        <item x="296"/>
        <item x="297"/>
        <item x="1634"/>
        <item x="298"/>
        <item x="1478"/>
        <item x="299"/>
        <item x="300"/>
        <item x="301"/>
        <item x="302"/>
        <item x="303"/>
        <item x="304"/>
        <item x="305"/>
        <item x="1477"/>
        <item x="306"/>
        <item x="1380"/>
        <item x="308"/>
        <item x="309"/>
        <item x="310"/>
        <item x="311"/>
        <item x="312"/>
        <item x="313"/>
        <item x="314"/>
        <item x="315"/>
        <item x="316"/>
        <item x="317"/>
        <item x="281"/>
        <item x="273"/>
        <item x="318"/>
        <item x="319"/>
        <item x="320"/>
        <item x="321"/>
        <item x="322"/>
        <item x="323"/>
        <item x="324"/>
        <item x="325"/>
        <item x="326"/>
        <item x="327"/>
        <item x="328"/>
        <item x="329"/>
        <item x="330"/>
        <item x="331"/>
        <item x="332"/>
        <item x="333"/>
        <item x="334"/>
        <item x="335"/>
        <item x="336"/>
        <item x="152"/>
        <item x="337"/>
        <item x="338"/>
        <item x="339"/>
        <item x="341"/>
        <item x="342"/>
        <item x="343"/>
        <item x="344"/>
        <item x="345"/>
        <item x="1476"/>
        <item x="346"/>
        <item x="347"/>
        <item x="348"/>
        <item x="349"/>
        <item x="350"/>
        <item x="351"/>
        <item x="353"/>
        <item x="354"/>
        <item x="1475"/>
        <item x="355"/>
        <item x="356"/>
        <item x="357"/>
        <item x="358"/>
        <item x="359"/>
        <item x="360"/>
        <item x="361"/>
        <item x="362"/>
        <item x="363"/>
        <item x="364"/>
        <item x="352"/>
        <item x="365"/>
        <item x="366"/>
        <item x="367"/>
        <item x="1474"/>
        <item x="368"/>
        <item x="369"/>
        <item x="370"/>
        <item x="371"/>
        <item x="372"/>
        <item x="373"/>
        <item x="375"/>
        <item x="374"/>
        <item x="376"/>
        <item x="378"/>
        <item x="379"/>
        <item x="380"/>
        <item x="381"/>
        <item x="1473"/>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7"/>
        <item x="418"/>
        <item x="419"/>
        <item x="420"/>
        <item x="421"/>
        <item x="416"/>
        <item x="422"/>
        <item x="423"/>
        <item x="424"/>
        <item x="425"/>
        <item x="426"/>
        <item x="427"/>
        <item x="428"/>
        <item x="429"/>
        <item x="430"/>
        <item x="431"/>
        <item x="432"/>
        <item x="433"/>
        <item x="434"/>
        <item x="435"/>
        <item x="436"/>
        <item x="437"/>
        <item x="438"/>
        <item x="439"/>
        <item x="440"/>
        <item x="441"/>
        <item x="442"/>
        <item x="443"/>
        <item x="444"/>
        <item x="445"/>
        <item x="446"/>
        <item x="1192"/>
        <item x="447"/>
        <item x="448"/>
        <item x="449"/>
        <item x="450"/>
        <item x="492"/>
        <item x="451"/>
        <item x="452"/>
        <item x="453"/>
        <item x="454"/>
        <item x="455"/>
        <item x="456"/>
        <item x="457"/>
        <item x="1472"/>
        <item x="458"/>
        <item x="459"/>
        <item x="460"/>
        <item x="461"/>
        <item x="462"/>
        <item x="463"/>
        <item x="464"/>
        <item x="465"/>
        <item x="466"/>
        <item x="467"/>
        <item x="468"/>
        <item x="469"/>
        <item x="470"/>
        <item x="471"/>
        <item x="472"/>
        <item x="473"/>
        <item x="474"/>
        <item x="475"/>
        <item x="476"/>
        <item x="477"/>
        <item x="478"/>
        <item x="2"/>
        <item x="479"/>
        <item x="480"/>
        <item x="481"/>
        <item x="482"/>
        <item x="483"/>
        <item x="484"/>
        <item x="485"/>
        <item x="486"/>
        <item x="487"/>
        <item x="488"/>
        <item x="489"/>
        <item x="490"/>
        <item x="491"/>
        <item x="493"/>
        <item x="495"/>
        <item x="496"/>
        <item x="497"/>
        <item x="498"/>
        <item x="499"/>
        <item x="500"/>
        <item x="501"/>
        <item x="502"/>
        <item x="503"/>
        <item x="504"/>
        <item x="505"/>
        <item x="506"/>
        <item x="507"/>
        <item x="508"/>
        <item x="509"/>
        <item x="510"/>
        <item x="1471"/>
        <item x="511"/>
        <item x="1569"/>
        <item x="512"/>
        <item x="513"/>
        <item x="514"/>
        <item x="1420"/>
        <item x="515"/>
        <item x="516"/>
        <item x="517"/>
        <item x="1470"/>
        <item x="518"/>
        <item x="519"/>
        <item x="520"/>
        <item x="521"/>
        <item x="522"/>
        <item x="523"/>
        <item x="524"/>
        <item x="525"/>
        <item x="526"/>
        <item x="527"/>
        <item x="528"/>
        <item x="529"/>
        <item x="530"/>
        <item x="531"/>
        <item x="1235"/>
        <item x="532"/>
        <item x="533"/>
        <item x="534"/>
        <item x="535"/>
        <item x="536"/>
        <item x="537"/>
        <item x="538"/>
        <item x="539"/>
        <item x="540"/>
        <item x="1200"/>
        <item x="541"/>
        <item x="542"/>
        <item x="543"/>
        <item x="544"/>
        <item x="545"/>
        <item x="546"/>
        <item x="547"/>
        <item x="548"/>
        <item x="549"/>
        <item x="550"/>
        <item x="551"/>
        <item x="1469"/>
        <item x="552"/>
        <item x="553"/>
        <item x="554"/>
        <item x="555"/>
        <item x="556"/>
        <item x="557"/>
        <item x="558"/>
        <item x="559"/>
        <item x="560"/>
        <item x="561"/>
        <item x="1468"/>
        <item x="562"/>
        <item x="563"/>
        <item x="564"/>
        <item x="565"/>
        <item x="566"/>
        <item x="567"/>
        <item x="568"/>
        <item x="569"/>
        <item x="570"/>
        <item x="571"/>
        <item x="572"/>
        <item x="573"/>
        <item x="574"/>
        <item x="575"/>
        <item x="576"/>
        <item x="577"/>
        <item x="578"/>
        <item x="579"/>
        <item x="580"/>
        <item x="581"/>
        <item x="582"/>
        <item x="583"/>
        <item x="584"/>
        <item x="585"/>
        <item x="1467"/>
        <item x="586"/>
        <item x="587"/>
        <item x="588"/>
        <item x="589"/>
        <item x="591"/>
        <item x="592"/>
        <item x="593"/>
        <item x="594"/>
        <item x="596"/>
        <item x="597"/>
        <item x="595"/>
        <item x="599"/>
        <item x="600"/>
        <item x="601"/>
        <item x="602"/>
        <item x="603"/>
        <item x="604"/>
        <item x="605"/>
        <item x="606"/>
        <item x="607"/>
        <item x="608"/>
        <item x="609"/>
        <item x="610"/>
        <item x="611"/>
        <item x="612"/>
        <item x="613"/>
        <item x="614"/>
        <item x="616"/>
        <item x="617"/>
        <item x="1466"/>
        <item x="618"/>
        <item x="619"/>
        <item x="620"/>
        <item x="621"/>
        <item x="622"/>
        <item x="623"/>
        <item x="624"/>
        <item x="625"/>
        <item x="626"/>
        <item x="627"/>
        <item x="628"/>
        <item x="629"/>
        <item x="630"/>
        <item x="631"/>
        <item x="632"/>
        <item x="1465"/>
        <item x="633"/>
        <item x="1464"/>
        <item x="634"/>
        <item x="635"/>
        <item x="636"/>
        <item x="637"/>
        <item x="638"/>
        <item x="639"/>
        <item x="641"/>
        <item x="642"/>
        <item x="1234"/>
        <item x="224"/>
        <item x="1195"/>
        <item x="1196"/>
        <item x="1244"/>
        <item x="1371"/>
        <item x="307"/>
        <item x="274"/>
        <item x="1194"/>
        <item x="1243"/>
        <item x="1635"/>
        <item x="1463"/>
        <item x="1461"/>
        <item x="1239"/>
        <item x="1641"/>
        <item x="1197"/>
        <item x="1379"/>
        <item x="656"/>
        <item x="659"/>
        <item x="1396"/>
        <item x="1193"/>
        <item x="647"/>
        <item x="1510"/>
        <item x="663"/>
        <item x="1212"/>
        <item x="1231"/>
        <item x="1233"/>
        <item x="1516"/>
        <item x="643"/>
        <item x="655"/>
        <item x="1638"/>
        <item x="1207"/>
        <item x="660"/>
        <item x="661"/>
        <item x="662"/>
        <item x="1230"/>
        <item x="644"/>
        <item x="1490"/>
        <item x="1579"/>
        <item x="1206"/>
        <item x="1290"/>
        <item x="648"/>
        <item x="1289"/>
        <item x="1421"/>
        <item x="1211"/>
        <item x="1404"/>
        <item x="1403"/>
        <item x="1242"/>
        <item x="649"/>
        <item x="1209"/>
        <item x="1575"/>
        <item x="1287"/>
        <item x="658"/>
        <item x="1462"/>
        <item x="1205"/>
        <item x="1369"/>
        <item x="1282"/>
        <item x="1232"/>
        <item x="646"/>
        <item x="847"/>
        <item x="1515"/>
        <item x="657"/>
        <item x="1364"/>
        <item x="664"/>
        <item x="665"/>
        <item x="666"/>
        <item x="1440"/>
        <item x="667"/>
        <item x="668"/>
        <item x="669"/>
        <item x="1273"/>
        <item x="1407"/>
        <item x="1326"/>
        <item x="1573"/>
        <item x="1373"/>
        <item x="177"/>
        <item x="670"/>
        <item x="1294"/>
        <item x="671"/>
        <item x="672"/>
        <item x="673"/>
        <item x="674"/>
        <item x="675"/>
        <item x="1163"/>
        <item x="676"/>
        <item x="677"/>
        <item x="1312"/>
        <item x="678"/>
        <item x="679"/>
        <item x="1594"/>
        <item x="680"/>
        <item x="681"/>
        <item x="682"/>
        <item x="683"/>
        <item x="684"/>
        <item x="685"/>
        <item x="1459"/>
        <item x="686"/>
        <item x="687"/>
        <item x="688"/>
        <item x="689"/>
        <item x="690"/>
        <item x="691"/>
        <item x="692"/>
        <item x="693"/>
        <item x="694"/>
        <item x="695"/>
        <item x="696"/>
        <item x="1249"/>
        <item x="159"/>
        <item x="1482"/>
        <item x="697"/>
        <item x="698"/>
        <item x="699"/>
        <item x="700"/>
        <item x="701"/>
        <item x="702"/>
        <item x="1460"/>
        <item x="703"/>
        <item x="704"/>
        <item x="705"/>
        <item x="706"/>
        <item x="1552"/>
        <item x="707"/>
        <item x="1458"/>
        <item x="708"/>
        <item x="709"/>
        <item x="710"/>
        <item x="711"/>
        <item x="712"/>
        <item x="713"/>
        <item x="714"/>
        <item x="715"/>
        <item x="716"/>
        <item x="590"/>
        <item x="717"/>
        <item x="718"/>
        <item x="1310"/>
        <item x="719"/>
        <item x="720"/>
        <item x="721"/>
        <item x="722"/>
        <item x="723"/>
        <item x="724"/>
        <item x="725"/>
        <item x="726"/>
        <item x="727"/>
        <item x="728"/>
        <item x="729"/>
        <item x="730"/>
        <item x="1295"/>
        <item x="1296"/>
        <item x="731"/>
        <item x="732"/>
        <item x="733"/>
        <item x="734"/>
        <item x="735"/>
        <item x="736"/>
        <item x="737"/>
        <item x="1361"/>
        <item x="1297"/>
        <item x="738"/>
        <item x="739"/>
        <item x="1651"/>
        <item x="1236"/>
        <item x="740"/>
        <item x="742"/>
        <item x="741"/>
        <item x="743"/>
        <item x="744"/>
        <item x="745"/>
        <item x="1457"/>
        <item x="746"/>
        <item x="747"/>
        <item x="748"/>
        <item x="749"/>
        <item x="750"/>
        <item x="751"/>
        <item x="752"/>
        <item x="1456"/>
        <item x="753"/>
        <item x="754"/>
        <item x="755"/>
        <item x="1203"/>
        <item x="756"/>
        <item x="1580"/>
        <item x="757"/>
        <item x="1581"/>
        <item x="758"/>
        <item x="760"/>
        <item x="1292"/>
        <item x="761"/>
        <item x="762"/>
        <item x="763"/>
        <item x="1180"/>
        <item x="764"/>
        <item x="765"/>
        <item x="766"/>
        <item x="767"/>
        <item x="768"/>
        <item x="769"/>
        <item x="770"/>
        <item x="771"/>
        <item x="1507"/>
        <item x="772"/>
        <item x="1355"/>
        <item x="773"/>
        <item x="774"/>
        <item x="775"/>
        <item x="776"/>
        <item x="1299"/>
        <item x="777"/>
        <item x="1183"/>
        <item x="1221"/>
        <item x="778"/>
        <item x="779"/>
        <item x="780"/>
        <item x="781"/>
        <item x="782"/>
        <item x="1280"/>
        <item x="783"/>
        <item x="784"/>
        <item x="1593"/>
        <item x="785"/>
        <item x="786"/>
        <item x="787"/>
        <item x="788"/>
        <item x="789"/>
        <item x="790"/>
        <item x="791"/>
        <item x="792"/>
        <item x="793"/>
        <item x="794"/>
        <item x="796"/>
        <item x="797"/>
        <item x="798"/>
        <item x="494"/>
        <item x="799"/>
        <item x="800"/>
        <item x="801"/>
        <item x="1455"/>
        <item x="1454"/>
        <item x="802"/>
        <item x="803"/>
        <item x="804"/>
        <item x="805"/>
        <item x="806"/>
        <item x="1320"/>
        <item x="807"/>
        <item x="808"/>
        <item x="809"/>
        <item x="810"/>
        <item x="811"/>
        <item x="650"/>
        <item x="651"/>
        <item x="652"/>
        <item x="812"/>
        <item x="813"/>
        <item x="175"/>
        <item x="814"/>
        <item x="815"/>
        <item x="47"/>
        <item x="48"/>
        <item x="816"/>
        <item x="1590"/>
        <item x="1587"/>
        <item x="817"/>
        <item x="818"/>
        <item x="819"/>
        <item x="820"/>
        <item x="821"/>
        <item x="822"/>
        <item x="823"/>
        <item x="824"/>
        <item x="825"/>
        <item x="826"/>
        <item x="827"/>
        <item x="828"/>
        <item x="1288"/>
        <item x="829"/>
        <item x="830"/>
        <item x="598"/>
        <item x="831"/>
        <item x="1387"/>
        <item x="1582"/>
        <item x="1588"/>
        <item x="832"/>
        <item x="1453"/>
        <item x="833"/>
        <item x="834"/>
        <item x="835"/>
        <item x="836"/>
        <item x="837"/>
        <item x="838"/>
        <item x="1283"/>
        <item x="839"/>
        <item x="1308"/>
        <item x="840"/>
        <item x="841"/>
        <item x="842"/>
        <item x="843"/>
        <item x="148"/>
        <item x="844"/>
        <item x="1452"/>
        <item x="149"/>
        <item x="845"/>
        <item x="846"/>
        <item x="1592"/>
        <item x="848"/>
        <item x="849"/>
        <item x="850"/>
        <item x="851"/>
        <item x="1360"/>
        <item x="1182"/>
        <item x="852"/>
        <item x="853"/>
        <item x="854"/>
        <item x="49"/>
        <item x="855"/>
        <item x="1258"/>
        <item x="856"/>
        <item x="857"/>
        <item x="858"/>
        <item x="859"/>
        <item x="860"/>
        <item x="861"/>
        <item x="645"/>
        <item x="862"/>
        <item x="863"/>
        <item x="864"/>
        <item x="1513"/>
        <item x="865"/>
        <item x="866"/>
        <item x="1451"/>
        <item x="1450"/>
        <item x="867"/>
        <item x="1301"/>
        <item x="1370"/>
        <item x="868"/>
        <item x="1449"/>
        <item x="869"/>
        <item x="870"/>
        <item x="871"/>
        <item x="872"/>
        <item x="873"/>
        <item x="874"/>
        <item x="875"/>
        <item x="876"/>
        <item x="877"/>
        <item x="26"/>
        <item x="878"/>
        <item x="879"/>
        <item x="1448"/>
        <item x="1311"/>
        <item x="880"/>
        <item x="881"/>
        <item x="882"/>
        <item x="883"/>
        <item x="884"/>
        <item x="1447"/>
        <item x="885"/>
        <item x="886"/>
        <item x="887"/>
        <item x="1446"/>
        <item x="888"/>
        <item x="889"/>
        <item x="890"/>
        <item x="891"/>
        <item x="892"/>
        <item x="893"/>
        <item x="894"/>
        <item x="1175"/>
        <item x="895"/>
        <item x="288"/>
        <item x="276"/>
        <item x="282"/>
        <item x="896"/>
        <item x="897"/>
        <item x="898"/>
        <item x="1293"/>
        <item x="899"/>
        <item x="900"/>
        <item x="901"/>
        <item x="902"/>
        <item x="903"/>
        <item x="904"/>
        <item x="905"/>
        <item x="906"/>
        <item x="907"/>
        <item x="908"/>
        <item x="909"/>
        <item x="910"/>
        <item x="911"/>
        <item x="912"/>
        <item x="913"/>
        <item x="914"/>
        <item x="915"/>
        <item x="916"/>
        <item x="917"/>
        <item x="918"/>
        <item x="1445"/>
        <item x="919"/>
        <item x="1444"/>
        <item x="920"/>
        <item x="921"/>
        <item x="922"/>
        <item x="923"/>
        <item x="924"/>
        <item x="925"/>
        <item x="926"/>
        <item x="166"/>
        <item x="167"/>
        <item x="927"/>
        <item x="928"/>
        <item x="929"/>
        <item x="930"/>
        <item x="931"/>
        <item x="932"/>
        <item x="933"/>
        <item x="934"/>
        <item x="935"/>
        <item x="936"/>
        <item x="937"/>
        <item x="938"/>
        <item x="939"/>
        <item x="340"/>
        <item x="1381"/>
        <item x="940"/>
        <item x="1591"/>
        <item x="941"/>
        <item x="942"/>
        <item x="943"/>
        <item x="944"/>
        <item x="945"/>
        <item x="1219"/>
        <item x="946"/>
        <item x="1443"/>
        <item x="947"/>
        <item x="948"/>
        <item x="949"/>
        <item x="950"/>
        <item x="1237"/>
        <item x="951"/>
        <item x="952"/>
        <item x="953"/>
        <item x="954"/>
        <item x="955"/>
        <item x="956"/>
        <item x="957"/>
        <item x="958"/>
        <item x="959"/>
        <item x="960"/>
        <item x="961"/>
        <item x="962"/>
        <item x="963"/>
        <item x="1589"/>
        <item x="1442"/>
        <item x="1358"/>
        <item x="150"/>
        <item x="50"/>
        <item x="964"/>
        <item x="965"/>
        <item x="966"/>
        <item x="967"/>
        <item x="968"/>
        <item x="969"/>
        <item x="169"/>
        <item x="1250"/>
        <item x="970"/>
        <item x="971"/>
        <item x="972"/>
        <item x="973"/>
        <item x="974"/>
        <item x="975"/>
        <item x="1441"/>
        <item x="976"/>
        <item x="977"/>
        <item x="978"/>
        <item x="979"/>
        <item x="980"/>
        <item x="981"/>
        <item x="1302"/>
        <item x="982"/>
        <item x="983"/>
        <item x="984"/>
        <item x="1313"/>
        <item x="1314"/>
        <item x="985"/>
        <item x="986"/>
        <item x="1173"/>
        <item x="987"/>
        <item x="988"/>
        <item x="1154"/>
        <item x="759"/>
        <item x="653"/>
        <item x="654"/>
        <item x="989"/>
        <item x="990"/>
        <item x="991"/>
        <item x="992"/>
        <item x="993"/>
        <item x="1155"/>
        <item x="994"/>
        <item x="995"/>
        <item x="996"/>
        <item x="1512"/>
        <item x="1218"/>
        <item x="1217"/>
        <item x="997"/>
        <item x="998"/>
        <item x="999"/>
        <item x="1000"/>
        <item x="1001"/>
        <item x="1002"/>
        <item x="1323"/>
        <item x="1328"/>
        <item x="1003"/>
        <item x="1004"/>
        <item x="1005"/>
        <item x="1006"/>
        <item x="1007"/>
        <item x="1008"/>
        <item x="1009"/>
        <item x="1010"/>
        <item x="1011"/>
        <item x="1012"/>
        <item x="1013"/>
        <item x="1014"/>
        <item x="1015"/>
        <item x="1551"/>
        <item x="1016"/>
        <item x="1176"/>
        <item x="1372"/>
        <item x="1017"/>
        <item x="258"/>
        <item x="1018"/>
        <item x="1019"/>
        <item x="1020"/>
        <item x="1572"/>
        <item x="1571"/>
        <item x="1570"/>
        <item x="1303"/>
        <item x="1021"/>
        <item x="1022"/>
        <item x="1023"/>
        <item x="1024"/>
        <item x="1025"/>
        <item x="1026"/>
        <item x="1027"/>
        <item x="1028"/>
        <item x="1029"/>
        <item x="1030"/>
        <item x="1315"/>
        <item x="1031"/>
        <item x="1032"/>
        <item x="1439"/>
        <item x="1033"/>
        <item x="1034"/>
        <item x="1035"/>
        <item x="1036"/>
        <item x="1037"/>
        <item x="1038"/>
        <item x="1039"/>
        <item x="1040"/>
        <item x="1041"/>
        <item x="1042"/>
        <item x="1043"/>
        <item x="1044"/>
        <item x="1045"/>
        <item x="1333"/>
        <item x="1046"/>
        <item x="1047"/>
        <item x="1048"/>
        <item x="1309"/>
        <item x="1049"/>
        <item x="1050"/>
        <item x="1153"/>
        <item x="1051"/>
        <item x="1052"/>
        <item x="1359"/>
        <item x="1053"/>
        <item x="1054"/>
        <item x="1055"/>
        <item x="1227"/>
        <item x="1056"/>
        <item x="1057"/>
        <item x="1228"/>
        <item x="1058"/>
        <item x="1059"/>
        <item x="1514"/>
        <item x="1060"/>
        <item x="1061"/>
        <item x="1062"/>
        <item x="1063"/>
        <item x="1064"/>
        <item x="1065"/>
        <item x="1340"/>
        <item x="1066"/>
        <item x="1067"/>
        <item x="1068"/>
        <item x="1069"/>
        <item x="1070"/>
        <item x="1191"/>
        <item x="1071"/>
        <item x="1072"/>
        <item x="1073"/>
        <item x="1074"/>
        <item x="1075"/>
        <item x="1076"/>
        <item x="1077"/>
        <item x="1078"/>
        <item x="1079"/>
        <item x="1080"/>
        <item x="1081"/>
        <item x="1082"/>
        <item x="1083"/>
        <item x="1084"/>
        <item x="1085"/>
        <item x="1086"/>
        <item x="1087"/>
        <item x="1088"/>
        <item x="1324"/>
        <item x="1089"/>
        <item x="1090"/>
        <item x="1091"/>
        <item x="1092"/>
        <item x="1093"/>
        <item x="1094"/>
        <item x="1438"/>
        <item x="1095"/>
        <item x="1096"/>
        <item x="1097"/>
        <item x="1378"/>
        <item x="1583"/>
        <item x="1098"/>
        <item x="1099"/>
        <item x="1100"/>
        <item x="1101"/>
        <item x="1102"/>
        <item x="1103"/>
        <item x="1104"/>
        <item x="1105"/>
        <item x="1106"/>
        <item x="1107"/>
        <item x="1108"/>
        <item x="1437"/>
        <item x="1109"/>
        <item x="1245"/>
        <item x="1110"/>
        <item x="138"/>
        <item x="1240"/>
        <item x="1111"/>
        <item x="1112"/>
        <item x="1113"/>
        <item x="1436"/>
        <item x="1435"/>
        <item x="1434"/>
        <item x="1652"/>
        <item x="1114"/>
        <item x="1433"/>
        <item x="1115"/>
        <item x="1116"/>
        <item x="1432"/>
        <item x="1431"/>
        <item x="1118"/>
        <item x="1430"/>
        <item x="1119"/>
        <item x="1120"/>
        <item x="1121"/>
        <item x="1122"/>
        <item x="1123"/>
        <item x="1429"/>
        <item x="1428"/>
        <item x="1427"/>
        <item x="1426"/>
        <item x="1124"/>
        <item x="1125"/>
        <item x="1425"/>
        <item x="1126"/>
        <item x="1127"/>
        <item x="1424"/>
        <item x="1128"/>
        <item x="1129"/>
        <item x="1130"/>
        <item x="1131"/>
        <item x="1132"/>
        <item x="1133"/>
        <item x="1134"/>
        <item x="1135"/>
        <item x="1136"/>
        <item x="1137"/>
        <item x="1138"/>
        <item x="1139"/>
        <item x="1140"/>
        <item x="1141"/>
        <item x="1377"/>
        <item x="1279"/>
        <item x="1142"/>
        <item x="1143"/>
        <item x="1204"/>
        <item x="1144"/>
        <item x="1145"/>
        <item x="1305"/>
        <item x="1306"/>
        <item x="1146"/>
        <item x="1147"/>
        <item x="1148"/>
        <item x="1567"/>
        <item x="1117"/>
        <item x="1149"/>
        <item x="1423"/>
        <item x="1150"/>
        <item x="1151"/>
        <item x="1152"/>
        <item x="1202"/>
        <item x="1281"/>
        <item x="1201"/>
        <item x="1271"/>
        <item x="1186"/>
        <item x="1187"/>
        <item x="1188"/>
        <item x="1189"/>
        <item x="1405"/>
        <item x="1215"/>
        <item x="1554"/>
        <item x="1322"/>
        <item x="1555"/>
        <item x="1556"/>
        <item x="1269"/>
        <item x="1274"/>
        <item x="1276"/>
        <item x="1190"/>
        <item x="1226"/>
        <item x="1261"/>
        <item x="1260"/>
        <item x="1263"/>
        <item x="1264"/>
        <item x="1262"/>
        <item x="1184"/>
        <item x="1560"/>
        <item x="1257"/>
        <item x="1268"/>
        <item x="1366"/>
        <item x="1564"/>
        <item x="1563"/>
        <item x="1365"/>
        <item x="1395"/>
        <item x="1157"/>
        <item x="1158"/>
        <item x="1159"/>
        <item x="1160"/>
        <item x="1161"/>
        <item x="1162"/>
        <item x="1164"/>
        <item x="1166"/>
        <item x="1167"/>
        <item x="1165"/>
        <item x="1168"/>
        <item x="1169"/>
        <item x="1170"/>
        <item x="1171"/>
        <item x="1172"/>
        <item x="1156"/>
        <item x="1225"/>
        <item x="1174"/>
        <item x="1177"/>
        <item x="1178"/>
        <item x="1179"/>
        <item x="1181"/>
        <item x="1492"/>
        <item x="1208"/>
        <item x="1210"/>
        <item x="1612"/>
        <item x="1213"/>
        <item x="1214"/>
        <item x="1300"/>
        <item x="1220"/>
        <item x="1216"/>
        <item x="1222"/>
        <item x="1224"/>
        <item x="1238"/>
        <item x="1241"/>
        <item x="1481"/>
        <item x="1247"/>
        <item x="1251"/>
        <item x="1252"/>
        <item x="1253"/>
        <item x="1254"/>
        <item x="1255"/>
        <item x="1256"/>
        <item x="1259"/>
        <item x="1265"/>
        <item x="1266"/>
        <item x="1267"/>
        <item x="1270"/>
        <item x="1272"/>
        <item x="1275"/>
        <item x="1335"/>
        <item x="1284"/>
        <item x="1304"/>
        <item x="1316"/>
        <item x="1317"/>
        <item x="1318"/>
        <item x="1319"/>
        <item x="1559"/>
        <item x="1389"/>
        <item x="1562"/>
        <item x="1561"/>
        <item x="1558"/>
        <item x="1557"/>
        <item x="1368"/>
        <item x="1367"/>
        <item x="1388"/>
        <item x="1341"/>
        <item x="1327"/>
        <item x="1330"/>
        <item x="1331"/>
        <item x="1332"/>
        <item x="1336"/>
        <item x="1338"/>
        <item x="1353"/>
        <item x="1351"/>
        <item x="1337"/>
        <item x="1401"/>
        <item x="1363"/>
        <item x="1629"/>
        <item x="1402"/>
        <item x="1600"/>
        <item x="1339"/>
        <item x="1342"/>
        <item x="1343"/>
        <item x="1344"/>
        <item x="1345"/>
        <item x="1346"/>
        <item x="1347"/>
        <item x="1348"/>
        <item x="1349"/>
        <item x="1350"/>
        <item x="269"/>
        <item x="1354"/>
        <item x="1565"/>
        <item x="1394"/>
        <item x="1393"/>
        <item x="1392"/>
        <item x="1390"/>
        <item x="1375"/>
        <item x="1376"/>
        <item x="1382"/>
        <item x="1383"/>
        <item x="1384"/>
        <item x="1385"/>
        <item x="1386"/>
        <item x="1495"/>
        <item x="1496"/>
        <item x="1497"/>
        <item x="1498"/>
        <item x="1285"/>
        <item x="1286"/>
        <item x="1511"/>
        <item x="1647"/>
        <item x="1577"/>
        <item x="1356"/>
        <item x="1248"/>
        <item x="1334"/>
        <item x="1229"/>
        <item x="1646"/>
        <item x="1619"/>
        <item x="1291"/>
        <item x="1357"/>
        <item x="1502"/>
        <item x="1642"/>
        <item x="1406"/>
        <item x="1413"/>
        <item x="1419"/>
        <item x="1418"/>
        <item x="1417"/>
        <item x="1422"/>
        <item x="1416"/>
        <item x="1412"/>
        <item x="1488"/>
        <item x="1411"/>
        <item x="1487"/>
        <item x="1410"/>
        <item x="1409"/>
        <item x="1408"/>
        <item x="1631"/>
        <item x="1486"/>
        <item x="1485"/>
        <item x="1484"/>
        <item x="1483"/>
        <item x="1595"/>
        <item x="1615"/>
        <item x="1624"/>
        <item x="1616"/>
        <item x="1613"/>
        <item x="1614"/>
        <item x="1617"/>
        <item x="1627"/>
        <item x="1618"/>
        <item x="1277"/>
        <item x="1489"/>
        <item x="1625"/>
        <item x="1278"/>
        <item x="1505"/>
        <item x="1506"/>
        <item x="1499"/>
        <item x="1585"/>
        <item x="1628"/>
        <item x="1644"/>
        <item x="1645"/>
        <item x="1414"/>
        <item x="1566"/>
        <item x="795"/>
        <item x="1607"/>
        <item x="1352"/>
        <item x="1508"/>
        <item x="1643"/>
        <item x="3"/>
        <item x="1640"/>
        <item x="1500"/>
        <item x="1639"/>
        <item x="1493"/>
        <item x="1578"/>
        <item x="1501"/>
        <item x="1298"/>
        <item x="1391"/>
        <item x="1397"/>
        <item x="1398"/>
        <item x="1399"/>
        <item x="1307"/>
        <item x="1415"/>
        <item x="1504"/>
        <item x="1609"/>
        <item x="1509"/>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630"/>
        <item x="1611"/>
        <item x="1198"/>
        <item x="1199"/>
        <item x="1576"/>
        <item x="1491"/>
        <item x="377"/>
        <item x="1637"/>
        <item x="1626"/>
        <item x="1574"/>
        <item x="1648"/>
        <item x="1321"/>
        <item x="1246"/>
        <item x="1494"/>
        <item x="1649"/>
        <item x="1596"/>
        <item x="1650"/>
        <item x="1610"/>
        <item x="1636"/>
        <item x="1602"/>
        <item x="640"/>
        <item x="1553"/>
        <item x="1568"/>
        <item x="1584"/>
        <item x="1586"/>
        <item x="1597"/>
        <item x="1598"/>
        <item x="1599"/>
        <item x="1601"/>
        <item x="1603"/>
        <item x="1604"/>
        <item x="1605"/>
        <item x="1606"/>
        <item x="1608"/>
        <item x="1620"/>
        <item x="1621"/>
        <item x="1622"/>
        <item x="1623"/>
        <item x="1632"/>
        <item t="default"/>
      </items>
    </pivotField>
    <pivotField name="hoofdthema" compact="0" outline="0" multipleItemSelectionAllowed="1" showAll="0"/>
    <pivotField name="subthema" axis="axisPage" compact="0" outline="0" multipleItemSelectionAllowed="1" showAll="0">
      <items count="10">
        <item h="1" x="0"/>
        <item h="1" x="1"/>
        <item h="1" x="2"/>
        <item h="1" x="3"/>
        <item x="4"/>
        <item h="1" x="5"/>
        <item h="1" x="6"/>
        <item h="1" x="7"/>
        <item h="1" x="8"/>
        <item t="default"/>
      </items>
    </pivotField>
    <pivotField name="ingreep_id" compact="0" outline="0" multipleItemSelectionAllowed="1" showAll="0"/>
    <pivotField name="ingreepnummer" compact="0" outline="0" multipleItemSelectionAllowed="1" showAll="0"/>
    <pivotField name="ingreep_titel" compact="0" outline="0" multipleItemSelectionAllowed="1" showAll="0"/>
    <pivotField name="ingreep_omschrijving" compact="0" outline="0" multipleItemSelectionAllowed="1" showAll="0"/>
    <pivotField name="ingreep_type" compact="0" outline="0" multipleItemSelectionAllowed="1" showAll="0"/>
    <pivotField name="ingreep_aidnummer" compact="0" outline="0" multipleItemSelectionAllowed="1" showAll="0"/>
    <pivotField name="opgevolgd_in_bod" compact="0" outline="0" multipleItemSelectionAllowed="1" showAll="0"/>
    <pivotField name="opgevolgd_in_bod_omschrijving" compact="0" outline="0" multipleItemSelectionAllowed="1" showAll="0"/>
    <pivotField name="financiele_planning_jaar" compact="0" outline="0" multipleItemSelectionAllowed="1" showAll="0"/>
    <pivotField name="financiele_planning_kwartaal" compact="0" outline="0" multipleItemSelectionAllowed="1" showAll="0"/>
    <pivotField name="rubriek_raming" compact="0" outline="0" multipleItemSelectionAllowed="1" showAll="0"/>
    <pivotField name="toelichting_raming" compact="0" outline="0" multipleItemSelectionAllowed="1" showAll="0"/>
    <pivotField name="knelpunt_percentage_raming" compact="0" outline="0" multipleItemSelectionAllowed="1" showAll="0"/>
    <pivotField name="ordegrootte_bedrag" compact="0" outline="0" multipleItemSelectionAllowed="1" showAll="0"/>
    <pivotField name="geraamde_bedrag_kim" dataField="1" compact="0" outline="0" multipleItemSelectionAllowed="1" showAll="0"/>
  </pivotFields>
  <rowFields count="2">
    <field x="0"/>
    <field x="1"/>
  </rowFields>
  <rowItems count="659">
    <i>
      <x v="708"/>
      <x v="709"/>
    </i>
    <i>
      <x v="709"/>
      <x v="710"/>
    </i>
    <i>
      <x v="710"/>
      <x v="711"/>
    </i>
    <i>
      <x v="711"/>
      <x v="712"/>
    </i>
    <i>
      <x v="712"/>
      <x v="713"/>
    </i>
    <i>
      <x v="713"/>
      <x v="714"/>
    </i>
    <i>
      <x v="714"/>
      <x v="715"/>
    </i>
    <i>
      <x v="715"/>
      <x v="716"/>
    </i>
    <i>
      <x v="716"/>
      <x v="717"/>
    </i>
    <i>
      <x v="717"/>
      <x v="718"/>
    </i>
    <i>
      <x v="718"/>
      <x v="719"/>
    </i>
    <i>
      <x v="719"/>
      <x v="720"/>
    </i>
    <i>
      <x v="720"/>
      <x v="721"/>
    </i>
    <i>
      <x v="721"/>
      <x v="722"/>
    </i>
    <i>
      <x v="722"/>
      <x v="723"/>
    </i>
    <i>
      <x v="723"/>
      <x v="724"/>
    </i>
    <i>
      <x v="724"/>
      <x v="725"/>
    </i>
    <i>
      <x v="725"/>
      <x v="726"/>
    </i>
    <i>
      <x v="726"/>
      <x v="727"/>
    </i>
    <i>
      <x v="727"/>
      <x v="728"/>
    </i>
    <i>
      <x v="728"/>
      <x v="729"/>
    </i>
    <i>
      <x v="729"/>
      <x v="730"/>
    </i>
    <i>
      <x v="730"/>
      <x v="731"/>
    </i>
    <i>
      <x v="731"/>
      <x v="732"/>
    </i>
    <i>
      <x v="732"/>
      <x v="733"/>
    </i>
    <i>
      <x v="733"/>
      <x v="734"/>
    </i>
    <i>
      <x v="734"/>
      <x v="735"/>
    </i>
    <i>
      <x v="735"/>
      <x v="736"/>
    </i>
    <i>
      <x v="736"/>
      <x v="737"/>
    </i>
    <i>
      <x v="737"/>
      <x v="738"/>
    </i>
    <i>
      <x v="738"/>
      <x v="739"/>
    </i>
    <i>
      <x v="739"/>
      <x v="740"/>
    </i>
    <i>
      <x v="740"/>
      <x v="741"/>
    </i>
    <i>
      <x v="741"/>
      <x v="742"/>
    </i>
    <i>
      <x v="742"/>
      <x v="743"/>
    </i>
    <i>
      <x v="743"/>
      <x v="744"/>
    </i>
    <i>
      <x v="744"/>
      <x v="745"/>
    </i>
    <i>
      <x v="745"/>
      <x v="746"/>
    </i>
    <i>
      <x v="746"/>
      <x v="747"/>
    </i>
    <i>
      <x v="747"/>
      <x v="748"/>
    </i>
    <i>
      <x v="748"/>
      <x v="749"/>
    </i>
    <i>
      <x v="749"/>
      <x v="750"/>
    </i>
    <i>
      <x v="750"/>
      <x v="751"/>
    </i>
    <i>
      <x v="751"/>
      <x v="752"/>
    </i>
    <i>
      <x v="752"/>
      <x v="753"/>
    </i>
    <i>
      <x v="753"/>
      <x v="754"/>
    </i>
    <i>
      <x v="754"/>
      <x v="755"/>
    </i>
    <i>
      <x v="755"/>
      <x v="756"/>
    </i>
    <i>
      <x v="756"/>
      <x v="757"/>
    </i>
    <i>
      <x v="757"/>
      <x v="758"/>
    </i>
    <i>
      <x v="758"/>
      <x v="759"/>
    </i>
    <i>
      <x v="759"/>
      <x v="760"/>
    </i>
    <i>
      <x v="760"/>
      <x v="761"/>
    </i>
    <i>
      <x v="761"/>
      <x v="762"/>
    </i>
    <i>
      <x v="762"/>
      <x v="763"/>
    </i>
    <i>
      <x v="763"/>
      <x v="764"/>
    </i>
    <i>
      <x v="764"/>
      <x v="765"/>
    </i>
    <i>
      <x v="765"/>
      <x v="766"/>
    </i>
    <i>
      <x v="766"/>
      <x v="767"/>
    </i>
    <i>
      <x v="767"/>
      <x v="768"/>
    </i>
    <i>
      <x v="768"/>
      <x v="769"/>
    </i>
    <i>
      <x v="769"/>
      <x v="770"/>
    </i>
    <i>
      <x v="770"/>
      <x v="771"/>
    </i>
    <i>
      <x v="771"/>
      <x v="772"/>
    </i>
    <i>
      <x v="772"/>
      <x v="773"/>
    </i>
    <i>
      <x v="773"/>
      <x v="774"/>
    </i>
    <i>
      <x v="774"/>
      <x v="775"/>
    </i>
    <i>
      <x v="775"/>
      <x v="776"/>
    </i>
    <i>
      <x v="776"/>
      <x v="777"/>
    </i>
    <i>
      <x v="777"/>
      <x v="778"/>
    </i>
    <i>
      <x v="778"/>
      <x v="779"/>
    </i>
    <i>
      <x v="779"/>
      <x v="780"/>
    </i>
    <i>
      <x v="780"/>
      <x v="781"/>
    </i>
    <i>
      <x v="781"/>
      <x v="782"/>
    </i>
    <i>
      <x v="782"/>
      <x v="783"/>
    </i>
    <i>
      <x v="783"/>
      <x v="784"/>
    </i>
    <i>
      <x v="784"/>
      <x v="785"/>
    </i>
    <i>
      <x v="785"/>
      <x v="786"/>
    </i>
    <i>
      <x v="786"/>
      <x v="787"/>
    </i>
    <i>
      <x v="787"/>
      <x v="788"/>
    </i>
    <i>
      <x v="788"/>
      <x v="789"/>
    </i>
    <i>
      <x v="789"/>
      <x v="790"/>
    </i>
    <i>
      <x v="790"/>
      <x v="791"/>
    </i>
    <i>
      <x v="791"/>
      <x v="792"/>
    </i>
    <i>
      <x v="792"/>
      <x v="793"/>
    </i>
    <i>
      <x v="793"/>
      <x v="794"/>
    </i>
    <i>
      <x v="794"/>
      <x v="795"/>
    </i>
    <i>
      <x v="795"/>
      <x v="796"/>
    </i>
    <i>
      <x v="796"/>
      <x v="797"/>
    </i>
    <i>
      <x v="797"/>
      <x v="798"/>
    </i>
    <i>
      <x v="798"/>
      <x v="799"/>
    </i>
    <i>
      <x v="799"/>
      <x v="800"/>
    </i>
    <i>
      <x v="800"/>
      <x v="801"/>
    </i>
    <i>
      <x v="801"/>
      <x v="802"/>
    </i>
    <i>
      <x v="802"/>
      <x v="803"/>
    </i>
    <i>
      <x v="803"/>
      <x v="804"/>
    </i>
    <i>
      <x v="804"/>
      <x v="805"/>
    </i>
    <i>
      <x v="805"/>
      <x v="806"/>
    </i>
    <i>
      <x v="806"/>
      <x v="807"/>
    </i>
    <i>
      <x v="807"/>
      <x v="808"/>
    </i>
    <i>
      <x v="808"/>
      <x v="809"/>
    </i>
    <i>
      <x v="809"/>
      <x v="810"/>
    </i>
    <i>
      <x v="810"/>
      <x v="811"/>
    </i>
    <i>
      <x v="811"/>
      <x v="812"/>
    </i>
    <i>
      <x v="812"/>
      <x v="813"/>
    </i>
    <i>
      <x v="813"/>
      <x v="814"/>
    </i>
    <i>
      <x v="814"/>
      <x v="815"/>
    </i>
    <i>
      <x v="815"/>
      <x v="816"/>
    </i>
    <i>
      <x v="816"/>
      <x v="817"/>
    </i>
    <i>
      <x v="817"/>
      <x v="818"/>
    </i>
    <i>
      <x v="818"/>
      <x v="819"/>
    </i>
    <i>
      <x v="819"/>
      <x v="820"/>
    </i>
    <i>
      <x v="820"/>
      <x v="821"/>
    </i>
    <i>
      <x v="821"/>
      <x v="822"/>
    </i>
    <i>
      <x v="822"/>
      <x v="823"/>
    </i>
    <i>
      <x v="823"/>
      <x v="824"/>
    </i>
    <i>
      <x v="824"/>
      <x v="825"/>
    </i>
    <i>
      <x v="825"/>
      <x v="826"/>
    </i>
    <i>
      <x v="826"/>
      <x v="827"/>
    </i>
    <i>
      <x v="827"/>
      <x v="828"/>
    </i>
    <i>
      <x v="828"/>
      <x v="829"/>
    </i>
    <i>
      <x v="829"/>
      <x v="830"/>
    </i>
    <i>
      <x v="830"/>
      <x v="831"/>
    </i>
    <i>
      <x v="831"/>
      <x v="832"/>
    </i>
    <i>
      <x v="832"/>
      <x v="833"/>
    </i>
    <i>
      <x v="833"/>
      <x v="834"/>
    </i>
    <i>
      <x v="834"/>
      <x v="835"/>
    </i>
    <i>
      <x v="835"/>
      <x v="836"/>
    </i>
    <i>
      <x v="836"/>
      <x v="837"/>
    </i>
    <i>
      <x v="837"/>
      <x v="838"/>
    </i>
    <i>
      <x v="838"/>
      <x v="839"/>
    </i>
    <i>
      <x v="839"/>
      <x v="840"/>
    </i>
    <i>
      <x v="840"/>
      <x v="841"/>
    </i>
    <i>
      <x v="841"/>
      <x v="842"/>
    </i>
    <i>
      <x v="842"/>
      <x v="843"/>
    </i>
    <i>
      <x v="843"/>
      <x v="844"/>
    </i>
    <i>
      <x v="844"/>
      <x v="845"/>
    </i>
    <i>
      <x v="845"/>
      <x v="846"/>
    </i>
    <i>
      <x v="846"/>
      <x v="847"/>
    </i>
    <i>
      <x v="847"/>
      <x v="848"/>
    </i>
    <i>
      <x v="848"/>
      <x v="849"/>
    </i>
    <i>
      <x v="849"/>
      <x v="850"/>
    </i>
    <i>
      <x v="850"/>
      <x v="851"/>
    </i>
    <i>
      <x v="851"/>
      <x v="852"/>
    </i>
    <i>
      <x v="852"/>
      <x v="853"/>
    </i>
    <i>
      <x v="853"/>
      <x v="854"/>
    </i>
    <i>
      <x v="854"/>
      <x v="855"/>
    </i>
    <i>
      <x v="855"/>
      <x v="856"/>
    </i>
    <i>
      <x v="856"/>
      <x v="857"/>
    </i>
    <i>
      <x v="857"/>
      <x v="858"/>
    </i>
    <i>
      <x v="858"/>
      <x v="859"/>
    </i>
    <i>
      <x v="859"/>
      <x v="860"/>
    </i>
    <i>
      <x v="860"/>
      <x v="861"/>
    </i>
    <i>
      <x v="861"/>
      <x v="862"/>
    </i>
    <i>
      <x v="862"/>
      <x v="863"/>
    </i>
    <i>
      <x v="863"/>
      <x v="864"/>
    </i>
    <i>
      <x v="864"/>
      <x v="865"/>
    </i>
    <i>
      <x v="865"/>
      <x v="866"/>
    </i>
    <i>
      <x v="866"/>
      <x v="867"/>
    </i>
    <i>
      <x v="867"/>
      <x v="868"/>
    </i>
    <i>
      <x v="868"/>
      <x v="869"/>
    </i>
    <i>
      <x v="869"/>
      <x v="870"/>
    </i>
    <i>
      <x v="870"/>
      <x v="871"/>
    </i>
    <i>
      <x v="871"/>
      <x v="872"/>
    </i>
    <i>
      <x v="872"/>
      <x v="873"/>
    </i>
    <i>
      <x v="873"/>
      <x v="874"/>
    </i>
    <i>
      <x v="874"/>
      <x v="875"/>
    </i>
    <i>
      <x v="875"/>
      <x v="876"/>
    </i>
    <i>
      <x v="876"/>
      <x v="877"/>
    </i>
    <i>
      <x v="877"/>
      <x v="878"/>
    </i>
    <i>
      <x v="878"/>
      <x v="879"/>
    </i>
    <i>
      <x v="879"/>
      <x v="880"/>
    </i>
    <i>
      <x v="880"/>
      <x v="881"/>
    </i>
    <i>
      <x v="881"/>
      <x v="882"/>
    </i>
    <i>
      <x v="882"/>
      <x v="883"/>
    </i>
    <i>
      <x v="883"/>
      <x v="884"/>
    </i>
    <i>
      <x v="884"/>
      <x v="885"/>
    </i>
    <i>
      <x v="885"/>
      <x v="886"/>
    </i>
    <i>
      <x v="886"/>
      <x v="887"/>
    </i>
    <i>
      <x v="887"/>
      <x v="888"/>
    </i>
    <i>
      <x v="888"/>
      <x v="889"/>
    </i>
    <i>
      <x v="889"/>
      <x v="890"/>
    </i>
    <i>
      <x v="890"/>
      <x v="891"/>
    </i>
    <i>
      <x v="891"/>
      <x v="892"/>
    </i>
    <i>
      <x v="892"/>
      <x v="893"/>
    </i>
    <i>
      <x v="893"/>
      <x v="894"/>
    </i>
    <i>
      <x v="894"/>
      <x v="895"/>
    </i>
    <i>
      <x v="895"/>
      <x v="896"/>
    </i>
    <i>
      <x v="896"/>
      <x v="897"/>
    </i>
    <i>
      <x v="897"/>
      <x v="898"/>
    </i>
    <i>
      <x v="898"/>
      <x v="899"/>
    </i>
    <i>
      <x v="899"/>
      <x v="900"/>
    </i>
    <i>
      <x v="900"/>
      <x v="901"/>
    </i>
    <i>
      <x v="901"/>
      <x v="902"/>
    </i>
    <i>
      <x v="902"/>
      <x v="903"/>
    </i>
    <i>
      <x v="903"/>
      <x v="904"/>
    </i>
    <i>
      <x v="904"/>
      <x v="905"/>
    </i>
    <i>
      <x v="905"/>
      <x v="906"/>
    </i>
    <i>
      <x v="906"/>
      <x v="907"/>
    </i>
    <i>
      <x v="907"/>
      <x v="908"/>
    </i>
    <i>
      <x v="908"/>
      <x v="909"/>
    </i>
    <i>
      <x v="909"/>
      <x v="910"/>
    </i>
    <i>
      <x v="910"/>
      <x v="911"/>
    </i>
    <i>
      <x v="911"/>
      <x v="912"/>
    </i>
    <i>
      <x v="912"/>
      <x v="913"/>
    </i>
    <i>
      <x v="913"/>
      <x v="914"/>
    </i>
    <i>
      <x v="914"/>
      <x v="915"/>
    </i>
    <i>
      <x v="915"/>
      <x v="916"/>
    </i>
    <i>
      <x v="916"/>
      <x v="917"/>
    </i>
    <i>
      <x v="917"/>
      <x v="918"/>
    </i>
    <i>
      <x v="918"/>
      <x v="919"/>
    </i>
    <i>
      <x v="919"/>
      <x v="920"/>
    </i>
    <i>
      <x v="920"/>
      <x v="921"/>
    </i>
    <i>
      <x v="921"/>
      <x v="922"/>
    </i>
    <i>
      <x v="922"/>
      <x v="923"/>
    </i>
    <i>
      <x v="923"/>
      <x v="924"/>
    </i>
    <i>
      <x v="924"/>
      <x v="925"/>
    </i>
    <i>
      <x v="925"/>
      <x v="926"/>
    </i>
    <i>
      <x v="926"/>
      <x v="927"/>
    </i>
    <i>
      <x v="927"/>
      <x v="928"/>
    </i>
    <i>
      <x v="928"/>
      <x v="929"/>
    </i>
    <i>
      <x v="929"/>
      <x v="930"/>
    </i>
    <i>
      <x v="930"/>
      <x v="931"/>
    </i>
    <i>
      <x v="931"/>
      <x v="932"/>
    </i>
    <i>
      <x v="932"/>
      <x v="933"/>
    </i>
    <i>
      <x v="933"/>
      <x v="934"/>
    </i>
    <i>
      <x v="934"/>
      <x v="935"/>
    </i>
    <i>
      <x v="935"/>
      <x v="936"/>
    </i>
    <i>
      <x v="936"/>
      <x v="937"/>
    </i>
    <i>
      <x v="937"/>
      <x v="938"/>
    </i>
    <i>
      <x v="938"/>
      <x v="939"/>
    </i>
    <i>
      <x v="939"/>
      <x v="940"/>
    </i>
    <i>
      <x v="940"/>
      <x v="941"/>
    </i>
    <i>
      <x v="941"/>
      <x v="942"/>
    </i>
    <i>
      <x v="942"/>
      <x v="943"/>
    </i>
    <i>
      <x v="943"/>
      <x v="944"/>
    </i>
    <i>
      <x v="944"/>
      <x v="945"/>
    </i>
    <i>
      <x v="945"/>
      <x v="946"/>
    </i>
    <i>
      <x v="946"/>
      <x v="947"/>
    </i>
    <i>
      <x v="947"/>
      <x v="948"/>
    </i>
    <i>
      <x v="948"/>
      <x v="949"/>
    </i>
    <i>
      <x v="949"/>
      <x v="950"/>
    </i>
    <i>
      <x v="950"/>
      <x v="951"/>
    </i>
    <i>
      <x v="951"/>
      <x v="952"/>
    </i>
    <i>
      <x v="952"/>
      <x v="953"/>
    </i>
    <i>
      <x v="953"/>
      <x v="954"/>
    </i>
    <i>
      <x v="954"/>
      <x v="955"/>
    </i>
    <i>
      <x v="955"/>
      <x v="956"/>
    </i>
    <i>
      <x v="956"/>
      <x v="957"/>
    </i>
    <i>
      <x v="957"/>
      <x v="958"/>
    </i>
    <i>
      <x v="958"/>
      <x v="959"/>
    </i>
    <i>
      <x v="959"/>
      <x v="960"/>
    </i>
    <i>
      <x v="960"/>
      <x v="961"/>
    </i>
    <i>
      <x v="961"/>
      <x v="962"/>
    </i>
    <i>
      <x v="962"/>
      <x v="963"/>
    </i>
    <i>
      <x v="963"/>
      <x v="964"/>
    </i>
    <i>
      <x v="964"/>
      <x v="965"/>
    </i>
    <i>
      <x v="965"/>
      <x v="966"/>
    </i>
    <i>
      <x v="966"/>
      <x v="967"/>
    </i>
    <i>
      <x v="967"/>
      <x v="968"/>
    </i>
    <i>
      <x v="968"/>
      <x v="969"/>
    </i>
    <i>
      <x v="969"/>
      <x v="970"/>
    </i>
    <i>
      <x v="970"/>
      <x v="971"/>
    </i>
    <i>
      <x v="971"/>
      <x v="972"/>
    </i>
    <i>
      <x v="972"/>
      <x v="973"/>
    </i>
    <i>
      <x v="973"/>
      <x v="974"/>
    </i>
    <i>
      <x v="974"/>
      <x v="975"/>
    </i>
    <i>
      <x v="975"/>
      <x v="976"/>
    </i>
    <i>
      <x v="976"/>
      <x v="977"/>
    </i>
    <i>
      <x v="977"/>
      <x v="978"/>
    </i>
    <i>
      <x v="978"/>
      <x v="979"/>
    </i>
    <i>
      <x v="979"/>
      <x v="980"/>
    </i>
    <i>
      <x v="980"/>
      <x v="981"/>
    </i>
    <i>
      <x v="981"/>
      <x v="982"/>
    </i>
    <i>
      <x v="982"/>
      <x v="983"/>
    </i>
    <i>
      <x v="983"/>
      <x v="984"/>
    </i>
    <i>
      <x v="984"/>
      <x v="985"/>
    </i>
    <i>
      <x v="985"/>
      <x v="986"/>
    </i>
    <i>
      <x v="986"/>
      <x v="987"/>
    </i>
    <i>
      <x v="987"/>
      <x v="988"/>
    </i>
    <i>
      <x v="988"/>
      <x v="989"/>
    </i>
    <i>
      <x v="989"/>
      <x v="990"/>
    </i>
    <i>
      <x v="990"/>
      <x v="991"/>
    </i>
    <i>
      <x v="991"/>
      <x v="992"/>
    </i>
    <i>
      <x v="992"/>
      <x v="993"/>
    </i>
    <i>
      <x v="993"/>
      <x v="994"/>
    </i>
    <i>
      <x v="994"/>
      <x v="995"/>
    </i>
    <i>
      <x v="995"/>
      <x v="996"/>
    </i>
    <i>
      <x v="996"/>
      <x v="997"/>
    </i>
    <i>
      <x v="997"/>
      <x v="998"/>
    </i>
    <i>
      <x v="998"/>
      <x v="999"/>
    </i>
    <i>
      <x v="999"/>
      <x v="1000"/>
    </i>
    <i>
      <x v="1000"/>
      <x v="1001"/>
    </i>
    <i>
      <x v="1001"/>
      <x v="1002"/>
    </i>
    <i>
      <x v="1002"/>
      <x v="1003"/>
    </i>
    <i>
      <x v="1003"/>
      <x v="1004"/>
    </i>
    <i>
      <x v="1004"/>
      <x v="1005"/>
    </i>
    <i>
      <x v="1005"/>
      <x v="1006"/>
    </i>
    <i>
      <x v="1006"/>
      <x v="1007"/>
    </i>
    <i>
      <x v="1007"/>
      <x v="1008"/>
    </i>
    <i>
      <x v="1008"/>
      <x v="1009"/>
    </i>
    <i>
      <x v="1009"/>
      <x v="1010"/>
    </i>
    <i>
      <x v="1010"/>
      <x v="1011"/>
    </i>
    <i>
      <x v="1011"/>
      <x v="1012"/>
    </i>
    <i>
      <x v="1012"/>
      <x v="1013"/>
    </i>
    <i>
      <x v="1013"/>
      <x v="1014"/>
    </i>
    <i>
      <x v="1014"/>
      <x v="1015"/>
    </i>
    <i>
      <x v="1015"/>
      <x v="1016"/>
    </i>
    <i>
      <x v="1016"/>
      <x v="1017"/>
    </i>
    <i>
      <x v="1017"/>
      <x v="1018"/>
    </i>
    <i>
      <x v="1018"/>
      <x v="1019"/>
    </i>
    <i>
      <x v="1019"/>
      <x v="1020"/>
    </i>
    <i>
      <x v="1020"/>
      <x v="1021"/>
    </i>
    <i>
      <x v="1021"/>
      <x v="1022"/>
    </i>
    <i>
      <x v="1022"/>
      <x v="1023"/>
    </i>
    <i>
      <x v="1023"/>
      <x v="1024"/>
    </i>
    <i>
      <x v="1024"/>
      <x v="1025"/>
    </i>
    <i>
      <x v="1025"/>
      <x v="1026"/>
    </i>
    <i>
      <x v="1026"/>
      <x v="1027"/>
    </i>
    <i>
      <x v="1027"/>
      <x v="1028"/>
    </i>
    <i>
      <x v="1028"/>
      <x v="1029"/>
    </i>
    <i>
      <x v="1029"/>
      <x v="1030"/>
    </i>
    <i>
      <x v="1030"/>
      <x v="1031"/>
    </i>
    <i>
      <x v="1031"/>
      <x v="1032"/>
    </i>
    <i>
      <x v="1032"/>
      <x v="1033"/>
    </i>
    <i>
      <x v="1033"/>
      <x v="1034"/>
    </i>
    <i>
      <x v="1034"/>
      <x v="1035"/>
    </i>
    <i>
      <x v="1035"/>
      <x v="1036"/>
    </i>
    <i>
      <x v="1036"/>
      <x v="1037"/>
    </i>
    <i>
      <x v="1037"/>
      <x v="1038"/>
    </i>
    <i>
      <x v="1038"/>
      <x v="1039"/>
    </i>
    <i>
      <x v="1039"/>
      <x v="1040"/>
    </i>
    <i>
      <x v="1040"/>
      <x v="1041"/>
    </i>
    <i>
      <x v="1041"/>
      <x v="1042"/>
    </i>
    <i>
      <x v="1042"/>
      <x v="1043"/>
    </i>
    <i>
      <x v="1043"/>
      <x v="1044"/>
    </i>
    <i>
      <x v="1044"/>
      <x v="1045"/>
    </i>
    <i>
      <x v="1045"/>
      <x v="1046"/>
    </i>
    <i>
      <x v="1046"/>
      <x v="1047"/>
    </i>
    <i>
      <x v="1047"/>
      <x v="1048"/>
    </i>
    <i>
      <x v="1048"/>
      <x v="1049"/>
    </i>
    <i>
      <x v="1049"/>
      <x v="1050"/>
    </i>
    <i>
      <x v="1050"/>
      <x v="1051"/>
    </i>
    <i>
      <x v="1051"/>
      <x v="1052"/>
    </i>
    <i>
      <x v="1052"/>
      <x v="1053"/>
    </i>
    <i>
      <x v="1053"/>
      <x v="1054"/>
    </i>
    <i>
      <x v="1054"/>
      <x v="1055"/>
    </i>
    <i>
      <x v="1055"/>
      <x v="1056"/>
    </i>
    <i>
      <x v="1056"/>
      <x v="1057"/>
    </i>
    <i>
      <x v="1057"/>
      <x v="1058"/>
    </i>
    <i>
      <x v="1058"/>
      <x v="1059"/>
    </i>
    <i>
      <x v="1059"/>
      <x v="1060"/>
    </i>
    <i>
      <x v="1060"/>
      <x v="1061"/>
    </i>
    <i>
      <x v="1061"/>
      <x v="1062"/>
    </i>
    <i>
      <x v="1062"/>
      <x v="1063"/>
    </i>
    <i>
      <x v="1063"/>
      <x v="1064"/>
    </i>
    <i>
      <x v="1064"/>
      <x v="1065"/>
    </i>
    <i>
      <x v="1065"/>
      <x v="1066"/>
    </i>
    <i>
      <x v="1066"/>
      <x v="1067"/>
    </i>
    <i>
      <x v="1067"/>
      <x v="1068"/>
    </i>
    <i>
      <x v="1068"/>
      <x v="1069"/>
    </i>
    <i>
      <x v="1069"/>
      <x v="1070"/>
    </i>
    <i>
      <x v="1070"/>
      <x v="1071"/>
    </i>
    <i>
      <x v="1071"/>
      <x v="1072"/>
    </i>
    <i>
      <x v="1072"/>
      <x v="1073"/>
    </i>
    <i>
      <x v="1073"/>
      <x v="1074"/>
    </i>
    <i>
      <x v="1074"/>
      <x v="1075"/>
    </i>
    <i>
      <x v="1075"/>
      <x v="1076"/>
    </i>
    <i>
      <x v="1076"/>
      <x v="1077"/>
    </i>
    <i>
      <x v="1077"/>
      <x v="1078"/>
    </i>
    <i>
      <x v="1078"/>
      <x v="1079"/>
    </i>
    <i>
      <x v="1079"/>
      <x v="1080"/>
    </i>
    <i>
      <x v="1080"/>
      <x v="1081"/>
    </i>
    <i>
      <x v="1081"/>
      <x v="1082"/>
    </i>
    <i>
      <x v="1082"/>
      <x v="1083"/>
    </i>
    <i>
      <x v="1083"/>
      <x v="1084"/>
    </i>
    <i>
      <x v="1084"/>
      <x v="1085"/>
    </i>
    <i>
      <x v="1085"/>
      <x v="1086"/>
    </i>
    <i>
      <x v="1086"/>
      <x v="1087"/>
    </i>
    <i>
      <x v="1087"/>
      <x v="1088"/>
    </i>
    <i>
      <x v="1088"/>
      <x v="1089"/>
    </i>
    <i>
      <x v="1089"/>
      <x v="1090"/>
    </i>
    <i>
      <x v="1090"/>
      <x v="1091"/>
    </i>
    <i>
      <x v="1091"/>
      <x v="1092"/>
    </i>
    <i>
      <x v="1092"/>
      <x v="1093"/>
    </i>
    <i>
      <x v="1093"/>
      <x v="1094"/>
    </i>
    <i>
      <x v="1094"/>
      <x v="1095"/>
    </i>
    <i>
      <x v="1095"/>
      <x v="1096"/>
    </i>
    <i>
      <x v="1096"/>
      <x v="1097"/>
    </i>
    <i>
      <x v="1097"/>
      <x v="1098"/>
    </i>
    <i>
      <x v="1098"/>
      <x v="1099"/>
    </i>
    <i>
      <x v="1099"/>
      <x v="1100"/>
    </i>
    <i>
      <x v="1100"/>
      <x v="1101"/>
    </i>
    <i>
      <x v="1101"/>
      <x v="1102"/>
    </i>
    <i>
      <x v="1102"/>
      <x v="1103"/>
    </i>
    <i>
      <x v="1103"/>
      <x v="1104"/>
    </i>
    <i>
      <x v="1104"/>
      <x v="1105"/>
    </i>
    <i>
      <x v="1105"/>
      <x v="1106"/>
    </i>
    <i>
      <x v="1106"/>
      <x v="1107"/>
    </i>
    <i>
      <x v="1107"/>
      <x v="1108"/>
    </i>
    <i>
      <x v="1108"/>
      <x v="1109"/>
    </i>
    <i>
      <x v="1109"/>
      <x v="1110"/>
    </i>
    <i>
      <x v="1110"/>
      <x v="1111"/>
    </i>
    <i>
      <x v="1111"/>
      <x v="1112"/>
    </i>
    <i>
      <x v="1112"/>
      <x v="1113"/>
    </i>
    <i>
      <x v="1113"/>
      <x v="1114"/>
    </i>
    <i>
      <x v="1114"/>
      <x v="1115"/>
    </i>
    <i>
      <x v="1115"/>
      <x v="1116"/>
    </i>
    <i>
      <x v="1116"/>
      <x v="1117"/>
    </i>
    <i>
      <x v="1117"/>
      <x v="1118"/>
    </i>
    <i>
      <x v="1118"/>
      <x v="1119"/>
    </i>
    <i>
      <x v="1119"/>
      <x v="1120"/>
    </i>
    <i>
      <x v="1120"/>
      <x v="1121"/>
    </i>
    <i>
      <x v="1121"/>
      <x v="1122"/>
    </i>
    <i>
      <x v="1122"/>
      <x v="1123"/>
    </i>
    <i>
      <x v="1123"/>
      <x v="1124"/>
    </i>
    <i>
      <x v="1124"/>
      <x v="1125"/>
    </i>
    <i>
      <x v="1125"/>
      <x v="1126"/>
    </i>
    <i>
      <x v="1126"/>
      <x v="1127"/>
    </i>
    <i>
      <x v="1127"/>
      <x v="1128"/>
    </i>
    <i>
      <x v="1128"/>
      <x v="1129"/>
    </i>
    <i>
      <x v="1129"/>
      <x v="1130"/>
    </i>
    <i>
      <x v="1130"/>
      <x v="1131"/>
    </i>
    <i>
      <x v="1131"/>
      <x v="1132"/>
    </i>
    <i>
      <x v="1132"/>
      <x v="1133"/>
    </i>
    <i>
      <x v="1133"/>
      <x v="1134"/>
    </i>
    <i>
      <x v="1134"/>
      <x v="1135"/>
    </i>
    <i>
      <x v="1135"/>
      <x v="1136"/>
    </i>
    <i>
      <x v="1136"/>
      <x v="1137"/>
    </i>
    <i>
      <x v="1137"/>
      <x v="1138"/>
    </i>
    <i>
      <x v="1138"/>
      <x v="1139"/>
    </i>
    <i>
      <x v="1139"/>
      <x v="1140"/>
    </i>
    <i>
      <x v="1140"/>
      <x v="1141"/>
    </i>
    <i>
      <x v="1141"/>
      <x v="1142"/>
    </i>
    <i>
      <x v="1142"/>
      <x v="1143"/>
    </i>
    <i>
      <x v="1143"/>
      <x v="1144"/>
    </i>
    <i>
      <x v="1144"/>
      <x v="1145"/>
    </i>
    <i>
      <x v="1145"/>
      <x v="1146"/>
    </i>
    <i>
      <x v="1146"/>
      <x v="1147"/>
    </i>
    <i>
      <x v="1147"/>
      <x v="1148"/>
    </i>
    <i>
      <x v="1148"/>
      <x v="1149"/>
    </i>
    <i>
      <x v="1149"/>
      <x v="1150"/>
    </i>
    <i>
      <x v="1150"/>
      <x v="1151"/>
    </i>
    <i>
      <x v="1151"/>
      <x v="1152"/>
    </i>
    <i>
      <x v="1152"/>
      <x v="1153"/>
    </i>
    <i>
      <x v="1153"/>
      <x v="1154"/>
    </i>
    <i>
      <x v="1154"/>
      <x v="1155"/>
    </i>
    <i>
      <x v="1155"/>
      <x v="1156"/>
    </i>
    <i>
      <x v="1156"/>
      <x v="1157"/>
    </i>
    <i>
      <x v="1157"/>
      <x v="1158"/>
    </i>
    <i>
      <x v="1158"/>
      <x v="1159"/>
    </i>
    <i>
      <x v="1159"/>
      <x v="1160"/>
    </i>
    <i>
      <x v="1160"/>
      <x v="1161"/>
    </i>
    <i>
      <x v="1161"/>
      <x v="1162"/>
    </i>
    <i>
      <x v="1162"/>
      <x v="1163"/>
    </i>
    <i>
      <x v="1163"/>
      <x v="1164"/>
    </i>
    <i>
      <x v="1164"/>
      <x v="1165"/>
    </i>
    <i>
      <x v="1165"/>
      <x v="1166"/>
    </i>
    <i>
      <x v="1166"/>
      <x v="1167"/>
    </i>
    <i>
      <x v="1167"/>
      <x v="1168"/>
    </i>
    <i>
      <x v="1168"/>
      <x v="1169"/>
    </i>
    <i>
      <x v="1169"/>
      <x v="1170"/>
    </i>
    <i>
      <x v="1170"/>
      <x v="1171"/>
    </i>
    <i>
      <x v="1171"/>
      <x v="1172"/>
    </i>
    <i>
      <x v="1172"/>
      <x v="1173"/>
    </i>
    <i>
      <x v="1173"/>
      <x v="1174"/>
    </i>
    <i>
      <x v="1174"/>
      <x v="1175"/>
    </i>
    <i>
      <x v="1175"/>
      <x v="1176"/>
    </i>
    <i>
      <x v="1176"/>
      <x v="1177"/>
    </i>
    <i>
      <x v="1177"/>
      <x v="1178"/>
    </i>
    <i>
      <x v="1178"/>
      <x v="1179"/>
    </i>
    <i>
      <x v="1179"/>
      <x v="1180"/>
    </i>
    <i>
      <x v="1180"/>
      <x v="1181"/>
    </i>
    <i>
      <x v="1181"/>
      <x v="1182"/>
    </i>
    <i>
      <x v="1182"/>
      <x v="1183"/>
    </i>
    <i>
      <x v="1183"/>
      <x v="1184"/>
    </i>
    <i>
      <x v="1184"/>
      <x v="1185"/>
    </i>
    <i>
      <x v="1185"/>
      <x v="1186"/>
    </i>
    <i>
      <x v="1186"/>
      <x v="1187"/>
    </i>
    <i>
      <x v="1187"/>
      <x v="1188"/>
    </i>
    <i>
      <x v="1188"/>
      <x v="1189"/>
    </i>
    <i>
      <x v="1189"/>
      <x v="1190"/>
    </i>
    <i>
      <x v="1190"/>
      <x v="1191"/>
    </i>
    <i>
      <x v="1191"/>
      <x v="1192"/>
    </i>
    <i>
      <x v="1192"/>
      <x v="1193"/>
    </i>
    <i>
      <x v="1193"/>
      <x v="1194"/>
    </i>
    <i>
      <x v="1194"/>
      <x v="1195"/>
    </i>
    <i>
      <x v="1195"/>
      <x v="1196"/>
    </i>
    <i>
      <x v="1196"/>
      <x v="1197"/>
    </i>
    <i>
      <x v="1197"/>
      <x v="1198"/>
    </i>
    <i>
      <x v="1198"/>
      <x v="1199"/>
    </i>
    <i>
      <x v="1199"/>
      <x v="1200"/>
    </i>
    <i>
      <x v="1200"/>
      <x v="1201"/>
    </i>
    <i>
      <x v="1201"/>
      <x v="1202"/>
    </i>
    <i>
      <x v="1202"/>
      <x v="1203"/>
    </i>
    <i>
      <x v="1203"/>
      <x v="1204"/>
    </i>
    <i>
      <x v="1204"/>
      <x v="1205"/>
    </i>
    <i>
      <x v="1205"/>
      <x v="1206"/>
    </i>
    <i>
      <x v="1206"/>
      <x v="1207"/>
    </i>
    <i>
      <x v="1207"/>
      <x v="1208"/>
    </i>
    <i>
      <x v="1208"/>
      <x v="1209"/>
    </i>
    <i>
      <x v="1209"/>
      <x v="1210"/>
    </i>
    <i>
      <x v="1210"/>
      <x v="1211"/>
    </i>
    <i>
      <x v="1211"/>
      <x v="1212"/>
    </i>
    <i>
      <x v="1212"/>
      <x v="1213"/>
    </i>
    <i>
      <x v="1213"/>
      <x v="1214"/>
    </i>
    <i>
      <x v="1214"/>
      <x v="1215"/>
    </i>
    <i>
      <x v="1215"/>
      <x v="1216"/>
    </i>
    <i>
      <x v="1216"/>
      <x v="1217"/>
    </i>
    <i>
      <x v="1217"/>
      <x v="1218"/>
    </i>
    <i>
      <x v="1218"/>
      <x v="1219"/>
    </i>
    <i>
      <x v="1219"/>
      <x v="1220"/>
    </i>
    <i>
      <x v="1220"/>
      <x v="1221"/>
    </i>
    <i>
      <x v="1221"/>
      <x v="1222"/>
    </i>
    <i>
      <x v="1222"/>
      <x v="1223"/>
    </i>
    <i>
      <x v="1223"/>
      <x v="1224"/>
    </i>
    <i>
      <x v="1224"/>
      <x v="1225"/>
    </i>
    <i>
      <x v="1225"/>
      <x v="1226"/>
    </i>
    <i>
      <x v="1226"/>
      <x v="1227"/>
    </i>
    <i>
      <x v="1227"/>
      <x v="1228"/>
    </i>
    <i>
      <x v="1228"/>
      <x v="1229"/>
    </i>
    <i>
      <x v="1229"/>
      <x v="1230"/>
    </i>
    <i>
      <x v="1230"/>
      <x v="1231"/>
    </i>
    <i>
      <x v="1231"/>
      <x v="1232"/>
    </i>
    <i>
      <x v="1232"/>
      <x v="1233"/>
    </i>
    <i>
      <x v="1233"/>
      <x v="1234"/>
    </i>
    <i>
      <x v="1234"/>
      <x v="1235"/>
    </i>
    <i>
      <x v="1235"/>
      <x v="1236"/>
    </i>
    <i>
      <x v="1236"/>
      <x v="1237"/>
    </i>
    <i>
      <x v="1237"/>
      <x v="1238"/>
    </i>
    <i>
      <x v="1238"/>
      <x v="1239"/>
    </i>
    <i>
      <x v="1239"/>
      <x v="1240"/>
    </i>
    <i>
      <x v="1240"/>
      <x v="1241"/>
    </i>
    <i>
      <x v="1241"/>
      <x v="1242"/>
    </i>
    <i>
      <x v="1242"/>
      <x v="1243"/>
    </i>
    <i>
      <x v="1243"/>
      <x v="1244"/>
    </i>
    <i>
      <x v="1244"/>
      <x v="1245"/>
    </i>
    <i>
      <x v="1245"/>
      <x v="1246"/>
    </i>
    <i>
      <x v="1246"/>
      <x v="1247"/>
    </i>
    <i>
      <x v="1247"/>
      <x v="1248"/>
    </i>
    <i>
      <x v="1248"/>
      <x v="1249"/>
    </i>
    <i>
      <x v="1249"/>
      <x v="1250"/>
    </i>
    <i>
      <x v="1250"/>
      <x v="1251"/>
    </i>
    <i>
      <x v="1251"/>
      <x v="1252"/>
    </i>
    <i>
      <x v="1252"/>
      <x v="1253"/>
    </i>
    <i>
      <x v="1253"/>
      <x v="1254"/>
    </i>
    <i>
      <x v="1254"/>
      <x v="1255"/>
    </i>
    <i>
      <x v="1255"/>
      <x v="1256"/>
    </i>
    <i>
      <x v="1256"/>
      <x v="1257"/>
    </i>
    <i>
      <x v="1257"/>
      <x v="1258"/>
    </i>
    <i>
      <x v="1258"/>
      <x v="1259"/>
    </i>
    <i>
      <x v="1259"/>
      <x v="1260"/>
    </i>
    <i>
      <x v="1260"/>
      <x v="1261"/>
    </i>
    <i>
      <x v="1261"/>
      <x v="1262"/>
    </i>
    <i>
      <x v="1262"/>
      <x v="1263"/>
    </i>
    <i>
      <x v="1263"/>
      <x v="1264"/>
    </i>
    <i>
      <x v="1264"/>
      <x v="1265"/>
    </i>
    <i>
      <x v="1265"/>
      <x v="1266"/>
    </i>
    <i>
      <x v="1266"/>
      <x v="1267"/>
    </i>
    <i>
      <x v="1267"/>
      <x v="1268"/>
    </i>
    <i>
      <x v="1268"/>
      <x v="1269"/>
    </i>
    <i>
      <x v="1269"/>
      <x v="1270"/>
    </i>
    <i>
      <x v="1270"/>
      <x v="1271"/>
    </i>
    <i>
      <x v="1271"/>
      <x v="1272"/>
    </i>
    <i>
      <x v="1272"/>
      <x v="1273"/>
    </i>
    <i>
      <x v="1273"/>
      <x v="1274"/>
    </i>
    <i>
      <x v="1274"/>
      <x v="1275"/>
    </i>
    <i>
      <x v="1275"/>
      <x v="1276"/>
    </i>
    <i>
      <x v="1276"/>
      <x v="1277"/>
    </i>
    <i>
      <x v="1277"/>
      <x v="1278"/>
    </i>
    <i>
      <x v="1278"/>
      <x v="1279"/>
    </i>
    <i>
      <x v="1279"/>
      <x v="1280"/>
    </i>
    <i>
      <x v="1280"/>
      <x v="1281"/>
    </i>
    <i>
      <x v="1281"/>
      <x v="1282"/>
    </i>
    <i>
      <x v="1282"/>
      <x v="1283"/>
    </i>
    <i>
      <x v="1283"/>
      <x v="1284"/>
    </i>
    <i>
      <x v="1284"/>
      <x v="1285"/>
    </i>
    <i>
      <x v="1285"/>
      <x v="1286"/>
    </i>
    <i>
      <x v="1286"/>
      <x v="1287"/>
    </i>
    <i>
      <x v="1287"/>
      <x v="1288"/>
    </i>
    <i>
      <x v="1288"/>
      <x v="1289"/>
    </i>
    <i>
      <x v="1289"/>
      <x v="1290"/>
    </i>
    <i>
      <x v="1290"/>
      <x v="1291"/>
    </i>
    <i>
      <x v="1291"/>
      <x v="1292"/>
    </i>
    <i>
      <x v="1292"/>
      <x v="1293"/>
    </i>
    <i>
      <x v="1293"/>
      <x v="1294"/>
    </i>
    <i>
      <x v="1294"/>
      <x v="1295"/>
    </i>
    <i>
      <x v="1295"/>
      <x v="1296"/>
    </i>
    <i>
      <x v="1296"/>
      <x v="1297"/>
    </i>
    <i>
      <x v="1297"/>
      <x v="1298"/>
    </i>
    <i>
      <x v="1298"/>
      <x v="1299"/>
    </i>
    <i>
      <x v="1299"/>
      <x v="1300"/>
    </i>
    <i>
      <x v="1300"/>
      <x v="1301"/>
    </i>
    <i>
      <x v="1301"/>
      <x v="1302"/>
    </i>
    <i>
      <x v="1302"/>
      <x v="1303"/>
    </i>
    <i>
      <x v="1303"/>
      <x v="1304"/>
    </i>
    <i>
      <x v="1304"/>
      <x v="1305"/>
    </i>
    <i>
      <x v="1305"/>
      <x v="1306"/>
    </i>
    <i>
      <x v="1306"/>
      <x v="1307"/>
    </i>
    <i>
      <x v="1307"/>
      <x v="1308"/>
    </i>
    <i>
      <x v="1308"/>
      <x v="1309"/>
    </i>
    <i>
      <x v="1309"/>
      <x v="1310"/>
    </i>
    <i>
      <x v="1310"/>
      <x v="1311"/>
    </i>
    <i>
      <x v="1311"/>
      <x v="1312"/>
    </i>
    <i>
      <x v="1312"/>
      <x v="1313"/>
    </i>
    <i>
      <x v="1313"/>
      <x v="1314"/>
    </i>
    <i>
      <x v="1314"/>
      <x v="1315"/>
    </i>
    <i>
      <x v="1315"/>
      <x v="1316"/>
    </i>
    <i>
      <x v="1316"/>
      <x v="1317"/>
    </i>
    <i>
      <x v="1317"/>
      <x v="1318"/>
    </i>
    <i>
      <x v="1318"/>
      <x v="1319"/>
    </i>
    <i>
      <x v="1319"/>
      <x v="1320"/>
    </i>
    <i>
      <x v="1320"/>
      <x v="1321"/>
    </i>
    <i>
      <x v="1321"/>
      <x v="1322"/>
    </i>
    <i>
      <x v="1322"/>
      <x v="1323"/>
    </i>
    <i>
      <x v="1323"/>
      <x v="1324"/>
    </i>
    <i>
      <x v="1324"/>
      <x v="1325"/>
    </i>
    <i>
      <x v="1325"/>
      <x v="1326"/>
    </i>
    <i>
      <x v="1326"/>
      <x v="1327"/>
    </i>
    <i>
      <x v="1327"/>
      <x v="1328"/>
    </i>
    <i>
      <x v="1328"/>
      <x v="1329"/>
    </i>
    <i>
      <x v="1329"/>
      <x v="1330"/>
    </i>
    <i>
      <x v="1330"/>
      <x v="1331"/>
    </i>
    <i>
      <x v="1331"/>
      <x v="1332"/>
    </i>
    <i>
      <x v="1332"/>
      <x v="1333"/>
    </i>
    <i>
      <x v="1333"/>
      <x v="1334"/>
    </i>
    <i>
      <x v="1334"/>
      <x v="1335"/>
    </i>
    <i>
      <x v="1335"/>
      <x v="1336"/>
    </i>
    <i>
      <x v="1336"/>
      <x v="1337"/>
    </i>
    <i>
      <x v="1337"/>
      <x v="1338"/>
    </i>
    <i>
      <x v="1338"/>
      <x v="1339"/>
    </i>
    <i>
      <x v="1339"/>
      <x v="1340"/>
    </i>
    <i>
      <x v="1340"/>
      <x v="1341"/>
    </i>
    <i>
      <x v="1341"/>
      <x v="1342"/>
    </i>
    <i>
      <x v="1342"/>
      <x v="1343"/>
    </i>
    <i>
      <x v="1343"/>
      <x v="1344"/>
    </i>
    <i>
      <x v="1344"/>
      <x v="1345"/>
    </i>
    <i>
      <x v="1345"/>
      <x v="1346"/>
    </i>
    <i>
      <x v="1346"/>
      <x v="1347"/>
    </i>
    <i>
      <x v="1347"/>
      <x v="1348"/>
    </i>
    <i>
      <x v="1348"/>
      <x v="1349"/>
    </i>
    <i>
      <x v="1349"/>
      <x v="1350"/>
    </i>
    <i>
      <x v="1350"/>
      <x v="1351"/>
    </i>
    <i>
      <x v="1351"/>
      <x v="1352"/>
    </i>
    <i>
      <x v="1352"/>
      <x v="1353"/>
    </i>
    <i>
      <x v="1353"/>
      <x v="1354"/>
    </i>
    <i>
      <x v="1354"/>
      <x v="1355"/>
    </i>
    <i>
      <x v="1355"/>
      <x v="1356"/>
    </i>
    <i>
      <x v="1356"/>
      <x v="1357"/>
    </i>
    <i>
      <x v="1357"/>
      <x v="1358"/>
    </i>
    <i>
      <x v="1358"/>
      <x v="1359"/>
    </i>
    <i>
      <x v="1359"/>
      <x v="1360"/>
    </i>
    <i>
      <x v="1360"/>
      <x v="1361"/>
    </i>
    <i>
      <x v="1361"/>
      <x v="1362"/>
    </i>
    <i>
      <x v="1483"/>
      <x v="1484"/>
    </i>
    <i>
      <x v="1492"/>
      <x v="1493"/>
    </i>
    <i>
      <x v="1575"/>
      <x v="1576"/>
    </i>
    <i>
      <x v="1651"/>
      <x v="1652"/>
    </i>
    <i t="grand">
      <x/>
    </i>
  </rowItems>
  <colItems count="1">
    <i/>
  </colItems>
  <pageFields count="1">
    <pageField fld="3" hier="0"/>
  </pageFields>
  <dataFields count="1">
    <dataField name="SUM of geraamde_bedrag_kim" fld="18"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bedragen BOD pivot" cacheId="0" applyNumberFormats="0" applyBorderFormats="0" applyFontFormats="0" applyPatternFormats="0" applyAlignmentFormats="0" applyWidthHeightFormats="0" dataCaption="" updatedVersion="4" compact="0" compactData="0">
  <location ref="A3:E724" firstHeaderRow="1" firstDataRow="2" firstDataCol="3" rowPageCount="1" colPageCount="1"/>
  <pivotFields count="31">
    <pivotField name="knelpunt_id" axis="axisRow" compact="0" outline="0" multipleItemSelectionAllowed="1" showAll="0" sortType="ascending" defaultSubtotal="0">
      <items count="1653">
        <item x="0"/>
        <item x="1"/>
        <item x="4"/>
        <item x="5"/>
        <item x="6"/>
        <item x="7"/>
        <item x="8"/>
        <item x="9"/>
        <item x="10"/>
        <item x="11"/>
        <item x="12"/>
        <item x="13"/>
        <item x="14"/>
        <item x="15"/>
        <item x="16"/>
        <item x="17"/>
        <item x="615"/>
        <item x="19"/>
        <item x="20"/>
        <item x="21"/>
        <item x="22"/>
        <item x="220"/>
        <item x="23"/>
        <item x="24"/>
        <item x="25"/>
        <item x="27"/>
        <item x="29"/>
        <item x="30"/>
        <item x="31"/>
        <item x="28"/>
        <item x="32"/>
        <item x="33"/>
        <item x="34"/>
        <item x="35"/>
        <item x="36"/>
        <item x="37"/>
        <item x="38"/>
        <item x="39"/>
        <item x="40"/>
        <item x="41"/>
        <item x="42"/>
        <item x="43"/>
        <item x="44"/>
        <item x="45"/>
        <item x="46"/>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1329"/>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223"/>
        <item x="131"/>
        <item x="132"/>
        <item x="133"/>
        <item x="134"/>
        <item x="135"/>
        <item x="136"/>
        <item x="137"/>
        <item x="139"/>
        <item x="140"/>
        <item x="141"/>
        <item x="142"/>
        <item x="143"/>
        <item x="144"/>
        <item x="145"/>
        <item x="1400"/>
        <item x="146"/>
        <item x="147"/>
        <item x="151"/>
        <item x="153"/>
        <item x="154"/>
        <item x="155"/>
        <item x="156"/>
        <item x="157"/>
        <item x="158"/>
        <item x="160"/>
        <item x="161"/>
        <item x="162"/>
        <item x="163"/>
        <item x="164"/>
        <item x="165"/>
        <item x="168"/>
        <item x="170"/>
        <item x="171"/>
        <item x="172"/>
        <item x="173"/>
        <item x="174"/>
        <item x="176"/>
        <item x="1325"/>
        <item x="178"/>
        <item x="179"/>
        <item x="180"/>
        <item x="181"/>
        <item x="182"/>
        <item x="1633"/>
        <item x="183"/>
        <item x="184"/>
        <item x="185"/>
        <item x="186"/>
        <item x="187"/>
        <item x="188"/>
        <item x="189"/>
        <item x="190"/>
        <item x="1185"/>
        <item x="191"/>
        <item x="192"/>
        <item x="193"/>
        <item x="194"/>
        <item x="195"/>
        <item x="196"/>
        <item x="1362"/>
        <item x="197"/>
        <item x="198"/>
        <item x="199"/>
        <item x="200"/>
        <item x="201"/>
        <item x="202"/>
        <item x="203"/>
        <item x="204"/>
        <item x="1374"/>
        <item x="205"/>
        <item x="206"/>
        <item x="207"/>
        <item x="208"/>
        <item x="209"/>
        <item x="210"/>
        <item x="211"/>
        <item x="212"/>
        <item x="213"/>
        <item x="214"/>
        <item x="215"/>
        <item x="216"/>
        <item x="217"/>
        <item x="218"/>
        <item x="1503"/>
        <item x="219"/>
        <item x="221"/>
        <item x="225"/>
        <item x="1480"/>
        <item x="222"/>
        <item x="223"/>
        <item x="226"/>
        <item x="227"/>
        <item x="228"/>
        <item x="229"/>
        <item x="230"/>
        <item x="231"/>
        <item x="232"/>
        <item x="233"/>
        <item x="234"/>
        <item x="235"/>
        <item x="236"/>
        <item x="237"/>
        <item x="238"/>
        <item x="239"/>
        <item x="240"/>
        <item x="241"/>
        <item x="242"/>
        <item x="243"/>
        <item x="245"/>
        <item x="246"/>
        <item x="247"/>
        <item x="248"/>
        <item x="249"/>
        <item x="250"/>
        <item x="251"/>
        <item x="252"/>
        <item x="253"/>
        <item x="254"/>
        <item x="271"/>
        <item x="255"/>
        <item x="256"/>
        <item x="1479"/>
        <item x="257"/>
        <item x="259"/>
        <item x="260"/>
        <item x="261"/>
        <item x="262"/>
        <item x="263"/>
        <item x="264"/>
        <item x="265"/>
        <item x="266"/>
        <item x="267"/>
        <item x="268"/>
        <item x="270"/>
        <item x="272"/>
        <item x="275"/>
        <item x="277"/>
        <item x="278"/>
        <item x="279"/>
        <item x="244"/>
        <item x="280"/>
        <item x="283"/>
        <item x="284"/>
        <item x="285"/>
        <item x="286"/>
        <item x="287"/>
        <item x="289"/>
        <item x="290"/>
        <item x="291"/>
        <item x="292"/>
        <item x="293"/>
        <item x="294"/>
        <item x="295"/>
        <item x="296"/>
        <item x="297"/>
        <item x="1634"/>
        <item x="298"/>
        <item x="1478"/>
        <item x="299"/>
        <item x="300"/>
        <item x="301"/>
        <item x="302"/>
        <item x="303"/>
        <item x="304"/>
        <item x="305"/>
        <item x="1477"/>
        <item x="306"/>
        <item x="1380"/>
        <item x="308"/>
        <item x="309"/>
        <item x="310"/>
        <item x="311"/>
        <item x="312"/>
        <item x="313"/>
        <item x="314"/>
        <item x="315"/>
        <item x="316"/>
        <item x="317"/>
        <item x="281"/>
        <item x="273"/>
        <item x="318"/>
        <item x="319"/>
        <item x="320"/>
        <item x="321"/>
        <item x="322"/>
        <item x="323"/>
        <item x="324"/>
        <item x="325"/>
        <item x="326"/>
        <item x="327"/>
        <item x="328"/>
        <item x="329"/>
        <item x="330"/>
        <item x="331"/>
        <item x="332"/>
        <item x="333"/>
        <item x="334"/>
        <item x="335"/>
        <item x="336"/>
        <item x="152"/>
        <item x="337"/>
        <item x="338"/>
        <item x="339"/>
        <item x="341"/>
        <item x="342"/>
        <item x="343"/>
        <item x="344"/>
        <item x="345"/>
        <item x="1476"/>
        <item x="346"/>
        <item x="347"/>
        <item x="348"/>
        <item x="349"/>
        <item x="350"/>
        <item x="351"/>
        <item x="353"/>
        <item x="354"/>
        <item x="1475"/>
        <item x="355"/>
        <item x="356"/>
        <item x="357"/>
        <item x="358"/>
        <item x="359"/>
        <item x="360"/>
        <item x="361"/>
        <item x="362"/>
        <item x="363"/>
        <item x="364"/>
        <item x="352"/>
        <item x="365"/>
        <item x="366"/>
        <item x="367"/>
        <item x="1474"/>
        <item x="368"/>
        <item x="369"/>
        <item x="370"/>
        <item x="371"/>
        <item x="372"/>
        <item x="373"/>
        <item x="375"/>
        <item x="374"/>
        <item x="376"/>
        <item x="378"/>
        <item x="379"/>
        <item x="380"/>
        <item x="381"/>
        <item x="1473"/>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7"/>
        <item x="418"/>
        <item x="419"/>
        <item x="420"/>
        <item x="421"/>
        <item x="416"/>
        <item x="422"/>
        <item x="423"/>
        <item x="424"/>
        <item x="425"/>
        <item x="426"/>
        <item x="427"/>
        <item x="428"/>
        <item x="429"/>
        <item x="430"/>
        <item x="431"/>
        <item x="432"/>
        <item x="433"/>
        <item x="434"/>
        <item x="435"/>
        <item x="436"/>
        <item x="437"/>
        <item x="438"/>
        <item x="439"/>
        <item x="440"/>
        <item x="441"/>
        <item x="442"/>
        <item x="443"/>
        <item x="444"/>
        <item x="445"/>
        <item x="446"/>
        <item x="1192"/>
        <item x="447"/>
        <item x="448"/>
        <item x="449"/>
        <item x="450"/>
        <item x="492"/>
        <item x="451"/>
        <item x="452"/>
        <item x="453"/>
        <item x="454"/>
        <item x="455"/>
        <item x="456"/>
        <item x="457"/>
        <item x="1472"/>
        <item x="458"/>
        <item x="459"/>
        <item x="460"/>
        <item x="461"/>
        <item x="462"/>
        <item x="463"/>
        <item x="464"/>
        <item x="465"/>
        <item x="466"/>
        <item x="467"/>
        <item x="468"/>
        <item x="469"/>
        <item x="470"/>
        <item x="471"/>
        <item x="472"/>
        <item x="473"/>
        <item x="474"/>
        <item x="475"/>
        <item x="476"/>
        <item x="477"/>
        <item x="478"/>
        <item x="2"/>
        <item x="479"/>
        <item x="480"/>
        <item x="481"/>
        <item x="482"/>
        <item x="483"/>
        <item x="484"/>
        <item x="485"/>
        <item x="486"/>
        <item x="487"/>
        <item x="488"/>
        <item x="489"/>
        <item x="490"/>
        <item x="491"/>
        <item x="493"/>
        <item x="495"/>
        <item x="496"/>
        <item x="497"/>
        <item x="498"/>
        <item x="499"/>
        <item x="500"/>
        <item x="501"/>
        <item x="502"/>
        <item x="503"/>
        <item x="504"/>
        <item x="505"/>
        <item x="506"/>
        <item x="507"/>
        <item x="508"/>
        <item x="509"/>
        <item x="510"/>
        <item x="1471"/>
        <item x="511"/>
        <item x="1569"/>
        <item x="512"/>
        <item x="513"/>
        <item x="514"/>
        <item x="1420"/>
        <item x="515"/>
        <item x="516"/>
        <item x="517"/>
        <item x="1470"/>
        <item x="518"/>
        <item x="519"/>
        <item x="520"/>
        <item x="521"/>
        <item x="522"/>
        <item x="523"/>
        <item x="524"/>
        <item x="525"/>
        <item x="526"/>
        <item x="527"/>
        <item x="528"/>
        <item x="529"/>
        <item x="530"/>
        <item x="531"/>
        <item x="1235"/>
        <item x="532"/>
        <item x="533"/>
        <item x="534"/>
        <item x="535"/>
        <item x="536"/>
        <item x="537"/>
        <item x="538"/>
        <item x="539"/>
        <item x="540"/>
        <item x="1200"/>
        <item x="541"/>
        <item x="542"/>
        <item x="543"/>
        <item x="544"/>
        <item x="545"/>
        <item x="546"/>
        <item x="547"/>
        <item x="548"/>
        <item x="549"/>
        <item x="550"/>
        <item x="551"/>
        <item x="1469"/>
        <item x="552"/>
        <item x="553"/>
        <item x="554"/>
        <item x="555"/>
        <item x="556"/>
        <item x="557"/>
        <item x="558"/>
        <item x="559"/>
        <item x="560"/>
        <item x="561"/>
        <item x="1468"/>
        <item x="562"/>
        <item x="563"/>
        <item x="564"/>
        <item x="565"/>
        <item x="566"/>
        <item x="567"/>
        <item x="568"/>
        <item x="569"/>
        <item x="570"/>
        <item x="571"/>
        <item x="572"/>
        <item x="573"/>
        <item x="574"/>
        <item x="575"/>
        <item x="576"/>
        <item x="577"/>
        <item x="578"/>
        <item x="579"/>
        <item x="580"/>
        <item x="581"/>
        <item x="582"/>
        <item x="583"/>
        <item x="584"/>
        <item x="585"/>
        <item x="1467"/>
        <item x="586"/>
        <item x="587"/>
        <item x="588"/>
        <item x="589"/>
        <item x="591"/>
        <item x="592"/>
        <item x="593"/>
        <item x="594"/>
        <item x="596"/>
        <item x="597"/>
        <item x="595"/>
        <item x="599"/>
        <item x="600"/>
        <item x="601"/>
        <item x="602"/>
        <item x="603"/>
        <item x="604"/>
        <item x="605"/>
        <item x="606"/>
        <item x="607"/>
        <item x="608"/>
        <item x="609"/>
        <item x="610"/>
        <item x="611"/>
        <item x="612"/>
        <item x="613"/>
        <item x="614"/>
        <item x="616"/>
        <item x="617"/>
        <item x="1466"/>
        <item x="618"/>
        <item x="619"/>
        <item x="620"/>
        <item x="621"/>
        <item x="622"/>
        <item x="623"/>
        <item x="624"/>
        <item x="625"/>
        <item x="626"/>
        <item x="627"/>
        <item x="628"/>
        <item x="629"/>
        <item x="630"/>
        <item x="631"/>
        <item x="632"/>
        <item x="1465"/>
        <item x="633"/>
        <item x="1464"/>
        <item x="634"/>
        <item x="635"/>
        <item x="636"/>
        <item x="637"/>
        <item x="638"/>
        <item x="639"/>
        <item x="641"/>
        <item x="642"/>
        <item x="1234"/>
        <item x="224"/>
        <item x="1195"/>
        <item x="1196"/>
        <item x="1244"/>
        <item x="1371"/>
        <item x="307"/>
        <item x="274"/>
        <item x="1194"/>
        <item x="1243"/>
        <item x="1635"/>
        <item x="1463"/>
        <item x="1461"/>
        <item x="1239"/>
        <item x="1641"/>
        <item x="1197"/>
        <item x="1379"/>
        <item x="656"/>
        <item x="659"/>
        <item x="1396"/>
        <item x="1193"/>
        <item x="647"/>
        <item x="1510"/>
        <item x="663"/>
        <item x="1212"/>
        <item x="1231"/>
        <item x="1233"/>
        <item x="1516"/>
        <item x="643"/>
        <item x="655"/>
        <item x="1638"/>
        <item x="1207"/>
        <item x="660"/>
        <item x="661"/>
        <item x="662"/>
        <item x="1230"/>
        <item x="644"/>
        <item x="1490"/>
        <item x="1579"/>
        <item x="1206"/>
        <item x="1290"/>
        <item x="648"/>
        <item x="1289"/>
        <item x="1421"/>
        <item x="1211"/>
        <item x="1404"/>
        <item x="1403"/>
        <item x="1242"/>
        <item x="649"/>
        <item x="1209"/>
        <item x="1575"/>
        <item x="1287"/>
        <item x="658"/>
        <item x="1462"/>
        <item x="1205"/>
        <item x="1369"/>
        <item x="1282"/>
        <item x="1232"/>
        <item x="646"/>
        <item x="847"/>
        <item x="1515"/>
        <item x="657"/>
        <item x="1364"/>
        <item x="664"/>
        <item x="665"/>
        <item x="666"/>
        <item x="1440"/>
        <item x="667"/>
        <item x="668"/>
        <item x="669"/>
        <item x="1273"/>
        <item x="1407"/>
        <item x="1326"/>
        <item x="1573"/>
        <item x="1373"/>
        <item x="177"/>
        <item x="670"/>
        <item x="1294"/>
        <item x="671"/>
        <item x="672"/>
        <item x="673"/>
        <item x="674"/>
        <item x="675"/>
        <item x="1163"/>
        <item x="676"/>
        <item x="677"/>
        <item x="1312"/>
        <item x="678"/>
        <item x="679"/>
        <item x="1594"/>
        <item x="680"/>
        <item x="681"/>
        <item x="682"/>
        <item x="683"/>
        <item x="684"/>
        <item x="685"/>
        <item x="1459"/>
        <item x="686"/>
        <item x="687"/>
        <item x="688"/>
        <item x="689"/>
        <item x="690"/>
        <item x="691"/>
        <item x="692"/>
        <item x="693"/>
        <item x="694"/>
        <item x="695"/>
        <item x="696"/>
        <item x="1249"/>
        <item x="159"/>
        <item x="1482"/>
        <item x="697"/>
        <item x="698"/>
        <item x="699"/>
        <item x="700"/>
        <item x="701"/>
        <item x="702"/>
        <item x="1460"/>
        <item x="703"/>
        <item x="704"/>
        <item x="705"/>
        <item x="706"/>
        <item x="1552"/>
        <item x="707"/>
        <item x="1458"/>
        <item x="708"/>
        <item x="709"/>
        <item x="710"/>
        <item x="711"/>
        <item x="712"/>
        <item x="713"/>
        <item x="714"/>
        <item x="715"/>
        <item x="716"/>
        <item x="590"/>
        <item x="717"/>
        <item x="718"/>
        <item x="1310"/>
        <item x="719"/>
        <item x="720"/>
        <item x="721"/>
        <item x="722"/>
        <item x="723"/>
        <item x="724"/>
        <item x="725"/>
        <item x="726"/>
        <item x="727"/>
        <item x="728"/>
        <item x="729"/>
        <item x="730"/>
        <item x="1295"/>
        <item x="1296"/>
        <item x="731"/>
        <item x="732"/>
        <item x="733"/>
        <item x="734"/>
        <item x="735"/>
        <item x="736"/>
        <item x="737"/>
        <item x="1361"/>
        <item x="1297"/>
        <item x="738"/>
        <item x="739"/>
        <item x="1651"/>
        <item x="1236"/>
        <item x="740"/>
        <item x="742"/>
        <item x="741"/>
        <item x="743"/>
        <item x="744"/>
        <item x="745"/>
        <item x="1457"/>
        <item x="746"/>
        <item x="747"/>
        <item x="748"/>
        <item x="749"/>
        <item x="750"/>
        <item x="751"/>
        <item x="752"/>
        <item x="1456"/>
        <item x="753"/>
        <item x="754"/>
        <item x="755"/>
        <item x="1203"/>
        <item x="756"/>
        <item x="1580"/>
        <item x="757"/>
        <item x="1581"/>
        <item x="758"/>
        <item x="760"/>
        <item x="1292"/>
        <item x="761"/>
        <item x="762"/>
        <item x="763"/>
        <item x="1180"/>
        <item x="764"/>
        <item x="765"/>
        <item x="766"/>
        <item x="767"/>
        <item x="768"/>
        <item x="769"/>
        <item x="770"/>
        <item x="771"/>
        <item x="1507"/>
        <item x="772"/>
        <item x="1355"/>
        <item x="773"/>
        <item x="774"/>
        <item x="775"/>
        <item x="776"/>
        <item x="1299"/>
        <item x="777"/>
        <item x="1183"/>
        <item x="1221"/>
        <item x="778"/>
        <item x="779"/>
        <item x="780"/>
        <item x="781"/>
        <item x="782"/>
        <item x="1280"/>
        <item x="783"/>
        <item x="784"/>
        <item x="1593"/>
        <item x="785"/>
        <item x="786"/>
        <item x="787"/>
        <item x="788"/>
        <item x="789"/>
        <item x="790"/>
        <item x="791"/>
        <item x="792"/>
        <item x="793"/>
        <item x="794"/>
        <item x="796"/>
        <item x="797"/>
        <item x="798"/>
        <item x="494"/>
        <item x="799"/>
        <item x="800"/>
        <item x="801"/>
        <item x="1455"/>
        <item x="1454"/>
        <item x="802"/>
        <item x="803"/>
        <item x="804"/>
        <item x="805"/>
        <item x="806"/>
        <item x="1320"/>
        <item x="807"/>
        <item x="808"/>
        <item x="809"/>
        <item x="810"/>
        <item x="811"/>
        <item x="650"/>
        <item x="651"/>
        <item x="652"/>
        <item x="812"/>
        <item x="813"/>
        <item x="175"/>
        <item x="814"/>
        <item x="815"/>
        <item x="47"/>
        <item x="48"/>
        <item x="816"/>
        <item x="1590"/>
        <item x="1587"/>
        <item x="817"/>
        <item x="818"/>
        <item x="819"/>
        <item x="820"/>
        <item x="821"/>
        <item x="822"/>
        <item x="823"/>
        <item x="824"/>
        <item x="825"/>
        <item x="826"/>
        <item x="827"/>
        <item x="828"/>
        <item x="1288"/>
        <item x="829"/>
        <item x="830"/>
        <item x="598"/>
        <item x="831"/>
        <item x="1387"/>
        <item x="1582"/>
        <item x="1588"/>
        <item x="832"/>
        <item x="1453"/>
        <item x="833"/>
        <item x="834"/>
        <item x="835"/>
        <item x="836"/>
        <item x="837"/>
        <item x="838"/>
        <item x="1283"/>
        <item x="839"/>
        <item x="1308"/>
        <item x="840"/>
        <item x="841"/>
        <item x="842"/>
        <item x="843"/>
        <item x="148"/>
        <item x="844"/>
        <item x="1452"/>
        <item x="149"/>
        <item x="845"/>
        <item x="846"/>
        <item x="1592"/>
        <item x="848"/>
        <item x="849"/>
        <item x="850"/>
        <item x="851"/>
        <item x="1360"/>
        <item x="1182"/>
        <item x="852"/>
        <item x="853"/>
        <item x="854"/>
        <item x="49"/>
        <item x="855"/>
        <item x="1258"/>
        <item x="856"/>
        <item x="857"/>
        <item x="858"/>
        <item x="859"/>
        <item x="860"/>
        <item x="861"/>
        <item x="645"/>
        <item x="862"/>
        <item x="863"/>
        <item x="864"/>
        <item x="1513"/>
        <item x="865"/>
        <item x="866"/>
        <item x="1451"/>
        <item x="1450"/>
        <item x="867"/>
        <item x="1301"/>
        <item x="1370"/>
        <item x="868"/>
        <item x="1449"/>
        <item x="869"/>
        <item x="870"/>
        <item x="871"/>
        <item x="872"/>
        <item x="873"/>
        <item x="874"/>
        <item x="875"/>
        <item x="876"/>
        <item x="877"/>
        <item x="26"/>
        <item x="878"/>
        <item x="879"/>
        <item x="1448"/>
        <item x="1311"/>
        <item x="880"/>
        <item x="881"/>
        <item x="882"/>
        <item x="883"/>
        <item x="884"/>
        <item x="1447"/>
        <item x="885"/>
        <item x="886"/>
        <item x="887"/>
        <item x="1446"/>
        <item x="888"/>
        <item x="889"/>
        <item x="890"/>
        <item x="891"/>
        <item x="892"/>
        <item x="893"/>
        <item x="894"/>
        <item x="1175"/>
        <item x="895"/>
        <item x="288"/>
        <item x="276"/>
        <item x="282"/>
        <item x="896"/>
        <item x="897"/>
        <item x="898"/>
        <item x="1293"/>
        <item x="899"/>
        <item x="900"/>
        <item x="901"/>
        <item x="902"/>
        <item x="903"/>
        <item x="904"/>
        <item x="905"/>
        <item x="906"/>
        <item x="907"/>
        <item x="908"/>
        <item x="909"/>
        <item x="910"/>
        <item x="911"/>
        <item x="912"/>
        <item x="913"/>
        <item x="914"/>
        <item x="915"/>
        <item x="916"/>
        <item x="917"/>
        <item x="918"/>
        <item x="1445"/>
        <item x="919"/>
        <item x="1444"/>
        <item x="920"/>
        <item x="921"/>
        <item x="922"/>
        <item x="923"/>
        <item x="924"/>
        <item x="925"/>
        <item x="926"/>
        <item x="166"/>
        <item x="167"/>
        <item x="927"/>
        <item x="928"/>
        <item x="929"/>
        <item x="930"/>
        <item x="931"/>
        <item x="932"/>
        <item x="933"/>
        <item x="934"/>
        <item x="935"/>
        <item x="936"/>
        <item x="937"/>
        <item x="938"/>
        <item x="939"/>
        <item x="340"/>
        <item x="1381"/>
        <item x="940"/>
        <item x="1591"/>
        <item x="941"/>
        <item x="942"/>
        <item x="943"/>
        <item x="944"/>
        <item x="945"/>
        <item x="1219"/>
        <item x="946"/>
        <item x="1443"/>
        <item x="947"/>
        <item x="948"/>
        <item x="949"/>
        <item x="950"/>
        <item x="1237"/>
        <item x="951"/>
        <item x="952"/>
        <item x="953"/>
        <item x="954"/>
        <item x="955"/>
        <item x="956"/>
        <item x="957"/>
        <item x="958"/>
        <item x="959"/>
        <item x="960"/>
        <item x="961"/>
        <item x="962"/>
        <item x="963"/>
        <item x="1589"/>
        <item x="1442"/>
        <item x="1358"/>
        <item x="150"/>
        <item x="50"/>
        <item x="964"/>
        <item x="965"/>
        <item x="966"/>
        <item x="967"/>
        <item x="968"/>
        <item x="969"/>
        <item x="169"/>
        <item x="1250"/>
        <item x="970"/>
        <item x="971"/>
        <item x="972"/>
        <item x="973"/>
        <item x="974"/>
        <item x="975"/>
        <item x="1441"/>
        <item x="976"/>
        <item x="977"/>
        <item x="978"/>
        <item x="979"/>
        <item x="980"/>
        <item x="981"/>
        <item x="1302"/>
        <item x="982"/>
        <item x="983"/>
        <item x="984"/>
        <item x="1313"/>
        <item x="1314"/>
        <item x="985"/>
        <item x="986"/>
        <item x="1173"/>
        <item x="987"/>
        <item x="988"/>
        <item x="1154"/>
        <item x="759"/>
        <item x="653"/>
        <item x="654"/>
        <item x="989"/>
        <item x="990"/>
        <item x="991"/>
        <item x="992"/>
        <item x="993"/>
        <item x="1155"/>
        <item x="994"/>
        <item x="995"/>
        <item x="996"/>
        <item x="1512"/>
        <item x="1218"/>
        <item x="1217"/>
        <item x="997"/>
        <item x="998"/>
        <item x="999"/>
        <item x="1000"/>
        <item x="1001"/>
        <item x="1002"/>
        <item x="1323"/>
        <item x="1328"/>
        <item x="1003"/>
        <item x="1004"/>
        <item x="1005"/>
        <item x="1006"/>
        <item x="1007"/>
        <item x="1008"/>
        <item x="1009"/>
        <item x="1010"/>
        <item x="1011"/>
        <item x="1012"/>
        <item x="1013"/>
        <item x="1014"/>
        <item x="1015"/>
        <item x="1551"/>
        <item x="1016"/>
        <item x="1176"/>
        <item x="1372"/>
        <item x="1017"/>
        <item x="258"/>
        <item x="1018"/>
        <item x="1019"/>
        <item x="1020"/>
        <item x="1572"/>
        <item x="1571"/>
        <item x="1570"/>
        <item x="1303"/>
        <item x="1021"/>
        <item x="1022"/>
        <item x="1023"/>
        <item x="1024"/>
        <item x="1025"/>
        <item x="1026"/>
        <item x="1027"/>
        <item x="1028"/>
        <item x="1029"/>
        <item x="1030"/>
        <item x="1315"/>
        <item x="1031"/>
        <item x="1032"/>
        <item x="1439"/>
        <item x="1033"/>
        <item x="1034"/>
        <item x="1035"/>
        <item x="1036"/>
        <item x="1037"/>
        <item x="1038"/>
        <item x="1039"/>
        <item x="1040"/>
        <item x="1041"/>
        <item x="1042"/>
        <item x="1043"/>
        <item x="1044"/>
        <item x="1045"/>
        <item x="1333"/>
        <item x="1046"/>
        <item x="1047"/>
        <item x="1048"/>
        <item x="1309"/>
        <item x="1049"/>
        <item x="1050"/>
        <item x="1153"/>
        <item x="1051"/>
        <item x="1052"/>
        <item x="1359"/>
        <item x="1053"/>
        <item x="1054"/>
        <item x="1055"/>
        <item x="1227"/>
        <item x="1056"/>
        <item x="1057"/>
        <item x="1228"/>
        <item x="1058"/>
        <item x="1059"/>
        <item x="1514"/>
        <item x="1060"/>
        <item x="1061"/>
        <item x="1062"/>
        <item x="1063"/>
        <item x="1064"/>
        <item x="1065"/>
        <item x="1340"/>
        <item x="1066"/>
        <item x="1067"/>
        <item x="1068"/>
        <item x="1069"/>
        <item x="1070"/>
        <item x="1191"/>
        <item x="1071"/>
        <item x="1072"/>
        <item x="1073"/>
        <item x="1074"/>
        <item x="1075"/>
        <item x="1076"/>
        <item x="1077"/>
        <item x="1078"/>
        <item x="1079"/>
        <item x="1080"/>
        <item x="1081"/>
        <item x="1082"/>
        <item x="1083"/>
        <item x="1084"/>
        <item x="1085"/>
        <item x="1086"/>
        <item x="1087"/>
        <item x="1088"/>
        <item x="1324"/>
        <item x="1089"/>
        <item x="1090"/>
        <item x="1091"/>
        <item x="1092"/>
        <item x="1093"/>
        <item x="1094"/>
        <item x="1438"/>
        <item x="1095"/>
        <item x="1096"/>
        <item x="1097"/>
        <item x="1378"/>
        <item x="1583"/>
        <item x="1098"/>
        <item x="1099"/>
        <item x="1100"/>
        <item x="1101"/>
        <item x="1102"/>
        <item x="1103"/>
        <item x="1104"/>
        <item x="1105"/>
        <item x="1106"/>
        <item x="1107"/>
        <item x="1108"/>
        <item x="1437"/>
        <item x="1109"/>
        <item x="1245"/>
        <item x="1110"/>
        <item x="138"/>
        <item x="1240"/>
        <item x="1111"/>
        <item x="1112"/>
        <item x="1113"/>
        <item x="1436"/>
        <item x="1435"/>
        <item x="1434"/>
        <item x="1652"/>
        <item x="1114"/>
        <item x="1433"/>
        <item x="1115"/>
        <item x="1116"/>
        <item x="1432"/>
        <item x="1431"/>
        <item x="1118"/>
        <item x="1430"/>
        <item x="1119"/>
        <item x="1120"/>
        <item x="1121"/>
        <item x="1122"/>
        <item x="1123"/>
        <item x="1429"/>
        <item x="1428"/>
        <item x="1427"/>
        <item x="1426"/>
        <item x="1124"/>
        <item x="1125"/>
        <item x="1425"/>
        <item x="1126"/>
        <item x="1127"/>
        <item x="1424"/>
        <item x="1128"/>
        <item x="1129"/>
        <item x="1130"/>
        <item x="1131"/>
        <item x="1132"/>
        <item x="1133"/>
        <item x="1134"/>
        <item x="1135"/>
        <item x="1136"/>
        <item x="1137"/>
        <item x="1138"/>
        <item x="1139"/>
        <item x="1140"/>
        <item x="1141"/>
        <item x="1377"/>
        <item x="1279"/>
        <item x="1142"/>
        <item x="1143"/>
        <item x="1204"/>
        <item x="1144"/>
        <item x="1145"/>
        <item x="1305"/>
        <item x="1306"/>
        <item x="1146"/>
        <item x="1147"/>
        <item x="1148"/>
        <item x="1567"/>
        <item x="1117"/>
        <item x="1149"/>
        <item x="1423"/>
        <item x="1150"/>
        <item x="1151"/>
        <item x="1152"/>
        <item x="1202"/>
        <item x="1281"/>
        <item x="1201"/>
        <item x="1271"/>
        <item x="1186"/>
        <item x="1187"/>
        <item x="1188"/>
        <item x="1189"/>
        <item x="1405"/>
        <item x="1215"/>
        <item x="1554"/>
        <item x="1322"/>
        <item x="1555"/>
        <item x="1556"/>
        <item x="1269"/>
        <item x="1274"/>
        <item x="1276"/>
        <item x="1190"/>
        <item x="1226"/>
        <item x="1261"/>
        <item x="1260"/>
        <item x="1263"/>
        <item x="1264"/>
        <item x="1262"/>
        <item x="1184"/>
        <item x="1560"/>
        <item x="1257"/>
        <item x="1268"/>
        <item x="1366"/>
        <item x="1564"/>
        <item x="1563"/>
        <item x="1365"/>
        <item x="1395"/>
        <item x="1157"/>
        <item x="1158"/>
        <item x="1159"/>
        <item x="1160"/>
        <item x="1161"/>
        <item x="1162"/>
        <item x="1164"/>
        <item x="1166"/>
        <item x="1167"/>
        <item x="1165"/>
        <item x="1168"/>
        <item x="1169"/>
        <item x="1170"/>
        <item x="1171"/>
        <item x="1172"/>
        <item x="1156"/>
        <item x="1225"/>
        <item x="1174"/>
        <item x="1177"/>
        <item x="1178"/>
        <item x="1179"/>
        <item x="1181"/>
        <item x="1492"/>
        <item x="1208"/>
        <item x="1210"/>
        <item x="1612"/>
        <item x="1213"/>
        <item x="1214"/>
        <item x="1300"/>
        <item x="1220"/>
        <item x="1216"/>
        <item x="1222"/>
        <item x="1224"/>
        <item x="1238"/>
        <item x="1241"/>
        <item x="1481"/>
        <item x="1247"/>
        <item x="1251"/>
        <item x="1252"/>
        <item x="1253"/>
        <item x="1254"/>
        <item x="1255"/>
        <item x="1256"/>
        <item x="1259"/>
        <item x="1265"/>
        <item x="1266"/>
        <item x="1267"/>
        <item x="1270"/>
        <item x="1272"/>
        <item x="1275"/>
        <item x="1335"/>
        <item x="1284"/>
        <item x="1304"/>
        <item x="1316"/>
        <item x="1317"/>
        <item x="1318"/>
        <item x="1319"/>
        <item x="1559"/>
        <item x="1389"/>
        <item x="1562"/>
        <item x="1561"/>
        <item x="1558"/>
        <item x="1557"/>
        <item x="1368"/>
        <item x="1367"/>
        <item x="1388"/>
        <item x="1341"/>
        <item x="1327"/>
        <item x="1330"/>
        <item x="1331"/>
        <item x="1332"/>
        <item x="1336"/>
        <item x="1338"/>
        <item x="1353"/>
        <item x="1351"/>
        <item x="1337"/>
        <item x="1401"/>
        <item x="1363"/>
        <item x="1629"/>
        <item x="1402"/>
        <item x="1600"/>
        <item x="1339"/>
        <item x="1342"/>
        <item x="1343"/>
        <item x="1344"/>
        <item x="1345"/>
        <item x="1346"/>
        <item x="1347"/>
        <item x="1348"/>
        <item x="1349"/>
        <item x="1350"/>
        <item x="269"/>
        <item x="1354"/>
        <item x="1565"/>
        <item x="1394"/>
        <item x="1393"/>
        <item x="1392"/>
        <item x="1390"/>
        <item x="1375"/>
        <item x="1376"/>
        <item x="1382"/>
        <item x="1383"/>
        <item x="1384"/>
        <item x="1385"/>
        <item x="1386"/>
        <item x="1495"/>
        <item x="1496"/>
        <item x="1497"/>
        <item x="1498"/>
        <item x="1285"/>
        <item x="1286"/>
        <item x="1511"/>
        <item x="1647"/>
        <item x="1577"/>
        <item x="1356"/>
        <item x="1248"/>
        <item x="1334"/>
        <item x="1229"/>
        <item x="1646"/>
        <item x="1619"/>
        <item x="1291"/>
        <item x="1357"/>
        <item x="1502"/>
        <item x="1642"/>
        <item x="1406"/>
        <item x="1413"/>
        <item x="1419"/>
        <item x="1418"/>
        <item x="1417"/>
        <item x="1422"/>
        <item x="1416"/>
        <item x="1412"/>
        <item x="1488"/>
        <item x="1411"/>
        <item x="1487"/>
        <item x="1410"/>
        <item x="1409"/>
        <item x="1408"/>
        <item x="1631"/>
        <item x="1486"/>
        <item x="1485"/>
        <item x="1484"/>
        <item x="1483"/>
        <item x="1595"/>
        <item x="1615"/>
        <item x="1624"/>
        <item x="1616"/>
        <item x="1613"/>
        <item x="1614"/>
        <item x="1617"/>
        <item x="1627"/>
        <item x="1618"/>
        <item x="1277"/>
        <item x="1489"/>
        <item x="1625"/>
        <item x="1278"/>
        <item x="1505"/>
        <item x="1506"/>
        <item x="1499"/>
        <item x="1585"/>
        <item x="1628"/>
        <item x="1644"/>
        <item x="1645"/>
        <item x="1414"/>
        <item x="1566"/>
        <item x="795"/>
        <item x="1607"/>
        <item x="1352"/>
        <item x="1508"/>
        <item x="1643"/>
        <item x="3"/>
        <item x="1640"/>
        <item x="1500"/>
        <item x="1639"/>
        <item x="1493"/>
        <item x="1578"/>
        <item x="1501"/>
        <item x="1298"/>
        <item x="1391"/>
        <item x="1397"/>
        <item x="1398"/>
        <item x="1399"/>
        <item x="1307"/>
        <item x="1415"/>
        <item x="1504"/>
        <item x="1609"/>
        <item x="1509"/>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630"/>
        <item x="1611"/>
        <item x="1198"/>
        <item x="1199"/>
        <item x="1576"/>
        <item x="1491"/>
        <item x="377"/>
        <item x="1637"/>
        <item x="1626"/>
        <item x="1574"/>
        <item x="1648"/>
        <item x="1321"/>
        <item x="1246"/>
        <item x="1494"/>
        <item x="1649"/>
        <item x="1596"/>
        <item x="1650"/>
        <item x="1610"/>
        <item x="1636"/>
        <item x="1602"/>
        <item x="640"/>
        <item x="1553"/>
        <item x="1568"/>
        <item x="1584"/>
        <item x="1586"/>
        <item x="1597"/>
        <item x="1598"/>
        <item x="1599"/>
        <item x="1601"/>
        <item x="1603"/>
        <item x="1604"/>
        <item x="1605"/>
        <item x="1606"/>
        <item x="1608"/>
        <item x="1620"/>
        <item x="1621"/>
        <item x="1622"/>
        <item x="1623"/>
        <item x="1632"/>
        <item x="18"/>
      </items>
    </pivotField>
    <pivotField name="knelpuntnummer" axis="axisRow" compact="0" outline="0" multipleItemSelectionAllowed="1" showAll="0" sortType="ascending" defaultSubtotal="0">
      <items count="1653">
        <item x="18"/>
        <item x="0"/>
        <item x="1"/>
        <item x="4"/>
        <item x="5"/>
        <item x="6"/>
        <item x="7"/>
        <item x="8"/>
        <item x="9"/>
        <item x="10"/>
        <item x="11"/>
        <item x="12"/>
        <item x="13"/>
        <item x="14"/>
        <item x="15"/>
        <item x="16"/>
        <item x="17"/>
        <item x="615"/>
        <item x="19"/>
        <item x="20"/>
        <item x="21"/>
        <item x="22"/>
        <item x="220"/>
        <item x="23"/>
        <item x="24"/>
        <item x="25"/>
        <item x="27"/>
        <item x="29"/>
        <item x="30"/>
        <item x="31"/>
        <item x="28"/>
        <item x="32"/>
        <item x="33"/>
        <item x="34"/>
        <item x="35"/>
        <item x="36"/>
        <item x="37"/>
        <item x="38"/>
        <item x="39"/>
        <item x="40"/>
        <item x="41"/>
        <item x="42"/>
        <item x="43"/>
        <item x="44"/>
        <item x="45"/>
        <item x="46"/>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1329"/>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223"/>
        <item x="131"/>
        <item x="132"/>
        <item x="133"/>
        <item x="134"/>
        <item x="135"/>
        <item x="136"/>
        <item x="137"/>
        <item x="139"/>
        <item x="140"/>
        <item x="141"/>
        <item x="142"/>
        <item x="143"/>
        <item x="144"/>
        <item x="145"/>
        <item x="1400"/>
        <item x="146"/>
        <item x="147"/>
        <item x="151"/>
        <item x="153"/>
        <item x="154"/>
        <item x="155"/>
        <item x="156"/>
        <item x="157"/>
        <item x="158"/>
        <item x="160"/>
        <item x="161"/>
        <item x="162"/>
        <item x="163"/>
        <item x="164"/>
        <item x="165"/>
        <item x="168"/>
        <item x="170"/>
        <item x="171"/>
        <item x="172"/>
        <item x="173"/>
        <item x="174"/>
        <item x="176"/>
        <item x="1325"/>
        <item x="178"/>
        <item x="179"/>
        <item x="180"/>
        <item x="181"/>
        <item x="182"/>
        <item x="1633"/>
        <item x="183"/>
        <item x="184"/>
        <item x="185"/>
        <item x="186"/>
        <item x="187"/>
        <item x="188"/>
        <item x="189"/>
        <item x="190"/>
        <item x="1185"/>
        <item x="191"/>
        <item x="192"/>
        <item x="193"/>
        <item x="194"/>
        <item x="195"/>
        <item x="196"/>
        <item x="1362"/>
        <item x="197"/>
        <item x="198"/>
        <item x="199"/>
        <item x="200"/>
        <item x="201"/>
        <item x="202"/>
        <item x="203"/>
        <item x="204"/>
        <item x="1374"/>
        <item x="205"/>
        <item x="206"/>
        <item x="207"/>
        <item x="208"/>
        <item x="209"/>
        <item x="210"/>
        <item x="211"/>
        <item x="212"/>
        <item x="213"/>
        <item x="214"/>
        <item x="215"/>
        <item x="216"/>
        <item x="217"/>
        <item x="218"/>
        <item x="1503"/>
        <item x="219"/>
        <item x="221"/>
        <item x="225"/>
        <item x="1480"/>
        <item x="222"/>
        <item x="223"/>
        <item x="226"/>
        <item x="227"/>
        <item x="228"/>
        <item x="229"/>
        <item x="230"/>
        <item x="231"/>
        <item x="232"/>
        <item x="233"/>
        <item x="234"/>
        <item x="235"/>
        <item x="236"/>
        <item x="237"/>
        <item x="238"/>
        <item x="239"/>
        <item x="240"/>
        <item x="241"/>
        <item x="242"/>
        <item x="243"/>
        <item x="245"/>
        <item x="246"/>
        <item x="247"/>
        <item x="248"/>
        <item x="249"/>
        <item x="250"/>
        <item x="251"/>
        <item x="252"/>
        <item x="253"/>
        <item x="254"/>
        <item x="271"/>
        <item x="255"/>
        <item x="256"/>
        <item x="1479"/>
        <item x="257"/>
        <item x="259"/>
        <item x="260"/>
        <item x="261"/>
        <item x="262"/>
        <item x="263"/>
        <item x="264"/>
        <item x="265"/>
        <item x="266"/>
        <item x="267"/>
        <item x="268"/>
        <item x="270"/>
        <item x="272"/>
        <item x="275"/>
        <item x="277"/>
        <item x="278"/>
        <item x="279"/>
        <item x="244"/>
        <item x="280"/>
        <item x="283"/>
        <item x="284"/>
        <item x="285"/>
        <item x="286"/>
        <item x="287"/>
        <item x="289"/>
        <item x="290"/>
        <item x="291"/>
        <item x="292"/>
        <item x="293"/>
        <item x="294"/>
        <item x="295"/>
        <item x="296"/>
        <item x="297"/>
        <item x="1634"/>
        <item x="298"/>
        <item x="1478"/>
        <item x="299"/>
        <item x="300"/>
        <item x="301"/>
        <item x="302"/>
        <item x="303"/>
        <item x="304"/>
        <item x="305"/>
        <item x="1477"/>
        <item x="306"/>
        <item x="1380"/>
        <item x="308"/>
        <item x="309"/>
        <item x="310"/>
        <item x="311"/>
        <item x="312"/>
        <item x="313"/>
        <item x="314"/>
        <item x="315"/>
        <item x="316"/>
        <item x="317"/>
        <item x="281"/>
        <item x="273"/>
        <item x="318"/>
        <item x="319"/>
        <item x="320"/>
        <item x="321"/>
        <item x="322"/>
        <item x="323"/>
        <item x="324"/>
        <item x="325"/>
        <item x="326"/>
        <item x="327"/>
        <item x="328"/>
        <item x="329"/>
        <item x="330"/>
        <item x="331"/>
        <item x="332"/>
        <item x="333"/>
        <item x="334"/>
        <item x="335"/>
        <item x="336"/>
        <item x="152"/>
        <item x="337"/>
        <item x="338"/>
        <item x="339"/>
        <item x="341"/>
        <item x="342"/>
        <item x="343"/>
        <item x="344"/>
        <item x="345"/>
        <item x="1476"/>
        <item x="346"/>
        <item x="347"/>
        <item x="348"/>
        <item x="349"/>
        <item x="350"/>
        <item x="351"/>
        <item x="353"/>
        <item x="354"/>
        <item x="1475"/>
        <item x="355"/>
        <item x="356"/>
        <item x="357"/>
        <item x="358"/>
        <item x="359"/>
        <item x="360"/>
        <item x="361"/>
        <item x="362"/>
        <item x="363"/>
        <item x="364"/>
        <item x="352"/>
        <item x="365"/>
        <item x="366"/>
        <item x="367"/>
        <item x="1474"/>
        <item x="368"/>
        <item x="369"/>
        <item x="370"/>
        <item x="371"/>
        <item x="372"/>
        <item x="373"/>
        <item x="375"/>
        <item x="374"/>
        <item x="376"/>
        <item x="378"/>
        <item x="379"/>
        <item x="380"/>
        <item x="381"/>
        <item x="1473"/>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7"/>
        <item x="418"/>
        <item x="419"/>
        <item x="420"/>
        <item x="421"/>
        <item x="416"/>
        <item x="422"/>
        <item x="423"/>
        <item x="424"/>
        <item x="425"/>
        <item x="426"/>
        <item x="427"/>
        <item x="428"/>
        <item x="429"/>
        <item x="430"/>
        <item x="431"/>
        <item x="432"/>
        <item x="433"/>
        <item x="434"/>
        <item x="435"/>
        <item x="436"/>
        <item x="437"/>
        <item x="438"/>
        <item x="439"/>
        <item x="440"/>
        <item x="441"/>
        <item x="442"/>
        <item x="443"/>
        <item x="444"/>
        <item x="445"/>
        <item x="446"/>
        <item x="1192"/>
        <item x="447"/>
        <item x="448"/>
        <item x="449"/>
        <item x="450"/>
        <item x="492"/>
        <item x="451"/>
        <item x="452"/>
        <item x="453"/>
        <item x="454"/>
        <item x="455"/>
        <item x="456"/>
        <item x="457"/>
        <item x="1472"/>
        <item x="458"/>
        <item x="459"/>
        <item x="460"/>
        <item x="461"/>
        <item x="462"/>
        <item x="463"/>
        <item x="464"/>
        <item x="465"/>
        <item x="466"/>
        <item x="467"/>
        <item x="468"/>
        <item x="469"/>
        <item x="470"/>
        <item x="471"/>
        <item x="472"/>
        <item x="473"/>
        <item x="474"/>
        <item x="475"/>
        <item x="476"/>
        <item x="477"/>
        <item x="478"/>
        <item x="2"/>
        <item x="479"/>
        <item x="480"/>
        <item x="481"/>
        <item x="482"/>
        <item x="483"/>
        <item x="484"/>
        <item x="485"/>
        <item x="486"/>
        <item x="487"/>
        <item x="488"/>
        <item x="489"/>
        <item x="490"/>
        <item x="491"/>
        <item x="493"/>
        <item x="495"/>
        <item x="496"/>
        <item x="497"/>
        <item x="498"/>
        <item x="499"/>
        <item x="500"/>
        <item x="501"/>
        <item x="502"/>
        <item x="503"/>
        <item x="504"/>
        <item x="505"/>
        <item x="506"/>
        <item x="507"/>
        <item x="508"/>
        <item x="509"/>
        <item x="510"/>
        <item x="1471"/>
        <item x="511"/>
        <item x="1569"/>
        <item x="512"/>
        <item x="513"/>
        <item x="514"/>
        <item x="1420"/>
        <item x="515"/>
        <item x="516"/>
        <item x="517"/>
        <item x="1470"/>
        <item x="518"/>
        <item x="519"/>
        <item x="520"/>
        <item x="521"/>
        <item x="522"/>
        <item x="523"/>
        <item x="524"/>
        <item x="525"/>
        <item x="526"/>
        <item x="527"/>
        <item x="528"/>
        <item x="529"/>
        <item x="530"/>
        <item x="531"/>
        <item x="1235"/>
        <item x="532"/>
        <item x="533"/>
        <item x="534"/>
        <item x="535"/>
        <item x="536"/>
        <item x="537"/>
        <item x="538"/>
        <item x="539"/>
        <item x="540"/>
        <item x="1200"/>
        <item x="541"/>
        <item x="542"/>
        <item x="543"/>
        <item x="544"/>
        <item x="545"/>
        <item x="546"/>
        <item x="547"/>
        <item x="548"/>
        <item x="549"/>
        <item x="550"/>
        <item x="551"/>
        <item x="1469"/>
        <item x="552"/>
        <item x="553"/>
        <item x="554"/>
        <item x="555"/>
        <item x="556"/>
        <item x="557"/>
        <item x="558"/>
        <item x="559"/>
        <item x="560"/>
        <item x="561"/>
        <item x="1468"/>
        <item x="562"/>
        <item x="563"/>
        <item x="564"/>
        <item x="565"/>
        <item x="566"/>
        <item x="567"/>
        <item x="568"/>
        <item x="569"/>
        <item x="570"/>
        <item x="571"/>
        <item x="572"/>
        <item x="573"/>
        <item x="574"/>
        <item x="575"/>
        <item x="576"/>
        <item x="577"/>
        <item x="578"/>
        <item x="579"/>
        <item x="580"/>
        <item x="581"/>
        <item x="582"/>
        <item x="583"/>
        <item x="584"/>
        <item x="585"/>
        <item x="1467"/>
        <item x="586"/>
        <item x="587"/>
        <item x="588"/>
        <item x="589"/>
        <item x="591"/>
        <item x="592"/>
        <item x="593"/>
        <item x="594"/>
        <item x="596"/>
        <item x="597"/>
        <item x="595"/>
        <item x="599"/>
        <item x="600"/>
        <item x="601"/>
        <item x="602"/>
        <item x="603"/>
        <item x="604"/>
        <item x="605"/>
        <item x="606"/>
        <item x="607"/>
        <item x="608"/>
        <item x="609"/>
        <item x="610"/>
        <item x="611"/>
        <item x="612"/>
        <item x="613"/>
        <item x="614"/>
        <item x="616"/>
        <item x="617"/>
        <item x="1466"/>
        <item x="618"/>
        <item x="619"/>
        <item x="620"/>
        <item x="621"/>
        <item x="622"/>
        <item x="623"/>
        <item x="624"/>
        <item x="625"/>
        <item x="626"/>
        <item x="627"/>
        <item x="628"/>
        <item x="629"/>
        <item x="630"/>
        <item x="631"/>
        <item x="632"/>
        <item x="1465"/>
        <item x="633"/>
        <item x="1464"/>
        <item x="634"/>
        <item x="635"/>
        <item x="636"/>
        <item x="637"/>
        <item x="638"/>
        <item x="639"/>
        <item x="641"/>
        <item x="642"/>
        <item x="1234"/>
        <item x="224"/>
        <item x="1195"/>
        <item x="1196"/>
        <item x="1244"/>
        <item x="1371"/>
        <item x="307"/>
        <item x="274"/>
        <item x="1194"/>
        <item x="1243"/>
        <item x="1635"/>
        <item x="1463"/>
        <item x="1461"/>
        <item x="1239"/>
        <item x="1641"/>
        <item x="1197"/>
        <item x="1379"/>
        <item x="656"/>
        <item x="659"/>
        <item x="1396"/>
        <item x="1193"/>
        <item x="647"/>
        <item x="1510"/>
        <item x="663"/>
        <item x="1212"/>
        <item x="1231"/>
        <item x="1233"/>
        <item x="1516"/>
        <item x="643"/>
        <item x="655"/>
        <item x="1638"/>
        <item x="1207"/>
        <item x="660"/>
        <item x="661"/>
        <item x="662"/>
        <item x="1230"/>
        <item x="644"/>
        <item x="1490"/>
        <item x="1579"/>
        <item x="1206"/>
        <item x="1290"/>
        <item x="648"/>
        <item x="1289"/>
        <item x="1421"/>
        <item x="1211"/>
        <item x="1404"/>
        <item x="1403"/>
        <item x="1242"/>
        <item x="649"/>
        <item x="1209"/>
        <item x="1575"/>
        <item x="1287"/>
        <item x="658"/>
        <item x="1462"/>
        <item x="1205"/>
        <item x="1369"/>
        <item x="1282"/>
        <item x="1232"/>
        <item x="646"/>
        <item x="847"/>
        <item x="1515"/>
        <item x="657"/>
        <item x="1364"/>
        <item x="664"/>
        <item x="665"/>
        <item x="666"/>
        <item x="1440"/>
        <item x="667"/>
        <item x="668"/>
        <item x="669"/>
        <item x="1273"/>
        <item x="1407"/>
        <item x="1326"/>
        <item x="1573"/>
        <item x="1373"/>
        <item x="177"/>
        <item x="670"/>
        <item x="1294"/>
        <item x="671"/>
        <item x="672"/>
        <item x="673"/>
        <item x="674"/>
        <item x="675"/>
        <item x="1163"/>
        <item x="676"/>
        <item x="677"/>
        <item x="1312"/>
        <item x="678"/>
        <item x="679"/>
        <item x="1594"/>
        <item x="680"/>
        <item x="681"/>
        <item x="682"/>
        <item x="683"/>
        <item x="684"/>
        <item x="685"/>
        <item x="1459"/>
        <item x="686"/>
        <item x="687"/>
        <item x="688"/>
        <item x="689"/>
        <item x="690"/>
        <item x="691"/>
        <item x="692"/>
        <item x="693"/>
        <item x="694"/>
        <item x="695"/>
        <item x="696"/>
        <item x="1249"/>
        <item x="159"/>
        <item x="1482"/>
        <item x="697"/>
        <item x="698"/>
        <item x="699"/>
        <item x="700"/>
        <item x="701"/>
        <item x="702"/>
        <item x="1460"/>
        <item x="703"/>
        <item x="704"/>
        <item x="705"/>
        <item x="706"/>
        <item x="1552"/>
        <item x="707"/>
        <item x="1458"/>
        <item x="708"/>
        <item x="709"/>
        <item x="710"/>
        <item x="711"/>
        <item x="712"/>
        <item x="713"/>
        <item x="714"/>
        <item x="715"/>
        <item x="716"/>
        <item x="590"/>
        <item x="717"/>
        <item x="718"/>
        <item x="1310"/>
        <item x="719"/>
        <item x="720"/>
        <item x="721"/>
        <item x="722"/>
        <item x="723"/>
        <item x="724"/>
        <item x="725"/>
        <item x="726"/>
        <item x="727"/>
        <item x="728"/>
        <item x="729"/>
        <item x="730"/>
        <item x="1295"/>
        <item x="1296"/>
        <item x="731"/>
        <item x="732"/>
        <item x="733"/>
        <item x="734"/>
        <item x="735"/>
        <item x="736"/>
        <item x="737"/>
        <item x="1361"/>
        <item x="1297"/>
        <item x="738"/>
        <item x="739"/>
        <item x="1651"/>
        <item x="1236"/>
        <item x="740"/>
        <item x="742"/>
        <item x="741"/>
        <item x="743"/>
        <item x="744"/>
        <item x="745"/>
        <item x="1457"/>
        <item x="746"/>
        <item x="747"/>
        <item x="748"/>
        <item x="749"/>
        <item x="750"/>
        <item x="751"/>
        <item x="752"/>
        <item x="1456"/>
        <item x="753"/>
        <item x="754"/>
        <item x="755"/>
        <item x="1203"/>
        <item x="756"/>
        <item x="1580"/>
        <item x="757"/>
        <item x="1581"/>
        <item x="758"/>
        <item x="760"/>
        <item x="1292"/>
        <item x="761"/>
        <item x="762"/>
        <item x="763"/>
        <item x="1180"/>
        <item x="764"/>
        <item x="765"/>
        <item x="766"/>
        <item x="767"/>
        <item x="768"/>
        <item x="769"/>
        <item x="770"/>
        <item x="771"/>
        <item x="1507"/>
        <item x="772"/>
        <item x="1355"/>
        <item x="773"/>
        <item x="774"/>
        <item x="775"/>
        <item x="776"/>
        <item x="1299"/>
        <item x="777"/>
        <item x="1183"/>
        <item x="1221"/>
        <item x="778"/>
        <item x="779"/>
        <item x="780"/>
        <item x="781"/>
        <item x="782"/>
        <item x="1280"/>
        <item x="783"/>
        <item x="784"/>
        <item x="1593"/>
        <item x="785"/>
        <item x="786"/>
        <item x="787"/>
        <item x="788"/>
        <item x="789"/>
        <item x="790"/>
        <item x="791"/>
        <item x="792"/>
        <item x="793"/>
        <item x="794"/>
        <item x="796"/>
        <item x="797"/>
        <item x="798"/>
        <item x="494"/>
        <item x="799"/>
        <item x="800"/>
        <item x="801"/>
        <item x="1455"/>
        <item x="1454"/>
        <item x="802"/>
        <item x="803"/>
        <item x="804"/>
        <item x="805"/>
        <item x="806"/>
        <item x="1320"/>
        <item x="807"/>
        <item x="808"/>
        <item x="809"/>
        <item x="810"/>
        <item x="811"/>
        <item x="650"/>
        <item x="651"/>
        <item x="652"/>
        <item x="812"/>
        <item x="813"/>
        <item x="175"/>
        <item x="814"/>
        <item x="815"/>
        <item x="47"/>
        <item x="48"/>
        <item x="816"/>
        <item x="1590"/>
        <item x="1587"/>
        <item x="817"/>
        <item x="818"/>
        <item x="819"/>
        <item x="820"/>
        <item x="821"/>
        <item x="822"/>
        <item x="823"/>
        <item x="824"/>
        <item x="825"/>
        <item x="826"/>
        <item x="827"/>
        <item x="828"/>
        <item x="1288"/>
        <item x="829"/>
        <item x="830"/>
        <item x="598"/>
        <item x="831"/>
        <item x="1387"/>
        <item x="1582"/>
        <item x="1588"/>
        <item x="832"/>
        <item x="1453"/>
        <item x="833"/>
        <item x="834"/>
        <item x="835"/>
        <item x="836"/>
        <item x="837"/>
        <item x="838"/>
        <item x="1283"/>
        <item x="839"/>
        <item x="1308"/>
        <item x="840"/>
        <item x="841"/>
        <item x="842"/>
        <item x="843"/>
        <item x="148"/>
        <item x="844"/>
        <item x="1452"/>
        <item x="149"/>
        <item x="845"/>
        <item x="846"/>
        <item x="1592"/>
        <item x="848"/>
        <item x="849"/>
        <item x="850"/>
        <item x="851"/>
        <item x="1360"/>
        <item x="1182"/>
        <item x="852"/>
        <item x="853"/>
        <item x="854"/>
        <item x="49"/>
        <item x="855"/>
        <item x="1258"/>
        <item x="856"/>
        <item x="857"/>
        <item x="858"/>
        <item x="859"/>
        <item x="860"/>
        <item x="861"/>
        <item x="645"/>
        <item x="862"/>
        <item x="863"/>
        <item x="864"/>
        <item x="1513"/>
        <item x="865"/>
        <item x="866"/>
        <item x="1451"/>
        <item x="1450"/>
        <item x="867"/>
        <item x="1301"/>
        <item x="1370"/>
        <item x="868"/>
        <item x="1449"/>
        <item x="869"/>
        <item x="870"/>
        <item x="871"/>
        <item x="872"/>
        <item x="873"/>
        <item x="874"/>
        <item x="875"/>
        <item x="876"/>
        <item x="877"/>
        <item x="26"/>
        <item x="878"/>
        <item x="879"/>
        <item x="1448"/>
        <item x="1311"/>
        <item x="880"/>
        <item x="881"/>
        <item x="882"/>
        <item x="883"/>
        <item x="884"/>
        <item x="1447"/>
        <item x="885"/>
        <item x="886"/>
        <item x="887"/>
        <item x="1446"/>
        <item x="888"/>
        <item x="889"/>
        <item x="890"/>
        <item x="891"/>
        <item x="892"/>
        <item x="893"/>
        <item x="894"/>
        <item x="1175"/>
        <item x="895"/>
        <item x="288"/>
        <item x="276"/>
        <item x="282"/>
        <item x="896"/>
        <item x="897"/>
        <item x="898"/>
        <item x="1293"/>
        <item x="899"/>
        <item x="900"/>
        <item x="901"/>
        <item x="902"/>
        <item x="903"/>
        <item x="904"/>
        <item x="905"/>
        <item x="906"/>
        <item x="907"/>
        <item x="908"/>
        <item x="909"/>
        <item x="910"/>
        <item x="911"/>
        <item x="912"/>
        <item x="913"/>
        <item x="914"/>
        <item x="915"/>
        <item x="916"/>
        <item x="917"/>
        <item x="918"/>
        <item x="1445"/>
        <item x="919"/>
        <item x="1444"/>
        <item x="920"/>
        <item x="921"/>
        <item x="922"/>
        <item x="923"/>
        <item x="924"/>
        <item x="925"/>
        <item x="926"/>
        <item x="166"/>
        <item x="167"/>
        <item x="927"/>
        <item x="928"/>
        <item x="929"/>
        <item x="930"/>
        <item x="931"/>
        <item x="932"/>
        <item x="933"/>
        <item x="934"/>
        <item x="935"/>
        <item x="936"/>
        <item x="937"/>
        <item x="938"/>
        <item x="939"/>
        <item x="340"/>
        <item x="1381"/>
        <item x="940"/>
        <item x="1591"/>
        <item x="941"/>
        <item x="942"/>
        <item x="943"/>
        <item x="944"/>
        <item x="945"/>
        <item x="1219"/>
        <item x="946"/>
        <item x="1443"/>
        <item x="947"/>
        <item x="948"/>
        <item x="949"/>
        <item x="950"/>
        <item x="1237"/>
        <item x="951"/>
        <item x="952"/>
        <item x="953"/>
        <item x="954"/>
        <item x="955"/>
        <item x="956"/>
        <item x="957"/>
        <item x="958"/>
        <item x="959"/>
        <item x="960"/>
        <item x="961"/>
        <item x="962"/>
        <item x="963"/>
        <item x="1589"/>
        <item x="1442"/>
        <item x="1358"/>
        <item x="150"/>
        <item x="50"/>
        <item x="964"/>
        <item x="965"/>
        <item x="966"/>
        <item x="967"/>
        <item x="968"/>
        <item x="969"/>
        <item x="169"/>
        <item x="1250"/>
        <item x="970"/>
        <item x="971"/>
        <item x="972"/>
        <item x="973"/>
        <item x="974"/>
        <item x="975"/>
        <item x="1441"/>
        <item x="976"/>
        <item x="977"/>
        <item x="978"/>
        <item x="979"/>
        <item x="980"/>
        <item x="981"/>
        <item x="1302"/>
        <item x="982"/>
        <item x="983"/>
        <item x="984"/>
        <item x="1313"/>
        <item x="1314"/>
        <item x="985"/>
        <item x="986"/>
        <item x="1173"/>
        <item x="987"/>
        <item x="988"/>
        <item x="1154"/>
        <item x="759"/>
        <item x="653"/>
        <item x="654"/>
        <item x="989"/>
        <item x="990"/>
        <item x="991"/>
        <item x="992"/>
        <item x="993"/>
        <item x="1155"/>
        <item x="994"/>
        <item x="995"/>
        <item x="996"/>
        <item x="1512"/>
        <item x="1218"/>
        <item x="1217"/>
        <item x="997"/>
        <item x="998"/>
        <item x="999"/>
        <item x="1000"/>
        <item x="1001"/>
        <item x="1002"/>
        <item x="1323"/>
        <item x="1328"/>
        <item x="1003"/>
        <item x="1004"/>
        <item x="1005"/>
        <item x="1006"/>
        <item x="1007"/>
        <item x="1008"/>
        <item x="1009"/>
        <item x="1010"/>
        <item x="1011"/>
        <item x="1012"/>
        <item x="1013"/>
        <item x="1014"/>
        <item x="1015"/>
        <item x="1551"/>
        <item x="1016"/>
        <item x="1176"/>
        <item x="1372"/>
        <item x="1017"/>
        <item x="258"/>
        <item x="1018"/>
        <item x="1019"/>
        <item x="1020"/>
        <item x="1572"/>
        <item x="1571"/>
        <item x="1570"/>
        <item x="1303"/>
        <item x="1021"/>
        <item x="1022"/>
        <item x="1023"/>
        <item x="1024"/>
        <item x="1025"/>
        <item x="1026"/>
        <item x="1027"/>
        <item x="1028"/>
        <item x="1029"/>
        <item x="1030"/>
        <item x="1315"/>
        <item x="1031"/>
        <item x="1032"/>
        <item x="1439"/>
        <item x="1033"/>
        <item x="1034"/>
        <item x="1035"/>
        <item x="1036"/>
        <item x="1037"/>
        <item x="1038"/>
        <item x="1039"/>
        <item x="1040"/>
        <item x="1041"/>
        <item x="1042"/>
        <item x="1043"/>
        <item x="1044"/>
        <item x="1045"/>
        <item x="1333"/>
        <item x="1046"/>
        <item x="1047"/>
        <item x="1048"/>
        <item x="1309"/>
        <item x="1049"/>
        <item x="1050"/>
        <item x="1153"/>
        <item x="1051"/>
        <item x="1052"/>
        <item x="1359"/>
        <item x="1053"/>
        <item x="1054"/>
        <item x="1055"/>
        <item x="1227"/>
        <item x="1056"/>
        <item x="1057"/>
        <item x="1228"/>
        <item x="1058"/>
        <item x="1059"/>
        <item x="1514"/>
        <item x="1060"/>
        <item x="1061"/>
        <item x="1062"/>
        <item x="1063"/>
        <item x="1064"/>
        <item x="1065"/>
        <item x="1340"/>
        <item x="1066"/>
        <item x="1067"/>
        <item x="1068"/>
        <item x="1069"/>
        <item x="1070"/>
        <item x="1191"/>
        <item x="1071"/>
        <item x="1072"/>
        <item x="1073"/>
        <item x="1074"/>
        <item x="1075"/>
        <item x="1076"/>
        <item x="1077"/>
        <item x="1078"/>
        <item x="1079"/>
        <item x="1080"/>
        <item x="1081"/>
        <item x="1082"/>
        <item x="1083"/>
        <item x="1084"/>
        <item x="1085"/>
        <item x="1086"/>
        <item x="1087"/>
        <item x="1088"/>
        <item x="1324"/>
        <item x="1089"/>
        <item x="1090"/>
        <item x="1091"/>
        <item x="1092"/>
        <item x="1093"/>
        <item x="1094"/>
        <item x="1438"/>
        <item x="1095"/>
        <item x="1096"/>
        <item x="1097"/>
        <item x="1378"/>
        <item x="1583"/>
        <item x="1098"/>
        <item x="1099"/>
        <item x="1100"/>
        <item x="1101"/>
        <item x="1102"/>
        <item x="1103"/>
        <item x="1104"/>
        <item x="1105"/>
        <item x="1106"/>
        <item x="1107"/>
        <item x="1108"/>
        <item x="1437"/>
        <item x="1109"/>
        <item x="1245"/>
        <item x="1110"/>
        <item x="138"/>
        <item x="1240"/>
        <item x="1111"/>
        <item x="1112"/>
        <item x="1113"/>
        <item x="1436"/>
        <item x="1435"/>
        <item x="1434"/>
        <item x="1652"/>
        <item x="1114"/>
        <item x="1433"/>
        <item x="1115"/>
        <item x="1116"/>
        <item x="1432"/>
        <item x="1431"/>
        <item x="1118"/>
        <item x="1430"/>
        <item x="1119"/>
        <item x="1120"/>
        <item x="1121"/>
        <item x="1122"/>
        <item x="1123"/>
        <item x="1429"/>
        <item x="1428"/>
        <item x="1427"/>
        <item x="1426"/>
        <item x="1124"/>
        <item x="1125"/>
        <item x="1425"/>
        <item x="1126"/>
        <item x="1127"/>
        <item x="1424"/>
        <item x="1128"/>
        <item x="1129"/>
        <item x="1130"/>
        <item x="1131"/>
        <item x="1132"/>
        <item x="1133"/>
        <item x="1134"/>
        <item x="1135"/>
        <item x="1136"/>
        <item x="1137"/>
        <item x="1138"/>
        <item x="1139"/>
        <item x="1140"/>
        <item x="1141"/>
        <item x="1377"/>
        <item x="1279"/>
        <item x="1142"/>
        <item x="1143"/>
        <item x="1204"/>
        <item x="1144"/>
        <item x="1145"/>
        <item x="1305"/>
        <item x="1306"/>
        <item x="1146"/>
        <item x="1147"/>
        <item x="1148"/>
        <item x="1567"/>
        <item x="1117"/>
        <item x="1149"/>
        <item x="1423"/>
        <item x="1150"/>
        <item x="1151"/>
        <item x="1152"/>
        <item x="1202"/>
        <item x="1281"/>
        <item x="1201"/>
        <item x="1271"/>
        <item x="1186"/>
        <item x="1187"/>
        <item x="1188"/>
        <item x="1189"/>
        <item x="1405"/>
        <item x="1215"/>
        <item x="1554"/>
        <item x="1322"/>
        <item x="1555"/>
        <item x="1556"/>
        <item x="1269"/>
        <item x="1274"/>
        <item x="1276"/>
        <item x="1190"/>
        <item x="1226"/>
        <item x="1261"/>
        <item x="1260"/>
        <item x="1263"/>
        <item x="1264"/>
        <item x="1262"/>
        <item x="1184"/>
        <item x="1560"/>
        <item x="1257"/>
        <item x="1268"/>
        <item x="1366"/>
        <item x="1564"/>
        <item x="1563"/>
        <item x="1365"/>
        <item x="1395"/>
        <item x="1157"/>
        <item x="1158"/>
        <item x="1159"/>
        <item x="1160"/>
        <item x="1161"/>
        <item x="1162"/>
        <item x="1164"/>
        <item x="1166"/>
        <item x="1167"/>
        <item x="1165"/>
        <item x="1168"/>
        <item x="1169"/>
        <item x="1170"/>
        <item x="1171"/>
        <item x="1172"/>
        <item x="1156"/>
        <item x="1225"/>
        <item x="1174"/>
        <item x="1177"/>
        <item x="1178"/>
        <item x="1179"/>
        <item x="1181"/>
        <item x="1492"/>
        <item x="1208"/>
        <item x="1210"/>
        <item x="1612"/>
        <item x="1213"/>
        <item x="1214"/>
        <item x="1300"/>
        <item x="1220"/>
        <item x="1216"/>
        <item x="1222"/>
        <item x="1224"/>
        <item x="1238"/>
        <item x="1241"/>
        <item x="1481"/>
        <item x="1247"/>
        <item x="1251"/>
        <item x="1252"/>
        <item x="1253"/>
        <item x="1254"/>
        <item x="1255"/>
        <item x="1256"/>
        <item x="1259"/>
        <item x="1265"/>
        <item x="1266"/>
        <item x="1267"/>
        <item x="1270"/>
        <item x="1272"/>
        <item x="1275"/>
        <item x="1335"/>
        <item x="1284"/>
        <item x="1304"/>
        <item x="1316"/>
        <item x="1317"/>
        <item x="1318"/>
        <item x="1319"/>
        <item x="1559"/>
        <item x="1389"/>
        <item x="1562"/>
        <item x="1561"/>
        <item x="1558"/>
        <item x="1557"/>
        <item x="1368"/>
        <item x="1367"/>
        <item x="1388"/>
        <item x="1341"/>
        <item x="1327"/>
        <item x="1330"/>
        <item x="1331"/>
        <item x="1332"/>
        <item x="1336"/>
        <item x="1338"/>
        <item x="1353"/>
        <item x="1351"/>
        <item x="1337"/>
        <item x="1401"/>
        <item x="1363"/>
        <item x="1629"/>
        <item x="1402"/>
        <item x="1600"/>
        <item x="1339"/>
        <item x="1342"/>
        <item x="1343"/>
        <item x="1344"/>
        <item x="1345"/>
        <item x="1346"/>
        <item x="1347"/>
        <item x="1348"/>
        <item x="1349"/>
        <item x="1350"/>
        <item x="269"/>
        <item x="1354"/>
        <item x="1565"/>
        <item x="1394"/>
        <item x="1393"/>
        <item x="1392"/>
        <item x="1390"/>
        <item x="1375"/>
        <item x="1376"/>
        <item x="1382"/>
        <item x="1383"/>
        <item x="1384"/>
        <item x="1385"/>
        <item x="1386"/>
        <item x="1495"/>
        <item x="1496"/>
        <item x="1497"/>
        <item x="1498"/>
        <item x="1285"/>
        <item x="1286"/>
        <item x="1511"/>
        <item x="1647"/>
        <item x="1577"/>
        <item x="1356"/>
        <item x="1248"/>
        <item x="1334"/>
        <item x="1229"/>
        <item x="1646"/>
        <item x="1619"/>
        <item x="1291"/>
        <item x="1357"/>
        <item x="1502"/>
        <item x="1642"/>
        <item x="1406"/>
        <item x="1413"/>
        <item x="1419"/>
        <item x="1418"/>
        <item x="1417"/>
        <item x="1422"/>
        <item x="1416"/>
        <item x="1412"/>
        <item x="1488"/>
        <item x="1411"/>
        <item x="1487"/>
        <item x="1410"/>
        <item x="1409"/>
        <item x="1408"/>
        <item x="1631"/>
        <item x="1486"/>
        <item x="1485"/>
        <item x="1484"/>
        <item x="1483"/>
        <item x="1595"/>
        <item x="1615"/>
        <item x="1624"/>
        <item x="1616"/>
        <item x="1613"/>
        <item x="1614"/>
        <item x="1617"/>
        <item x="1627"/>
        <item x="1618"/>
        <item x="1277"/>
        <item x="1489"/>
        <item x="1625"/>
        <item x="1278"/>
        <item x="1505"/>
        <item x="1506"/>
        <item x="1499"/>
        <item x="1585"/>
        <item x="1628"/>
        <item x="1644"/>
        <item x="1645"/>
        <item x="1414"/>
        <item x="1566"/>
        <item x="795"/>
        <item x="1607"/>
        <item x="1352"/>
        <item x="1508"/>
        <item x="1643"/>
        <item x="3"/>
        <item x="1640"/>
        <item x="1500"/>
        <item x="1639"/>
        <item x="1493"/>
        <item x="1578"/>
        <item x="1501"/>
        <item x="1298"/>
        <item x="1391"/>
        <item x="1397"/>
        <item x="1398"/>
        <item x="1399"/>
        <item x="1307"/>
        <item x="1415"/>
        <item x="1504"/>
        <item x="1609"/>
        <item x="1509"/>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630"/>
        <item x="1611"/>
        <item x="1198"/>
        <item x="1199"/>
        <item x="1576"/>
        <item x="1491"/>
        <item x="377"/>
        <item x="1637"/>
        <item x="1626"/>
        <item x="1574"/>
        <item x="1648"/>
        <item x="1321"/>
        <item x="1246"/>
        <item x="1494"/>
        <item x="1649"/>
        <item x="1596"/>
        <item x="1650"/>
        <item x="1610"/>
        <item x="1636"/>
        <item x="1602"/>
        <item x="640"/>
        <item x="1553"/>
        <item x="1568"/>
        <item x="1584"/>
        <item x="1586"/>
        <item x="1597"/>
        <item x="1598"/>
        <item x="1599"/>
        <item x="1601"/>
        <item x="1603"/>
        <item x="1604"/>
        <item x="1605"/>
        <item x="1606"/>
        <item x="1608"/>
        <item x="1620"/>
        <item x="1621"/>
        <item x="1622"/>
        <item x="1623"/>
        <item x="1632"/>
      </items>
    </pivotField>
    <pivotField name="hoofdthema" compact="0" outline="0" multipleItemSelectionAllowed="1" showAll="0"/>
    <pivotField name="subthema" axis="axisPage" compact="0" outline="0" multipleItemSelectionAllowed="1" showAll="0">
      <items count="10">
        <item h="1" x="0"/>
        <item h="1" x="1"/>
        <item h="1" x="2"/>
        <item h="1" x="3"/>
        <item x="4"/>
        <item h="1" x="5"/>
        <item h="1" x="6"/>
        <item h="1" x="7"/>
        <item h="1" x="8"/>
        <item t="default"/>
      </items>
    </pivotField>
    <pivotField name="ingreep_id" compact="0" outline="0" multipleItemSelectionAllowed="1" showAll="0"/>
    <pivotField name="ingreepnummer" compact="0" outline="0" multipleItemSelectionAllowed="1" showAll="0"/>
    <pivotField name="ingreep_titel" compact="0" outline="0" multipleItemSelectionAllowed="1" showAll="0"/>
    <pivotField name="ingreep_omschrijving" compact="0" outline="0" multipleItemSelectionAllowed="1" showAll="0"/>
    <pivotField name="ingreep_type" compact="0" outline="0" multipleItemSelectionAllowed="1" showAll="0"/>
    <pivotField name="ingreep_aidnummer" compact="0" outline="0" multipleItemSelectionAllowed="1" showAll="0"/>
    <pivotField name="opgevolgd_in_bod" compact="0" outline="0" multipleItemSelectionAllowed="1" showAll="0"/>
    <pivotField name="opgevolgd_in_bod_omschrijving" compact="0" outline="0" multipleItemSelectionAllowed="1" showAll="0"/>
    <pivotField name="bestek_id" compact="0" outline="0" multipleItemSelectionAllowed="1" showAll="0"/>
    <pivotField name="dossiernummer" compact="0" outline="0" multipleItemSelectionAllowed="1" showAll="0"/>
    <pivotField name="vastlegging_id" compact="0" outline="0" multipleItemSelectionAllowed="1" showAll="0"/>
    <pivotField name="inkoopordernummer" compact="0" outline="0" multipleItemSelectionAllowed="1" showAll="0"/>
    <pivotField name="inkooporder_omschrijving_bod" compact="0" outline="0" multipleItemSelectionAllowed="1" showAll="0"/>
    <pivotField name="programma_array" axis="axisRow" compact="0" outline="0" multipleItemSelectionAllowed="1" showAll="0" sortType="ascending">
      <items count="29">
        <item x="25"/>
        <item x="24"/>
        <item x="22"/>
        <item x="15"/>
        <item x="17"/>
        <item x="18"/>
        <item x="16"/>
        <item x="19"/>
        <item x="20"/>
        <item x="11"/>
        <item x="21"/>
        <item x="27"/>
        <item x="6"/>
        <item x="23"/>
        <item x="3"/>
        <item x="5"/>
        <item x="26"/>
        <item x="1"/>
        <item x="2"/>
        <item x="7"/>
        <item x="12"/>
        <item x="10"/>
        <item x="14"/>
        <item x="9"/>
        <item x="4"/>
        <item x="8"/>
        <item x="13"/>
        <item x="0"/>
        <item t="default"/>
      </items>
    </pivotField>
    <pivotField name="vastleggingsdeel_id" compact="0" outline="0" multipleItemSelectionAllowed="1" showAll="0"/>
    <pivotField name="naam" compact="0" outline="0" multipleItemSelectionAllowed="1" showAll="0"/>
    <pivotField name="toelichting" compact="0" outline="0" multipleItemSelectionAllowed="1" showAll="0"/>
    <pivotField name="ingreep_aidnummer2" compact="0" outline="0" multipleItemSelectionAllowed="1" showAll="0"/>
    <pivotField name="knelpunt_percentage_raming" compact="0" outline="0" multipleItemSelectionAllowed="1" showAll="0"/>
    <pivotField name="bedrag_gedeelte_excl_btw" compact="0" outline="0" multipleItemSelectionAllowed="1" showAll="0"/>
    <pivotField name="bedrag_afgerekend" compact="0" outline="0" multipleItemSelectionAllowed="1" showAll="0"/>
    <pivotField name="bedrag_af_te_rekenen" compact="0" outline="0" multipleItemSelectionAllowed="1" showAll="0"/>
    <pivotField name="bedrag_beschikbaar" compact="0" outline="0" multipleItemSelectionAllowed="1" showAll="0"/>
    <pivotField name="gereserveerde_bedrag_vastleggingsdeel_excl_btw" dataField="1" compact="0" outline="0" multipleItemSelectionAllowed="1" showAll="0"/>
    <pivotField name="afgerekende_bedrag_vastleggingsdeel_excl_btw" dataField="1" compact="0" outline="0" multipleItemSelectionAllowed="1" showAll="0"/>
    <pivotField name="nog_af_te_rekenen_bedrag_vastleggingsdeel_excl_btw" compact="0" outline="0" multipleItemSelectionAllowed="1" showAll="0"/>
    <pivotField name="beschikbare_bedrag_vastleggingsdeel_excl_btw" compact="0" outline="0" multipleItemSelectionAllowed="1" showAll="0"/>
  </pivotFields>
  <rowFields count="3">
    <field x="0"/>
    <field x="1"/>
    <field x="17"/>
  </rowFields>
  <rowItems count="720">
    <i>
      <x v="708"/>
      <x v="709"/>
      <x v="12"/>
    </i>
    <i r="2">
      <x v="14"/>
    </i>
    <i>
      <x v="709"/>
      <x v="710"/>
      <x v="23"/>
    </i>
    <i>
      <x v="710"/>
      <x v="711"/>
      <x v="27"/>
    </i>
    <i>
      <x v="711"/>
      <x v="712"/>
      <x v="27"/>
    </i>
    <i>
      <x v="712"/>
      <x v="713"/>
      <x v="27"/>
    </i>
    <i>
      <x v="713"/>
      <x v="714"/>
      <x v="6"/>
    </i>
    <i>
      <x v="714"/>
      <x v="715"/>
      <x v="27"/>
    </i>
    <i>
      <x v="715"/>
      <x v="716"/>
      <x v="21"/>
    </i>
    <i>
      <x v="716"/>
      <x v="717"/>
      <x v="27"/>
    </i>
    <i>
      <x v="717"/>
      <x v="718"/>
      <x v="27"/>
    </i>
    <i>
      <x v="718"/>
      <x v="719"/>
      <x v="27"/>
    </i>
    <i>
      <x v="719"/>
      <x v="720"/>
      <x v="27"/>
    </i>
    <i>
      <x v="720"/>
      <x v="721"/>
      <x v="18"/>
    </i>
    <i r="2">
      <x v="27"/>
    </i>
    <i>
      <x v="721"/>
      <x v="722"/>
      <x v="22"/>
    </i>
    <i>
      <x v="722"/>
      <x v="723"/>
      <x v="22"/>
    </i>
    <i>
      <x v="723"/>
      <x v="724"/>
      <x v="27"/>
    </i>
    <i>
      <x v="724"/>
      <x v="725"/>
      <x v="27"/>
    </i>
    <i>
      <x v="725"/>
      <x v="726"/>
      <x v="4"/>
    </i>
    <i>
      <x v="726"/>
      <x v="727"/>
      <x v="27"/>
    </i>
    <i>
      <x v="727"/>
      <x v="728"/>
      <x v="27"/>
    </i>
    <i>
      <x v="728"/>
      <x v="729"/>
      <x v="18"/>
    </i>
    <i>
      <x v="729"/>
      <x v="730"/>
      <x v="27"/>
    </i>
    <i>
      <x v="730"/>
      <x v="731"/>
      <x v="27"/>
    </i>
    <i>
      <x v="731"/>
      <x v="732"/>
      <x v="27"/>
    </i>
    <i>
      <x v="732"/>
      <x v="733"/>
      <x v="12"/>
    </i>
    <i>
      <x v="733"/>
      <x v="734"/>
      <x v="23"/>
    </i>
    <i>
      <x v="734"/>
      <x v="735"/>
      <x v="27"/>
    </i>
    <i>
      <x v="735"/>
      <x v="736"/>
      <x v="27"/>
    </i>
    <i>
      <x v="736"/>
      <x v="737"/>
      <x v="5"/>
    </i>
    <i>
      <x v="737"/>
      <x v="738"/>
      <x v="23"/>
    </i>
    <i>
      <x v="738"/>
      <x v="739"/>
      <x v="27"/>
    </i>
    <i>
      <x v="739"/>
      <x v="740"/>
      <x v="23"/>
    </i>
    <i>
      <x v="740"/>
      <x v="741"/>
      <x v="27"/>
    </i>
    <i>
      <x v="741"/>
      <x v="742"/>
      <x v="27"/>
    </i>
    <i>
      <x v="742"/>
      <x v="743"/>
      <x v="27"/>
    </i>
    <i>
      <x v="743"/>
      <x v="744"/>
      <x v="27"/>
    </i>
    <i>
      <x v="744"/>
      <x v="745"/>
      <x v="6"/>
    </i>
    <i>
      <x v="745"/>
      <x v="746"/>
      <x v="6"/>
    </i>
    <i>
      <x v="746"/>
      <x v="747"/>
      <x v="27"/>
    </i>
    <i>
      <x v="747"/>
      <x v="748"/>
      <x v="27"/>
    </i>
    <i>
      <x v="748"/>
      <x v="749"/>
      <x v="27"/>
    </i>
    <i>
      <x v="749"/>
      <x v="750"/>
      <x v="27"/>
    </i>
    <i>
      <x v="750"/>
      <x v="751"/>
      <x v="27"/>
    </i>
    <i>
      <x v="751"/>
      <x v="752"/>
      <x v="27"/>
    </i>
    <i>
      <x v="752"/>
      <x v="753"/>
      <x v="27"/>
    </i>
    <i>
      <x v="753"/>
      <x v="754"/>
      <x v="27"/>
    </i>
    <i>
      <x v="754"/>
      <x v="755"/>
      <x v="27"/>
    </i>
    <i>
      <x v="755"/>
      <x v="756"/>
      <x v="23"/>
    </i>
    <i>
      <x v="756"/>
      <x v="757"/>
      <x v="27"/>
    </i>
    <i>
      <x v="757"/>
      <x v="758"/>
      <x v="27"/>
    </i>
    <i>
      <x v="758"/>
      <x v="759"/>
      <x v="27"/>
    </i>
    <i>
      <x v="759"/>
      <x v="760"/>
      <x v="27"/>
    </i>
    <i>
      <x v="760"/>
      <x v="761"/>
      <x v="14"/>
    </i>
    <i r="2">
      <x v="27"/>
    </i>
    <i>
      <x v="761"/>
      <x v="762"/>
      <x v="23"/>
    </i>
    <i>
      <x v="762"/>
      <x v="763"/>
      <x v="27"/>
    </i>
    <i>
      <x v="763"/>
      <x v="764"/>
      <x v="27"/>
    </i>
    <i>
      <x v="764"/>
      <x v="765"/>
      <x v="27"/>
    </i>
    <i>
      <x v="765"/>
      <x v="766"/>
      <x v="27"/>
    </i>
    <i>
      <x v="766"/>
      <x v="767"/>
      <x v="27"/>
    </i>
    <i>
      <x v="767"/>
      <x v="768"/>
      <x v="27"/>
    </i>
    <i>
      <x v="768"/>
      <x v="769"/>
      <x v="23"/>
    </i>
    <i r="2">
      <x v="27"/>
    </i>
    <i>
      <x v="769"/>
      <x v="770"/>
      <x v="27"/>
    </i>
    <i>
      <x v="770"/>
      <x v="771"/>
      <x v="5"/>
    </i>
    <i>
      <x v="771"/>
      <x v="772"/>
      <x v="27"/>
    </i>
    <i>
      <x v="772"/>
      <x v="773"/>
      <x v="27"/>
    </i>
    <i>
      <x v="773"/>
      <x v="774"/>
      <x v="27"/>
    </i>
    <i>
      <x v="774"/>
      <x v="775"/>
      <x v="7"/>
    </i>
    <i>
      <x v="775"/>
      <x v="776"/>
      <x v="27"/>
    </i>
    <i>
      <x v="776"/>
      <x v="777"/>
      <x v="27"/>
    </i>
    <i>
      <x v="777"/>
      <x v="778"/>
      <x v="27"/>
    </i>
    <i>
      <x v="778"/>
      <x v="779"/>
      <x v="27"/>
    </i>
    <i>
      <x v="779"/>
      <x v="780"/>
      <x v="27"/>
    </i>
    <i>
      <x v="780"/>
      <x v="781"/>
      <x v="27"/>
    </i>
    <i>
      <x v="781"/>
      <x v="782"/>
      <x v="27"/>
    </i>
    <i>
      <x v="782"/>
      <x v="783"/>
      <x v="27"/>
    </i>
    <i>
      <x v="783"/>
      <x v="784"/>
      <x v="12"/>
    </i>
    <i r="2">
      <x v="27"/>
    </i>
    <i>
      <x v="784"/>
      <x v="785"/>
      <x v="14"/>
    </i>
    <i r="2">
      <x v="23"/>
    </i>
    <i>
      <x v="785"/>
      <x v="786"/>
      <x v="27"/>
    </i>
    <i>
      <x v="786"/>
      <x v="787"/>
      <x v="27"/>
    </i>
    <i>
      <x v="787"/>
      <x v="788"/>
      <x v="27"/>
    </i>
    <i>
      <x v="788"/>
      <x v="789"/>
      <x v="27"/>
    </i>
    <i>
      <x v="789"/>
      <x v="790"/>
      <x v="22"/>
    </i>
    <i>
      <x v="790"/>
      <x v="791"/>
      <x v="8"/>
    </i>
    <i>
      <x v="791"/>
      <x v="792"/>
      <x v="27"/>
    </i>
    <i>
      <x v="792"/>
      <x v="793"/>
      <x v="12"/>
    </i>
    <i>
      <x v="793"/>
      <x v="794"/>
      <x v="8"/>
    </i>
    <i>
      <x v="794"/>
      <x v="795"/>
      <x v="27"/>
    </i>
    <i>
      <x v="795"/>
      <x v="796"/>
      <x v="27"/>
    </i>
    <i>
      <x v="796"/>
      <x v="797"/>
      <x v="27"/>
    </i>
    <i>
      <x v="797"/>
      <x v="798"/>
      <x v="6"/>
    </i>
    <i r="2">
      <x v="8"/>
    </i>
    <i r="2">
      <x v="27"/>
    </i>
    <i>
      <x v="798"/>
      <x v="799"/>
      <x v="6"/>
    </i>
    <i r="2">
      <x v="18"/>
    </i>
    <i>
      <x v="799"/>
      <x v="800"/>
      <x v="8"/>
    </i>
    <i r="2">
      <x v="18"/>
    </i>
    <i>
      <x v="800"/>
      <x v="801"/>
      <x v="22"/>
    </i>
    <i r="2">
      <x v="27"/>
    </i>
    <i>
      <x v="801"/>
      <x v="802"/>
      <x v="8"/>
    </i>
    <i r="2">
      <x v="22"/>
    </i>
    <i>
      <x v="802"/>
      <x v="803"/>
      <x v="8"/>
    </i>
    <i>
      <x v="803"/>
      <x v="804"/>
      <x v="27"/>
    </i>
    <i>
      <x v="804"/>
      <x v="805"/>
      <x v="22"/>
    </i>
    <i r="2">
      <x v="27"/>
    </i>
    <i>
      <x v="805"/>
      <x v="806"/>
      <x v="18"/>
    </i>
    <i>
      <x v="806"/>
      <x v="807"/>
      <x v="27"/>
    </i>
    <i>
      <x v="807"/>
      <x v="808"/>
      <x v="7"/>
    </i>
    <i r="2">
      <x v="27"/>
    </i>
    <i>
      <x v="808"/>
      <x v="809"/>
      <x v="27"/>
    </i>
    <i>
      <x v="809"/>
      <x v="810"/>
      <x v="4"/>
    </i>
    <i>
      <x v="810"/>
      <x v="811"/>
      <x v="4"/>
    </i>
    <i>
      <x v="811"/>
      <x v="812"/>
      <x v="27"/>
    </i>
    <i>
      <x v="812"/>
      <x v="813"/>
      <x v="27"/>
    </i>
    <i>
      <x v="813"/>
      <x v="814"/>
      <x v="27"/>
    </i>
    <i>
      <x v="814"/>
      <x v="815"/>
      <x v="27"/>
    </i>
    <i>
      <x v="815"/>
      <x v="816"/>
      <x v="27"/>
    </i>
    <i>
      <x v="816"/>
      <x v="817"/>
      <x v="27"/>
    </i>
    <i>
      <x v="817"/>
      <x v="818"/>
      <x v="27"/>
    </i>
    <i>
      <x v="818"/>
      <x v="819"/>
      <x v="27"/>
    </i>
    <i>
      <x v="819"/>
      <x v="820"/>
      <x v="27"/>
    </i>
    <i>
      <x v="820"/>
      <x v="821"/>
      <x v="27"/>
    </i>
    <i>
      <x v="821"/>
      <x v="822"/>
      <x v="27"/>
    </i>
    <i>
      <x v="822"/>
      <x v="823"/>
      <x v="27"/>
    </i>
    <i>
      <x v="823"/>
      <x v="824"/>
      <x v="27"/>
    </i>
    <i>
      <x v="824"/>
      <x v="825"/>
      <x v="27"/>
    </i>
    <i>
      <x v="825"/>
      <x v="826"/>
      <x v="27"/>
    </i>
    <i>
      <x v="826"/>
      <x v="827"/>
      <x v="27"/>
    </i>
    <i>
      <x v="827"/>
      <x v="828"/>
      <x v="27"/>
    </i>
    <i>
      <x v="828"/>
      <x v="829"/>
      <x v="27"/>
    </i>
    <i>
      <x v="829"/>
      <x v="830"/>
      <x v="18"/>
    </i>
    <i>
      <x v="830"/>
      <x v="831"/>
      <x v="27"/>
    </i>
    <i>
      <x v="831"/>
      <x v="832"/>
      <x v="27"/>
    </i>
    <i>
      <x v="832"/>
      <x v="833"/>
      <x v="27"/>
    </i>
    <i>
      <x v="833"/>
      <x v="834"/>
      <x v="27"/>
    </i>
    <i>
      <x v="834"/>
      <x v="835"/>
      <x v="23"/>
    </i>
    <i>
      <x v="835"/>
      <x v="836"/>
      <x v="23"/>
    </i>
    <i>
      <x v="836"/>
      <x v="837"/>
      <x v="27"/>
    </i>
    <i>
      <x v="837"/>
      <x v="838"/>
      <x v="27"/>
    </i>
    <i>
      <x v="838"/>
      <x v="839"/>
      <x v="27"/>
    </i>
    <i>
      <x v="839"/>
      <x v="840"/>
      <x v="23"/>
    </i>
    <i>
      <x v="840"/>
      <x v="841"/>
      <x v="27"/>
    </i>
    <i>
      <x v="841"/>
      <x v="842"/>
      <x v="27"/>
    </i>
    <i>
      <x v="842"/>
      <x v="843"/>
      <x v="27"/>
    </i>
    <i>
      <x v="843"/>
      <x v="844"/>
      <x v="23"/>
    </i>
    <i>
      <x v="844"/>
      <x v="845"/>
      <x v="23"/>
    </i>
    <i>
      <x v="845"/>
      <x v="846"/>
      <x v="23"/>
    </i>
    <i>
      <x v="846"/>
      <x v="847"/>
      <x v="23"/>
    </i>
    <i>
      <x v="847"/>
      <x v="848"/>
      <x v="22"/>
    </i>
    <i>
      <x v="848"/>
      <x v="849"/>
      <x v="27"/>
    </i>
    <i>
      <x v="849"/>
      <x v="850"/>
      <x v="23"/>
    </i>
    <i>
      <x v="850"/>
      <x v="851"/>
      <x v="27"/>
    </i>
    <i>
      <x v="851"/>
      <x v="852"/>
      <x v="27"/>
    </i>
    <i>
      <x v="852"/>
      <x v="853"/>
      <x v="27"/>
    </i>
    <i>
      <x v="853"/>
      <x v="854"/>
      <x v="27"/>
    </i>
    <i>
      <x v="854"/>
      <x v="855"/>
      <x v="22"/>
    </i>
    <i>
      <x v="855"/>
      <x v="856"/>
      <x v="22"/>
    </i>
    <i>
      <x v="856"/>
      <x v="857"/>
      <x v="22"/>
    </i>
    <i>
      <x v="857"/>
      <x v="858"/>
      <x v="22"/>
    </i>
    <i>
      <x v="858"/>
      <x v="859"/>
      <x v="27"/>
    </i>
    <i>
      <x v="859"/>
      <x v="860"/>
      <x v="22"/>
    </i>
    <i>
      <x v="860"/>
      <x v="861"/>
      <x v="22"/>
    </i>
    <i r="2">
      <x v="27"/>
    </i>
    <i>
      <x v="861"/>
      <x v="862"/>
      <x v="27"/>
    </i>
    <i>
      <x v="862"/>
      <x v="863"/>
      <x v="27"/>
    </i>
    <i>
      <x v="863"/>
      <x v="864"/>
      <x v="23"/>
    </i>
    <i>
      <x v="864"/>
      <x v="865"/>
      <x v="27"/>
    </i>
    <i>
      <x v="865"/>
      <x v="866"/>
      <x v="27"/>
    </i>
    <i>
      <x v="866"/>
      <x v="867"/>
      <x v="27"/>
    </i>
    <i>
      <x v="867"/>
      <x v="868"/>
      <x v="27"/>
    </i>
    <i>
      <x v="868"/>
      <x v="869"/>
      <x v="27"/>
    </i>
    <i>
      <x v="869"/>
      <x v="870"/>
      <x v="27"/>
    </i>
    <i>
      <x v="870"/>
      <x v="871"/>
      <x v="27"/>
    </i>
    <i>
      <x v="871"/>
      <x v="872"/>
      <x v="27"/>
    </i>
    <i>
      <x v="872"/>
      <x v="873"/>
      <x v="27"/>
    </i>
    <i>
      <x v="873"/>
      <x v="874"/>
      <x v="12"/>
    </i>
    <i r="2">
      <x v="27"/>
    </i>
    <i>
      <x v="874"/>
      <x v="875"/>
      <x v="27"/>
    </i>
    <i>
      <x v="875"/>
      <x v="876"/>
      <x v="12"/>
    </i>
    <i>
      <x v="876"/>
      <x v="877"/>
      <x v="6"/>
    </i>
    <i r="2">
      <x v="27"/>
    </i>
    <i>
      <x v="877"/>
      <x v="878"/>
      <x v="12"/>
    </i>
    <i>
      <x v="878"/>
      <x v="879"/>
      <x v="4"/>
    </i>
    <i>
      <x v="879"/>
      <x v="880"/>
      <x v="23"/>
    </i>
    <i>
      <x v="880"/>
      <x v="881"/>
      <x v="22"/>
    </i>
    <i r="2">
      <x v="27"/>
    </i>
    <i>
      <x v="881"/>
      <x v="882"/>
      <x v="25"/>
    </i>
    <i>
      <x v="882"/>
      <x v="883"/>
      <x v="23"/>
    </i>
    <i>
      <x v="883"/>
      <x v="884"/>
      <x v="23"/>
    </i>
    <i>
      <x v="884"/>
      <x v="885"/>
      <x v="23"/>
    </i>
    <i>
      <x v="885"/>
      <x v="886"/>
      <x v="27"/>
    </i>
    <i>
      <x v="886"/>
      <x v="887"/>
      <x v="27"/>
    </i>
    <i>
      <x v="887"/>
      <x v="888"/>
      <x v="27"/>
    </i>
    <i>
      <x v="888"/>
      <x v="889"/>
      <x v="27"/>
    </i>
    <i>
      <x v="889"/>
      <x v="890"/>
      <x v="27"/>
    </i>
    <i>
      <x v="890"/>
      <x v="891"/>
      <x v="27"/>
    </i>
    <i>
      <x v="891"/>
      <x v="892"/>
      <x v="21"/>
    </i>
    <i r="2">
      <x v="27"/>
    </i>
    <i>
      <x v="892"/>
      <x v="893"/>
      <x v="27"/>
    </i>
    <i>
      <x v="893"/>
      <x v="894"/>
      <x v="27"/>
    </i>
    <i>
      <x v="894"/>
      <x v="895"/>
      <x v="27"/>
    </i>
    <i>
      <x v="895"/>
      <x v="896"/>
      <x v="27"/>
    </i>
    <i>
      <x v="896"/>
      <x v="897"/>
      <x v="24"/>
    </i>
    <i>
      <x v="897"/>
      <x v="898"/>
      <x v="27"/>
    </i>
    <i>
      <x v="898"/>
      <x v="899"/>
      <x v="14"/>
    </i>
    <i r="2">
      <x v="27"/>
    </i>
    <i>
      <x v="899"/>
      <x v="900"/>
      <x v="14"/>
    </i>
    <i r="2">
      <x v="27"/>
    </i>
    <i>
      <x v="900"/>
      <x v="901"/>
      <x v="14"/>
    </i>
    <i r="2">
      <x v="27"/>
    </i>
    <i>
      <x v="901"/>
      <x v="902"/>
      <x v="27"/>
    </i>
    <i>
      <x v="902"/>
      <x v="903"/>
      <x v="27"/>
    </i>
    <i>
      <x v="903"/>
      <x v="904"/>
      <x v="17"/>
    </i>
    <i r="2">
      <x v="27"/>
    </i>
    <i>
      <x v="904"/>
      <x v="905"/>
      <x v="23"/>
    </i>
    <i>
      <x v="905"/>
      <x v="906"/>
      <x v="27"/>
    </i>
    <i>
      <x v="906"/>
      <x v="907"/>
      <x v="27"/>
    </i>
    <i>
      <x v="907"/>
      <x v="908"/>
      <x v="27"/>
    </i>
    <i>
      <x v="908"/>
      <x v="909"/>
      <x v="27"/>
    </i>
    <i>
      <x v="909"/>
      <x v="910"/>
      <x v="27"/>
    </i>
    <i>
      <x v="910"/>
      <x v="911"/>
      <x v="27"/>
    </i>
    <i>
      <x v="911"/>
      <x v="912"/>
      <x v="27"/>
    </i>
    <i>
      <x v="912"/>
      <x v="913"/>
      <x v="23"/>
    </i>
    <i>
      <x v="913"/>
      <x v="914"/>
      <x v="27"/>
    </i>
    <i>
      <x v="914"/>
      <x v="915"/>
      <x v="27"/>
    </i>
    <i>
      <x v="915"/>
      <x v="916"/>
      <x v="27"/>
    </i>
    <i>
      <x v="916"/>
      <x v="917"/>
      <x v="27"/>
    </i>
    <i>
      <x v="917"/>
      <x v="918"/>
      <x v="22"/>
    </i>
    <i>
      <x v="918"/>
      <x v="919"/>
      <x v="27"/>
    </i>
    <i>
      <x v="919"/>
      <x v="920"/>
      <x v="27"/>
    </i>
    <i>
      <x v="920"/>
      <x v="921"/>
      <x v="27"/>
    </i>
    <i>
      <x v="921"/>
      <x v="922"/>
      <x v="5"/>
    </i>
    <i>
      <x v="922"/>
      <x v="923"/>
      <x v="27"/>
    </i>
    <i>
      <x v="923"/>
      <x v="924"/>
      <x v="27"/>
    </i>
    <i>
      <x v="924"/>
      <x v="925"/>
      <x v="27"/>
    </i>
    <i>
      <x v="925"/>
      <x v="926"/>
      <x v="23"/>
    </i>
    <i>
      <x v="926"/>
      <x v="927"/>
      <x v="24"/>
    </i>
    <i>
      <x v="927"/>
      <x v="928"/>
      <x v="23"/>
    </i>
    <i>
      <x v="928"/>
      <x v="929"/>
      <x v="27"/>
    </i>
    <i>
      <x v="929"/>
      <x v="930"/>
      <x v="27"/>
    </i>
    <i>
      <x v="930"/>
      <x v="931"/>
      <x v="27"/>
    </i>
    <i>
      <x v="931"/>
      <x v="932"/>
      <x v="27"/>
    </i>
    <i>
      <x v="932"/>
      <x v="933"/>
      <x v="27"/>
    </i>
    <i>
      <x v="933"/>
      <x v="934"/>
      <x v="14"/>
    </i>
    <i r="2">
      <x v="23"/>
    </i>
    <i>
      <x v="934"/>
      <x v="935"/>
      <x v="22"/>
    </i>
    <i>
      <x v="935"/>
      <x v="936"/>
      <x v="27"/>
    </i>
    <i>
      <x v="936"/>
      <x v="937"/>
      <x v="22"/>
    </i>
    <i r="2">
      <x v="27"/>
    </i>
    <i>
      <x v="937"/>
      <x v="938"/>
      <x v="27"/>
    </i>
    <i>
      <x v="938"/>
      <x v="939"/>
      <x v="27"/>
    </i>
    <i>
      <x v="939"/>
      <x v="940"/>
      <x v="27"/>
    </i>
    <i>
      <x v="940"/>
      <x v="941"/>
      <x v="27"/>
    </i>
    <i>
      <x v="941"/>
      <x v="942"/>
      <x v="27"/>
    </i>
    <i>
      <x v="942"/>
      <x v="943"/>
      <x v="27"/>
    </i>
    <i>
      <x v="943"/>
      <x v="944"/>
      <x v="27"/>
    </i>
    <i>
      <x v="944"/>
      <x v="945"/>
      <x v="27"/>
    </i>
    <i>
      <x v="945"/>
      <x v="946"/>
      <x v="27"/>
    </i>
    <i>
      <x v="946"/>
      <x v="947"/>
      <x v="17"/>
    </i>
    <i r="2">
      <x v="24"/>
    </i>
    <i r="2">
      <x v="27"/>
    </i>
    <i>
      <x v="947"/>
      <x v="948"/>
      <x v="27"/>
    </i>
    <i>
      <x v="948"/>
      <x v="949"/>
      <x v="27"/>
    </i>
    <i>
      <x v="949"/>
      <x v="950"/>
      <x v="17"/>
    </i>
    <i r="2">
      <x v="24"/>
    </i>
    <i>
      <x v="950"/>
      <x v="951"/>
      <x v="27"/>
    </i>
    <i>
      <x v="951"/>
      <x v="952"/>
      <x v="27"/>
    </i>
    <i>
      <x v="952"/>
      <x v="953"/>
      <x v="27"/>
    </i>
    <i>
      <x v="953"/>
      <x v="954"/>
      <x v="27"/>
    </i>
    <i>
      <x v="954"/>
      <x v="955"/>
      <x v="27"/>
    </i>
    <i>
      <x v="955"/>
      <x v="956"/>
      <x v="27"/>
    </i>
    <i>
      <x v="956"/>
      <x v="957"/>
      <x v="27"/>
    </i>
    <i>
      <x v="957"/>
      <x v="958"/>
      <x v="27"/>
    </i>
    <i>
      <x v="958"/>
      <x v="959"/>
      <x v="27"/>
    </i>
    <i>
      <x v="959"/>
      <x v="960"/>
      <x v="27"/>
    </i>
    <i>
      <x v="960"/>
      <x v="961"/>
      <x v="8"/>
    </i>
    <i>
      <x v="961"/>
      <x v="962"/>
      <x v="27"/>
    </i>
    <i>
      <x v="962"/>
      <x v="963"/>
      <x v="27"/>
    </i>
    <i>
      <x v="963"/>
      <x v="964"/>
      <x v="27"/>
    </i>
    <i>
      <x v="964"/>
      <x v="965"/>
      <x v="27"/>
    </i>
    <i>
      <x v="965"/>
      <x v="966"/>
      <x v="27"/>
    </i>
    <i>
      <x v="966"/>
      <x v="967"/>
      <x v="27"/>
    </i>
    <i>
      <x v="967"/>
      <x v="968"/>
      <x v="27"/>
    </i>
    <i>
      <x v="968"/>
      <x v="969"/>
      <x v="27"/>
    </i>
    <i>
      <x v="969"/>
      <x v="970"/>
      <x v="27"/>
    </i>
    <i>
      <x v="970"/>
      <x v="971"/>
      <x v="27"/>
    </i>
    <i>
      <x v="971"/>
      <x v="972"/>
      <x v="27"/>
    </i>
    <i>
      <x v="972"/>
      <x v="973"/>
      <x v="22"/>
    </i>
    <i r="2">
      <x v="27"/>
    </i>
    <i>
      <x v="973"/>
      <x v="974"/>
      <x v="23"/>
    </i>
    <i>
      <x v="974"/>
      <x v="975"/>
      <x v="12"/>
    </i>
    <i>
      <x v="975"/>
      <x v="976"/>
      <x v="23"/>
    </i>
    <i>
      <x v="976"/>
      <x v="977"/>
      <x v="27"/>
    </i>
    <i>
      <x v="977"/>
      <x v="978"/>
      <x v="8"/>
    </i>
    <i>
      <x v="978"/>
      <x v="979"/>
      <x v="27"/>
    </i>
    <i>
      <x v="979"/>
      <x v="980"/>
      <x v="27"/>
    </i>
    <i>
      <x v="980"/>
      <x v="981"/>
      <x v="27"/>
    </i>
    <i>
      <x v="981"/>
      <x v="982"/>
      <x v="27"/>
    </i>
    <i>
      <x v="982"/>
      <x v="983"/>
      <x v="27"/>
    </i>
    <i>
      <x v="983"/>
      <x v="984"/>
      <x v="22"/>
    </i>
    <i>
      <x v="984"/>
      <x v="985"/>
      <x v="27"/>
    </i>
    <i>
      <x v="985"/>
      <x v="986"/>
      <x v="27"/>
    </i>
    <i>
      <x v="986"/>
      <x v="987"/>
      <x v="14"/>
    </i>
    <i r="2">
      <x v="23"/>
    </i>
    <i>
      <x v="987"/>
      <x v="988"/>
      <x v="23"/>
    </i>
    <i>
      <x v="988"/>
      <x v="989"/>
      <x v="5"/>
    </i>
    <i r="2">
      <x v="8"/>
    </i>
    <i r="2">
      <x v="27"/>
    </i>
    <i>
      <x v="989"/>
      <x v="990"/>
      <x v="23"/>
    </i>
    <i>
      <x v="990"/>
      <x v="991"/>
      <x v="23"/>
    </i>
    <i>
      <x v="991"/>
      <x v="992"/>
      <x v="23"/>
    </i>
    <i>
      <x v="992"/>
      <x v="993"/>
      <x v="23"/>
    </i>
    <i>
      <x v="993"/>
      <x v="994"/>
      <x v="27"/>
    </i>
    <i>
      <x v="994"/>
      <x v="995"/>
      <x v="27"/>
    </i>
    <i>
      <x v="995"/>
      <x v="996"/>
      <x v="10"/>
    </i>
    <i r="2">
      <x v="23"/>
    </i>
    <i>
      <x v="996"/>
      <x v="997"/>
      <x v="12"/>
    </i>
    <i>
      <x v="997"/>
      <x v="998"/>
      <x v="27"/>
    </i>
    <i>
      <x v="998"/>
      <x v="999"/>
      <x v="23"/>
    </i>
    <i>
      <x v="999"/>
      <x v="1000"/>
      <x v="27"/>
    </i>
    <i>
      <x v="1000"/>
      <x v="1001"/>
      <x v="27"/>
    </i>
    <i>
      <x v="1001"/>
      <x v="1002"/>
      <x v="27"/>
    </i>
    <i>
      <x v="1002"/>
      <x v="1003"/>
      <x v="27"/>
    </i>
    <i>
      <x v="1003"/>
      <x v="1004"/>
      <x v="27"/>
    </i>
    <i>
      <x v="1004"/>
      <x v="1005"/>
      <x v="27"/>
    </i>
    <i>
      <x v="1005"/>
      <x v="1006"/>
      <x v="12"/>
    </i>
    <i>
      <x v="1006"/>
      <x v="1007"/>
      <x v="27"/>
    </i>
    <i>
      <x v="1007"/>
      <x v="1008"/>
      <x v="27"/>
    </i>
    <i>
      <x v="1008"/>
      <x v="1009"/>
      <x v="27"/>
    </i>
    <i>
      <x v="1009"/>
      <x v="1010"/>
      <x v="23"/>
    </i>
    <i r="2">
      <x v="27"/>
    </i>
    <i>
      <x v="1010"/>
      <x v="1011"/>
      <x v="27"/>
    </i>
    <i>
      <x v="1011"/>
      <x v="1012"/>
      <x v="23"/>
    </i>
    <i>
      <x v="1012"/>
      <x v="1013"/>
      <x v="27"/>
    </i>
    <i>
      <x v="1013"/>
      <x v="1014"/>
      <x v="27"/>
    </i>
    <i>
      <x v="1014"/>
      <x v="1015"/>
      <x v="27"/>
    </i>
    <i>
      <x v="1015"/>
      <x v="1016"/>
      <x v="27"/>
    </i>
    <i>
      <x v="1016"/>
      <x v="1017"/>
      <x v="21"/>
    </i>
    <i>
      <x v="1017"/>
      <x v="1018"/>
      <x v="27"/>
    </i>
    <i>
      <x v="1018"/>
      <x v="1019"/>
      <x v="27"/>
    </i>
    <i>
      <x v="1019"/>
      <x v="1020"/>
      <x v="27"/>
    </i>
    <i>
      <x v="1020"/>
      <x v="1021"/>
      <x v="27"/>
    </i>
    <i>
      <x v="1021"/>
      <x v="1022"/>
      <x v="27"/>
    </i>
    <i>
      <x v="1022"/>
      <x v="1023"/>
      <x v="27"/>
    </i>
    <i>
      <x v="1023"/>
      <x v="1024"/>
      <x v="23"/>
    </i>
    <i>
      <x v="1024"/>
      <x v="1025"/>
      <x v="27"/>
    </i>
    <i>
      <x v="1025"/>
      <x v="1026"/>
      <x v="27"/>
    </i>
    <i>
      <x v="1026"/>
      <x v="1027"/>
      <x v="8"/>
    </i>
    <i r="2">
      <x v="27"/>
    </i>
    <i>
      <x v="1027"/>
      <x v="1028"/>
      <x v="27"/>
    </i>
    <i>
      <x v="1028"/>
      <x v="1029"/>
      <x v="27"/>
    </i>
    <i>
      <x v="1029"/>
      <x v="1030"/>
      <x v="27"/>
    </i>
    <i>
      <x v="1030"/>
      <x v="1031"/>
      <x v="27"/>
    </i>
    <i>
      <x v="1031"/>
      <x v="1032"/>
      <x v="27"/>
    </i>
    <i>
      <x v="1032"/>
      <x v="1033"/>
      <x v="27"/>
    </i>
    <i>
      <x v="1033"/>
      <x v="1034"/>
      <x v="27"/>
    </i>
    <i>
      <x v="1034"/>
      <x v="1035"/>
      <x v="27"/>
    </i>
    <i>
      <x v="1035"/>
      <x v="1036"/>
      <x v="12"/>
    </i>
    <i>
      <x v="1036"/>
      <x v="1037"/>
      <x v="27"/>
    </i>
    <i>
      <x v="1037"/>
      <x v="1038"/>
      <x v="27"/>
    </i>
    <i>
      <x v="1038"/>
      <x v="1039"/>
      <x v="23"/>
    </i>
    <i>
      <x v="1039"/>
      <x v="1040"/>
      <x v="27"/>
    </i>
    <i>
      <x v="1040"/>
      <x v="1041"/>
      <x v="27"/>
    </i>
    <i>
      <x v="1041"/>
      <x v="1042"/>
      <x v="27"/>
    </i>
    <i>
      <x v="1042"/>
      <x v="1043"/>
      <x v="27"/>
    </i>
    <i>
      <x v="1043"/>
      <x v="1044"/>
      <x v="27"/>
    </i>
    <i>
      <x v="1044"/>
      <x v="1045"/>
      <x v="27"/>
    </i>
    <i>
      <x v="1045"/>
      <x v="1046"/>
      <x v="27"/>
    </i>
    <i>
      <x v="1046"/>
      <x v="1047"/>
      <x v="27"/>
    </i>
    <i>
      <x v="1047"/>
      <x v="1048"/>
      <x v="27"/>
    </i>
    <i>
      <x v="1048"/>
      <x v="1049"/>
      <x v="27"/>
    </i>
    <i>
      <x v="1049"/>
      <x v="1050"/>
      <x v="27"/>
    </i>
    <i>
      <x v="1050"/>
      <x v="1051"/>
      <x v="27"/>
    </i>
    <i>
      <x v="1051"/>
      <x v="1052"/>
      <x v="27"/>
    </i>
    <i>
      <x v="1052"/>
      <x v="1053"/>
      <x v="27"/>
    </i>
    <i>
      <x v="1053"/>
      <x v="1054"/>
      <x v="27"/>
    </i>
    <i>
      <x v="1054"/>
      <x v="1055"/>
      <x v="27"/>
    </i>
    <i>
      <x v="1055"/>
      <x v="1056"/>
      <x v="27"/>
    </i>
    <i>
      <x v="1056"/>
      <x v="1057"/>
      <x v="27"/>
    </i>
    <i>
      <x v="1057"/>
      <x v="1058"/>
      <x v="27"/>
    </i>
    <i>
      <x v="1058"/>
      <x v="1059"/>
      <x v="27"/>
    </i>
    <i>
      <x v="1059"/>
      <x v="1060"/>
      <x v="27"/>
    </i>
    <i>
      <x v="1060"/>
      <x v="1061"/>
      <x v="27"/>
    </i>
    <i>
      <x v="1061"/>
      <x v="1062"/>
      <x v="27"/>
    </i>
    <i>
      <x v="1062"/>
      <x v="1063"/>
      <x v="27"/>
    </i>
    <i>
      <x v="1063"/>
      <x v="1064"/>
      <x v="27"/>
    </i>
    <i>
      <x v="1064"/>
      <x v="1065"/>
      <x v="27"/>
    </i>
    <i>
      <x v="1065"/>
      <x v="1066"/>
      <x v="27"/>
    </i>
    <i>
      <x v="1066"/>
      <x v="1067"/>
      <x v="27"/>
    </i>
    <i>
      <x v="1067"/>
      <x v="1068"/>
      <x v="27"/>
    </i>
    <i>
      <x v="1068"/>
      <x v="1069"/>
      <x v="27"/>
    </i>
    <i>
      <x v="1069"/>
      <x v="1070"/>
      <x v="27"/>
    </i>
    <i>
      <x v="1070"/>
      <x v="1071"/>
      <x v="27"/>
    </i>
    <i>
      <x v="1071"/>
      <x v="1072"/>
      <x v="27"/>
    </i>
    <i>
      <x v="1072"/>
      <x v="1073"/>
      <x v="27"/>
    </i>
    <i>
      <x v="1073"/>
      <x v="1074"/>
      <x v="27"/>
    </i>
    <i>
      <x v="1074"/>
      <x v="1075"/>
      <x v="27"/>
    </i>
    <i>
      <x v="1075"/>
      <x v="1076"/>
      <x v="27"/>
    </i>
    <i>
      <x v="1076"/>
      <x v="1077"/>
      <x v="27"/>
    </i>
    <i>
      <x v="1077"/>
      <x v="1078"/>
      <x v="23"/>
    </i>
    <i>
      <x v="1078"/>
      <x v="1079"/>
      <x v="23"/>
    </i>
    <i>
      <x v="1079"/>
      <x v="1080"/>
      <x v="27"/>
    </i>
    <i>
      <x v="1080"/>
      <x v="1081"/>
      <x v="27"/>
    </i>
    <i>
      <x v="1081"/>
      <x v="1082"/>
      <x v="27"/>
    </i>
    <i>
      <x v="1082"/>
      <x v="1083"/>
      <x v="27"/>
    </i>
    <i>
      <x v="1083"/>
      <x v="1084"/>
      <x v="2"/>
    </i>
    <i>
      <x v="1084"/>
      <x v="1085"/>
      <x v="2"/>
    </i>
    <i>
      <x v="1085"/>
      <x v="1086"/>
      <x v="2"/>
    </i>
    <i>
      <x v="1086"/>
      <x v="1087"/>
      <x v="27"/>
    </i>
    <i>
      <x v="1087"/>
      <x v="1088"/>
      <x v="27"/>
    </i>
    <i>
      <x v="1088"/>
      <x v="1089"/>
      <x v="27"/>
    </i>
    <i>
      <x v="1089"/>
      <x v="1090"/>
      <x v="27"/>
    </i>
    <i>
      <x v="1090"/>
      <x v="1091"/>
      <x v="27"/>
    </i>
    <i>
      <x v="1091"/>
      <x v="1092"/>
      <x v="27"/>
    </i>
    <i>
      <x v="1092"/>
      <x v="1093"/>
      <x v="27"/>
    </i>
    <i>
      <x v="1093"/>
      <x v="1094"/>
      <x v="27"/>
    </i>
    <i>
      <x v="1094"/>
      <x v="1095"/>
      <x v="27"/>
    </i>
    <i>
      <x v="1095"/>
      <x v="1096"/>
      <x v="27"/>
    </i>
    <i>
      <x v="1096"/>
      <x v="1097"/>
      <x v="27"/>
    </i>
    <i>
      <x v="1097"/>
      <x v="1098"/>
      <x v="27"/>
    </i>
    <i>
      <x v="1098"/>
      <x v="1099"/>
      <x v="27"/>
    </i>
    <i>
      <x v="1099"/>
      <x v="1100"/>
      <x v="27"/>
    </i>
    <i>
      <x v="1100"/>
      <x v="1101"/>
      <x v="27"/>
    </i>
    <i>
      <x v="1101"/>
      <x v="1102"/>
      <x v="27"/>
    </i>
    <i>
      <x v="1102"/>
      <x v="1103"/>
      <x v="27"/>
    </i>
    <i>
      <x v="1103"/>
      <x v="1104"/>
      <x v="17"/>
    </i>
    <i r="2">
      <x v="24"/>
    </i>
    <i r="2">
      <x v="27"/>
    </i>
    <i>
      <x v="1104"/>
      <x v="1105"/>
      <x v="27"/>
    </i>
    <i>
      <x v="1105"/>
      <x v="1106"/>
      <x v="27"/>
    </i>
    <i>
      <x v="1106"/>
      <x v="1107"/>
      <x v="8"/>
    </i>
    <i>
      <x v="1107"/>
      <x v="1108"/>
      <x v="22"/>
    </i>
    <i>
      <x v="1108"/>
      <x v="1109"/>
      <x v="8"/>
    </i>
    <i>
      <x v="1109"/>
      <x v="1110"/>
      <x v="23"/>
    </i>
    <i r="2">
      <x v="27"/>
    </i>
    <i>
      <x v="1110"/>
      <x v="1111"/>
      <x v="27"/>
    </i>
    <i>
      <x v="1111"/>
      <x v="1112"/>
      <x v="27"/>
    </i>
    <i>
      <x v="1112"/>
      <x v="1113"/>
      <x v="23"/>
    </i>
    <i>
      <x v="1113"/>
      <x v="1114"/>
      <x v="27"/>
    </i>
    <i>
      <x v="1114"/>
      <x v="1115"/>
      <x v="27"/>
    </i>
    <i>
      <x v="1115"/>
      <x v="1116"/>
      <x v="27"/>
    </i>
    <i>
      <x v="1116"/>
      <x v="1117"/>
      <x v="27"/>
    </i>
    <i>
      <x v="1117"/>
      <x v="1118"/>
      <x v="27"/>
    </i>
    <i>
      <x v="1118"/>
      <x v="1119"/>
      <x v="23"/>
    </i>
    <i r="2">
      <x v="27"/>
    </i>
    <i>
      <x v="1119"/>
      <x v="1120"/>
      <x v="27"/>
    </i>
    <i>
      <x v="1120"/>
      <x v="1121"/>
      <x v="27"/>
    </i>
    <i>
      <x v="1121"/>
      <x v="1122"/>
      <x v="23"/>
    </i>
    <i>
      <x v="1122"/>
      <x v="1123"/>
      <x v="27"/>
    </i>
    <i>
      <x v="1123"/>
      <x v="1124"/>
      <x v="27"/>
    </i>
    <i>
      <x v="1124"/>
      <x v="1125"/>
      <x v="27"/>
    </i>
    <i>
      <x v="1125"/>
      <x v="1126"/>
      <x v="22"/>
    </i>
    <i r="2">
      <x v="27"/>
    </i>
    <i>
      <x v="1126"/>
      <x v="1127"/>
      <x v="27"/>
    </i>
    <i>
      <x v="1127"/>
      <x v="1128"/>
      <x v="27"/>
    </i>
    <i>
      <x v="1128"/>
      <x v="1129"/>
      <x v="27"/>
    </i>
    <i>
      <x v="1129"/>
      <x v="1130"/>
      <x v="23"/>
    </i>
    <i>
      <x v="1130"/>
      <x v="1131"/>
      <x v="27"/>
    </i>
    <i>
      <x v="1131"/>
      <x v="1132"/>
      <x v="24"/>
    </i>
    <i>
      <x v="1132"/>
      <x v="1133"/>
      <x v="23"/>
    </i>
    <i>
      <x v="1133"/>
      <x v="1134"/>
      <x v="27"/>
    </i>
    <i>
      <x v="1134"/>
      <x v="1135"/>
      <x v="18"/>
    </i>
    <i>
      <x v="1135"/>
      <x v="1136"/>
      <x v="27"/>
    </i>
    <i>
      <x v="1136"/>
      <x v="1137"/>
      <x v="23"/>
    </i>
    <i>
      <x v="1137"/>
      <x v="1138"/>
      <x v="27"/>
    </i>
    <i>
      <x v="1138"/>
      <x v="1139"/>
      <x v="27"/>
    </i>
    <i>
      <x v="1139"/>
      <x v="1140"/>
      <x v="14"/>
    </i>
    <i r="2">
      <x v="27"/>
    </i>
    <i>
      <x v="1140"/>
      <x v="1141"/>
      <x v="14"/>
    </i>
    <i r="2">
      <x v="27"/>
    </i>
    <i>
      <x v="1141"/>
      <x v="1142"/>
      <x v="2"/>
    </i>
    <i>
      <x v="1142"/>
      <x v="1143"/>
      <x v="27"/>
    </i>
    <i>
      <x v="1143"/>
      <x v="1144"/>
      <x v="27"/>
    </i>
    <i>
      <x v="1144"/>
      <x v="1145"/>
      <x v="27"/>
    </i>
    <i>
      <x v="1145"/>
      <x v="1146"/>
      <x v="27"/>
    </i>
    <i>
      <x v="1146"/>
      <x v="1147"/>
      <x v="27"/>
    </i>
    <i>
      <x v="1147"/>
      <x v="1148"/>
      <x v="22"/>
    </i>
    <i r="2">
      <x v="27"/>
    </i>
    <i>
      <x v="1148"/>
      <x v="1149"/>
      <x v="27"/>
    </i>
    <i>
      <x v="1149"/>
      <x v="1150"/>
      <x v="27"/>
    </i>
    <i>
      <x v="1150"/>
      <x v="1151"/>
      <x v="27"/>
    </i>
    <i>
      <x v="1151"/>
      <x v="1152"/>
      <x v="27"/>
    </i>
    <i>
      <x v="1152"/>
      <x v="1153"/>
      <x v="27"/>
    </i>
    <i>
      <x v="1153"/>
      <x v="1154"/>
      <x v="23"/>
    </i>
    <i>
      <x v="1154"/>
      <x v="1155"/>
      <x v="23"/>
    </i>
    <i>
      <x v="1155"/>
      <x v="1156"/>
      <x v="14"/>
    </i>
    <i r="2">
      <x v="27"/>
    </i>
    <i>
      <x v="1156"/>
      <x v="1157"/>
      <x v="27"/>
    </i>
    <i>
      <x v="1157"/>
      <x v="1158"/>
      <x v="27"/>
    </i>
    <i>
      <x v="1158"/>
      <x v="1159"/>
      <x v="27"/>
    </i>
    <i>
      <x v="1159"/>
      <x v="1160"/>
      <x v="27"/>
    </i>
    <i>
      <x v="1160"/>
      <x v="1161"/>
      <x v="27"/>
    </i>
    <i>
      <x v="1161"/>
      <x v="1162"/>
      <x v="27"/>
    </i>
    <i>
      <x v="1162"/>
      <x v="1163"/>
      <x v="27"/>
    </i>
    <i>
      <x v="1163"/>
      <x v="1164"/>
      <x v="27"/>
    </i>
    <i>
      <x v="1164"/>
      <x v="1165"/>
      <x v="27"/>
    </i>
    <i>
      <x v="1165"/>
      <x v="1166"/>
      <x v="8"/>
    </i>
    <i r="2">
      <x v="27"/>
    </i>
    <i>
      <x v="1166"/>
      <x v="1167"/>
      <x v="23"/>
    </i>
    <i>
      <x v="1167"/>
      <x v="1168"/>
      <x v="23"/>
    </i>
    <i>
      <x v="1168"/>
      <x v="1169"/>
      <x v="23"/>
    </i>
    <i>
      <x v="1169"/>
      <x v="1170"/>
      <x v="23"/>
    </i>
    <i>
      <x v="1170"/>
      <x v="1171"/>
      <x v="23"/>
    </i>
    <i>
      <x v="1171"/>
      <x v="1172"/>
      <x v="27"/>
    </i>
    <i>
      <x v="1172"/>
      <x v="1173"/>
      <x v="23"/>
    </i>
    <i>
      <x v="1173"/>
      <x v="1174"/>
      <x v="23"/>
    </i>
    <i>
      <x v="1174"/>
      <x v="1175"/>
      <x v="27"/>
    </i>
    <i>
      <x v="1175"/>
      <x v="1176"/>
      <x v="27"/>
    </i>
    <i>
      <x v="1176"/>
      <x v="1177"/>
      <x v="21"/>
    </i>
    <i>
      <x v="1177"/>
      <x v="1178"/>
      <x v="27"/>
    </i>
    <i>
      <x v="1178"/>
      <x v="1179"/>
      <x v="27"/>
    </i>
    <i>
      <x v="1179"/>
      <x v="1180"/>
      <x v="27"/>
    </i>
    <i>
      <x v="1180"/>
      <x v="1181"/>
      <x v="27"/>
    </i>
    <i>
      <x v="1181"/>
      <x v="1182"/>
      <x v="23"/>
    </i>
    <i>
      <x v="1182"/>
      <x v="1183"/>
      <x v="23"/>
    </i>
    <i>
      <x v="1183"/>
      <x v="1184"/>
      <x v="27"/>
    </i>
    <i>
      <x v="1184"/>
      <x v="1185"/>
      <x v="27"/>
    </i>
    <i>
      <x v="1185"/>
      <x v="1186"/>
      <x v="27"/>
    </i>
    <i>
      <x v="1186"/>
      <x v="1187"/>
      <x v="27"/>
    </i>
    <i>
      <x v="1187"/>
      <x v="1188"/>
      <x v="27"/>
    </i>
    <i>
      <x v="1188"/>
      <x v="1189"/>
      <x v="27"/>
    </i>
    <i>
      <x v="1189"/>
      <x v="1190"/>
      <x v="27"/>
    </i>
    <i>
      <x v="1190"/>
      <x v="1191"/>
      <x v="27"/>
    </i>
    <i>
      <x v="1191"/>
      <x v="1192"/>
      <x v="27"/>
    </i>
    <i>
      <x v="1192"/>
      <x v="1193"/>
      <x v="27"/>
    </i>
    <i>
      <x v="1193"/>
      <x v="1194"/>
      <x v="27"/>
    </i>
    <i>
      <x v="1194"/>
      <x v="1195"/>
      <x v="27"/>
    </i>
    <i>
      <x v="1195"/>
      <x v="1196"/>
      <x v="27"/>
    </i>
    <i>
      <x v="1196"/>
      <x v="1197"/>
      <x v="27"/>
    </i>
    <i>
      <x v="1197"/>
      <x v="1198"/>
      <x v="27"/>
    </i>
    <i>
      <x v="1198"/>
      <x v="1199"/>
      <x v="27"/>
    </i>
    <i>
      <x v="1199"/>
      <x v="1200"/>
      <x v="27"/>
    </i>
    <i>
      <x v="1200"/>
      <x v="1201"/>
      <x v="27"/>
    </i>
    <i>
      <x v="1201"/>
      <x v="1202"/>
      <x v="27"/>
    </i>
    <i>
      <x v="1202"/>
      <x v="1203"/>
      <x v="27"/>
    </i>
    <i>
      <x v="1203"/>
      <x v="1204"/>
      <x v="18"/>
    </i>
    <i r="2">
      <x v="27"/>
    </i>
    <i>
      <x v="1204"/>
      <x v="1205"/>
      <x v="14"/>
    </i>
    <i>
      <x v="1205"/>
      <x v="1206"/>
      <x v="27"/>
    </i>
    <i>
      <x v="1206"/>
      <x v="1207"/>
      <x v="23"/>
    </i>
    <i>
      <x v="1207"/>
      <x v="1208"/>
      <x v="27"/>
    </i>
    <i>
      <x v="1208"/>
      <x v="1209"/>
      <x v="27"/>
    </i>
    <i>
      <x v="1209"/>
      <x v="1210"/>
      <x v="14"/>
    </i>
    <i r="2">
      <x v="23"/>
    </i>
    <i>
      <x v="1210"/>
      <x v="1211"/>
      <x v="23"/>
    </i>
    <i>
      <x v="1211"/>
      <x v="1212"/>
      <x v="27"/>
    </i>
    <i>
      <x v="1212"/>
      <x v="1213"/>
      <x v="27"/>
    </i>
    <i>
      <x v="1213"/>
      <x v="1214"/>
      <x v="23"/>
    </i>
    <i>
      <x v="1214"/>
      <x v="1215"/>
      <x v="27"/>
    </i>
    <i>
      <x v="1215"/>
      <x v="1216"/>
      <x v="27"/>
    </i>
    <i>
      <x v="1216"/>
      <x v="1217"/>
      <x v="27"/>
    </i>
    <i>
      <x v="1217"/>
      <x v="1218"/>
      <x v="27"/>
    </i>
    <i>
      <x v="1218"/>
      <x v="1219"/>
      <x v="27"/>
    </i>
    <i>
      <x v="1219"/>
      <x v="1220"/>
      <x v="14"/>
    </i>
    <i r="2">
      <x v="23"/>
    </i>
    <i>
      <x v="1220"/>
      <x v="1221"/>
      <x v="14"/>
    </i>
    <i r="2">
      <x v="23"/>
    </i>
    <i>
      <x v="1221"/>
      <x v="1222"/>
      <x v="27"/>
    </i>
    <i>
      <x v="1222"/>
      <x v="1223"/>
      <x v="13"/>
    </i>
    <i r="2">
      <x v="27"/>
    </i>
    <i>
      <x v="1223"/>
      <x v="1224"/>
      <x v="27"/>
    </i>
    <i>
      <x v="1224"/>
      <x v="1225"/>
      <x v="27"/>
    </i>
    <i>
      <x v="1225"/>
      <x v="1226"/>
      <x v="27"/>
    </i>
    <i>
      <x v="1226"/>
      <x v="1227"/>
      <x v="27"/>
    </i>
    <i>
      <x v="1227"/>
      <x v="1228"/>
      <x v="27"/>
    </i>
    <i>
      <x v="1228"/>
      <x v="1229"/>
      <x v="27"/>
    </i>
    <i>
      <x v="1229"/>
      <x v="1230"/>
      <x v="27"/>
    </i>
    <i>
      <x v="1230"/>
      <x v="1231"/>
      <x v="27"/>
    </i>
    <i>
      <x v="1231"/>
      <x v="1232"/>
      <x v="27"/>
    </i>
    <i>
      <x v="1232"/>
      <x v="1233"/>
      <x v="27"/>
    </i>
    <i>
      <x v="1233"/>
      <x v="1234"/>
      <x v="27"/>
    </i>
    <i>
      <x v="1234"/>
      <x v="1235"/>
      <x v="27"/>
    </i>
    <i>
      <x v="1235"/>
      <x v="1236"/>
      <x v="27"/>
    </i>
    <i>
      <x v="1236"/>
      <x v="1237"/>
      <x v="27"/>
    </i>
    <i>
      <x v="1237"/>
      <x v="1238"/>
      <x v="27"/>
    </i>
    <i>
      <x v="1238"/>
      <x v="1239"/>
      <x v="27"/>
    </i>
    <i>
      <x v="1239"/>
      <x v="1240"/>
      <x v="27"/>
    </i>
    <i>
      <x v="1240"/>
      <x v="1241"/>
      <x v="27"/>
    </i>
    <i>
      <x v="1241"/>
      <x v="1242"/>
      <x v="13"/>
    </i>
    <i>
      <x v="1242"/>
      <x v="1243"/>
      <x v="23"/>
    </i>
    <i>
      <x v="1243"/>
      <x v="1244"/>
      <x v="23"/>
    </i>
    <i r="2">
      <x v="27"/>
    </i>
    <i>
      <x v="1244"/>
      <x v="1245"/>
      <x v="23"/>
    </i>
    <i>
      <x v="1245"/>
      <x v="1246"/>
      <x v="27"/>
    </i>
    <i>
      <x v="1246"/>
      <x v="1247"/>
      <x v="13"/>
    </i>
    <i r="2">
      <x v="27"/>
    </i>
    <i>
      <x v="1247"/>
      <x v="1248"/>
      <x v="27"/>
    </i>
    <i>
      <x v="1248"/>
      <x v="1249"/>
      <x v="27"/>
    </i>
    <i>
      <x v="1249"/>
      <x v="1250"/>
      <x v="27"/>
    </i>
    <i>
      <x v="1250"/>
      <x v="1251"/>
      <x v="27"/>
    </i>
    <i>
      <x v="1251"/>
      <x v="1252"/>
      <x v="27"/>
    </i>
    <i>
      <x v="1252"/>
      <x v="1253"/>
      <x v="27"/>
    </i>
    <i>
      <x v="1253"/>
      <x v="1254"/>
      <x v="27"/>
    </i>
    <i>
      <x v="1254"/>
      <x v="1255"/>
      <x v="27"/>
    </i>
    <i>
      <x v="1255"/>
      <x v="1256"/>
      <x v="27"/>
    </i>
    <i>
      <x v="1256"/>
      <x v="1257"/>
      <x v="27"/>
    </i>
    <i>
      <x v="1257"/>
      <x v="1258"/>
      <x v="27"/>
    </i>
    <i>
      <x v="1258"/>
      <x v="1259"/>
      <x v="13"/>
    </i>
    <i r="2">
      <x v="27"/>
    </i>
    <i>
      <x v="1259"/>
      <x v="1260"/>
      <x v="27"/>
    </i>
    <i>
      <x v="1260"/>
      <x v="1261"/>
      <x v="27"/>
    </i>
    <i>
      <x v="1261"/>
      <x v="1262"/>
      <x v="27"/>
    </i>
    <i>
      <x v="1262"/>
      <x v="1263"/>
      <x v="27"/>
    </i>
    <i>
      <x v="1263"/>
      <x v="1264"/>
      <x v="27"/>
    </i>
    <i>
      <x v="1264"/>
      <x v="1265"/>
      <x v="27"/>
    </i>
    <i>
      <x v="1265"/>
      <x v="1266"/>
      <x v="27"/>
    </i>
    <i>
      <x v="1266"/>
      <x v="1267"/>
      <x v="27"/>
    </i>
    <i>
      <x v="1267"/>
      <x v="1268"/>
      <x v="27"/>
    </i>
    <i>
      <x v="1268"/>
      <x v="1269"/>
      <x v="27"/>
    </i>
    <i>
      <x v="1269"/>
      <x v="1270"/>
      <x v="27"/>
    </i>
    <i>
      <x v="1270"/>
      <x v="1271"/>
      <x v="27"/>
    </i>
    <i>
      <x v="1271"/>
      <x v="1272"/>
      <x v="27"/>
    </i>
    <i>
      <x v="1272"/>
      <x v="1273"/>
      <x v="27"/>
    </i>
    <i>
      <x v="1273"/>
      <x v="1274"/>
      <x v="27"/>
    </i>
    <i>
      <x v="1274"/>
      <x v="1275"/>
      <x v="27"/>
    </i>
    <i>
      <x v="1275"/>
      <x v="1276"/>
      <x v="27"/>
    </i>
    <i>
      <x v="1276"/>
      <x v="1277"/>
      <x v="13"/>
    </i>
    <i>
      <x v="1277"/>
      <x v="1278"/>
      <x v="13"/>
    </i>
    <i>
      <x v="1278"/>
      <x v="1279"/>
      <x v="27"/>
    </i>
    <i>
      <x v="1279"/>
      <x v="1280"/>
      <x v="27"/>
    </i>
    <i>
      <x v="1280"/>
      <x v="1281"/>
      <x v="13"/>
    </i>
    <i>
      <x v="1281"/>
      <x v="1282"/>
      <x v="13"/>
    </i>
    <i r="2">
      <x v="27"/>
    </i>
    <i>
      <x v="1282"/>
      <x v="1283"/>
      <x v="27"/>
    </i>
    <i>
      <x v="1283"/>
      <x v="1284"/>
      <x v="27"/>
    </i>
    <i>
      <x v="1284"/>
      <x v="1285"/>
      <x v="27"/>
    </i>
    <i>
      <x v="1285"/>
      <x v="1286"/>
      <x v="27"/>
    </i>
    <i>
      <x v="1286"/>
      <x v="1287"/>
      <x v="27"/>
    </i>
    <i>
      <x v="1287"/>
      <x v="1288"/>
      <x v="27"/>
    </i>
    <i>
      <x v="1288"/>
      <x v="1289"/>
      <x v="27"/>
    </i>
    <i>
      <x v="1289"/>
      <x v="1290"/>
      <x v="27"/>
    </i>
    <i>
      <x v="1290"/>
      <x v="1291"/>
      <x v="27"/>
    </i>
    <i>
      <x v="1291"/>
      <x v="1292"/>
      <x v="13"/>
    </i>
    <i>
      <x v="1292"/>
      <x v="1293"/>
      <x v="27"/>
    </i>
    <i>
      <x v="1293"/>
      <x v="1294"/>
      <x v="13"/>
    </i>
    <i r="2">
      <x v="27"/>
    </i>
    <i>
      <x v="1294"/>
      <x v="1295"/>
      <x v="27"/>
    </i>
    <i>
      <x v="1295"/>
      <x v="1296"/>
      <x v="27"/>
    </i>
    <i>
      <x v="1296"/>
      <x v="1297"/>
      <x v="27"/>
    </i>
    <i>
      <x v="1297"/>
      <x v="1298"/>
      <x v="27"/>
    </i>
    <i>
      <x v="1298"/>
      <x v="1299"/>
      <x v="13"/>
    </i>
    <i>
      <x v="1299"/>
      <x v="1300"/>
      <x v="27"/>
    </i>
    <i>
      <x v="1300"/>
      <x v="1301"/>
      <x v="27"/>
    </i>
    <i>
      <x v="1301"/>
      <x v="1302"/>
      <x v="27"/>
    </i>
    <i>
      <x v="1302"/>
      <x v="1303"/>
      <x v="27"/>
    </i>
    <i>
      <x v="1303"/>
      <x v="1304"/>
      <x v="27"/>
    </i>
    <i>
      <x v="1304"/>
      <x v="1305"/>
      <x v="27"/>
    </i>
    <i>
      <x v="1305"/>
      <x v="1306"/>
      <x v="27"/>
    </i>
    <i>
      <x v="1306"/>
      <x v="1307"/>
      <x v="27"/>
    </i>
    <i>
      <x v="1307"/>
      <x v="1308"/>
      <x v="27"/>
    </i>
    <i>
      <x v="1308"/>
      <x v="1309"/>
      <x v="27"/>
    </i>
    <i>
      <x v="1309"/>
      <x v="1310"/>
      <x v="27"/>
    </i>
    <i>
      <x v="1310"/>
      <x v="1311"/>
      <x v="27"/>
    </i>
    <i>
      <x v="1311"/>
      <x v="1312"/>
      <x v="13"/>
    </i>
    <i r="2">
      <x v="27"/>
    </i>
    <i>
      <x v="1312"/>
      <x v="1313"/>
      <x v="13"/>
    </i>
    <i r="2">
      <x v="27"/>
    </i>
    <i>
      <x v="1313"/>
      <x v="1314"/>
      <x v="27"/>
    </i>
    <i>
      <x v="1314"/>
      <x v="1315"/>
      <x v="27"/>
    </i>
    <i>
      <x v="1315"/>
      <x v="1316"/>
      <x v="27"/>
    </i>
    <i>
      <x v="1316"/>
      <x v="1317"/>
      <x v="27"/>
    </i>
    <i>
      <x v="1317"/>
      <x v="1318"/>
      <x v="27"/>
    </i>
    <i>
      <x v="1318"/>
      <x v="1319"/>
      <x v="27"/>
    </i>
    <i>
      <x v="1319"/>
      <x v="1320"/>
      <x v="27"/>
    </i>
    <i>
      <x v="1320"/>
      <x v="1321"/>
      <x v="27"/>
    </i>
    <i>
      <x v="1321"/>
      <x v="1322"/>
      <x v="27"/>
    </i>
    <i>
      <x v="1322"/>
      <x v="1323"/>
      <x v="27"/>
    </i>
    <i>
      <x v="1323"/>
      <x v="1324"/>
      <x v="27"/>
    </i>
    <i>
      <x v="1324"/>
      <x v="1325"/>
      <x v="27"/>
    </i>
    <i>
      <x v="1325"/>
      <x v="1326"/>
      <x v="27"/>
    </i>
    <i>
      <x v="1326"/>
      <x v="1327"/>
      <x v="27"/>
    </i>
    <i>
      <x v="1327"/>
      <x v="1328"/>
      <x v="27"/>
    </i>
    <i>
      <x v="1328"/>
      <x v="1329"/>
      <x v="27"/>
    </i>
    <i>
      <x v="1329"/>
      <x v="1330"/>
      <x v="27"/>
    </i>
    <i>
      <x v="1330"/>
      <x v="1331"/>
      <x v="27"/>
    </i>
    <i>
      <x v="1331"/>
      <x v="1332"/>
      <x v="27"/>
    </i>
    <i>
      <x v="1332"/>
      <x v="1333"/>
      <x v="27"/>
    </i>
    <i>
      <x v="1333"/>
      <x v="1334"/>
      <x v="27"/>
    </i>
    <i>
      <x v="1334"/>
      <x v="1335"/>
      <x v="27"/>
    </i>
    <i>
      <x v="1335"/>
      <x v="1336"/>
      <x v="13"/>
    </i>
    <i r="2">
      <x v="27"/>
    </i>
    <i>
      <x v="1336"/>
      <x v="1337"/>
      <x v="27"/>
    </i>
    <i>
      <x v="1337"/>
      <x v="1338"/>
      <x v="27"/>
    </i>
    <i>
      <x v="1338"/>
      <x v="1339"/>
      <x v="13"/>
    </i>
    <i>
      <x v="1339"/>
      <x v="1340"/>
      <x v="27"/>
    </i>
    <i>
      <x v="1340"/>
      <x v="1341"/>
      <x v="13"/>
    </i>
    <i>
      <x v="1341"/>
      <x v="1342"/>
      <x v="13"/>
    </i>
    <i>
      <x v="1342"/>
      <x v="1343"/>
      <x v="13"/>
    </i>
    <i>
      <x v="1343"/>
      <x v="1344"/>
      <x v="27"/>
    </i>
    <i>
      <x v="1344"/>
      <x v="1345"/>
      <x v="27"/>
    </i>
    <i>
      <x v="1345"/>
      <x v="1346"/>
      <x v="27"/>
    </i>
    <i>
      <x v="1346"/>
      <x v="1347"/>
      <x v="27"/>
    </i>
    <i>
      <x v="1347"/>
      <x v="1348"/>
      <x v="27"/>
    </i>
    <i>
      <x v="1348"/>
      <x v="1349"/>
      <x v="27"/>
    </i>
    <i>
      <x v="1349"/>
      <x v="1350"/>
      <x v="13"/>
    </i>
    <i r="2">
      <x v="27"/>
    </i>
    <i>
      <x v="1350"/>
      <x v="1351"/>
      <x v="13"/>
    </i>
    <i r="2">
      <x v="27"/>
    </i>
    <i>
      <x v="1351"/>
      <x v="1352"/>
      <x v="27"/>
    </i>
    <i>
      <x v="1352"/>
      <x v="1353"/>
      <x v="27"/>
    </i>
    <i>
      <x v="1353"/>
      <x v="1354"/>
      <x v="27"/>
    </i>
    <i>
      <x v="1354"/>
      <x v="1355"/>
      <x v="27"/>
    </i>
    <i>
      <x v="1355"/>
      <x v="1356"/>
      <x v="27"/>
    </i>
    <i>
      <x v="1356"/>
      <x v="1357"/>
      <x v="27"/>
    </i>
    <i>
      <x v="1357"/>
      <x v="1358"/>
      <x v="27"/>
    </i>
    <i>
      <x v="1358"/>
      <x v="1359"/>
      <x v="27"/>
    </i>
    <i>
      <x v="1359"/>
      <x v="1360"/>
      <x v="18"/>
    </i>
    <i>
      <x v="1360"/>
      <x v="1361"/>
      <x v="27"/>
    </i>
    <i>
      <x v="1361"/>
      <x v="1362"/>
      <x v="27"/>
    </i>
    <i>
      <x v="1483"/>
      <x v="1484"/>
      <x v="23"/>
    </i>
    <i>
      <x v="1492"/>
      <x v="1493"/>
      <x v="22"/>
    </i>
    <i r="2">
      <x v="27"/>
    </i>
    <i>
      <x v="1575"/>
      <x v="1576"/>
      <x v="27"/>
    </i>
    <i>
      <x v="1651"/>
      <x v="1652"/>
      <x v="27"/>
    </i>
    <i t="grand">
      <x/>
    </i>
  </rowItems>
  <colFields count="1">
    <field x="-2"/>
  </colFields>
  <colItems count="2">
    <i>
      <x/>
    </i>
    <i i="1">
      <x v="1"/>
    </i>
  </colItems>
  <pageFields count="1">
    <pageField fld="3" hier="0"/>
  </pageFields>
  <dataFields count="2">
    <dataField name="SUM of gereserveerde_bedrag_vastleggingsdeel_excl_btw" fld="27" baseField="0"/>
    <dataField name="SUM of afgerekende_bedrag_vastleggingsdeel_excl_btw" fld="28"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T3009"/>
  <sheetViews>
    <sheetView workbookViewId="0">
      <pane ySplit="1" topLeftCell="A2" activePane="bottomLeft" state="frozen"/>
      <selection pane="bottomLeft" activeCell="B3" sqref="B3"/>
    </sheetView>
  </sheetViews>
  <sheetFormatPr defaultColWidth="12.6328125" defaultRowHeight="15.75" customHeight="1" x14ac:dyDescent="0.25"/>
  <cols>
    <col min="2" max="2" width="13.36328125" customWidth="1"/>
    <col min="3" max="3" width="20.90625" customWidth="1"/>
    <col min="4" max="4" width="20.08984375" customWidth="1"/>
    <col min="5" max="5" width="14.81640625" customWidth="1"/>
    <col min="6" max="6" width="18.1796875" customWidth="1"/>
    <col min="7" max="8" width="36.453125" customWidth="1"/>
    <col min="9" max="9" width="15.08984375" customWidth="1"/>
    <col min="10" max="10" width="22" customWidth="1"/>
    <col min="11" max="11" width="20.81640625" customWidth="1"/>
    <col min="12" max="12" width="28.36328125" customWidth="1"/>
    <col min="13" max="13" width="21.6328125" customWidth="1"/>
    <col min="14" max="14" width="22.36328125" customWidth="1"/>
    <col min="15" max="15" width="16.81640625" customWidth="1"/>
    <col min="16" max="16" width="15.6328125" customWidth="1"/>
    <col min="17" max="17" width="22.6328125" customWidth="1"/>
    <col min="18" max="18" width="15.6328125" customWidth="1"/>
    <col min="19" max="19" width="18.08984375" customWidth="1"/>
  </cols>
  <sheetData>
    <row r="1" spans="1:19" ht="15.75" customHeight="1" x14ac:dyDescent="0.25">
      <c r="A1" s="1" t="s">
        <v>0</v>
      </c>
      <c r="B1" s="1" t="s">
        <v>1</v>
      </c>
      <c r="C1" s="1" t="s">
        <v>2</v>
      </c>
      <c r="D1" s="1" t="s">
        <v>3</v>
      </c>
      <c r="E1" s="1" t="s">
        <v>4</v>
      </c>
      <c r="F1" s="1" t="s">
        <v>5</v>
      </c>
      <c r="G1" s="1" t="s">
        <v>6</v>
      </c>
      <c r="H1" s="1" t="s">
        <v>7</v>
      </c>
      <c r="I1" s="1" t="s">
        <v>8</v>
      </c>
      <c r="J1" s="1" t="s">
        <v>9</v>
      </c>
      <c r="K1" s="1" t="s">
        <v>10</v>
      </c>
      <c r="L1" s="1" t="s">
        <v>11</v>
      </c>
      <c r="M1" s="1" t="s">
        <v>9930</v>
      </c>
      <c r="N1" s="1" t="s">
        <v>9931</v>
      </c>
      <c r="O1" s="1" t="s">
        <v>9932</v>
      </c>
      <c r="P1" s="1" t="s">
        <v>9933</v>
      </c>
      <c r="Q1" s="1" t="s">
        <v>12</v>
      </c>
      <c r="R1" s="1" t="s">
        <v>9934</v>
      </c>
      <c r="S1" s="1" t="s">
        <v>13</v>
      </c>
    </row>
    <row r="2" spans="1:19" ht="15.75" customHeight="1" x14ac:dyDescent="0.25">
      <c r="A2" s="1">
        <v>1</v>
      </c>
      <c r="B2" s="1" t="s">
        <v>14</v>
      </c>
      <c r="C2" s="1" t="s">
        <v>15</v>
      </c>
      <c r="D2" s="1" t="s">
        <v>15</v>
      </c>
      <c r="E2" s="1">
        <v>1</v>
      </c>
      <c r="F2" s="1" t="s">
        <v>17</v>
      </c>
      <c r="G2" s="1" t="s">
        <v>18</v>
      </c>
      <c r="H2" s="1" t="s">
        <v>19</v>
      </c>
      <c r="I2" s="1" t="s">
        <v>20</v>
      </c>
      <c r="J2" s="1" t="s">
        <v>21</v>
      </c>
      <c r="K2" s="1" t="b">
        <v>0</v>
      </c>
      <c r="L2" s="1" t="s">
        <v>22</v>
      </c>
      <c r="M2" s="1" t="s">
        <v>16</v>
      </c>
      <c r="N2" s="1" t="s">
        <v>16</v>
      </c>
      <c r="O2" s="1" t="s">
        <v>9935</v>
      </c>
      <c r="P2" s="1" t="s">
        <v>16</v>
      </c>
      <c r="Q2" s="1">
        <v>100</v>
      </c>
      <c r="R2" s="1">
        <v>3545817.2749999999</v>
      </c>
      <c r="S2" s="1">
        <v>3545817.2749999999</v>
      </c>
    </row>
    <row r="3" spans="1:19" ht="15.75" customHeight="1" x14ac:dyDescent="0.25">
      <c r="A3" s="1">
        <v>2</v>
      </c>
      <c r="B3" s="1" t="s">
        <v>25</v>
      </c>
      <c r="C3" s="1" t="s">
        <v>15</v>
      </c>
      <c r="D3" s="1" t="s">
        <v>15</v>
      </c>
      <c r="E3" s="1">
        <v>2</v>
      </c>
      <c r="F3" s="1" t="s">
        <v>26</v>
      </c>
      <c r="G3" s="1" t="s">
        <v>27</v>
      </c>
      <c r="H3" s="1" t="s">
        <v>28</v>
      </c>
      <c r="I3" s="1" t="s">
        <v>29</v>
      </c>
      <c r="J3" s="1" t="s">
        <v>30</v>
      </c>
      <c r="K3" s="1" t="b">
        <v>1</v>
      </c>
      <c r="L3" s="1" t="s">
        <v>31</v>
      </c>
      <c r="M3" s="1" t="s">
        <v>16</v>
      </c>
      <c r="N3" s="1" t="s">
        <v>16</v>
      </c>
      <c r="O3" s="1" t="s">
        <v>9935</v>
      </c>
      <c r="P3" s="1" t="s">
        <v>16</v>
      </c>
      <c r="Q3" s="1">
        <v>100</v>
      </c>
      <c r="R3" s="1">
        <v>545097.78839999996</v>
      </c>
      <c r="S3" s="1">
        <v>545097.78839999996</v>
      </c>
    </row>
    <row r="4" spans="1:19" ht="15.75" customHeight="1" x14ac:dyDescent="0.25">
      <c r="A4" s="1">
        <v>537</v>
      </c>
      <c r="B4" s="1" t="s">
        <v>34</v>
      </c>
      <c r="C4" s="1" t="s">
        <v>35</v>
      </c>
      <c r="D4" s="1" t="s">
        <v>36</v>
      </c>
      <c r="E4" s="1">
        <v>2</v>
      </c>
      <c r="F4" s="1" t="s">
        <v>26</v>
      </c>
      <c r="G4" s="1" t="s">
        <v>27</v>
      </c>
      <c r="H4" s="1" t="s">
        <v>28</v>
      </c>
      <c r="I4" s="1" t="s">
        <v>29</v>
      </c>
      <c r="J4" s="1" t="s">
        <v>30</v>
      </c>
      <c r="K4" s="1" t="b">
        <v>1</v>
      </c>
      <c r="L4" s="1" t="s">
        <v>31</v>
      </c>
      <c r="M4" s="1" t="s">
        <v>16</v>
      </c>
      <c r="N4" s="1" t="s">
        <v>16</v>
      </c>
      <c r="O4" s="1" t="s">
        <v>9935</v>
      </c>
      <c r="P4" s="1" t="s">
        <v>16</v>
      </c>
      <c r="Q4" s="1">
        <v>0</v>
      </c>
      <c r="R4" s="1">
        <v>545097.78839999996</v>
      </c>
      <c r="S4" s="1">
        <v>0</v>
      </c>
    </row>
    <row r="5" spans="1:19" ht="15.75" customHeight="1" x14ac:dyDescent="0.25">
      <c r="A5" s="1">
        <v>4191</v>
      </c>
      <c r="B5" s="1" t="s">
        <v>37</v>
      </c>
      <c r="C5" s="1" t="s">
        <v>38</v>
      </c>
      <c r="D5" s="1" t="s">
        <v>39</v>
      </c>
      <c r="E5" s="1">
        <v>2</v>
      </c>
      <c r="F5" s="1" t="s">
        <v>26</v>
      </c>
      <c r="G5" s="1" t="s">
        <v>27</v>
      </c>
      <c r="H5" s="1" t="s">
        <v>28</v>
      </c>
      <c r="I5" s="1" t="s">
        <v>29</v>
      </c>
      <c r="J5" s="1" t="s">
        <v>30</v>
      </c>
      <c r="K5" s="1" t="b">
        <v>1</v>
      </c>
      <c r="L5" s="1" t="s">
        <v>31</v>
      </c>
      <c r="M5" s="1" t="s">
        <v>16</v>
      </c>
      <c r="N5" s="1" t="s">
        <v>16</v>
      </c>
      <c r="O5" s="1" t="s">
        <v>9935</v>
      </c>
      <c r="P5" s="1" t="s">
        <v>16</v>
      </c>
      <c r="Q5" s="1">
        <v>0</v>
      </c>
      <c r="R5" s="1">
        <v>545097.78839999996</v>
      </c>
      <c r="S5" s="1">
        <v>0</v>
      </c>
    </row>
    <row r="6" spans="1:19" ht="15.75" customHeight="1" x14ac:dyDescent="0.25">
      <c r="A6" s="1">
        <v>3</v>
      </c>
      <c r="B6" s="1" t="s">
        <v>40</v>
      </c>
      <c r="C6" s="1" t="s">
        <v>15</v>
      </c>
      <c r="D6" s="1" t="s">
        <v>15</v>
      </c>
      <c r="E6" s="1">
        <v>3</v>
      </c>
      <c r="F6" s="1" t="s">
        <v>41</v>
      </c>
      <c r="G6" s="1" t="s">
        <v>42</v>
      </c>
      <c r="H6" s="1" t="s">
        <v>43</v>
      </c>
      <c r="I6" s="1" t="s">
        <v>20</v>
      </c>
      <c r="J6" s="1" t="s">
        <v>44</v>
      </c>
      <c r="K6" s="1" t="b">
        <v>0</v>
      </c>
      <c r="L6" s="1" t="s">
        <v>22</v>
      </c>
      <c r="M6" s="1">
        <v>2021</v>
      </c>
      <c r="N6" s="1" t="s">
        <v>45</v>
      </c>
      <c r="O6" s="1" t="s">
        <v>9935</v>
      </c>
      <c r="P6" s="1" t="s">
        <v>16</v>
      </c>
      <c r="Q6" s="1">
        <v>100</v>
      </c>
      <c r="R6" s="1">
        <v>955127.13670000003</v>
      </c>
      <c r="S6" s="1">
        <v>955127.13670000003</v>
      </c>
    </row>
    <row r="7" spans="1:19" ht="15.75" customHeight="1" x14ac:dyDescent="0.25">
      <c r="A7" s="1">
        <v>4</v>
      </c>
      <c r="B7" s="1" t="s">
        <v>47</v>
      </c>
      <c r="C7" s="1" t="s">
        <v>15</v>
      </c>
      <c r="D7" s="1" t="s">
        <v>15</v>
      </c>
      <c r="E7" s="1">
        <v>4</v>
      </c>
      <c r="F7" s="1" t="s">
        <v>48</v>
      </c>
      <c r="G7" s="1" t="s">
        <v>49</v>
      </c>
      <c r="H7" s="1" t="s">
        <v>50</v>
      </c>
      <c r="I7" s="1" t="s">
        <v>29</v>
      </c>
      <c r="J7" s="1" t="s">
        <v>51</v>
      </c>
      <c r="K7" s="1" t="b">
        <v>1</v>
      </c>
      <c r="L7" s="1" t="s">
        <v>31</v>
      </c>
      <c r="M7" s="1">
        <v>2021</v>
      </c>
      <c r="N7" s="1" t="s">
        <v>52</v>
      </c>
      <c r="O7" s="1" t="s">
        <v>9935</v>
      </c>
      <c r="P7" s="1" t="s">
        <v>16</v>
      </c>
      <c r="Q7" s="1">
        <v>100</v>
      </c>
      <c r="R7" s="1">
        <v>45000</v>
      </c>
      <c r="S7" s="1">
        <v>45000</v>
      </c>
    </row>
    <row r="8" spans="1:19" ht="15.75" customHeight="1" x14ac:dyDescent="0.25">
      <c r="A8" s="1">
        <v>5</v>
      </c>
      <c r="B8" s="1" t="s">
        <v>54</v>
      </c>
      <c r="C8" s="1" t="s">
        <v>15</v>
      </c>
      <c r="D8" s="1" t="s">
        <v>15</v>
      </c>
      <c r="E8" s="1">
        <v>5</v>
      </c>
      <c r="F8" s="1" t="s">
        <v>55</v>
      </c>
      <c r="G8" s="1" t="s">
        <v>56</v>
      </c>
      <c r="H8" s="1" t="s">
        <v>57</v>
      </c>
      <c r="I8" s="1" t="s">
        <v>29</v>
      </c>
      <c r="J8" s="1" t="s">
        <v>58</v>
      </c>
      <c r="K8" s="1" t="b">
        <v>1</v>
      </c>
      <c r="L8" s="1" t="s">
        <v>31</v>
      </c>
      <c r="M8" s="1" t="s">
        <v>16</v>
      </c>
      <c r="N8" s="1" t="s">
        <v>16</v>
      </c>
      <c r="O8" s="1" t="s">
        <v>9935</v>
      </c>
      <c r="P8" s="1" t="s">
        <v>16</v>
      </c>
      <c r="Q8" s="1">
        <v>100</v>
      </c>
      <c r="R8" s="1">
        <v>152987.37</v>
      </c>
      <c r="S8" s="1">
        <v>152987.37</v>
      </c>
    </row>
    <row r="9" spans="1:19" ht="15.75" customHeight="1" x14ac:dyDescent="0.25">
      <c r="A9" s="1">
        <v>6</v>
      </c>
      <c r="B9" s="1" t="s">
        <v>60</v>
      </c>
      <c r="C9" s="1" t="s">
        <v>15</v>
      </c>
      <c r="D9" s="1" t="s">
        <v>15</v>
      </c>
      <c r="E9" s="1">
        <v>6</v>
      </c>
      <c r="F9" s="1" t="s">
        <v>61</v>
      </c>
      <c r="G9" s="1" t="s">
        <v>62</v>
      </c>
      <c r="H9" s="1" t="s">
        <v>63</v>
      </c>
      <c r="I9" s="1" t="s">
        <v>29</v>
      </c>
      <c r="J9" s="1" t="s">
        <v>64</v>
      </c>
      <c r="K9" s="1" t="b">
        <v>1</v>
      </c>
      <c r="L9" s="1" t="s">
        <v>31</v>
      </c>
      <c r="M9" s="1" t="s">
        <v>16</v>
      </c>
      <c r="N9" s="1" t="s">
        <v>16</v>
      </c>
      <c r="O9" s="1" t="s">
        <v>9935</v>
      </c>
      <c r="P9" s="1" t="s">
        <v>16</v>
      </c>
      <c r="Q9" s="1">
        <v>100</v>
      </c>
      <c r="R9" s="1">
        <v>60015.93</v>
      </c>
      <c r="S9" s="1">
        <v>60015.93</v>
      </c>
    </row>
    <row r="10" spans="1:19" ht="15.75" customHeight="1" x14ac:dyDescent="0.25">
      <c r="A10" s="1">
        <v>7</v>
      </c>
      <c r="B10" s="1" t="s">
        <v>65</v>
      </c>
      <c r="C10" s="1" t="s">
        <v>15</v>
      </c>
      <c r="D10" s="1" t="s">
        <v>15</v>
      </c>
      <c r="E10" s="1">
        <v>7</v>
      </c>
      <c r="F10" s="1" t="s">
        <v>66</v>
      </c>
      <c r="G10" s="1" t="s">
        <v>67</v>
      </c>
      <c r="H10" s="1" t="s">
        <v>68</v>
      </c>
      <c r="I10" s="1" t="s">
        <v>29</v>
      </c>
      <c r="J10" s="1" t="s">
        <v>69</v>
      </c>
      <c r="K10" s="1" t="b">
        <v>1</v>
      </c>
      <c r="L10" s="1" t="s">
        <v>31</v>
      </c>
      <c r="M10" s="1" t="s">
        <v>16</v>
      </c>
      <c r="N10" s="1" t="s">
        <v>16</v>
      </c>
      <c r="O10" s="1" t="s">
        <v>9935</v>
      </c>
      <c r="P10" s="1" t="s">
        <v>16</v>
      </c>
      <c r="Q10" s="1">
        <v>100</v>
      </c>
      <c r="R10" s="1">
        <v>133917.46</v>
      </c>
      <c r="S10" s="1">
        <v>133917.46</v>
      </c>
    </row>
    <row r="11" spans="1:19" ht="15.75" customHeight="1" x14ac:dyDescent="0.25">
      <c r="A11" s="1">
        <v>8</v>
      </c>
      <c r="B11" s="1" t="s">
        <v>70</v>
      </c>
      <c r="C11" s="1" t="s">
        <v>15</v>
      </c>
      <c r="D11" s="1" t="s">
        <v>15</v>
      </c>
      <c r="E11" s="1">
        <v>8</v>
      </c>
      <c r="F11" s="1" t="s">
        <v>71</v>
      </c>
      <c r="G11" s="1" t="s">
        <v>72</v>
      </c>
      <c r="H11" s="1" t="s">
        <v>73</v>
      </c>
      <c r="I11" s="1" t="s">
        <v>29</v>
      </c>
      <c r="J11" s="1" t="s">
        <v>74</v>
      </c>
      <c r="K11" s="1" t="b">
        <v>1</v>
      </c>
      <c r="L11" s="1" t="s">
        <v>31</v>
      </c>
      <c r="M11" s="1" t="s">
        <v>16</v>
      </c>
      <c r="N11" s="1" t="s">
        <v>16</v>
      </c>
      <c r="O11" s="1" t="s">
        <v>9935</v>
      </c>
      <c r="P11" s="1" t="s">
        <v>16</v>
      </c>
      <c r="Q11" s="1">
        <v>100</v>
      </c>
      <c r="R11" s="1">
        <v>352563.23</v>
      </c>
      <c r="S11" s="1">
        <v>352563.23</v>
      </c>
    </row>
    <row r="12" spans="1:19" ht="15.75" customHeight="1" x14ac:dyDescent="0.25">
      <c r="A12" s="1">
        <v>9</v>
      </c>
      <c r="B12" s="1" t="s">
        <v>75</v>
      </c>
      <c r="C12" s="1" t="s">
        <v>15</v>
      </c>
      <c r="D12" s="1" t="s">
        <v>15</v>
      </c>
      <c r="E12" s="1">
        <v>9</v>
      </c>
      <c r="F12" s="1" t="s">
        <v>76</v>
      </c>
      <c r="G12" s="1" t="s">
        <v>77</v>
      </c>
      <c r="H12" s="1" t="s">
        <v>78</v>
      </c>
      <c r="I12" s="1" t="s">
        <v>29</v>
      </c>
      <c r="J12" s="1" t="s">
        <v>79</v>
      </c>
      <c r="K12" s="1" t="b">
        <v>1</v>
      </c>
      <c r="L12" s="1" t="s">
        <v>31</v>
      </c>
      <c r="M12" s="1" t="s">
        <v>16</v>
      </c>
      <c r="N12" s="1" t="s">
        <v>16</v>
      </c>
      <c r="O12" s="1" t="s">
        <v>9935</v>
      </c>
      <c r="P12" s="1" t="s">
        <v>16</v>
      </c>
      <c r="Q12" s="1">
        <v>100</v>
      </c>
      <c r="R12" s="1">
        <v>40623.86</v>
      </c>
      <c r="S12" s="1">
        <v>40623.86</v>
      </c>
    </row>
    <row r="13" spans="1:19" ht="15.75" customHeight="1" x14ac:dyDescent="0.25">
      <c r="A13" s="1">
        <v>10</v>
      </c>
      <c r="B13" s="1" t="s">
        <v>80</v>
      </c>
      <c r="C13" s="1" t="s">
        <v>15</v>
      </c>
      <c r="D13" s="1" t="s">
        <v>15</v>
      </c>
      <c r="E13" s="1">
        <v>10</v>
      </c>
      <c r="F13" s="1" t="s">
        <v>81</v>
      </c>
      <c r="G13" s="1" t="s">
        <v>82</v>
      </c>
      <c r="H13" s="1" t="s">
        <v>83</v>
      </c>
      <c r="I13" s="1" t="s">
        <v>29</v>
      </c>
      <c r="J13" s="1" t="s">
        <v>84</v>
      </c>
      <c r="K13" s="1" t="b">
        <v>1</v>
      </c>
      <c r="L13" s="1" t="s">
        <v>31</v>
      </c>
      <c r="M13" s="1" t="s">
        <v>16</v>
      </c>
      <c r="N13" s="1" t="s">
        <v>16</v>
      </c>
      <c r="O13" s="1" t="s">
        <v>9935</v>
      </c>
      <c r="P13" s="1" t="s">
        <v>16</v>
      </c>
      <c r="Q13" s="1">
        <v>100</v>
      </c>
      <c r="R13" s="1">
        <v>1776019.32</v>
      </c>
      <c r="S13" s="1">
        <v>1776019.32</v>
      </c>
    </row>
    <row r="14" spans="1:19" ht="15.75" customHeight="1" x14ac:dyDescent="0.25">
      <c r="A14" s="1">
        <v>11</v>
      </c>
      <c r="B14" s="1" t="s">
        <v>85</v>
      </c>
      <c r="C14" s="1" t="s">
        <v>15</v>
      </c>
      <c r="D14" s="1" t="s">
        <v>15</v>
      </c>
      <c r="E14" s="1">
        <v>11</v>
      </c>
      <c r="F14" s="1" t="s">
        <v>86</v>
      </c>
      <c r="G14" s="1" t="s">
        <v>87</v>
      </c>
      <c r="H14" s="1" t="s">
        <v>50</v>
      </c>
      <c r="I14" s="1" t="s">
        <v>29</v>
      </c>
      <c r="J14" s="1" t="s">
        <v>88</v>
      </c>
      <c r="K14" s="1" t="b">
        <v>1</v>
      </c>
      <c r="L14" s="1" t="s">
        <v>31</v>
      </c>
      <c r="M14" s="1" t="s">
        <v>16</v>
      </c>
      <c r="N14" s="1" t="s">
        <v>16</v>
      </c>
      <c r="O14" s="1" t="s">
        <v>9935</v>
      </c>
      <c r="P14" s="1" t="s">
        <v>16</v>
      </c>
      <c r="Q14" s="1">
        <v>100</v>
      </c>
      <c r="R14" s="1">
        <v>177501.65</v>
      </c>
      <c r="S14" s="1">
        <v>177501.65</v>
      </c>
    </row>
    <row r="15" spans="1:19" ht="15.75" customHeight="1" x14ac:dyDescent="0.25">
      <c r="A15" s="1">
        <v>12</v>
      </c>
      <c r="B15" s="1" t="s">
        <v>89</v>
      </c>
      <c r="C15" s="1" t="s">
        <v>15</v>
      </c>
      <c r="D15" s="1" t="s">
        <v>15</v>
      </c>
      <c r="E15" s="1">
        <v>12</v>
      </c>
      <c r="F15" s="1" t="s">
        <v>90</v>
      </c>
      <c r="G15" s="1" t="s">
        <v>91</v>
      </c>
      <c r="H15" s="1" t="s">
        <v>63</v>
      </c>
      <c r="I15" s="1" t="s">
        <v>29</v>
      </c>
      <c r="J15" s="1" t="s">
        <v>92</v>
      </c>
      <c r="K15" s="1" t="b">
        <v>1</v>
      </c>
      <c r="L15" s="1" t="s">
        <v>31</v>
      </c>
      <c r="M15" s="1" t="s">
        <v>16</v>
      </c>
      <c r="N15" s="1" t="s">
        <v>16</v>
      </c>
      <c r="O15" s="1" t="s">
        <v>9935</v>
      </c>
      <c r="P15" s="1" t="s">
        <v>16</v>
      </c>
      <c r="Q15" s="1">
        <v>100</v>
      </c>
      <c r="R15" s="1">
        <v>166229.29999999999</v>
      </c>
      <c r="S15" s="1">
        <v>166229.29999999999</v>
      </c>
    </row>
    <row r="16" spans="1:19" ht="15.75" customHeight="1" x14ac:dyDescent="0.25">
      <c r="A16" s="1">
        <v>13</v>
      </c>
      <c r="B16" s="1" t="s">
        <v>93</v>
      </c>
      <c r="C16" s="1" t="s">
        <v>15</v>
      </c>
      <c r="D16" s="1" t="s">
        <v>15</v>
      </c>
      <c r="E16" s="1">
        <v>13</v>
      </c>
      <c r="F16" s="1" t="s">
        <v>94</v>
      </c>
      <c r="G16" s="1" t="s">
        <v>95</v>
      </c>
      <c r="H16" s="1" t="s">
        <v>96</v>
      </c>
      <c r="I16" s="1" t="s">
        <v>29</v>
      </c>
      <c r="J16" s="1" t="s">
        <v>97</v>
      </c>
      <c r="K16" s="1" t="b">
        <v>1</v>
      </c>
      <c r="L16" s="1" t="s">
        <v>31</v>
      </c>
      <c r="M16" s="1" t="s">
        <v>16</v>
      </c>
      <c r="N16" s="1" t="s">
        <v>16</v>
      </c>
      <c r="O16" s="1" t="s">
        <v>9935</v>
      </c>
      <c r="P16" s="1" t="s">
        <v>16</v>
      </c>
      <c r="Q16" s="1">
        <v>100</v>
      </c>
      <c r="R16" s="1">
        <v>976058.33</v>
      </c>
      <c r="S16" s="1">
        <v>976058.33</v>
      </c>
    </row>
    <row r="17" spans="1:19" ht="15.75" customHeight="1" x14ac:dyDescent="0.25">
      <c r="A17" s="1">
        <v>14</v>
      </c>
      <c r="B17" s="1" t="s">
        <v>98</v>
      </c>
      <c r="C17" s="1" t="s">
        <v>15</v>
      </c>
      <c r="D17" s="1" t="s">
        <v>15</v>
      </c>
      <c r="E17" s="1">
        <v>14</v>
      </c>
      <c r="F17" s="1" t="s">
        <v>99</v>
      </c>
      <c r="G17" s="1" t="s">
        <v>100</v>
      </c>
      <c r="H17" s="1" t="s">
        <v>101</v>
      </c>
      <c r="I17" s="1" t="s">
        <v>29</v>
      </c>
      <c r="J17" s="1" t="s">
        <v>102</v>
      </c>
      <c r="K17" s="1" t="b">
        <v>1</v>
      </c>
      <c r="L17" s="1" t="s">
        <v>31</v>
      </c>
      <c r="M17" s="1" t="s">
        <v>16</v>
      </c>
      <c r="N17" s="1" t="s">
        <v>16</v>
      </c>
      <c r="O17" s="1" t="s">
        <v>9935</v>
      </c>
      <c r="P17" s="1" t="s">
        <v>16</v>
      </c>
      <c r="Q17" s="1">
        <v>100</v>
      </c>
      <c r="R17" s="1">
        <v>215672.2</v>
      </c>
      <c r="S17" s="1">
        <v>215672.2</v>
      </c>
    </row>
    <row r="18" spans="1:19" ht="15.75" customHeight="1" x14ac:dyDescent="0.25">
      <c r="A18" s="1">
        <v>15</v>
      </c>
      <c r="B18" s="1" t="s">
        <v>103</v>
      </c>
      <c r="C18" s="1" t="s">
        <v>15</v>
      </c>
      <c r="D18" s="1" t="s">
        <v>15</v>
      </c>
      <c r="E18" s="1">
        <v>15</v>
      </c>
      <c r="F18" s="1" t="s">
        <v>104</v>
      </c>
      <c r="G18" s="1" t="s">
        <v>105</v>
      </c>
      <c r="H18" s="1" t="s">
        <v>106</v>
      </c>
      <c r="I18" s="1" t="s">
        <v>29</v>
      </c>
      <c r="J18" s="1" t="s">
        <v>107</v>
      </c>
      <c r="K18" s="1" t="b">
        <v>1</v>
      </c>
      <c r="L18" s="1" t="s">
        <v>31</v>
      </c>
      <c r="M18" s="1" t="s">
        <v>16</v>
      </c>
      <c r="N18" s="1" t="s">
        <v>16</v>
      </c>
      <c r="O18" s="1" t="s">
        <v>9935</v>
      </c>
      <c r="P18" s="1" t="s">
        <v>16</v>
      </c>
      <c r="Q18" s="1">
        <v>100</v>
      </c>
      <c r="R18" s="1">
        <v>138356.35</v>
      </c>
      <c r="S18" s="1">
        <v>138356.35</v>
      </c>
    </row>
    <row r="19" spans="1:19" ht="15.75" customHeight="1" x14ac:dyDescent="0.25">
      <c r="A19" s="1">
        <v>16</v>
      </c>
      <c r="B19" s="1" t="s">
        <v>108</v>
      </c>
      <c r="C19" s="1" t="s">
        <v>15</v>
      </c>
      <c r="D19" s="1" t="s">
        <v>15</v>
      </c>
      <c r="E19" s="1">
        <v>16</v>
      </c>
      <c r="F19" s="1" t="s">
        <v>109</v>
      </c>
      <c r="G19" s="1" t="s">
        <v>110</v>
      </c>
      <c r="H19" s="1" t="s">
        <v>16</v>
      </c>
      <c r="I19" s="1" t="s">
        <v>29</v>
      </c>
      <c r="J19" s="1" t="s">
        <v>111</v>
      </c>
      <c r="K19" s="1" t="b">
        <v>1</v>
      </c>
      <c r="L19" s="1" t="s">
        <v>31</v>
      </c>
      <c r="M19" s="1">
        <v>2023</v>
      </c>
      <c r="N19" s="1" t="s">
        <v>45</v>
      </c>
      <c r="O19" s="1" t="s">
        <v>9935</v>
      </c>
      <c r="P19" s="1" t="s">
        <v>16</v>
      </c>
      <c r="Q19" s="1">
        <v>100</v>
      </c>
      <c r="R19" s="1">
        <v>307287</v>
      </c>
      <c r="S19" s="1">
        <v>307287</v>
      </c>
    </row>
    <row r="20" spans="1:19" ht="15.75" customHeight="1" x14ac:dyDescent="0.25">
      <c r="A20" s="1" t="s">
        <v>16</v>
      </c>
      <c r="B20" s="1" t="s">
        <v>16</v>
      </c>
      <c r="C20" s="1" t="s">
        <v>16</v>
      </c>
      <c r="D20" s="1" t="s">
        <v>16</v>
      </c>
      <c r="E20" s="1">
        <v>17</v>
      </c>
      <c r="F20" s="1" t="s">
        <v>113</v>
      </c>
      <c r="G20" s="1" t="s">
        <v>114</v>
      </c>
      <c r="H20" s="1" t="s">
        <v>16</v>
      </c>
      <c r="I20" s="1" t="s">
        <v>20</v>
      </c>
      <c r="J20" s="1" t="s">
        <v>115</v>
      </c>
      <c r="K20" s="1" t="b">
        <v>0</v>
      </c>
      <c r="L20" s="1" t="s">
        <v>22</v>
      </c>
      <c r="M20" s="1">
        <v>2022</v>
      </c>
      <c r="N20" s="1" t="s">
        <v>45</v>
      </c>
      <c r="O20" s="1" t="s">
        <v>9935</v>
      </c>
      <c r="P20" s="1" t="s">
        <v>16</v>
      </c>
      <c r="R20" s="1">
        <v>1790140.14</v>
      </c>
    </row>
    <row r="21" spans="1:19" ht="15.75" customHeight="1" x14ac:dyDescent="0.25">
      <c r="A21" s="1">
        <v>18</v>
      </c>
      <c r="B21" s="1" t="s">
        <v>116</v>
      </c>
      <c r="C21" s="1" t="s">
        <v>15</v>
      </c>
      <c r="D21" s="1" t="s">
        <v>15</v>
      </c>
      <c r="E21" s="1">
        <v>18</v>
      </c>
      <c r="F21" s="1" t="s">
        <v>117</v>
      </c>
      <c r="G21" s="1" t="s">
        <v>118</v>
      </c>
      <c r="H21" s="1" t="s">
        <v>16</v>
      </c>
      <c r="I21" s="1" t="s">
        <v>29</v>
      </c>
      <c r="J21" s="1" t="s">
        <v>119</v>
      </c>
      <c r="K21" s="1" t="b">
        <v>1</v>
      </c>
      <c r="L21" s="1" t="s">
        <v>31</v>
      </c>
      <c r="M21" s="1">
        <v>2023</v>
      </c>
      <c r="N21" s="1" t="s">
        <v>45</v>
      </c>
      <c r="O21" s="1" t="s">
        <v>9935</v>
      </c>
      <c r="P21" s="1" t="s">
        <v>16</v>
      </c>
      <c r="Q21" s="1">
        <v>100</v>
      </c>
      <c r="R21" s="1">
        <v>48715.62</v>
      </c>
      <c r="S21" s="1">
        <v>48715.62</v>
      </c>
    </row>
    <row r="22" spans="1:19" ht="12.5" x14ac:dyDescent="0.25">
      <c r="A22" s="1">
        <v>19</v>
      </c>
      <c r="B22" s="1" t="s">
        <v>120</v>
      </c>
      <c r="C22" s="1" t="s">
        <v>15</v>
      </c>
      <c r="D22" s="1" t="s">
        <v>15</v>
      </c>
      <c r="E22" s="1">
        <v>19</v>
      </c>
      <c r="F22" s="1" t="s">
        <v>121</v>
      </c>
      <c r="G22" s="1" t="s">
        <v>122</v>
      </c>
      <c r="H22" s="1" t="s">
        <v>16</v>
      </c>
      <c r="I22" s="1" t="s">
        <v>29</v>
      </c>
      <c r="J22" s="1" t="s">
        <v>123</v>
      </c>
      <c r="K22" s="1" t="b">
        <v>1</v>
      </c>
      <c r="L22" s="1" t="s">
        <v>31</v>
      </c>
      <c r="M22" s="1">
        <v>2022</v>
      </c>
      <c r="N22" s="1" t="s">
        <v>23</v>
      </c>
      <c r="O22" s="1" t="s">
        <v>9935</v>
      </c>
      <c r="P22" s="1" t="s">
        <v>16</v>
      </c>
      <c r="Q22" s="1">
        <v>100</v>
      </c>
      <c r="R22" s="1">
        <v>176323.44</v>
      </c>
      <c r="S22" s="1">
        <v>176323.44</v>
      </c>
    </row>
    <row r="23" spans="1:19" ht="12.5" x14ac:dyDescent="0.25">
      <c r="A23" s="1">
        <v>20</v>
      </c>
      <c r="B23" s="1" t="s">
        <v>125</v>
      </c>
      <c r="C23" s="1" t="s">
        <v>15</v>
      </c>
      <c r="D23" s="1" t="s">
        <v>15</v>
      </c>
      <c r="E23" s="1">
        <v>20</v>
      </c>
      <c r="F23" s="1" t="s">
        <v>126</v>
      </c>
      <c r="G23" s="1" t="s">
        <v>127</v>
      </c>
      <c r="H23" s="1" t="s">
        <v>16</v>
      </c>
      <c r="I23" s="1" t="s">
        <v>29</v>
      </c>
      <c r="J23" s="1" t="s">
        <v>128</v>
      </c>
      <c r="K23" s="1" t="b">
        <v>1</v>
      </c>
      <c r="L23" s="1" t="s">
        <v>31</v>
      </c>
      <c r="M23" s="1">
        <v>2023</v>
      </c>
      <c r="N23" s="1" t="s">
        <v>45</v>
      </c>
      <c r="O23" s="1" t="s">
        <v>9935</v>
      </c>
      <c r="P23" s="1" t="s">
        <v>16</v>
      </c>
      <c r="Q23" s="1">
        <v>100</v>
      </c>
      <c r="R23" s="1">
        <v>141679.67000000001</v>
      </c>
      <c r="S23" s="1">
        <v>141679.67000000001</v>
      </c>
    </row>
    <row r="24" spans="1:19" ht="12.5" x14ac:dyDescent="0.25">
      <c r="A24" s="1">
        <v>21</v>
      </c>
      <c r="B24" s="1" t="s">
        <v>129</v>
      </c>
      <c r="C24" s="1" t="s">
        <v>15</v>
      </c>
      <c r="D24" s="1" t="s">
        <v>15</v>
      </c>
      <c r="E24" s="1">
        <v>21</v>
      </c>
      <c r="F24" s="1" t="s">
        <v>130</v>
      </c>
      <c r="G24" s="1" t="s">
        <v>131</v>
      </c>
      <c r="H24" s="1" t="s">
        <v>132</v>
      </c>
      <c r="I24" s="1" t="s">
        <v>29</v>
      </c>
      <c r="J24" s="1" t="s">
        <v>133</v>
      </c>
      <c r="K24" s="1" t="b">
        <v>1</v>
      </c>
      <c r="L24" s="1" t="s">
        <v>31</v>
      </c>
      <c r="M24" s="1">
        <v>2022</v>
      </c>
      <c r="N24" s="1" t="s">
        <v>16</v>
      </c>
      <c r="O24" s="1" t="s">
        <v>9935</v>
      </c>
      <c r="P24" s="1" t="s">
        <v>16</v>
      </c>
      <c r="Q24" s="1">
        <v>100</v>
      </c>
      <c r="R24" s="1">
        <v>310000</v>
      </c>
      <c r="S24" s="1">
        <v>310000</v>
      </c>
    </row>
    <row r="25" spans="1:19" ht="12.5" x14ac:dyDescent="0.25">
      <c r="A25" s="1" t="s">
        <v>16</v>
      </c>
      <c r="B25" s="1" t="s">
        <v>16</v>
      </c>
      <c r="C25" s="1" t="s">
        <v>16</v>
      </c>
      <c r="D25" s="1" t="s">
        <v>16</v>
      </c>
      <c r="E25" s="1">
        <v>22</v>
      </c>
      <c r="F25" s="1" t="s">
        <v>134</v>
      </c>
      <c r="G25" s="1" t="s">
        <v>135</v>
      </c>
      <c r="H25" s="1" t="s">
        <v>136</v>
      </c>
      <c r="I25" s="1" t="s">
        <v>20</v>
      </c>
      <c r="J25" s="1" t="s">
        <v>16</v>
      </c>
      <c r="K25" s="1" t="b">
        <v>0</v>
      </c>
      <c r="L25" s="1" t="s">
        <v>22</v>
      </c>
      <c r="M25" s="1" t="s">
        <v>16</v>
      </c>
      <c r="N25" s="1" t="s">
        <v>16</v>
      </c>
      <c r="O25" s="1" t="s">
        <v>9935</v>
      </c>
      <c r="P25" s="1" t="s">
        <v>16</v>
      </c>
      <c r="R25" s="1">
        <v>150000</v>
      </c>
    </row>
    <row r="26" spans="1:19" ht="12.5" x14ac:dyDescent="0.25">
      <c r="A26" s="1">
        <v>23</v>
      </c>
      <c r="B26" s="1" t="s">
        <v>137</v>
      </c>
      <c r="C26" s="1" t="s">
        <v>15</v>
      </c>
      <c r="D26" s="1" t="s">
        <v>15</v>
      </c>
      <c r="E26" s="1">
        <v>23</v>
      </c>
      <c r="F26" s="1" t="s">
        <v>138</v>
      </c>
      <c r="G26" s="1" t="s">
        <v>139</v>
      </c>
      <c r="H26" s="1" t="s">
        <v>140</v>
      </c>
      <c r="I26" s="1" t="s">
        <v>29</v>
      </c>
      <c r="J26" s="1" t="s">
        <v>141</v>
      </c>
      <c r="K26" s="1" t="b">
        <v>1</v>
      </c>
      <c r="L26" s="1" t="s">
        <v>31</v>
      </c>
      <c r="M26" s="1">
        <v>2022</v>
      </c>
      <c r="N26" s="1" t="s">
        <v>16</v>
      </c>
      <c r="O26" s="1" t="s">
        <v>9935</v>
      </c>
      <c r="P26" s="1" t="s">
        <v>16</v>
      </c>
      <c r="Q26" s="1">
        <v>100</v>
      </c>
      <c r="R26" s="1">
        <v>94430.53</v>
      </c>
      <c r="S26" s="1">
        <v>94430.53</v>
      </c>
    </row>
    <row r="27" spans="1:19" ht="12.5" x14ac:dyDescent="0.25">
      <c r="A27" s="1">
        <v>24</v>
      </c>
      <c r="B27" s="1" t="s">
        <v>142</v>
      </c>
      <c r="C27" s="1" t="s">
        <v>15</v>
      </c>
      <c r="D27" s="1" t="s">
        <v>15</v>
      </c>
      <c r="E27" s="1">
        <v>24</v>
      </c>
      <c r="F27" s="1" t="s">
        <v>143</v>
      </c>
      <c r="G27" s="1" t="s">
        <v>144</v>
      </c>
      <c r="H27" s="1" t="s">
        <v>145</v>
      </c>
      <c r="I27" s="1" t="s">
        <v>29</v>
      </c>
      <c r="J27" s="1" t="s">
        <v>146</v>
      </c>
      <c r="K27" s="1" t="b">
        <v>1</v>
      </c>
      <c r="L27" s="1" t="s">
        <v>31</v>
      </c>
      <c r="M27" s="1">
        <v>2021</v>
      </c>
      <c r="N27" s="1" t="s">
        <v>32</v>
      </c>
      <c r="O27" s="1" t="s">
        <v>9935</v>
      </c>
      <c r="P27" s="1" t="s">
        <v>16</v>
      </c>
      <c r="Q27" s="1">
        <v>100</v>
      </c>
      <c r="R27" s="1">
        <v>7000</v>
      </c>
      <c r="S27" s="1">
        <v>7000</v>
      </c>
    </row>
    <row r="28" spans="1:19" ht="12.5" x14ac:dyDescent="0.25">
      <c r="A28" s="1">
        <v>25</v>
      </c>
      <c r="B28" s="1" t="s">
        <v>147</v>
      </c>
      <c r="C28" s="1" t="s">
        <v>15</v>
      </c>
      <c r="D28" s="1" t="s">
        <v>15</v>
      </c>
      <c r="E28" s="1">
        <v>25</v>
      </c>
      <c r="F28" s="1" t="s">
        <v>148</v>
      </c>
      <c r="G28" s="1" t="s">
        <v>149</v>
      </c>
      <c r="H28" s="1" t="s">
        <v>16</v>
      </c>
      <c r="I28" s="1" t="s">
        <v>29</v>
      </c>
      <c r="J28" s="1" t="s">
        <v>150</v>
      </c>
      <c r="K28" s="1" t="b">
        <v>0</v>
      </c>
      <c r="L28" s="1" t="s">
        <v>22</v>
      </c>
      <c r="M28" s="1">
        <v>2022</v>
      </c>
      <c r="N28" s="1" t="s">
        <v>32</v>
      </c>
      <c r="O28" s="1" t="s">
        <v>9935</v>
      </c>
      <c r="P28" s="1" t="s">
        <v>16</v>
      </c>
      <c r="Q28" s="1">
        <v>99</v>
      </c>
      <c r="R28" s="1">
        <v>2000000</v>
      </c>
      <c r="S28" s="1">
        <v>1980000</v>
      </c>
    </row>
    <row r="29" spans="1:19" ht="12.5" x14ac:dyDescent="0.25">
      <c r="A29" s="1">
        <v>1229</v>
      </c>
      <c r="B29" s="1" t="s">
        <v>151</v>
      </c>
      <c r="C29" s="1" t="s">
        <v>35</v>
      </c>
      <c r="D29" s="1" t="s">
        <v>152</v>
      </c>
      <c r="E29" s="1">
        <v>25</v>
      </c>
      <c r="F29" s="1" t="s">
        <v>148</v>
      </c>
      <c r="G29" s="1" t="s">
        <v>149</v>
      </c>
      <c r="H29" s="1" t="s">
        <v>16</v>
      </c>
      <c r="I29" s="1" t="s">
        <v>29</v>
      </c>
      <c r="J29" s="1" t="s">
        <v>150</v>
      </c>
      <c r="K29" s="1" t="b">
        <v>0</v>
      </c>
      <c r="L29" s="1" t="s">
        <v>22</v>
      </c>
      <c r="M29" s="1">
        <v>2022</v>
      </c>
      <c r="N29" s="1" t="s">
        <v>32</v>
      </c>
      <c r="O29" s="1" t="s">
        <v>9935</v>
      </c>
      <c r="P29" s="1" t="s">
        <v>16</v>
      </c>
      <c r="Q29" s="1">
        <v>1</v>
      </c>
      <c r="R29" s="1">
        <v>2000000</v>
      </c>
      <c r="S29" s="1">
        <v>20000</v>
      </c>
    </row>
    <row r="30" spans="1:19" ht="12.5" x14ac:dyDescent="0.25">
      <c r="A30" s="1">
        <v>26</v>
      </c>
      <c r="B30" s="1" t="s">
        <v>153</v>
      </c>
      <c r="C30" s="1" t="s">
        <v>15</v>
      </c>
      <c r="D30" s="1" t="s">
        <v>15</v>
      </c>
      <c r="E30" s="1">
        <v>26</v>
      </c>
      <c r="F30" s="1" t="s">
        <v>154</v>
      </c>
      <c r="G30" s="1" t="s">
        <v>155</v>
      </c>
      <c r="H30" s="1" t="s">
        <v>16</v>
      </c>
      <c r="I30" s="1" t="s">
        <v>29</v>
      </c>
      <c r="J30" s="1" t="s">
        <v>156</v>
      </c>
      <c r="K30" s="1" t="b">
        <v>0</v>
      </c>
      <c r="L30" s="1" t="s">
        <v>22</v>
      </c>
      <c r="M30" s="1">
        <v>2022</v>
      </c>
      <c r="N30" s="1" t="s">
        <v>32</v>
      </c>
      <c r="O30" s="1" t="s">
        <v>9935</v>
      </c>
      <c r="P30" s="1" t="s">
        <v>16</v>
      </c>
      <c r="Q30" s="1">
        <v>50</v>
      </c>
      <c r="R30" s="1">
        <v>2000000</v>
      </c>
      <c r="S30" s="1">
        <v>1000000</v>
      </c>
    </row>
    <row r="31" spans="1:19" ht="12.5" x14ac:dyDescent="0.25">
      <c r="A31" s="1">
        <v>30</v>
      </c>
      <c r="B31" s="1" t="s">
        <v>158</v>
      </c>
      <c r="C31" s="1" t="s">
        <v>15</v>
      </c>
      <c r="D31" s="1" t="s">
        <v>15</v>
      </c>
      <c r="E31" s="1">
        <v>26</v>
      </c>
      <c r="F31" s="1" t="s">
        <v>154</v>
      </c>
      <c r="G31" s="1" t="s">
        <v>155</v>
      </c>
      <c r="H31" s="1" t="s">
        <v>16</v>
      </c>
      <c r="I31" s="1" t="s">
        <v>29</v>
      </c>
      <c r="J31" s="1" t="s">
        <v>156</v>
      </c>
      <c r="K31" s="1" t="b">
        <v>0</v>
      </c>
      <c r="L31" s="1" t="s">
        <v>22</v>
      </c>
      <c r="M31" s="1">
        <v>2022</v>
      </c>
      <c r="N31" s="1" t="s">
        <v>32</v>
      </c>
      <c r="O31" s="1" t="s">
        <v>9935</v>
      </c>
      <c r="P31" s="1" t="s">
        <v>16</v>
      </c>
      <c r="Q31" s="1">
        <v>50</v>
      </c>
      <c r="R31" s="1">
        <v>2000000</v>
      </c>
      <c r="S31" s="1">
        <v>1000000</v>
      </c>
    </row>
    <row r="32" spans="1:19" ht="12.5" x14ac:dyDescent="0.25">
      <c r="A32" s="1">
        <v>27</v>
      </c>
      <c r="B32" s="1" t="s">
        <v>159</v>
      </c>
      <c r="C32" s="1" t="s">
        <v>15</v>
      </c>
      <c r="D32" s="1" t="s">
        <v>15</v>
      </c>
      <c r="E32" s="1">
        <v>27</v>
      </c>
      <c r="F32" s="1" t="s">
        <v>160</v>
      </c>
      <c r="G32" s="1" t="s">
        <v>161</v>
      </c>
      <c r="H32" s="1" t="s">
        <v>16</v>
      </c>
      <c r="I32" s="1" t="s">
        <v>29</v>
      </c>
      <c r="J32" s="1" t="s">
        <v>16</v>
      </c>
      <c r="K32" s="1" t="b">
        <v>0</v>
      </c>
      <c r="L32" s="1" t="s">
        <v>22</v>
      </c>
      <c r="M32" s="1" t="s">
        <v>16</v>
      </c>
      <c r="N32" s="1" t="s">
        <v>16</v>
      </c>
      <c r="O32" s="1" t="s">
        <v>9935</v>
      </c>
      <c r="P32" s="1" t="s">
        <v>16</v>
      </c>
      <c r="Q32" s="1">
        <v>100</v>
      </c>
      <c r="R32" s="1">
        <v>238000</v>
      </c>
      <c r="S32" s="1">
        <v>238000</v>
      </c>
    </row>
    <row r="33" spans="1:19" ht="12.5" x14ac:dyDescent="0.25">
      <c r="A33" s="1">
        <v>28</v>
      </c>
      <c r="B33" s="1" t="s">
        <v>162</v>
      </c>
      <c r="C33" s="1" t="s">
        <v>15</v>
      </c>
      <c r="D33" s="1" t="s">
        <v>15</v>
      </c>
      <c r="E33" s="1">
        <v>28</v>
      </c>
      <c r="F33" s="1" t="s">
        <v>163</v>
      </c>
      <c r="G33" s="1" t="s">
        <v>164</v>
      </c>
      <c r="H33" s="1" t="s">
        <v>16</v>
      </c>
      <c r="I33" s="1" t="s">
        <v>20</v>
      </c>
      <c r="J33" s="1" t="s">
        <v>165</v>
      </c>
      <c r="K33" s="1" t="b">
        <v>0</v>
      </c>
      <c r="L33" s="1" t="s">
        <v>22</v>
      </c>
      <c r="M33" s="1" t="s">
        <v>16</v>
      </c>
      <c r="N33" s="1" t="s">
        <v>16</v>
      </c>
      <c r="O33" s="1" t="s">
        <v>9935</v>
      </c>
      <c r="P33" s="1" t="s">
        <v>16</v>
      </c>
      <c r="Q33" s="1">
        <v>100</v>
      </c>
      <c r="R33" s="1">
        <v>670000</v>
      </c>
      <c r="S33" s="1">
        <v>670000</v>
      </c>
    </row>
    <row r="34" spans="1:19" ht="12.5" x14ac:dyDescent="0.25">
      <c r="A34" s="1">
        <v>29</v>
      </c>
      <c r="B34" s="1" t="s">
        <v>166</v>
      </c>
      <c r="C34" s="1" t="s">
        <v>15</v>
      </c>
      <c r="D34" s="1" t="s">
        <v>15</v>
      </c>
      <c r="E34" s="1">
        <v>29</v>
      </c>
      <c r="F34" s="1" t="s">
        <v>167</v>
      </c>
      <c r="G34" s="1" t="s">
        <v>168</v>
      </c>
      <c r="H34" s="1" t="s">
        <v>16</v>
      </c>
      <c r="I34" s="1" t="s">
        <v>29</v>
      </c>
      <c r="J34" s="1" t="s">
        <v>16</v>
      </c>
      <c r="K34" s="1" t="b">
        <v>0</v>
      </c>
      <c r="L34" s="1" t="s">
        <v>22</v>
      </c>
      <c r="M34" s="1">
        <v>2023</v>
      </c>
      <c r="N34" s="1" t="s">
        <v>16</v>
      </c>
      <c r="O34" s="1" t="s">
        <v>9935</v>
      </c>
      <c r="P34" s="1" t="s">
        <v>16</v>
      </c>
      <c r="Q34" s="1">
        <v>100</v>
      </c>
      <c r="R34" s="1">
        <v>500000</v>
      </c>
      <c r="S34" s="1">
        <v>500000</v>
      </c>
    </row>
    <row r="35" spans="1:19" ht="12.5" x14ac:dyDescent="0.25">
      <c r="A35" s="1">
        <v>30</v>
      </c>
      <c r="B35" s="1" t="s">
        <v>158</v>
      </c>
      <c r="C35" s="1" t="s">
        <v>15</v>
      </c>
      <c r="D35" s="1" t="s">
        <v>15</v>
      </c>
      <c r="E35" s="1">
        <v>30</v>
      </c>
      <c r="F35" s="1" t="s">
        <v>170</v>
      </c>
      <c r="G35" s="1" t="s">
        <v>171</v>
      </c>
      <c r="H35" s="1" t="s">
        <v>16</v>
      </c>
      <c r="I35" s="1" t="s">
        <v>29</v>
      </c>
      <c r="J35" s="1" t="s">
        <v>16</v>
      </c>
      <c r="K35" s="1" t="b">
        <v>0</v>
      </c>
      <c r="L35" s="1" t="s">
        <v>22</v>
      </c>
      <c r="M35" s="1" t="s">
        <v>16</v>
      </c>
      <c r="N35" s="1" t="s">
        <v>16</v>
      </c>
      <c r="O35" s="1" t="s">
        <v>9935</v>
      </c>
      <c r="P35" s="1" t="s">
        <v>16</v>
      </c>
      <c r="Q35" s="1">
        <v>100</v>
      </c>
      <c r="R35" s="1">
        <v>200000</v>
      </c>
      <c r="S35" s="1">
        <v>200000</v>
      </c>
    </row>
    <row r="36" spans="1:19" ht="12.5" x14ac:dyDescent="0.25">
      <c r="A36" s="1">
        <v>31</v>
      </c>
      <c r="B36" s="1" t="s">
        <v>172</v>
      </c>
      <c r="C36" s="1" t="s">
        <v>15</v>
      </c>
      <c r="D36" s="1" t="s">
        <v>15</v>
      </c>
      <c r="E36" s="1">
        <v>31</v>
      </c>
      <c r="F36" s="1" t="s">
        <v>173</v>
      </c>
      <c r="G36" s="1" t="s">
        <v>174</v>
      </c>
      <c r="H36" s="1" t="s">
        <v>16</v>
      </c>
      <c r="I36" s="1" t="s">
        <v>29</v>
      </c>
      <c r="J36" s="1" t="s">
        <v>175</v>
      </c>
      <c r="K36" s="1" t="b">
        <v>1</v>
      </c>
      <c r="L36" s="1" t="s">
        <v>31</v>
      </c>
      <c r="M36" s="1">
        <v>2021</v>
      </c>
      <c r="N36" s="1" t="s">
        <v>52</v>
      </c>
      <c r="O36" s="1" t="s">
        <v>9935</v>
      </c>
      <c r="P36" s="1" t="s">
        <v>16</v>
      </c>
      <c r="Q36" s="1">
        <v>100</v>
      </c>
      <c r="R36" s="1">
        <v>421000</v>
      </c>
      <c r="S36" s="1">
        <v>421000</v>
      </c>
    </row>
    <row r="37" spans="1:19" ht="12.5" x14ac:dyDescent="0.25">
      <c r="A37" s="1">
        <v>32</v>
      </c>
      <c r="B37" s="1" t="s">
        <v>176</v>
      </c>
      <c r="C37" s="1" t="s">
        <v>15</v>
      </c>
      <c r="D37" s="1" t="s">
        <v>15</v>
      </c>
      <c r="E37" s="1">
        <v>32</v>
      </c>
      <c r="F37" s="1" t="s">
        <v>177</v>
      </c>
      <c r="G37" s="1" t="s">
        <v>178</v>
      </c>
      <c r="H37" s="1" t="s">
        <v>16</v>
      </c>
      <c r="I37" s="1" t="s">
        <v>29</v>
      </c>
      <c r="J37" s="1" t="s">
        <v>179</v>
      </c>
      <c r="K37" s="1" t="b">
        <v>0</v>
      </c>
      <c r="L37" s="1" t="s">
        <v>22</v>
      </c>
      <c r="M37" s="1">
        <v>2022</v>
      </c>
      <c r="N37" s="1" t="s">
        <v>23</v>
      </c>
      <c r="O37" s="1" t="s">
        <v>9935</v>
      </c>
      <c r="P37" s="1" t="s">
        <v>16</v>
      </c>
      <c r="Q37" s="1">
        <v>100</v>
      </c>
      <c r="R37" s="1">
        <v>713000</v>
      </c>
      <c r="S37" s="1">
        <v>713000</v>
      </c>
    </row>
    <row r="38" spans="1:19" ht="12.5" x14ac:dyDescent="0.25">
      <c r="A38" s="1">
        <v>33</v>
      </c>
      <c r="B38" s="1" t="s">
        <v>180</v>
      </c>
      <c r="C38" s="1" t="s">
        <v>15</v>
      </c>
      <c r="D38" s="1" t="s">
        <v>15</v>
      </c>
      <c r="E38" s="1">
        <v>33</v>
      </c>
      <c r="F38" s="1" t="s">
        <v>181</v>
      </c>
      <c r="G38" s="1" t="s">
        <v>182</v>
      </c>
      <c r="H38" s="1" t="s">
        <v>16</v>
      </c>
      <c r="I38" s="1" t="s">
        <v>29</v>
      </c>
      <c r="J38" s="1" t="s">
        <v>183</v>
      </c>
      <c r="K38" s="1" t="b">
        <v>1</v>
      </c>
      <c r="L38" s="1" t="s">
        <v>31</v>
      </c>
      <c r="M38" s="1">
        <v>2021</v>
      </c>
      <c r="N38" s="1" t="s">
        <v>52</v>
      </c>
      <c r="O38" s="1" t="s">
        <v>9935</v>
      </c>
      <c r="P38" s="1" t="s">
        <v>16</v>
      </c>
      <c r="Q38" s="1">
        <v>100</v>
      </c>
      <c r="R38" s="1">
        <v>51000</v>
      </c>
      <c r="S38" s="1">
        <v>51000</v>
      </c>
    </row>
    <row r="39" spans="1:19" ht="12.5" x14ac:dyDescent="0.25">
      <c r="A39" s="1">
        <v>34</v>
      </c>
      <c r="B39" s="1" t="s">
        <v>184</v>
      </c>
      <c r="C39" s="1" t="s">
        <v>15</v>
      </c>
      <c r="D39" s="1" t="s">
        <v>15</v>
      </c>
      <c r="E39" s="1">
        <v>34</v>
      </c>
      <c r="F39" s="1" t="s">
        <v>185</v>
      </c>
      <c r="G39" s="1" t="s">
        <v>186</v>
      </c>
      <c r="H39" s="1" t="s">
        <v>16</v>
      </c>
      <c r="I39" s="1" t="s">
        <v>29</v>
      </c>
      <c r="J39" s="1" t="s">
        <v>187</v>
      </c>
      <c r="K39" s="1" t="b">
        <v>1</v>
      </c>
      <c r="L39" s="1" t="s">
        <v>31</v>
      </c>
      <c r="M39" s="1">
        <v>2022</v>
      </c>
      <c r="N39" s="1" t="s">
        <v>45</v>
      </c>
      <c r="O39" s="1" t="s">
        <v>9935</v>
      </c>
      <c r="P39" s="1" t="s">
        <v>16</v>
      </c>
      <c r="Q39" s="1">
        <v>100</v>
      </c>
      <c r="R39" s="1">
        <v>309000</v>
      </c>
      <c r="S39" s="1">
        <v>309000</v>
      </c>
    </row>
    <row r="40" spans="1:19" ht="12.5" x14ac:dyDescent="0.25">
      <c r="A40" s="1">
        <v>35</v>
      </c>
      <c r="B40" s="1" t="s">
        <v>188</v>
      </c>
      <c r="C40" s="1" t="s">
        <v>15</v>
      </c>
      <c r="D40" s="1" t="s">
        <v>15</v>
      </c>
      <c r="E40" s="1">
        <v>35</v>
      </c>
      <c r="F40" s="1" t="s">
        <v>189</v>
      </c>
      <c r="G40" s="1" t="s">
        <v>190</v>
      </c>
      <c r="H40" s="1" t="s">
        <v>16</v>
      </c>
      <c r="I40" s="1" t="s">
        <v>29</v>
      </c>
      <c r="J40" s="1" t="s">
        <v>191</v>
      </c>
      <c r="K40" s="1" t="b">
        <v>1</v>
      </c>
      <c r="L40" s="1" t="s">
        <v>31</v>
      </c>
      <c r="M40" s="1">
        <v>2022</v>
      </c>
      <c r="N40" s="1" t="s">
        <v>32</v>
      </c>
      <c r="O40" s="1" t="s">
        <v>9935</v>
      </c>
      <c r="P40" s="1" t="s">
        <v>16</v>
      </c>
      <c r="Q40" s="1">
        <v>100</v>
      </c>
      <c r="R40" s="1">
        <v>251000</v>
      </c>
      <c r="S40" s="1">
        <v>251000</v>
      </c>
    </row>
    <row r="41" spans="1:19" ht="12.5" x14ac:dyDescent="0.25">
      <c r="A41" s="1">
        <v>36</v>
      </c>
      <c r="B41" s="1" t="s">
        <v>192</v>
      </c>
      <c r="C41" s="1" t="s">
        <v>15</v>
      </c>
      <c r="D41" s="1" t="s">
        <v>15</v>
      </c>
      <c r="E41" s="1">
        <v>36</v>
      </c>
      <c r="F41" s="1" t="s">
        <v>193</v>
      </c>
      <c r="G41" s="1" t="s">
        <v>194</v>
      </c>
      <c r="H41" s="1" t="s">
        <v>195</v>
      </c>
      <c r="I41" s="1" t="s">
        <v>29</v>
      </c>
      <c r="J41" s="1" t="s">
        <v>196</v>
      </c>
      <c r="K41" s="1" t="b">
        <v>1</v>
      </c>
      <c r="L41" s="1" t="s">
        <v>31</v>
      </c>
      <c r="M41" s="1" t="s">
        <v>16</v>
      </c>
      <c r="N41" s="1" t="s">
        <v>16</v>
      </c>
      <c r="O41" s="1" t="s">
        <v>9935</v>
      </c>
      <c r="P41" s="1" t="s">
        <v>16</v>
      </c>
      <c r="Q41" s="1">
        <v>100</v>
      </c>
      <c r="R41" s="1">
        <v>81540.396550000005</v>
      </c>
      <c r="S41" s="1">
        <v>81540.396550000005</v>
      </c>
    </row>
    <row r="42" spans="1:19" ht="12.5" x14ac:dyDescent="0.25">
      <c r="A42" s="1">
        <v>37</v>
      </c>
      <c r="B42" s="1" t="s">
        <v>197</v>
      </c>
      <c r="C42" s="1" t="s">
        <v>15</v>
      </c>
      <c r="D42" s="1" t="s">
        <v>15</v>
      </c>
      <c r="E42" s="1">
        <v>37</v>
      </c>
      <c r="F42" s="1" t="s">
        <v>198</v>
      </c>
      <c r="G42" s="1" t="s">
        <v>199</v>
      </c>
      <c r="H42" s="1" t="s">
        <v>195</v>
      </c>
      <c r="I42" s="1" t="s">
        <v>29</v>
      </c>
      <c r="J42" s="1" t="s">
        <v>200</v>
      </c>
      <c r="K42" s="1" t="b">
        <v>1</v>
      </c>
      <c r="L42" s="1" t="s">
        <v>31</v>
      </c>
      <c r="M42" s="1" t="s">
        <v>16</v>
      </c>
      <c r="N42" s="1" t="s">
        <v>16</v>
      </c>
      <c r="O42" s="1" t="s">
        <v>9935</v>
      </c>
      <c r="P42" s="1" t="s">
        <v>16</v>
      </c>
      <c r="Q42" s="1">
        <v>100</v>
      </c>
      <c r="R42" s="1">
        <v>13590.06609</v>
      </c>
      <c r="S42" s="1">
        <v>13590.06609</v>
      </c>
    </row>
    <row r="43" spans="1:19" ht="12.5" x14ac:dyDescent="0.25">
      <c r="A43" s="1">
        <v>38</v>
      </c>
      <c r="B43" s="1" t="s">
        <v>201</v>
      </c>
      <c r="C43" s="1" t="s">
        <v>15</v>
      </c>
      <c r="D43" s="1" t="s">
        <v>15</v>
      </c>
      <c r="E43" s="1">
        <v>38</v>
      </c>
      <c r="F43" s="1" t="s">
        <v>202</v>
      </c>
      <c r="G43" s="1" t="s">
        <v>203</v>
      </c>
      <c r="H43" s="1" t="s">
        <v>195</v>
      </c>
      <c r="I43" s="1" t="s">
        <v>29</v>
      </c>
      <c r="J43" s="1" t="s">
        <v>204</v>
      </c>
      <c r="K43" s="1" t="b">
        <v>1</v>
      </c>
      <c r="L43" s="1" t="s">
        <v>31</v>
      </c>
      <c r="M43" s="1" t="s">
        <v>16</v>
      </c>
      <c r="N43" s="1" t="s">
        <v>16</v>
      </c>
      <c r="O43" s="1" t="s">
        <v>9935</v>
      </c>
      <c r="P43" s="1" t="s">
        <v>16</v>
      </c>
      <c r="Q43" s="1">
        <v>100</v>
      </c>
      <c r="R43" s="1">
        <v>92659.541540000006</v>
      </c>
      <c r="S43" s="1">
        <v>92659.541540000006</v>
      </c>
    </row>
    <row r="44" spans="1:19" ht="12.5" x14ac:dyDescent="0.25">
      <c r="A44" s="1">
        <v>39</v>
      </c>
      <c r="B44" s="1" t="s">
        <v>205</v>
      </c>
      <c r="C44" s="1" t="s">
        <v>15</v>
      </c>
      <c r="D44" s="1" t="s">
        <v>15</v>
      </c>
      <c r="E44" s="1">
        <v>39</v>
      </c>
      <c r="F44" s="1" t="s">
        <v>206</v>
      </c>
      <c r="G44" s="1" t="s">
        <v>207</v>
      </c>
      <c r="H44" s="1" t="s">
        <v>195</v>
      </c>
      <c r="I44" s="1" t="s">
        <v>29</v>
      </c>
      <c r="J44" s="1" t="s">
        <v>208</v>
      </c>
      <c r="K44" s="1" t="b">
        <v>1</v>
      </c>
      <c r="L44" s="1" t="s">
        <v>31</v>
      </c>
      <c r="M44" s="1" t="s">
        <v>16</v>
      </c>
      <c r="N44" s="1" t="s">
        <v>16</v>
      </c>
      <c r="O44" s="1" t="s">
        <v>9935</v>
      </c>
      <c r="P44" s="1" t="s">
        <v>16</v>
      </c>
      <c r="Q44" s="1">
        <v>100</v>
      </c>
      <c r="R44" s="1">
        <v>70421.251569999993</v>
      </c>
      <c r="S44" s="1">
        <v>70421.251569999993</v>
      </c>
    </row>
    <row r="45" spans="1:19" ht="12.5" x14ac:dyDescent="0.25">
      <c r="A45" s="1">
        <v>40</v>
      </c>
      <c r="B45" s="1" t="s">
        <v>209</v>
      </c>
      <c r="C45" s="1" t="s">
        <v>15</v>
      </c>
      <c r="D45" s="1" t="s">
        <v>15</v>
      </c>
      <c r="E45" s="1">
        <v>40</v>
      </c>
      <c r="F45" s="1" t="s">
        <v>210</v>
      </c>
      <c r="G45" s="1" t="s">
        <v>211</v>
      </c>
      <c r="H45" s="1" t="s">
        <v>195</v>
      </c>
      <c r="I45" s="1" t="s">
        <v>29</v>
      </c>
      <c r="J45" s="1" t="s">
        <v>212</v>
      </c>
      <c r="K45" s="1" t="b">
        <v>1</v>
      </c>
      <c r="L45" s="1" t="s">
        <v>31</v>
      </c>
      <c r="M45" s="1" t="s">
        <v>16</v>
      </c>
      <c r="N45" s="1" t="s">
        <v>16</v>
      </c>
      <c r="O45" s="1" t="s">
        <v>9935</v>
      </c>
      <c r="P45" s="1" t="s">
        <v>16</v>
      </c>
      <c r="Q45" s="1">
        <v>100</v>
      </c>
      <c r="R45" s="1">
        <v>49418.422149999999</v>
      </c>
      <c r="S45" s="1">
        <v>49418.422149999999</v>
      </c>
    </row>
    <row r="46" spans="1:19" ht="12.5" x14ac:dyDescent="0.25">
      <c r="A46" s="1">
        <v>41</v>
      </c>
      <c r="B46" s="1" t="s">
        <v>213</v>
      </c>
      <c r="C46" s="1" t="s">
        <v>15</v>
      </c>
      <c r="D46" s="1" t="s">
        <v>15</v>
      </c>
      <c r="E46" s="1">
        <v>41</v>
      </c>
      <c r="F46" s="1" t="s">
        <v>214</v>
      </c>
      <c r="G46" s="1" t="s">
        <v>215</v>
      </c>
      <c r="H46" s="1" t="s">
        <v>195</v>
      </c>
      <c r="I46" s="1" t="s">
        <v>29</v>
      </c>
      <c r="J46" s="1" t="s">
        <v>216</v>
      </c>
      <c r="K46" s="1" t="b">
        <v>1</v>
      </c>
      <c r="L46" s="1" t="s">
        <v>31</v>
      </c>
      <c r="M46" s="1" t="s">
        <v>16</v>
      </c>
      <c r="N46" s="1" t="s">
        <v>16</v>
      </c>
      <c r="O46" s="1" t="s">
        <v>9935</v>
      </c>
      <c r="P46" s="1" t="s">
        <v>16</v>
      </c>
      <c r="Q46" s="1">
        <v>100</v>
      </c>
      <c r="R46" s="1">
        <v>93277.271810000006</v>
      </c>
      <c r="S46" s="1">
        <v>93277.271810000006</v>
      </c>
    </row>
    <row r="47" spans="1:19" ht="12.5" x14ac:dyDescent="0.25">
      <c r="A47" s="1">
        <v>42</v>
      </c>
      <c r="B47" s="1" t="s">
        <v>217</v>
      </c>
      <c r="C47" s="1" t="s">
        <v>15</v>
      </c>
      <c r="D47" s="1" t="s">
        <v>15</v>
      </c>
      <c r="E47" s="1">
        <v>42</v>
      </c>
      <c r="F47" s="1" t="s">
        <v>218</v>
      </c>
      <c r="G47" s="1" t="s">
        <v>219</v>
      </c>
      <c r="H47" s="1" t="s">
        <v>195</v>
      </c>
      <c r="I47" s="1" t="s">
        <v>29</v>
      </c>
      <c r="J47" s="1" t="s">
        <v>220</v>
      </c>
      <c r="K47" s="1" t="b">
        <v>1</v>
      </c>
      <c r="L47" s="1" t="s">
        <v>31</v>
      </c>
      <c r="M47" s="1" t="s">
        <v>16</v>
      </c>
      <c r="N47" s="1" t="s">
        <v>16</v>
      </c>
      <c r="O47" s="1" t="s">
        <v>9935</v>
      </c>
      <c r="P47" s="1" t="s">
        <v>16</v>
      </c>
      <c r="Q47" s="1">
        <v>100</v>
      </c>
      <c r="R47" s="1">
        <v>107732.16029</v>
      </c>
      <c r="S47" s="1">
        <v>107732.16029</v>
      </c>
    </row>
    <row r="48" spans="1:19" ht="12.5" x14ac:dyDescent="0.25">
      <c r="A48" s="1">
        <v>43</v>
      </c>
      <c r="B48" s="1" t="s">
        <v>221</v>
      </c>
      <c r="C48" s="1" t="s">
        <v>15</v>
      </c>
      <c r="D48" s="1" t="s">
        <v>15</v>
      </c>
      <c r="E48" s="1">
        <v>43</v>
      </c>
      <c r="F48" s="1" t="s">
        <v>222</v>
      </c>
      <c r="G48" s="1" t="s">
        <v>223</v>
      </c>
      <c r="H48" s="1" t="s">
        <v>195</v>
      </c>
      <c r="I48" s="1" t="s">
        <v>29</v>
      </c>
      <c r="J48" s="1" t="s">
        <v>224</v>
      </c>
      <c r="K48" s="1" t="b">
        <v>1</v>
      </c>
      <c r="L48" s="1" t="s">
        <v>31</v>
      </c>
      <c r="M48" s="1" t="s">
        <v>16</v>
      </c>
      <c r="N48" s="1" t="s">
        <v>16</v>
      </c>
      <c r="O48" s="1" t="s">
        <v>9935</v>
      </c>
      <c r="P48" s="1" t="s">
        <v>16</v>
      </c>
      <c r="Q48" s="1">
        <v>100</v>
      </c>
      <c r="R48" s="1">
        <v>42005.65883</v>
      </c>
      <c r="S48" s="1">
        <v>42005.65883</v>
      </c>
    </row>
    <row r="49" spans="1:19" ht="12.5" x14ac:dyDescent="0.25">
      <c r="A49" s="1">
        <v>44</v>
      </c>
      <c r="B49" s="1" t="s">
        <v>225</v>
      </c>
      <c r="C49" s="1" t="s">
        <v>15</v>
      </c>
      <c r="D49" s="1" t="s">
        <v>15</v>
      </c>
      <c r="E49" s="1">
        <v>44</v>
      </c>
      <c r="F49" s="1" t="s">
        <v>226</v>
      </c>
      <c r="G49" s="1" t="s">
        <v>227</v>
      </c>
      <c r="H49" s="1" t="s">
        <v>195</v>
      </c>
      <c r="I49" s="1" t="s">
        <v>29</v>
      </c>
      <c r="J49" s="1" t="s">
        <v>228</v>
      </c>
      <c r="K49" s="1" t="b">
        <v>1</v>
      </c>
      <c r="L49" s="1" t="s">
        <v>31</v>
      </c>
      <c r="M49" s="1" t="s">
        <v>16</v>
      </c>
      <c r="N49" s="1" t="s">
        <v>16</v>
      </c>
      <c r="O49" s="1" t="s">
        <v>9935</v>
      </c>
      <c r="P49" s="1" t="s">
        <v>16</v>
      </c>
      <c r="Q49" s="1">
        <v>100</v>
      </c>
      <c r="R49" s="1">
        <v>16678.717479999999</v>
      </c>
      <c r="S49" s="1">
        <v>16678.717479999999</v>
      </c>
    </row>
    <row r="50" spans="1:19" ht="12.5" x14ac:dyDescent="0.25">
      <c r="A50" s="1">
        <v>45</v>
      </c>
      <c r="B50" s="1" t="s">
        <v>229</v>
      </c>
      <c r="C50" s="1" t="s">
        <v>15</v>
      </c>
      <c r="D50" s="1" t="s">
        <v>15</v>
      </c>
      <c r="E50" s="1">
        <v>45</v>
      </c>
      <c r="F50" s="1" t="s">
        <v>230</v>
      </c>
      <c r="G50" s="1" t="s">
        <v>231</v>
      </c>
      <c r="H50" s="1" t="s">
        <v>232</v>
      </c>
      <c r="I50" s="1" t="s">
        <v>29</v>
      </c>
      <c r="J50" s="1" t="s">
        <v>233</v>
      </c>
      <c r="K50" s="1" t="b">
        <v>0</v>
      </c>
      <c r="L50" s="1" t="s">
        <v>22</v>
      </c>
      <c r="M50" s="1" t="s">
        <v>16</v>
      </c>
      <c r="N50" s="1" t="s">
        <v>16</v>
      </c>
      <c r="O50" s="1" t="s">
        <v>9935</v>
      </c>
      <c r="P50" s="1" t="s">
        <v>16</v>
      </c>
      <c r="Q50" s="1">
        <v>100</v>
      </c>
      <c r="R50" s="1">
        <v>2000000</v>
      </c>
      <c r="S50" s="1">
        <v>2000000</v>
      </c>
    </row>
    <row r="51" spans="1:19" ht="12.5" x14ac:dyDescent="0.25">
      <c r="A51" s="1">
        <v>1105</v>
      </c>
      <c r="B51" s="1" t="s">
        <v>234</v>
      </c>
      <c r="C51" s="1" t="s">
        <v>35</v>
      </c>
      <c r="D51" s="1" t="s">
        <v>152</v>
      </c>
      <c r="E51" s="1">
        <v>45</v>
      </c>
      <c r="F51" s="1" t="s">
        <v>230</v>
      </c>
      <c r="G51" s="1" t="s">
        <v>231</v>
      </c>
      <c r="H51" s="1" t="s">
        <v>232</v>
      </c>
      <c r="I51" s="1" t="s">
        <v>29</v>
      </c>
      <c r="J51" s="1" t="s">
        <v>233</v>
      </c>
      <c r="K51" s="1" t="b">
        <v>0</v>
      </c>
      <c r="L51" s="1" t="s">
        <v>22</v>
      </c>
      <c r="M51" s="1" t="s">
        <v>16</v>
      </c>
      <c r="N51" s="1" t="s">
        <v>16</v>
      </c>
      <c r="O51" s="1" t="s">
        <v>9935</v>
      </c>
      <c r="P51" s="1" t="s">
        <v>16</v>
      </c>
      <c r="Q51" s="1">
        <v>0</v>
      </c>
      <c r="R51" s="1">
        <v>2000000</v>
      </c>
      <c r="S51" s="1">
        <v>0</v>
      </c>
    </row>
    <row r="52" spans="1:19" ht="12.5" x14ac:dyDescent="0.25">
      <c r="A52" s="1">
        <v>1106</v>
      </c>
      <c r="B52" s="1" t="s">
        <v>236</v>
      </c>
      <c r="C52" s="1" t="s">
        <v>35</v>
      </c>
      <c r="D52" s="1" t="s">
        <v>152</v>
      </c>
      <c r="E52" s="1">
        <v>45</v>
      </c>
      <c r="F52" s="1" t="s">
        <v>230</v>
      </c>
      <c r="G52" s="1" t="s">
        <v>231</v>
      </c>
      <c r="H52" s="1" t="s">
        <v>232</v>
      </c>
      <c r="I52" s="1" t="s">
        <v>29</v>
      </c>
      <c r="J52" s="1" t="s">
        <v>233</v>
      </c>
      <c r="K52" s="1" t="b">
        <v>0</v>
      </c>
      <c r="L52" s="1" t="s">
        <v>22</v>
      </c>
      <c r="M52" s="1" t="s">
        <v>16</v>
      </c>
      <c r="N52" s="1" t="s">
        <v>16</v>
      </c>
      <c r="O52" s="1" t="s">
        <v>9935</v>
      </c>
      <c r="P52" s="1" t="s">
        <v>16</v>
      </c>
      <c r="Q52" s="1">
        <v>0</v>
      </c>
      <c r="R52" s="1">
        <v>2000000</v>
      </c>
      <c r="S52" s="1">
        <v>0</v>
      </c>
    </row>
    <row r="53" spans="1:19" ht="12.5" x14ac:dyDescent="0.25">
      <c r="A53" s="1">
        <v>1182</v>
      </c>
      <c r="B53" s="1" t="s">
        <v>238</v>
      </c>
      <c r="C53" s="1" t="s">
        <v>35</v>
      </c>
      <c r="D53" s="1" t="s">
        <v>152</v>
      </c>
      <c r="E53" s="1">
        <v>45</v>
      </c>
      <c r="F53" s="1" t="s">
        <v>230</v>
      </c>
      <c r="G53" s="1" t="s">
        <v>231</v>
      </c>
      <c r="H53" s="1" t="s">
        <v>232</v>
      </c>
      <c r="I53" s="1" t="s">
        <v>29</v>
      </c>
      <c r="J53" s="1" t="s">
        <v>233</v>
      </c>
      <c r="K53" s="1" t="b">
        <v>0</v>
      </c>
      <c r="L53" s="1" t="s">
        <v>22</v>
      </c>
      <c r="M53" s="1" t="s">
        <v>16</v>
      </c>
      <c r="N53" s="1" t="s">
        <v>16</v>
      </c>
      <c r="O53" s="1" t="s">
        <v>9935</v>
      </c>
      <c r="P53" s="1" t="s">
        <v>16</v>
      </c>
      <c r="Q53" s="1">
        <v>0</v>
      </c>
      <c r="R53" s="1">
        <v>2000000</v>
      </c>
      <c r="S53" s="1">
        <v>0</v>
      </c>
    </row>
    <row r="54" spans="1:19" ht="12.5" x14ac:dyDescent="0.25">
      <c r="A54" s="1">
        <v>1380</v>
      </c>
      <c r="B54" s="1" t="s">
        <v>240</v>
      </c>
      <c r="C54" s="1" t="s">
        <v>35</v>
      </c>
      <c r="D54" s="1" t="s">
        <v>152</v>
      </c>
      <c r="E54" s="1">
        <v>45</v>
      </c>
      <c r="F54" s="1" t="s">
        <v>230</v>
      </c>
      <c r="G54" s="1" t="s">
        <v>231</v>
      </c>
      <c r="H54" s="1" t="s">
        <v>232</v>
      </c>
      <c r="I54" s="1" t="s">
        <v>29</v>
      </c>
      <c r="J54" s="1" t="s">
        <v>233</v>
      </c>
      <c r="K54" s="1" t="b">
        <v>0</v>
      </c>
      <c r="L54" s="1" t="s">
        <v>22</v>
      </c>
      <c r="M54" s="1" t="s">
        <v>16</v>
      </c>
      <c r="N54" s="1" t="s">
        <v>16</v>
      </c>
      <c r="O54" s="1" t="s">
        <v>9935</v>
      </c>
      <c r="P54" s="1" t="s">
        <v>16</v>
      </c>
      <c r="Q54" s="1">
        <v>0</v>
      </c>
      <c r="R54" s="1">
        <v>2000000</v>
      </c>
      <c r="S54" s="1">
        <v>0</v>
      </c>
    </row>
    <row r="55" spans="1:19" ht="12.5" x14ac:dyDescent="0.25">
      <c r="A55" s="1">
        <v>46</v>
      </c>
      <c r="B55" s="1" t="s">
        <v>242</v>
      </c>
      <c r="C55" s="1" t="s">
        <v>15</v>
      </c>
      <c r="D55" s="1" t="s">
        <v>15</v>
      </c>
      <c r="E55" s="1">
        <v>46</v>
      </c>
      <c r="F55" s="1" t="s">
        <v>243</v>
      </c>
      <c r="G55" s="1" t="s">
        <v>244</v>
      </c>
      <c r="H55" s="1" t="s">
        <v>245</v>
      </c>
      <c r="I55" s="1" t="s">
        <v>29</v>
      </c>
      <c r="J55" s="1" t="s">
        <v>246</v>
      </c>
      <c r="K55" s="1" t="b">
        <v>0</v>
      </c>
      <c r="L55" s="1" t="s">
        <v>22</v>
      </c>
      <c r="M55" s="1" t="s">
        <v>16</v>
      </c>
      <c r="N55" s="1" t="s">
        <v>16</v>
      </c>
      <c r="O55" s="1" t="s">
        <v>9935</v>
      </c>
      <c r="P55" s="1" t="s">
        <v>16</v>
      </c>
      <c r="Q55" s="1">
        <v>100</v>
      </c>
      <c r="R55" s="1">
        <v>92000</v>
      </c>
      <c r="S55" s="1">
        <v>92000</v>
      </c>
    </row>
    <row r="56" spans="1:19" ht="12.5" x14ac:dyDescent="0.25">
      <c r="A56" s="1">
        <v>47</v>
      </c>
      <c r="B56" s="1" t="s">
        <v>247</v>
      </c>
      <c r="C56" s="1" t="s">
        <v>15</v>
      </c>
      <c r="D56" s="1" t="s">
        <v>15</v>
      </c>
      <c r="E56" s="1">
        <v>47</v>
      </c>
      <c r="F56" s="1" t="s">
        <v>248</v>
      </c>
      <c r="G56" s="1" t="s">
        <v>249</v>
      </c>
      <c r="H56" s="1" t="s">
        <v>245</v>
      </c>
      <c r="I56" s="1" t="s">
        <v>29</v>
      </c>
      <c r="J56" s="1" t="s">
        <v>250</v>
      </c>
      <c r="K56" s="1" t="b">
        <v>0</v>
      </c>
      <c r="L56" s="1" t="s">
        <v>22</v>
      </c>
      <c r="M56" s="1" t="s">
        <v>16</v>
      </c>
      <c r="N56" s="1" t="s">
        <v>16</v>
      </c>
      <c r="O56" s="1" t="s">
        <v>9935</v>
      </c>
      <c r="P56" s="1" t="s">
        <v>16</v>
      </c>
      <c r="Q56" s="1">
        <v>100</v>
      </c>
      <c r="R56" s="1">
        <v>61000</v>
      </c>
      <c r="S56" s="1">
        <v>61000</v>
      </c>
    </row>
    <row r="57" spans="1:19" ht="12.5" x14ac:dyDescent="0.25">
      <c r="A57" s="1">
        <v>48</v>
      </c>
      <c r="B57" s="1" t="s">
        <v>251</v>
      </c>
      <c r="C57" s="1" t="s">
        <v>15</v>
      </c>
      <c r="D57" s="1" t="s">
        <v>15</v>
      </c>
      <c r="E57" s="1">
        <v>48</v>
      </c>
      <c r="F57" s="1" t="s">
        <v>252</v>
      </c>
      <c r="G57" s="1" t="s">
        <v>253</v>
      </c>
      <c r="H57" s="1" t="s">
        <v>254</v>
      </c>
      <c r="I57" s="1" t="s">
        <v>29</v>
      </c>
      <c r="J57" s="1" t="s">
        <v>255</v>
      </c>
      <c r="K57" s="1" t="b">
        <v>0</v>
      </c>
      <c r="L57" s="1" t="s">
        <v>22</v>
      </c>
      <c r="M57" s="1" t="s">
        <v>16</v>
      </c>
      <c r="N57" s="1" t="s">
        <v>16</v>
      </c>
      <c r="O57" s="1" t="s">
        <v>9935</v>
      </c>
      <c r="P57" s="1" t="s">
        <v>16</v>
      </c>
      <c r="Q57" s="1">
        <v>100</v>
      </c>
      <c r="R57" s="1">
        <v>1300000</v>
      </c>
      <c r="S57" s="1">
        <v>1300000</v>
      </c>
    </row>
    <row r="58" spans="1:19" ht="12.5" x14ac:dyDescent="0.25">
      <c r="A58" s="1">
        <v>49</v>
      </c>
      <c r="B58" s="1" t="s">
        <v>256</v>
      </c>
      <c r="C58" s="1" t="s">
        <v>15</v>
      </c>
      <c r="D58" s="1" t="s">
        <v>15</v>
      </c>
      <c r="E58" s="1">
        <v>49</v>
      </c>
      <c r="F58" s="1" t="s">
        <v>257</v>
      </c>
      <c r="G58" s="1" t="s">
        <v>258</v>
      </c>
      <c r="H58" s="1" t="s">
        <v>259</v>
      </c>
      <c r="I58" s="1" t="s">
        <v>29</v>
      </c>
      <c r="J58" s="1" t="s">
        <v>260</v>
      </c>
      <c r="K58" s="1" t="b">
        <v>0</v>
      </c>
      <c r="L58" s="1" t="s">
        <v>22</v>
      </c>
      <c r="M58" s="1" t="s">
        <v>16</v>
      </c>
      <c r="N58" s="1" t="s">
        <v>16</v>
      </c>
      <c r="O58" s="1" t="s">
        <v>9935</v>
      </c>
      <c r="P58" s="1" t="s">
        <v>16</v>
      </c>
      <c r="Q58" s="1">
        <v>100</v>
      </c>
      <c r="R58" s="1">
        <v>420000</v>
      </c>
      <c r="S58" s="1">
        <v>420000</v>
      </c>
    </row>
    <row r="59" spans="1:19" ht="12.5" x14ac:dyDescent="0.25">
      <c r="A59" s="1">
        <v>50</v>
      </c>
      <c r="B59" s="1" t="s">
        <v>261</v>
      </c>
      <c r="C59" s="1" t="s">
        <v>15</v>
      </c>
      <c r="D59" s="1" t="s">
        <v>15</v>
      </c>
      <c r="E59" s="1">
        <v>50</v>
      </c>
      <c r="F59" s="1" t="s">
        <v>262</v>
      </c>
      <c r="G59" s="1" t="s">
        <v>263</v>
      </c>
      <c r="H59" s="1" t="s">
        <v>264</v>
      </c>
      <c r="I59" s="1" t="s">
        <v>29</v>
      </c>
      <c r="J59" s="1" t="s">
        <v>265</v>
      </c>
      <c r="K59" s="1" t="b">
        <v>0</v>
      </c>
      <c r="L59" s="1" t="s">
        <v>22</v>
      </c>
      <c r="M59" s="1" t="s">
        <v>16</v>
      </c>
      <c r="N59" s="1" t="s">
        <v>16</v>
      </c>
      <c r="O59" s="1" t="s">
        <v>9935</v>
      </c>
      <c r="P59" s="1" t="s">
        <v>16</v>
      </c>
      <c r="Q59" s="1">
        <v>100</v>
      </c>
      <c r="R59" s="1">
        <v>1240000</v>
      </c>
      <c r="S59" s="1">
        <v>1240000</v>
      </c>
    </row>
    <row r="60" spans="1:19" ht="12.5" x14ac:dyDescent="0.25">
      <c r="A60" s="1">
        <v>51</v>
      </c>
      <c r="B60" s="1" t="s">
        <v>266</v>
      </c>
      <c r="C60" s="1" t="s">
        <v>15</v>
      </c>
      <c r="D60" s="1" t="s">
        <v>15</v>
      </c>
      <c r="E60" s="1">
        <v>51</v>
      </c>
      <c r="F60" s="1" t="s">
        <v>267</v>
      </c>
      <c r="G60" s="1" t="s">
        <v>268</v>
      </c>
      <c r="H60" s="1" t="s">
        <v>269</v>
      </c>
      <c r="I60" s="1" t="s">
        <v>29</v>
      </c>
      <c r="J60" s="1" t="s">
        <v>270</v>
      </c>
      <c r="K60" s="1" t="b">
        <v>0</v>
      </c>
      <c r="L60" s="1" t="s">
        <v>22</v>
      </c>
      <c r="M60" s="1">
        <v>2022</v>
      </c>
      <c r="N60" s="1" t="s">
        <v>52</v>
      </c>
      <c r="O60" s="1" t="s">
        <v>9935</v>
      </c>
      <c r="P60" s="1" t="s">
        <v>9936</v>
      </c>
      <c r="Q60" s="1">
        <v>100</v>
      </c>
      <c r="R60" s="1">
        <v>861236.53</v>
      </c>
      <c r="S60" s="1">
        <v>861236.53</v>
      </c>
    </row>
    <row r="61" spans="1:19" ht="12.5" x14ac:dyDescent="0.25">
      <c r="A61" s="1">
        <v>52</v>
      </c>
      <c r="B61" s="1" t="s">
        <v>272</v>
      </c>
      <c r="C61" s="1" t="s">
        <v>15</v>
      </c>
      <c r="D61" s="1" t="s">
        <v>15</v>
      </c>
      <c r="E61" s="1">
        <v>52</v>
      </c>
      <c r="F61" s="1" t="s">
        <v>273</v>
      </c>
      <c r="G61" s="1" t="s">
        <v>274</v>
      </c>
      <c r="H61" s="1" t="s">
        <v>275</v>
      </c>
      <c r="I61" s="1" t="s">
        <v>29</v>
      </c>
      <c r="J61" s="1" t="s">
        <v>276</v>
      </c>
      <c r="K61" s="1" t="b">
        <v>0</v>
      </c>
      <c r="L61" s="1" t="s">
        <v>22</v>
      </c>
      <c r="M61" s="1" t="s">
        <v>16</v>
      </c>
      <c r="N61" s="1" t="s">
        <v>16</v>
      </c>
      <c r="O61" s="1" t="s">
        <v>9935</v>
      </c>
      <c r="P61" s="1" t="s">
        <v>16</v>
      </c>
      <c r="Q61" s="1">
        <v>100</v>
      </c>
      <c r="R61" s="1">
        <v>462000</v>
      </c>
      <c r="S61" s="1">
        <v>462000</v>
      </c>
    </row>
    <row r="62" spans="1:19" ht="12.5" x14ac:dyDescent="0.25">
      <c r="A62" s="1">
        <v>53</v>
      </c>
      <c r="B62" s="1" t="s">
        <v>277</v>
      </c>
      <c r="C62" s="1" t="s">
        <v>15</v>
      </c>
      <c r="D62" s="1" t="s">
        <v>15</v>
      </c>
      <c r="E62" s="1">
        <v>53</v>
      </c>
      <c r="F62" s="1" t="s">
        <v>278</v>
      </c>
      <c r="G62" s="1" t="s">
        <v>279</v>
      </c>
      <c r="H62" s="1" t="s">
        <v>280</v>
      </c>
      <c r="I62" s="1" t="s">
        <v>29</v>
      </c>
      <c r="J62" s="1" t="s">
        <v>281</v>
      </c>
      <c r="K62" s="1" t="b">
        <v>0</v>
      </c>
      <c r="L62" s="1" t="s">
        <v>22</v>
      </c>
      <c r="M62" s="1">
        <v>2022</v>
      </c>
      <c r="N62" s="1" t="s">
        <v>52</v>
      </c>
      <c r="O62" s="1" t="s">
        <v>9935</v>
      </c>
      <c r="P62" s="1" t="s">
        <v>9937</v>
      </c>
      <c r="Q62" s="1">
        <v>100</v>
      </c>
      <c r="R62" s="1">
        <v>836776.56</v>
      </c>
      <c r="S62" s="1">
        <v>836776.56</v>
      </c>
    </row>
    <row r="63" spans="1:19" ht="12.5" x14ac:dyDescent="0.25">
      <c r="A63" s="1">
        <v>54</v>
      </c>
      <c r="B63" s="1" t="s">
        <v>282</v>
      </c>
      <c r="C63" s="1" t="s">
        <v>15</v>
      </c>
      <c r="D63" s="1" t="s">
        <v>15</v>
      </c>
      <c r="E63" s="1">
        <v>54</v>
      </c>
      <c r="F63" s="1" t="s">
        <v>283</v>
      </c>
      <c r="G63" s="1" t="s">
        <v>284</v>
      </c>
      <c r="H63" s="1" t="s">
        <v>285</v>
      </c>
      <c r="I63" s="1" t="s">
        <v>29</v>
      </c>
      <c r="J63" s="1" t="s">
        <v>286</v>
      </c>
      <c r="K63" s="1" t="b">
        <v>0</v>
      </c>
      <c r="L63" s="1" t="s">
        <v>22</v>
      </c>
      <c r="M63" s="1">
        <v>2022</v>
      </c>
      <c r="N63" s="1" t="s">
        <v>52</v>
      </c>
      <c r="O63" s="1" t="s">
        <v>9935</v>
      </c>
      <c r="P63" s="1" t="s">
        <v>9938</v>
      </c>
      <c r="Q63" s="1">
        <v>100</v>
      </c>
      <c r="R63" s="1">
        <v>504709.67</v>
      </c>
      <c r="S63" s="1">
        <v>504709.67</v>
      </c>
    </row>
    <row r="64" spans="1:19" ht="12.5" x14ac:dyDescent="0.25">
      <c r="A64" s="1">
        <v>55</v>
      </c>
      <c r="B64" s="1" t="s">
        <v>287</v>
      </c>
      <c r="C64" s="1" t="s">
        <v>15</v>
      </c>
      <c r="D64" s="1" t="s">
        <v>15</v>
      </c>
      <c r="E64" s="1">
        <v>55</v>
      </c>
      <c r="F64" s="1" t="s">
        <v>288</v>
      </c>
      <c r="G64" s="1" t="s">
        <v>289</v>
      </c>
      <c r="H64" s="1" t="s">
        <v>290</v>
      </c>
      <c r="I64" s="1" t="s">
        <v>29</v>
      </c>
      <c r="J64" s="1" t="s">
        <v>291</v>
      </c>
      <c r="K64" s="1" t="b">
        <v>0</v>
      </c>
      <c r="L64" s="1" t="s">
        <v>22</v>
      </c>
      <c r="M64" s="1">
        <v>2022</v>
      </c>
      <c r="N64" s="1" t="s">
        <v>52</v>
      </c>
      <c r="O64" s="1" t="s">
        <v>9935</v>
      </c>
      <c r="P64" s="1" t="s">
        <v>9939</v>
      </c>
      <c r="Q64" s="1">
        <v>100</v>
      </c>
      <c r="R64" s="1">
        <v>350000</v>
      </c>
      <c r="S64" s="1">
        <v>350000</v>
      </c>
    </row>
    <row r="65" spans="1:19" ht="12.5" x14ac:dyDescent="0.25">
      <c r="A65" s="1">
        <v>56</v>
      </c>
      <c r="B65" s="1" t="s">
        <v>293</v>
      </c>
      <c r="C65" s="1" t="s">
        <v>15</v>
      </c>
      <c r="D65" s="1" t="s">
        <v>15</v>
      </c>
      <c r="E65" s="1">
        <v>56</v>
      </c>
      <c r="F65" s="1" t="s">
        <v>294</v>
      </c>
      <c r="G65" s="1" t="s">
        <v>295</v>
      </c>
      <c r="H65" s="1" t="s">
        <v>275</v>
      </c>
      <c r="I65" s="1" t="s">
        <v>29</v>
      </c>
      <c r="J65" s="1" t="s">
        <v>296</v>
      </c>
      <c r="K65" s="1" t="b">
        <v>0</v>
      </c>
      <c r="L65" s="1" t="s">
        <v>22</v>
      </c>
      <c r="M65" s="1" t="s">
        <v>16</v>
      </c>
      <c r="N65" s="1" t="s">
        <v>16</v>
      </c>
      <c r="O65" s="1" t="s">
        <v>9935</v>
      </c>
      <c r="P65" s="1" t="s">
        <v>16</v>
      </c>
      <c r="Q65" s="1">
        <v>100</v>
      </c>
      <c r="R65" s="1">
        <v>165000</v>
      </c>
      <c r="S65" s="1">
        <v>165000</v>
      </c>
    </row>
    <row r="66" spans="1:19" ht="12.5" x14ac:dyDescent="0.25">
      <c r="A66" s="1">
        <v>57</v>
      </c>
      <c r="B66" s="1" t="s">
        <v>297</v>
      </c>
      <c r="C66" s="1" t="s">
        <v>15</v>
      </c>
      <c r="D66" s="1" t="s">
        <v>15</v>
      </c>
      <c r="E66" s="1">
        <v>57</v>
      </c>
      <c r="F66" s="1" t="s">
        <v>298</v>
      </c>
      <c r="G66" s="1" t="s">
        <v>299</v>
      </c>
      <c r="H66" s="1" t="s">
        <v>300</v>
      </c>
      <c r="I66" s="1" t="s">
        <v>29</v>
      </c>
      <c r="J66" s="1" t="s">
        <v>301</v>
      </c>
      <c r="K66" s="1" t="b">
        <v>0</v>
      </c>
      <c r="L66" s="1" t="s">
        <v>22</v>
      </c>
      <c r="M66" s="1" t="s">
        <v>16</v>
      </c>
      <c r="N66" s="1" t="s">
        <v>16</v>
      </c>
      <c r="O66" s="1" t="s">
        <v>9935</v>
      </c>
      <c r="P66" s="1" t="s">
        <v>16</v>
      </c>
      <c r="Q66" s="1">
        <v>100</v>
      </c>
      <c r="R66" s="1">
        <v>90000</v>
      </c>
      <c r="S66" s="1">
        <v>90000</v>
      </c>
    </row>
    <row r="67" spans="1:19" ht="12.5" x14ac:dyDescent="0.25">
      <c r="A67" s="1">
        <v>58</v>
      </c>
      <c r="B67" s="1" t="s">
        <v>302</v>
      </c>
      <c r="C67" s="1" t="s">
        <v>15</v>
      </c>
      <c r="D67" s="1" t="s">
        <v>15</v>
      </c>
      <c r="E67" s="1">
        <v>58</v>
      </c>
      <c r="F67" s="1" t="s">
        <v>303</v>
      </c>
      <c r="G67" s="1" t="s">
        <v>304</v>
      </c>
      <c r="H67" s="1" t="s">
        <v>305</v>
      </c>
      <c r="I67" s="1" t="s">
        <v>29</v>
      </c>
      <c r="J67" s="1" t="s">
        <v>306</v>
      </c>
      <c r="K67" s="1" t="b">
        <v>0</v>
      </c>
      <c r="L67" s="1" t="s">
        <v>22</v>
      </c>
      <c r="M67" s="1" t="s">
        <v>16</v>
      </c>
      <c r="N67" s="1" t="s">
        <v>16</v>
      </c>
      <c r="O67" s="1" t="s">
        <v>9935</v>
      </c>
      <c r="P67" s="1" t="s">
        <v>16</v>
      </c>
      <c r="Q67" s="1">
        <v>100</v>
      </c>
      <c r="R67" s="1">
        <v>125000</v>
      </c>
      <c r="S67" s="1">
        <v>125000</v>
      </c>
    </row>
    <row r="68" spans="1:19" ht="12.5" x14ac:dyDescent="0.25">
      <c r="A68" s="1">
        <v>59</v>
      </c>
      <c r="B68" s="1" t="s">
        <v>307</v>
      </c>
      <c r="C68" s="1" t="s">
        <v>15</v>
      </c>
      <c r="D68" s="1" t="s">
        <v>15</v>
      </c>
      <c r="E68" s="1">
        <v>59</v>
      </c>
      <c r="F68" s="1" t="s">
        <v>308</v>
      </c>
      <c r="G68" s="1" t="s">
        <v>309</v>
      </c>
      <c r="H68" s="1" t="s">
        <v>310</v>
      </c>
      <c r="I68" s="1" t="s">
        <v>29</v>
      </c>
      <c r="J68" s="1" t="s">
        <v>311</v>
      </c>
      <c r="K68" s="1" t="b">
        <v>0</v>
      </c>
      <c r="L68" s="1" t="s">
        <v>22</v>
      </c>
      <c r="M68" s="1" t="s">
        <v>16</v>
      </c>
      <c r="N68" s="1" t="s">
        <v>16</v>
      </c>
      <c r="O68" s="1" t="s">
        <v>9935</v>
      </c>
      <c r="P68" s="1" t="s">
        <v>16</v>
      </c>
      <c r="Q68" s="1">
        <v>100</v>
      </c>
      <c r="R68" s="1">
        <v>1100000</v>
      </c>
      <c r="S68" s="1">
        <v>1100000</v>
      </c>
    </row>
    <row r="69" spans="1:19" ht="12.5" x14ac:dyDescent="0.25">
      <c r="A69" s="1">
        <v>60</v>
      </c>
      <c r="B69" s="1" t="s">
        <v>312</v>
      </c>
      <c r="C69" s="1" t="s">
        <v>15</v>
      </c>
      <c r="D69" s="1" t="s">
        <v>15</v>
      </c>
      <c r="E69" s="1">
        <v>60</v>
      </c>
      <c r="F69" s="1" t="s">
        <v>313</v>
      </c>
      <c r="G69" s="1" t="s">
        <v>314</v>
      </c>
      <c r="H69" s="1" t="s">
        <v>315</v>
      </c>
      <c r="I69" s="1" t="s">
        <v>29</v>
      </c>
      <c r="J69" s="1" t="s">
        <v>316</v>
      </c>
      <c r="K69" s="1" t="b">
        <v>0</v>
      </c>
      <c r="L69" s="1" t="s">
        <v>22</v>
      </c>
      <c r="M69" s="1">
        <v>2021</v>
      </c>
      <c r="N69" s="1" t="s">
        <v>32</v>
      </c>
      <c r="O69" s="1" t="s">
        <v>9940</v>
      </c>
      <c r="P69" s="1" t="s">
        <v>9940</v>
      </c>
      <c r="Q69" s="1">
        <v>100</v>
      </c>
      <c r="R69" s="1">
        <v>188250.19</v>
      </c>
      <c r="S69" s="1">
        <v>188250.19</v>
      </c>
    </row>
    <row r="70" spans="1:19" ht="12.5" x14ac:dyDescent="0.25">
      <c r="A70" s="1">
        <v>60</v>
      </c>
      <c r="B70" s="1" t="s">
        <v>312</v>
      </c>
      <c r="C70" s="1" t="s">
        <v>15</v>
      </c>
      <c r="D70" s="1" t="s">
        <v>15</v>
      </c>
      <c r="E70" s="1">
        <v>60</v>
      </c>
      <c r="F70" s="1" t="s">
        <v>313</v>
      </c>
      <c r="G70" s="1" t="s">
        <v>314</v>
      </c>
      <c r="H70" s="1" t="s">
        <v>315</v>
      </c>
      <c r="I70" s="1" t="s">
        <v>29</v>
      </c>
      <c r="J70" s="1" t="s">
        <v>316</v>
      </c>
      <c r="K70" s="1" t="b">
        <v>0</v>
      </c>
      <c r="L70" s="1" t="s">
        <v>22</v>
      </c>
      <c r="M70" s="1">
        <v>2021</v>
      </c>
      <c r="N70" s="1" t="s">
        <v>32</v>
      </c>
      <c r="O70" s="1" t="s">
        <v>9940</v>
      </c>
      <c r="P70" s="1" t="s">
        <v>9941</v>
      </c>
      <c r="Q70" s="1">
        <v>100</v>
      </c>
      <c r="R70" s="1">
        <v>174749</v>
      </c>
      <c r="S70" s="1">
        <v>174749</v>
      </c>
    </row>
    <row r="71" spans="1:19" ht="12.5" x14ac:dyDescent="0.25">
      <c r="A71" s="1">
        <v>61</v>
      </c>
      <c r="B71" s="1" t="s">
        <v>318</v>
      </c>
      <c r="C71" s="1" t="s">
        <v>15</v>
      </c>
      <c r="D71" s="1" t="s">
        <v>15</v>
      </c>
      <c r="E71" s="1">
        <v>61</v>
      </c>
      <c r="F71" s="1" t="s">
        <v>319</v>
      </c>
      <c r="G71" s="1" t="s">
        <v>320</v>
      </c>
      <c r="H71" s="1" t="s">
        <v>321</v>
      </c>
      <c r="I71" s="1" t="s">
        <v>29</v>
      </c>
      <c r="J71" s="1" t="s">
        <v>322</v>
      </c>
      <c r="K71" s="1" t="b">
        <v>0</v>
      </c>
      <c r="L71" s="1" t="s">
        <v>22</v>
      </c>
      <c r="M71" s="1">
        <v>2021</v>
      </c>
      <c r="N71" s="1" t="s">
        <v>32</v>
      </c>
      <c r="O71" s="1" t="s">
        <v>9942</v>
      </c>
      <c r="P71" s="1" t="s">
        <v>9943</v>
      </c>
      <c r="Q71" s="1">
        <v>100</v>
      </c>
      <c r="R71" s="1">
        <v>10000</v>
      </c>
      <c r="S71" s="1">
        <v>10000</v>
      </c>
    </row>
    <row r="72" spans="1:19" ht="12.5" x14ac:dyDescent="0.25">
      <c r="A72" s="1">
        <v>61</v>
      </c>
      <c r="B72" s="1" t="s">
        <v>318</v>
      </c>
      <c r="C72" s="1" t="s">
        <v>15</v>
      </c>
      <c r="D72" s="1" t="s">
        <v>15</v>
      </c>
      <c r="E72" s="1">
        <v>61</v>
      </c>
      <c r="F72" s="1" t="s">
        <v>319</v>
      </c>
      <c r="G72" s="1" t="s">
        <v>320</v>
      </c>
      <c r="H72" s="1" t="s">
        <v>321</v>
      </c>
      <c r="I72" s="1" t="s">
        <v>29</v>
      </c>
      <c r="J72" s="1" t="s">
        <v>322</v>
      </c>
      <c r="K72" s="1" t="b">
        <v>0</v>
      </c>
      <c r="L72" s="1" t="s">
        <v>22</v>
      </c>
      <c r="M72" s="1">
        <v>2021</v>
      </c>
      <c r="N72" s="1" t="s">
        <v>32</v>
      </c>
      <c r="O72" s="1" t="s">
        <v>9942</v>
      </c>
      <c r="P72" s="1" t="s">
        <v>9944</v>
      </c>
      <c r="Q72" s="1">
        <v>100</v>
      </c>
      <c r="R72" s="1">
        <v>11000</v>
      </c>
      <c r="S72" s="1">
        <v>11000</v>
      </c>
    </row>
    <row r="73" spans="1:19" ht="12.5" x14ac:dyDescent="0.25">
      <c r="A73" s="1">
        <v>61</v>
      </c>
      <c r="B73" s="1" t="s">
        <v>318</v>
      </c>
      <c r="C73" s="1" t="s">
        <v>15</v>
      </c>
      <c r="D73" s="1" t="s">
        <v>15</v>
      </c>
      <c r="E73" s="1">
        <v>61</v>
      </c>
      <c r="F73" s="1" t="s">
        <v>319</v>
      </c>
      <c r="G73" s="1" t="s">
        <v>320</v>
      </c>
      <c r="H73" s="1" t="s">
        <v>321</v>
      </c>
      <c r="I73" s="1" t="s">
        <v>29</v>
      </c>
      <c r="J73" s="1" t="s">
        <v>322</v>
      </c>
      <c r="K73" s="1" t="b">
        <v>0</v>
      </c>
      <c r="L73" s="1" t="s">
        <v>22</v>
      </c>
      <c r="M73" s="1">
        <v>2021</v>
      </c>
      <c r="N73" s="1" t="s">
        <v>32</v>
      </c>
      <c r="O73" s="1" t="s">
        <v>9942</v>
      </c>
      <c r="P73" s="1" t="s">
        <v>9945</v>
      </c>
      <c r="Q73" s="1">
        <v>100</v>
      </c>
      <c r="R73" s="1">
        <v>100000</v>
      </c>
      <c r="S73" s="1">
        <v>100000</v>
      </c>
    </row>
    <row r="74" spans="1:19" ht="12.5" x14ac:dyDescent="0.25">
      <c r="A74" s="1">
        <v>62</v>
      </c>
      <c r="B74" s="1" t="s">
        <v>323</v>
      </c>
      <c r="C74" s="1" t="s">
        <v>15</v>
      </c>
      <c r="D74" s="1" t="s">
        <v>15</v>
      </c>
      <c r="E74" s="1">
        <v>62</v>
      </c>
      <c r="F74" s="1" t="s">
        <v>324</v>
      </c>
      <c r="G74" s="1" t="s">
        <v>325</v>
      </c>
      <c r="H74" s="1" t="s">
        <v>326</v>
      </c>
      <c r="I74" s="1" t="s">
        <v>29</v>
      </c>
      <c r="J74" s="1" t="s">
        <v>327</v>
      </c>
      <c r="K74" s="1" t="b">
        <v>0</v>
      </c>
      <c r="L74" s="1" t="s">
        <v>22</v>
      </c>
      <c r="M74" s="1">
        <v>2021</v>
      </c>
      <c r="N74" s="1" t="s">
        <v>32</v>
      </c>
      <c r="O74" s="1" t="s">
        <v>9942</v>
      </c>
      <c r="P74" s="1" t="s">
        <v>9945</v>
      </c>
      <c r="Q74" s="1">
        <v>100</v>
      </c>
      <c r="R74" s="1">
        <v>120000</v>
      </c>
      <c r="S74" s="1">
        <v>120000</v>
      </c>
    </row>
    <row r="75" spans="1:19" ht="12.5" x14ac:dyDescent="0.25">
      <c r="A75" s="1">
        <v>62</v>
      </c>
      <c r="B75" s="1" t="s">
        <v>323</v>
      </c>
      <c r="C75" s="1" t="s">
        <v>15</v>
      </c>
      <c r="D75" s="1" t="s">
        <v>15</v>
      </c>
      <c r="E75" s="1">
        <v>62</v>
      </c>
      <c r="F75" s="1" t="s">
        <v>324</v>
      </c>
      <c r="G75" s="1" t="s">
        <v>325</v>
      </c>
      <c r="H75" s="1" t="s">
        <v>326</v>
      </c>
      <c r="I75" s="1" t="s">
        <v>29</v>
      </c>
      <c r="J75" s="1" t="s">
        <v>327</v>
      </c>
      <c r="K75" s="1" t="b">
        <v>0</v>
      </c>
      <c r="L75" s="1" t="s">
        <v>22</v>
      </c>
      <c r="M75" s="1">
        <v>2021</v>
      </c>
      <c r="N75" s="1" t="s">
        <v>32</v>
      </c>
      <c r="O75" s="1" t="s">
        <v>9942</v>
      </c>
      <c r="P75" s="1" t="s">
        <v>9944</v>
      </c>
      <c r="Q75" s="1">
        <v>100</v>
      </c>
      <c r="R75" s="1">
        <v>40000</v>
      </c>
      <c r="S75" s="1">
        <v>40000</v>
      </c>
    </row>
    <row r="76" spans="1:19" ht="12.5" x14ac:dyDescent="0.25">
      <c r="A76" s="1">
        <v>63</v>
      </c>
      <c r="B76" s="1" t="s">
        <v>328</v>
      </c>
      <c r="C76" s="1" t="s">
        <v>15</v>
      </c>
      <c r="D76" s="1" t="s">
        <v>15</v>
      </c>
      <c r="E76" s="1">
        <v>63</v>
      </c>
      <c r="F76" s="1" t="s">
        <v>329</v>
      </c>
      <c r="G76" s="1" t="s">
        <v>330</v>
      </c>
      <c r="H76" s="1" t="s">
        <v>331</v>
      </c>
      <c r="I76" s="1" t="s">
        <v>29</v>
      </c>
      <c r="J76" s="1" t="s">
        <v>332</v>
      </c>
      <c r="K76" s="1" t="b">
        <v>1</v>
      </c>
      <c r="L76" s="1" t="s">
        <v>31</v>
      </c>
      <c r="M76" s="1">
        <v>2021</v>
      </c>
      <c r="N76" s="1" t="s">
        <v>23</v>
      </c>
      <c r="O76" s="1" t="s">
        <v>9942</v>
      </c>
      <c r="P76" s="1" t="s">
        <v>9946</v>
      </c>
      <c r="Q76" s="1">
        <v>100</v>
      </c>
      <c r="R76" s="1">
        <v>63406.03</v>
      </c>
      <c r="S76" s="1">
        <v>63406.03</v>
      </c>
    </row>
    <row r="77" spans="1:19" ht="12.5" x14ac:dyDescent="0.25">
      <c r="A77" s="1">
        <v>63</v>
      </c>
      <c r="B77" s="1" t="s">
        <v>328</v>
      </c>
      <c r="C77" s="1" t="s">
        <v>15</v>
      </c>
      <c r="D77" s="1" t="s">
        <v>15</v>
      </c>
      <c r="E77" s="1">
        <v>63</v>
      </c>
      <c r="F77" s="1" t="s">
        <v>329</v>
      </c>
      <c r="G77" s="1" t="s">
        <v>330</v>
      </c>
      <c r="H77" s="1" t="s">
        <v>331</v>
      </c>
      <c r="I77" s="1" t="s">
        <v>29</v>
      </c>
      <c r="J77" s="1" t="s">
        <v>332</v>
      </c>
      <c r="K77" s="1" t="b">
        <v>1</v>
      </c>
      <c r="L77" s="1" t="s">
        <v>31</v>
      </c>
      <c r="M77" s="1">
        <v>2021</v>
      </c>
      <c r="N77" s="1" t="s">
        <v>23</v>
      </c>
      <c r="O77" s="1" t="s">
        <v>9942</v>
      </c>
      <c r="P77" s="1" t="s">
        <v>9944</v>
      </c>
      <c r="Q77" s="1">
        <v>100</v>
      </c>
      <c r="R77" s="1">
        <v>14955.14</v>
      </c>
      <c r="S77" s="1">
        <v>14955.14</v>
      </c>
    </row>
    <row r="78" spans="1:19" ht="12.5" x14ac:dyDescent="0.25">
      <c r="A78" s="1">
        <v>64</v>
      </c>
      <c r="B78" s="1" t="s">
        <v>333</v>
      </c>
      <c r="C78" s="1" t="s">
        <v>15</v>
      </c>
      <c r="D78" s="1" t="s">
        <v>15</v>
      </c>
      <c r="E78" s="1">
        <v>64</v>
      </c>
      <c r="F78" s="1" t="s">
        <v>334</v>
      </c>
      <c r="G78" s="1" t="s">
        <v>335</v>
      </c>
      <c r="H78" s="1" t="s">
        <v>336</v>
      </c>
      <c r="I78" s="1" t="s">
        <v>29</v>
      </c>
      <c r="J78" s="1" t="s">
        <v>337</v>
      </c>
      <c r="K78" s="1" t="b">
        <v>0</v>
      </c>
      <c r="L78" s="1" t="s">
        <v>22</v>
      </c>
      <c r="M78" s="1" t="s">
        <v>16</v>
      </c>
      <c r="N78" s="1" t="s">
        <v>16</v>
      </c>
      <c r="O78" s="1" t="s">
        <v>9935</v>
      </c>
      <c r="P78" s="1" t="s">
        <v>16</v>
      </c>
      <c r="Q78" s="1">
        <v>100</v>
      </c>
      <c r="R78" s="1">
        <v>11000000</v>
      </c>
      <c r="S78" s="1">
        <v>11000000</v>
      </c>
    </row>
    <row r="79" spans="1:19" ht="12.5" x14ac:dyDescent="0.25">
      <c r="A79" s="1">
        <v>65</v>
      </c>
      <c r="B79" s="1" t="s">
        <v>338</v>
      </c>
      <c r="C79" s="1" t="s">
        <v>15</v>
      </c>
      <c r="D79" s="1" t="s">
        <v>15</v>
      </c>
      <c r="E79" s="1">
        <v>65</v>
      </c>
      <c r="F79" s="1" t="s">
        <v>339</v>
      </c>
      <c r="G79" s="1" t="s">
        <v>340</v>
      </c>
      <c r="H79" s="1" t="s">
        <v>341</v>
      </c>
      <c r="I79" s="1" t="s">
        <v>29</v>
      </c>
      <c r="J79" s="1" t="s">
        <v>342</v>
      </c>
      <c r="K79" s="1" t="b">
        <v>0</v>
      </c>
      <c r="L79" s="1" t="s">
        <v>22</v>
      </c>
      <c r="M79" s="1" t="s">
        <v>16</v>
      </c>
      <c r="N79" s="1" t="s">
        <v>16</v>
      </c>
      <c r="O79" s="1" t="s">
        <v>9935</v>
      </c>
      <c r="P79" s="1" t="s">
        <v>16</v>
      </c>
      <c r="Q79" s="1">
        <v>100</v>
      </c>
      <c r="R79" s="1">
        <v>2400000</v>
      </c>
      <c r="S79" s="1">
        <v>2400000</v>
      </c>
    </row>
    <row r="80" spans="1:19" ht="12.5" x14ac:dyDescent="0.25">
      <c r="A80" s="1">
        <v>66</v>
      </c>
      <c r="B80" s="1" t="s">
        <v>343</v>
      </c>
      <c r="C80" s="1" t="s">
        <v>15</v>
      </c>
      <c r="D80" s="1" t="s">
        <v>15</v>
      </c>
      <c r="E80" s="1">
        <v>66</v>
      </c>
      <c r="F80" s="1" t="s">
        <v>344</v>
      </c>
      <c r="G80" s="1" t="s">
        <v>345</v>
      </c>
      <c r="H80" s="1" t="s">
        <v>346</v>
      </c>
      <c r="I80" s="1" t="s">
        <v>29</v>
      </c>
      <c r="J80" s="1" t="s">
        <v>347</v>
      </c>
      <c r="K80" s="1" t="b">
        <v>0</v>
      </c>
      <c r="L80" s="1" t="s">
        <v>22</v>
      </c>
      <c r="M80" s="1" t="s">
        <v>16</v>
      </c>
      <c r="N80" s="1" t="s">
        <v>16</v>
      </c>
      <c r="O80" s="1" t="s">
        <v>9935</v>
      </c>
      <c r="P80" s="1" t="s">
        <v>16</v>
      </c>
      <c r="Q80" s="1">
        <v>100</v>
      </c>
      <c r="R80" s="1">
        <v>3000000</v>
      </c>
      <c r="S80" s="1">
        <v>3000000</v>
      </c>
    </row>
    <row r="81" spans="1:19" ht="12.5" x14ac:dyDescent="0.25">
      <c r="A81" s="1">
        <v>67</v>
      </c>
      <c r="B81" s="1" t="s">
        <v>348</v>
      </c>
      <c r="C81" s="1" t="s">
        <v>15</v>
      </c>
      <c r="D81" s="1" t="s">
        <v>15</v>
      </c>
      <c r="E81" s="1">
        <v>67</v>
      </c>
      <c r="F81" s="1" t="s">
        <v>349</v>
      </c>
      <c r="G81" s="1" t="s">
        <v>350</v>
      </c>
      <c r="H81" s="1" t="s">
        <v>351</v>
      </c>
      <c r="I81" s="1" t="s">
        <v>29</v>
      </c>
      <c r="J81" s="1" t="s">
        <v>352</v>
      </c>
      <c r="K81" s="1" t="b">
        <v>0</v>
      </c>
      <c r="L81" s="1" t="s">
        <v>22</v>
      </c>
      <c r="M81" s="1" t="s">
        <v>16</v>
      </c>
      <c r="N81" s="1" t="s">
        <v>16</v>
      </c>
      <c r="O81" s="1" t="s">
        <v>9935</v>
      </c>
      <c r="P81" s="1" t="s">
        <v>16</v>
      </c>
      <c r="Q81" s="1">
        <v>100</v>
      </c>
      <c r="R81" s="1">
        <v>300000</v>
      </c>
      <c r="S81" s="1">
        <v>300000</v>
      </c>
    </row>
    <row r="82" spans="1:19" ht="12.5" x14ac:dyDescent="0.25">
      <c r="A82" s="1">
        <v>68</v>
      </c>
      <c r="B82" s="1" t="s">
        <v>353</v>
      </c>
      <c r="C82" s="1" t="s">
        <v>15</v>
      </c>
      <c r="D82" s="1" t="s">
        <v>15</v>
      </c>
      <c r="E82" s="1">
        <v>68</v>
      </c>
      <c r="F82" s="1" t="s">
        <v>354</v>
      </c>
      <c r="G82" s="1" t="s">
        <v>355</v>
      </c>
      <c r="H82" s="1" t="s">
        <v>356</v>
      </c>
      <c r="I82" s="1" t="s">
        <v>29</v>
      </c>
      <c r="J82" s="1" t="s">
        <v>357</v>
      </c>
      <c r="K82" s="1" t="b">
        <v>0</v>
      </c>
      <c r="L82" s="1" t="s">
        <v>22</v>
      </c>
      <c r="M82" s="1" t="s">
        <v>16</v>
      </c>
      <c r="N82" s="1" t="s">
        <v>16</v>
      </c>
      <c r="O82" s="1" t="s">
        <v>9935</v>
      </c>
      <c r="P82" s="1" t="s">
        <v>16</v>
      </c>
      <c r="Q82" s="1">
        <v>100</v>
      </c>
      <c r="R82" s="1">
        <v>730000</v>
      </c>
      <c r="S82" s="1">
        <v>730000</v>
      </c>
    </row>
    <row r="83" spans="1:19" ht="12.5" x14ac:dyDescent="0.25">
      <c r="A83" s="1">
        <v>69</v>
      </c>
      <c r="B83" s="1" t="s">
        <v>358</v>
      </c>
      <c r="C83" s="1" t="s">
        <v>15</v>
      </c>
      <c r="D83" s="1" t="s">
        <v>15</v>
      </c>
      <c r="E83" s="1">
        <v>69</v>
      </c>
      <c r="F83" s="1" t="s">
        <v>359</v>
      </c>
      <c r="G83" s="1" t="s">
        <v>360</v>
      </c>
      <c r="H83" s="1" t="s">
        <v>361</v>
      </c>
      <c r="I83" s="1" t="s">
        <v>29</v>
      </c>
      <c r="J83" s="1" t="s">
        <v>362</v>
      </c>
      <c r="K83" s="1" t="b">
        <v>1</v>
      </c>
      <c r="L83" s="1" t="s">
        <v>31</v>
      </c>
      <c r="M83" s="1" t="s">
        <v>16</v>
      </c>
      <c r="N83" s="1" t="s">
        <v>16</v>
      </c>
      <c r="O83" s="1" t="s">
        <v>9935</v>
      </c>
      <c r="P83" s="1" t="s">
        <v>16</v>
      </c>
      <c r="Q83" s="1">
        <v>100</v>
      </c>
      <c r="R83" s="1">
        <v>181456.29</v>
      </c>
      <c r="S83" s="1">
        <v>181456.29</v>
      </c>
    </row>
    <row r="84" spans="1:19" ht="12.5" x14ac:dyDescent="0.25">
      <c r="A84" s="1">
        <v>70</v>
      </c>
      <c r="B84" s="1" t="s">
        <v>363</v>
      </c>
      <c r="C84" s="1" t="s">
        <v>15</v>
      </c>
      <c r="D84" s="1" t="s">
        <v>15</v>
      </c>
      <c r="E84" s="1">
        <v>70</v>
      </c>
      <c r="F84" s="1" t="s">
        <v>364</v>
      </c>
      <c r="G84" s="1" t="s">
        <v>365</v>
      </c>
      <c r="H84" s="1" t="s">
        <v>366</v>
      </c>
      <c r="I84" s="1" t="s">
        <v>29</v>
      </c>
      <c r="J84" s="1" t="s">
        <v>367</v>
      </c>
      <c r="K84" s="1" t="b">
        <v>1</v>
      </c>
      <c r="L84" s="1" t="s">
        <v>31</v>
      </c>
      <c r="M84" s="1" t="s">
        <v>16</v>
      </c>
      <c r="N84" s="1" t="s">
        <v>16</v>
      </c>
      <c r="O84" s="1" t="s">
        <v>9935</v>
      </c>
      <c r="P84" s="1" t="s">
        <v>16</v>
      </c>
      <c r="Q84" s="1">
        <v>100</v>
      </c>
      <c r="R84" s="1">
        <v>16689.400000000001</v>
      </c>
      <c r="S84" s="1">
        <v>16689.400000000001</v>
      </c>
    </row>
    <row r="85" spans="1:19" ht="12.5" x14ac:dyDescent="0.25">
      <c r="A85" s="1">
        <v>71</v>
      </c>
      <c r="B85" s="1" t="s">
        <v>368</v>
      </c>
      <c r="C85" s="1" t="s">
        <v>15</v>
      </c>
      <c r="D85" s="1" t="s">
        <v>15</v>
      </c>
      <c r="E85" s="1">
        <v>71</v>
      </c>
      <c r="F85" s="1" t="s">
        <v>369</v>
      </c>
      <c r="G85" s="1" t="s">
        <v>370</v>
      </c>
      <c r="H85" s="1" t="s">
        <v>16</v>
      </c>
      <c r="I85" s="1" t="s">
        <v>29</v>
      </c>
      <c r="J85" s="1" t="s">
        <v>371</v>
      </c>
      <c r="K85" s="1" t="b">
        <v>1</v>
      </c>
      <c r="L85" s="1" t="s">
        <v>31</v>
      </c>
      <c r="M85" s="1">
        <v>2021</v>
      </c>
      <c r="N85" s="1" t="s">
        <v>52</v>
      </c>
      <c r="O85" s="1" t="s">
        <v>9935</v>
      </c>
      <c r="P85" s="1" t="s">
        <v>16</v>
      </c>
      <c r="Q85" s="1">
        <v>100</v>
      </c>
      <c r="R85" s="1">
        <v>150000</v>
      </c>
      <c r="S85" s="1">
        <v>150000</v>
      </c>
    </row>
    <row r="86" spans="1:19" ht="12.5" x14ac:dyDescent="0.25">
      <c r="A86" s="1">
        <v>72</v>
      </c>
      <c r="B86" s="1" t="s">
        <v>372</v>
      </c>
      <c r="C86" s="1" t="s">
        <v>15</v>
      </c>
      <c r="D86" s="1" t="s">
        <v>15</v>
      </c>
      <c r="E86" s="1">
        <v>72</v>
      </c>
      <c r="F86" s="1" t="s">
        <v>373</v>
      </c>
      <c r="G86" s="1" t="s">
        <v>374</v>
      </c>
      <c r="H86" s="1" t="s">
        <v>375</v>
      </c>
      <c r="I86" s="1" t="s">
        <v>29</v>
      </c>
      <c r="J86" s="1" t="s">
        <v>376</v>
      </c>
      <c r="K86" s="1" t="b">
        <v>0</v>
      </c>
      <c r="L86" s="1" t="s">
        <v>22</v>
      </c>
      <c r="M86" s="1" t="s">
        <v>16</v>
      </c>
      <c r="N86" s="1" t="s">
        <v>16</v>
      </c>
      <c r="O86" s="1" t="s">
        <v>9942</v>
      </c>
      <c r="P86" s="1" t="s">
        <v>16</v>
      </c>
      <c r="Q86" s="1">
        <v>100</v>
      </c>
      <c r="R86" s="1">
        <v>200000</v>
      </c>
      <c r="S86" s="1">
        <v>200000</v>
      </c>
    </row>
    <row r="87" spans="1:19" ht="12.5" x14ac:dyDescent="0.25">
      <c r="A87" s="1">
        <v>72</v>
      </c>
      <c r="B87" s="1" t="s">
        <v>372</v>
      </c>
      <c r="C87" s="1" t="s">
        <v>15</v>
      </c>
      <c r="D87" s="1" t="s">
        <v>15</v>
      </c>
      <c r="E87" s="1">
        <v>72</v>
      </c>
      <c r="F87" s="1" t="s">
        <v>373</v>
      </c>
      <c r="G87" s="1" t="s">
        <v>374</v>
      </c>
      <c r="H87" s="1" t="s">
        <v>375</v>
      </c>
      <c r="I87" s="1" t="s">
        <v>29</v>
      </c>
      <c r="J87" s="1" t="s">
        <v>376</v>
      </c>
      <c r="K87" s="1" t="b">
        <v>0</v>
      </c>
      <c r="L87" s="1" t="s">
        <v>22</v>
      </c>
      <c r="M87" s="1" t="s">
        <v>16</v>
      </c>
      <c r="N87" s="1" t="s">
        <v>16</v>
      </c>
      <c r="O87" s="1" t="s">
        <v>9935</v>
      </c>
      <c r="P87" s="1" t="s">
        <v>16</v>
      </c>
      <c r="Q87" s="1">
        <v>100</v>
      </c>
      <c r="R87" s="1">
        <v>2500000</v>
      </c>
      <c r="S87" s="1">
        <v>2500000</v>
      </c>
    </row>
    <row r="88" spans="1:19" ht="12.5" x14ac:dyDescent="0.25">
      <c r="A88" s="1">
        <v>73</v>
      </c>
      <c r="B88" s="1" t="s">
        <v>378</v>
      </c>
      <c r="C88" s="1" t="s">
        <v>15</v>
      </c>
      <c r="D88" s="1" t="s">
        <v>15</v>
      </c>
      <c r="E88" s="1">
        <v>73</v>
      </c>
      <c r="F88" s="1" t="s">
        <v>379</v>
      </c>
      <c r="G88" s="1" t="s">
        <v>380</v>
      </c>
      <c r="H88" s="1" t="s">
        <v>381</v>
      </c>
      <c r="I88" s="1" t="s">
        <v>29</v>
      </c>
      <c r="J88" s="1" t="s">
        <v>382</v>
      </c>
      <c r="K88" s="1" t="b">
        <v>0</v>
      </c>
      <c r="L88" s="1" t="s">
        <v>22</v>
      </c>
      <c r="M88" s="1" t="s">
        <v>16</v>
      </c>
      <c r="N88" s="1" t="s">
        <v>16</v>
      </c>
      <c r="O88" s="1" t="s">
        <v>9942</v>
      </c>
      <c r="P88" s="1" t="s">
        <v>16</v>
      </c>
      <c r="Q88" s="1">
        <v>100</v>
      </c>
      <c r="R88" s="1">
        <v>500000</v>
      </c>
      <c r="S88" s="1">
        <v>500000</v>
      </c>
    </row>
    <row r="89" spans="1:19" ht="12.5" x14ac:dyDescent="0.25">
      <c r="A89" s="1">
        <v>73</v>
      </c>
      <c r="B89" s="1" t="s">
        <v>378</v>
      </c>
      <c r="C89" s="1" t="s">
        <v>15</v>
      </c>
      <c r="D89" s="1" t="s">
        <v>15</v>
      </c>
      <c r="E89" s="1">
        <v>73</v>
      </c>
      <c r="F89" s="1" t="s">
        <v>379</v>
      </c>
      <c r="G89" s="1" t="s">
        <v>380</v>
      </c>
      <c r="H89" s="1" t="s">
        <v>381</v>
      </c>
      <c r="I89" s="1" t="s">
        <v>29</v>
      </c>
      <c r="J89" s="1" t="s">
        <v>382</v>
      </c>
      <c r="K89" s="1" t="b">
        <v>0</v>
      </c>
      <c r="L89" s="1" t="s">
        <v>22</v>
      </c>
      <c r="M89" s="1" t="s">
        <v>16</v>
      </c>
      <c r="N89" s="1" t="s">
        <v>16</v>
      </c>
      <c r="O89" s="1" t="s">
        <v>9935</v>
      </c>
      <c r="P89" s="1" t="s">
        <v>16</v>
      </c>
      <c r="Q89" s="1">
        <v>100</v>
      </c>
      <c r="R89" s="1">
        <v>3500000</v>
      </c>
      <c r="S89" s="1">
        <v>3500000</v>
      </c>
    </row>
    <row r="90" spans="1:19" ht="12.5" x14ac:dyDescent="0.25">
      <c r="A90" s="1">
        <v>74</v>
      </c>
      <c r="B90" s="1" t="s">
        <v>383</v>
      </c>
      <c r="C90" s="1" t="s">
        <v>15</v>
      </c>
      <c r="D90" s="1" t="s">
        <v>15</v>
      </c>
      <c r="E90" s="1">
        <v>74</v>
      </c>
      <c r="F90" s="1" t="s">
        <v>384</v>
      </c>
      <c r="G90" s="1" t="s">
        <v>385</v>
      </c>
      <c r="H90" s="1" t="s">
        <v>386</v>
      </c>
      <c r="I90" s="1" t="s">
        <v>29</v>
      </c>
      <c r="J90" s="1" t="s">
        <v>387</v>
      </c>
      <c r="K90" s="1" t="b">
        <v>0</v>
      </c>
      <c r="L90" s="1" t="s">
        <v>22</v>
      </c>
      <c r="M90" s="1" t="s">
        <v>16</v>
      </c>
      <c r="N90" s="1" t="s">
        <v>16</v>
      </c>
      <c r="O90" s="1" t="s">
        <v>9935</v>
      </c>
      <c r="P90" s="1" t="s">
        <v>16</v>
      </c>
      <c r="Q90" s="1">
        <v>100</v>
      </c>
      <c r="R90" s="1">
        <v>1000000</v>
      </c>
      <c r="S90" s="1">
        <v>1000000</v>
      </c>
    </row>
    <row r="91" spans="1:19" ht="12.5" x14ac:dyDescent="0.25">
      <c r="A91" s="1">
        <v>75</v>
      </c>
      <c r="B91" s="1" t="s">
        <v>388</v>
      </c>
      <c r="C91" s="1" t="s">
        <v>15</v>
      </c>
      <c r="D91" s="1" t="s">
        <v>15</v>
      </c>
      <c r="E91" s="1">
        <v>75</v>
      </c>
      <c r="F91" s="1" t="s">
        <v>389</v>
      </c>
      <c r="G91" s="1" t="s">
        <v>390</v>
      </c>
      <c r="H91" s="1" t="s">
        <v>391</v>
      </c>
      <c r="I91" s="1" t="s">
        <v>29</v>
      </c>
      <c r="J91" s="1" t="s">
        <v>392</v>
      </c>
      <c r="K91" s="1" t="b">
        <v>0</v>
      </c>
      <c r="L91" s="1" t="s">
        <v>22</v>
      </c>
      <c r="M91" s="1" t="s">
        <v>16</v>
      </c>
      <c r="N91" s="1" t="s">
        <v>16</v>
      </c>
      <c r="O91" s="1" t="s">
        <v>9935</v>
      </c>
      <c r="P91" s="1" t="s">
        <v>16</v>
      </c>
      <c r="Q91" s="1">
        <v>100</v>
      </c>
      <c r="R91" s="1">
        <v>2500000</v>
      </c>
      <c r="S91" s="1">
        <v>2500000</v>
      </c>
    </row>
    <row r="92" spans="1:19" ht="12.5" x14ac:dyDescent="0.25">
      <c r="A92" s="1">
        <v>76</v>
      </c>
      <c r="B92" s="1" t="s">
        <v>393</v>
      </c>
      <c r="C92" s="1" t="s">
        <v>15</v>
      </c>
      <c r="D92" s="1" t="s">
        <v>15</v>
      </c>
      <c r="E92" s="1">
        <v>76</v>
      </c>
      <c r="F92" s="1" t="s">
        <v>394</v>
      </c>
      <c r="G92" s="1" t="s">
        <v>395</v>
      </c>
      <c r="H92" s="1" t="s">
        <v>396</v>
      </c>
      <c r="I92" s="1" t="s">
        <v>29</v>
      </c>
      <c r="J92" s="1" t="s">
        <v>397</v>
      </c>
      <c r="K92" s="1" t="b">
        <v>0</v>
      </c>
      <c r="L92" s="1" t="s">
        <v>22</v>
      </c>
      <c r="M92" s="1" t="s">
        <v>16</v>
      </c>
      <c r="N92" s="1" t="s">
        <v>16</v>
      </c>
      <c r="O92" s="1" t="s">
        <v>9935</v>
      </c>
      <c r="P92" s="1" t="s">
        <v>16</v>
      </c>
      <c r="Q92" s="1">
        <v>100</v>
      </c>
      <c r="R92" s="1">
        <v>100000</v>
      </c>
      <c r="S92" s="1">
        <v>100000</v>
      </c>
    </row>
    <row r="93" spans="1:19" ht="12.5" x14ac:dyDescent="0.25">
      <c r="A93" s="1">
        <v>77</v>
      </c>
      <c r="B93" s="1" t="s">
        <v>398</v>
      </c>
      <c r="C93" s="1" t="s">
        <v>15</v>
      </c>
      <c r="D93" s="1" t="s">
        <v>15</v>
      </c>
      <c r="E93" s="1">
        <v>77</v>
      </c>
      <c r="F93" s="1" t="s">
        <v>399</v>
      </c>
      <c r="G93" s="1" t="s">
        <v>400</v>
      </c>
      <c r="H93" s="1" t="s">
        <v>401</v>
      </c>
      <c r="I93" s="1" t="s">
        <v>29</v>
      </c>
      <c r="J93" s="1" t="s">
        <v>402</v>
      </c>
      <c r="K93" s="1" t="b">
        <v>0</v>
      </c>
      <c r="L93" s="1" t="s">
        <v>22</v>
      </c>
      <c r="M93" s="1" t="s">
        <v>16</v>
      </c>
      <c r="N93" s="1" t="s">
        <v>16</v>
      </c>
      <c r="O93" s="1" t="s">
        <v>9935</v>
      </c>
      <c r="P93" s="1" t="s">
        <v>16</v>
      </c>
      <c r="Q93" s="1">
        <v>100</v>
      </c>
      <c r="R93" s="1">
        <v>2000000</v>
      </c>
      <c r="S93" s="1">
        <v>2000000</v>
      </c>
    </row>
    <row r="94" spans="1:19" ht="12.5" x14ac:dyDescent="0.25">
      <c r="A94" s="1">
        <v>78</v>
      </c>
      <c r="B94" s="1" t="s">
        <v>403</v>
      </c>
      <c r="C94" s="1" t="s">
        <v>15</v>
      </c>
      <c r="D94" s="1" t="s">
        <v>15</v>
      </c>
      <c r="E94" s="1">
        <v>78</v>
      </c>
      <c r="F94" s="1" t="s">
        <v>404</v>
      </c>
      <c r="G94" s="1" t="s">
        <v>405</v>
      </c>
      <c r="H94" s="1" t="s">
        <v>406</v>
      </c>
      <c r="I94" s="1" t="s">
        <v>29</v>
      </c>
      <c r="J94" s="1" t="s">
        <v>407</v>
      </c>
      <c r="K94" s="1" t="b">
        <v>0</v>
      </c>
      <c r="L94" s="1" t="s">
        <v>22</v>
      </c>
      <c r="M94" s="1" t="s">
        <v>16</v>
      </c>
      <c r="N94" s="1" t="s">
        <v>16</v>
      </c>
      <c r="O94" s="1" t="s">
        <v>9935</v>
      </c>
      <c r="P94" s="1" t="s">
        <v>16</v>
      </c>
      <c r="Q94" s="1">
        <v>100</v>
      </c>
      <c r="R94" s="1">
        <v>1000000</v>
      </c>
      <c r="S94" s="1">
        <v>1000000</v>
      </c>
    </row>
    <row r="95" spans="1:19" ht="12.5" x14ac:dyDescent="0.25">
      <c r="A95" s="1">
        <v>79</v>
      </c>
      <c r="B95" s="1" t="s">
        <v>408</v>
      </c>
      <c r="C95" s="1" t="s">
        <v>15</v>
      </c>
      <c r="D95" s="1" t="s">
        <v>15</v>
      </c>
      <c r="E95" s="1">
        <v>79</v>
      </c>
      <c r="F95" s="1" t="s">
        <v>409</v>
      </c>
      <c r="G95" s="1" t="s">
        <v>410</v>
      </c>
      <c r="H95" s="1" t="s">
        <v>411</v>
      </c>
      <c r="I95" s="1" t="s">
        <v>29</v>
      </c>
      <c r="J95" s="1" t="s">
        <v>412</v>
      </c>
      <c r="K95" s="1" t="b">
        <v>0</v>
      </c>
      <c r="L95" s="1" t="s">
        <v>22</v>
      </c>
      <c r="M95" s="1" t="s">
        <v>16</v>
      </c>
      <c r="N95" s="1" t="s">
        <v>16</v>
      </c>
      <c r="O95" s="1" t="s">
        <v>9935</v>
      </c>
      <c r="P95" s="1" t="s">
        <v>16</v>
      </c>
      <c r="Q95" s="1">
        <v>100</v>
      </c>
      <c r="R95" s="1">
        <v>1000000</v>
      </c>
      <c r="S95" s="1">
        <v>1000000</v>
      </c>
    </row>
    <row r="96" spans="1:19" ht="12.5" x14ac:dyDescent="0.25">
      <c r="A96" s="1">
        <v>80</v>
      </c>
      <c r="B96" s="1" t="s">
        <v>413</v>
      </c>
      <c r="C96" s="1" t="s">
        <v>15</v>
      </c>
      <c r="D96" s="1" t="s">
        <v>15</v>
      </c>
      <c r="E96" s="1">
        <v>80</v>
      </c>
      <c r="F96" s="1" t="s">
        <v>414</v>
      </c>
      <c r="G96" s="1" t="s">
        <v>415</v>
      </c>
      <c r="H96" s="1" t="s">
        <v>416</v>
      </c>
      <c r="I96" s="1" t="s">
        <v>29</v>
      </c>
      <c r="J96" s="1" t="s">
        <v>417</v>
      </c>
      <c r="K96" s="1" t="b">
        <v>0</v>
      </c>
      <c r="L96" s="1" t="s">
        <v>22</v>
      </c>
      <c r="M96" s="1" t="s">
        <v>16</v>
      </c>
      <c r="N96" s="1" t="s">
        <v>16</v>
      </c>
      <c r="O96" s="1" t="s">
        <v>9935</v>
      </c>
      <c r="P96" s="1" t="s">
        <v>16</v>
      </c>
      <c r="Q96" s="1">
        <v>100</v>
      </c>
      <c r="R96" s="1">
        <v>800000</v>
      </c>
      <c r="S96" s="1">
        <v>800000</v>
      </c>
    </row>
    <row r="97" spans="1:19" ht="12.5" x14ac:dyDescent="0.25">
      <c r="A97" s="1">
        <v>81</v>
      </c>
      <c r="B97" s="1" t="s">
        <v>418</v>
      </c>
      <c r="C97" s="1" t="s">
        <v>15</v>
      </c>
      <c r="D97" s="1" t="s">
        <v>15</v>
      </c>
      <c r="E97" s="1">
        <v>81</v>
      </c>
      <c r="F97" s="1" t="s">
        <v>419</v>
      </c>
      <c r="G97" s="1" t="s">
        <v>420</v>
      </c>
      <c r="H97" s="1" t="s">
        <v>421</v>
      </c>
      <c r="I97" s="1" t="s">
        <v>29</v>
      </c>
      <c r="J97" s="1" t="s">
        <v>422</v>
      </c>
      <c r="K97" s="1" t="b">
        <v>0</v>
      </c>
      <c r="L97" s="1" t="s">
        <v>22</v>
      </c>
      <c r="M97" s="1" t="s">
        <v>16</v>
      </c>
      <c r="N97" s="1" t="s">
        <v>16</v>
      </c>
      <c r="O97" s="1" t="s">
        <v>9935</v>
      </c>
      <c r="P97" s="1" t="s">
        <v>16</v>
      </c>
      <c r="Q97" s="1">
        <v>100</v>
      </c>
      <c r="R97" s="1">
        <v>800000</v>
      </c>
      <c r="S97" s="1">
        <v>800000</v>
      </c>
    </row>
    <row r="98" spans="1:19" ht="12.5" x14ac:dyDescent="0.25">
      <c r="A98" s="1">
        <v>82</v>
      </c>
      <c r="B98" s="1" t="s">
        <v>423</v>
      </c>
      <c r="C98" s="1" t="s">
        <v>15</v>
      </c>
      <c r="D98" s="1" t="s">
        <v>15</v>
      </c>
      <c r="E98" s="1">
        <v>82</v>
      </c>
      <c r="F98" s="1" t="s">
        <v>424</v>
      </c>
      <c r="G98" s="1" t="s">
        <v>425</v>
      </c>
      <c r="H98" s="1" t="s">
        <v>426</v>
      </c>
      <c r="I98" s="1" t="s">
        <v>29</v>
      </c>
      <c r="J98" s="1" t="s">
        <v>427</v>
      </c>
      <c r="K98" s="1" t="b">
        <v>0</v>
      </c>
      <c r="L98" s="1" t="s">
        <v>22</v>
      </c>
      <c r="M98" s="1" t="s">
        <v>16</v>
      </c>
      <c r="N98" s="1" t="s">
        <v>16</v>
      </c>
      <c r="O98" s="1" t="s">
        <v>9935</v>
      </c>
      <c r="P98" s="1" t="s">
        <v>16</v>
      </c>
      <c r="Q98" s="1">
        <v>100</v>
      </c>
      <c r="R98" s="1">
        <v>600000</v>
      </c>
      <c r="S98" s="1">
        <v>600000</v>
      </c>
    </row>
    <row r="99" spans="1:19" ht="12.5" x14ac:dyDescent="0.25">
      <c r="A99" s="1">
        <v>83</v>
      </c>
      <c r="B99" s="1" t="s">
        <v>428</v>
      </c>
      <c r="C99" s="1" t="s">
        <v>15</v>
      </c>
      <c r="D99" s="1" t="s">
        <v>15</v>
      </c>
      <c r="E99" s="1">
        <v>83</v>
      </c>
      <c r="F99" s="1" t="s">
        <v>429</v>
      </c>
      <c r="G99" s="1" t="s">
        <v>430</v>
      </c>
      <c r="H99" s="1" t="s">
        <v>431</v>
      </c>
      <c r="I99" s="1" t="s">
        <v>29</v>
      </c>
      <c r="J99" s="1" t="s">
        <v>432</v>
      </c>
      <c r="K99" s="1" t="b">
        <v>0</v>
      </c>
      <c r="L99" s="1" t="s">
        <v>22</v>
      </c>
      <c r="M99" s="1" t="s">
        <v>16</v>
      </c>
      <c r="N99" s="1" t="s">
        <v>16</v>
      </c>
      <c r="O99" s="1" t="s">
        <v>9935</v>
      </c>
      <c r="P99" s="1" t="s">
        <v>16</v>
      </c>
      <c r="Q99" s="1">
        <v>100</v>
      </c>
      <c r="R99" s="1">
        <v>200000</v>
      </c>
      <c r="S99" s="1">
        <v>200000</v>
      </c>
    </row>
    <row r="100" spans="1:19" ht="12.5" x14ac:dyDescent="0.25">
      <c r="A100" s="1">
        <v>84</v>
      </c>
      <c r="B100" s="1" t="s">
        <v>433</v>
      </c>
      <c r="C100" s="1" t="s">
        <v>15</v>
      </c>
      <c r="D100" s="1" t="s">
        <v>15</v>
      </c>
      <c r="E100" s="1">
        <v>84</v>
      </c>
      <c r="F100" s="1" t="s">
        <v>434</v>
      </c>
      <c r="G100" s="1" t="s">
        <v>435</v>
      </c>
      <c r="H100" s="1" t="s">
        <v>436</v>
      </c>
      <c r="I100" s="1" t="s">
        <v>29</v>
      </c>
      <c r="J100" s="1" t="s">
        <v>437</v>
      </c>
      <c r="K100" s="1" t="b">
        <v>0</v>
      </c>
      <c r="L100" s="1" t="s">
        <v>22</v>
      </c>
      <c r="M100" s="1">
        <v>2023</v>
      </c>
      <c r="N100" s="1" t="s">
        <v>45</v>
      </c>
      <c r="O100" s="1" t="s">
        <v>9935</v>
      </c>
      <c r="P100" s="1" t="s">
        <v>9947</v>
      </c>
      <c r="Q100" s="1">
        <v>100</v>
      </c>
      <c r="R100" s="1">
        <v>1600000</v>
      </c>
      <c r="S100" s="1">
        <v>1600000</v>
      </c>
    </row>
    <row r="101" spans="1:19" ht="12.5" x14ac:dyDescent="0.25">
      <c r="A101" s="1">
        <v>84</v>
      </c>
      <c r="B101" s="1" t="s">
        <v>433</v>
      </c>
      <c r="C101" s="1" t="s">
        <v>15</v>
      </c>
      <c r="D101" s="1" t="s">
        <v>15</v>
      </c>
      <c r="E101" s="1">
        <v>84</v>
      </c>
      <c r="F101" s="1" t="s">
        <v>434</v>
      </c>
      <c r="G101" s="1" t="s">
        <v>435</v>
      </c>
      <c r="H101" s="1" t="s">
        <v>436</v>
      </c>
      <c r="I101" s="1" t="s">
        <v>29</v>
      </c>
      <c r="J101" s="1" t="s">
        <v>437</v>
      </c>
      <c r="K101" s="1" t="b">
        <v>0</v>
      </c>
      <c r="L101" s="1" t="s">
        <v>22</v>
      </c>
      <c r="M101" s="1">
        <v>2023</v>
      </c>
      <c r="N101" s="1" t="s">
        <v>45</v>
      </c>
      <c r="O101" s="1" t="s">
        <v>9935</v>
      </c>
      <c r="P101" s="1" t="s">
        <v>9948</v>
      </c>
      <c r="Q101" s="1">
        <v>100</v>
      </c>
      <c r="R101" s="1">
        <v>1600000</v>
      </c>
      <c r="S101" s="1">
        <v>1600000</v>
      </c>
    </row>
    <row r="102" spans="1:19" ht="12.5" x14ac:dyDescent="0.25">
      <c r="A102" s="1">
        <v>85</v>
      </c>
      <c r="B102" s="1" t="s">
        <v>438</v>
      </c>
      <c r="C102" s="1" t="s">
        <v>15</v>
      </c>
      <c r="D102" s="1" t="s">
        <v>15</v>
      </c>
      <c r="E102" s="1">
        <v>85</v>
      </c>
      <c r="F102" s="1" t="s">
        <v>439</v>
      </c>
      <c r="G102" s="1" t="s">
        <v>440</v>
      </c>
      <c r="H102" s="1" t="s">
        <v>441</v>
      </c>
      <c r="I102" s="1" t="s">
        <v>29</v>
      </c>
      <c r="J102" s="1" t="s">
        <v>442</v>
      </c>
      <c r="K102" s="1" t="b">
        <v>0</v>
      </c>
      <c r="L102" s="1" t="s">
        <v>22</v>
      </c>
      <c r="M102" s="1" t="s">
        <v>16</v>
      </c>
      <c r="N102" s="1" t="s">
        <v>16</v>
      </c>
      <c r="O102" s="1" t="s">
        <v>9935</v>
      </c>
      <c r="P102" s="1" t="s">
        <v>16</v>
      </c>
      <c r="Q102" s="1">
        <v>100</v>
      </c>
      <c r="R102" s="1">
        <v>1000000</v>
      </c>
      <c r="S102" s="1">
        <v>1000000</v>
      </c>
    </row>
    <row r="103" spans="1:19" ht="12.5" x14ac:dyDescent="0.25">
      <c r="A103" s="1" t="s">
        <v>16</v>
      </c>
      <c r="B103" s="1" t="s">
        <v>16</v>
      </c>
      <c r="C103" s="1" t="s">
        <v>16</v>
      </c>
      <c r="D103" s="1" t="s">
        <v>16</v>
      </c>
      <c r="E103" s="1">
        <v>86</v>
      </c>
      <c r="F103" s="1" t="s">
        <v>443</v>
      </c>
      <c r="G103" s="1" t="s">
        <v>444</v>
      </c>
      <c r="H103" s="1" t="s">
        <v>445</v>
      </c>
      <c r="I103" s="1" t="s">
        <v>29</v>
      </c>
      <c r="J103" s="1" t="s">
        <v>446</v>
      </c>
      <c r="K103" s="1" t="b">
        <v>0</v>
      </c>
      <c r="L103" s="1" t="s">
        <v>22</v>
      </c>
      <c r="M103" s="1" t="s">
        <v>16</v>
      </c>
      <c r="N103" s="1" t="s">
        <v>16</v>
      </c>
      <c r="O103" s="1" t="s">
        <v>9935</v>
      </c>
      <c r="P103" s="1" t="s">
        <v>16</v>
      </c>
      <c r="R103" s="1">
        <v>750000</v>
      </c>
    </row>
    <row r="104" spans="1:19" ht="12.5" x14ac:dyDescent="0.25">
      <c r="A104" s="1">
        <v>87</v>
      </c>
      <c r="B104" s="1" t="s">
        <v>447</v>
      </c>
      <c r="C104" s="1" t="s">
        <v>15</v>
      </c>
      <c r="D104" s="1" t="s">
        <v>15</v>
      </c>
      <c r="E104" s="1">
        <v>87</v>
      </c>
      <c r="F104" s="1" t="s">
        <v>448</v>
      </c>
      <c r="G104" s="1" t="s">
        <v>449</v>
      </c>
      <c r="H104" s="1" t="s">
        <v>450</v>
      </c>
      <c r="I104" s="1" t="s">
        <v>29</v>
      </c>
      <c r="J104" s="1" t="s">
        <v>451</v>
      </c>
      <c r="K104" s="1" t="b">
        <v>0</v>
      </c>
      <c r="L104" s="1" t="s">
        <v>22</v>
      </c>
      <c r="M104" s="1" t="s">
        <v>16</v>
      </c>
      <c r="N104" s="1" t="s">
        <v>16</v>
      </c>
      <c r="O104" s="1" t="s">
        <v>9935</v>
      </c>
      <c r="P104" s="1" t="s">
        <v>16</v>
      </c>
      <c r="Q104" s="1">
        <v>100</v>
      </c>
      <c r="R104" s="1">
        <v>3000000</v>
      </c>
      <c r="S104" s="1">
        <v>3000000</v>
      </c>
    </row>
    <row r="105" spans="1:19" ht="12.5" x14ac:dyDescent="0.25">
      <c r="A105" s="1">
        <v>88</v>
      </c>
      <c r="B105" s="1" t="s">
        <v>452</v>
      </c>
      <c r="C105" s="1" t="s">
        <v>15</v>
      </c>
      <c r="D105" s="1" t="s">
        <v>15</v>
      </c>
      <c r="E105" s="1">
        <v>88</v>
      </c>
      <c r="F105" s="1" t="s">
        <v>453</v>
      </c>
      <c r="G105" s="1" t="s">
        <v>454</v>
      </c>
      <c r="H105" s="1" t="s">
        <v>455</v>
      </c>
      <c r="I105" s="1" t="s">
        <v>29</v>
      </c>
      <c r="J105" s="1" t="s">
        <v>456</v>
      </c>
      <c r="K105" s="1" t="b">
        <v>0</v>
      </c>
      <c r="L105" s="1" t="s">
        <v>22</v>
      </c>
      <c r="M105" s="1" t="s">
        <v>16</v>
      </c>
      <c r="N105" s="1" t="s">
        <v>16</v>
      </c>
      <c r="O105" s="1" t="s">
        <v>9935</v>
      </c>
      <c r="P105" s="1" t="s">
        <v>16</v>
      </c>
      <c r="Q105" s="1">
        <v>100</v>
      </c>
      <c r="R105" s="1">
        <v>2500000</v>
      </c>
      <c r="S105" s="1">
        <v>2500000</v>
      </c>
    </row>
    <row r="106" spans="1:19" ht="12.5" x14ac:dyDescent="0.25">
      <c r="A106" s="1">
        <v>89</v>
      </c>
      <c r="B106" s="1" t="s">
        <v>457</v>
      </c>
      <c r="C106" s="1" t="s">
        <v>15</v>
      </c>
      <c r="D106" s="1" t="s">
        <v>15</v>
      </c>
      <c r="E106" s="1">
        <v>89</v>
      </c>
      <c r="F106" s="1" t="s">
        <v>458</v>
      </c>
      <c r="G106" s="1" t="s">
        <v>459</v>
      </c>
      <c r="H106" s="1" t="s">
        <v>460</v>
      </c>
      <c r="I106" s="1" t="s">
        <v>29</v>
      </c>
      <c r="J106" s="1" t="s">
        <v>461</v>
      </c>
      <c r="K106" s="1" t="b">
        <v>0</v>
      </c>
      <c r="L106" s="1" t="s">
        <v>22</v>
      </c>
      <c r="M106" s="1" t="s">
        <v>16</v>
      </c>
      <c r="N106" s="1" t="s">
        <v>16</v>
      </c>
      <c r="O106" s="1" t="s">
        <v>9935</v>
      </c>
      <c r="P106" s="1" t="s">
        <v>16</v>
      </c>
      <c r="Q106" s="1">
        <v>100</v>
      </c>
      <c r="R106" s="1">
        <v>500000</v>
      </c>
      <c r="S106" s="1">
        <v>500000</v>
      </c>
    </row>
    <row r="107" spans="1:19" ht="12.5" x14ac:dyDescent="0.25">
      <c r="A107" s="1">
        <v>90</v>
      </c>
      <c r="B107" s="1" t="s">
        <v>462</v>
      </c>
      <c r="C107" s="1" t="s">
        <v>15</v>
      </c>
      <c r="D107" s="1" t="s">
        <v>15</v>
      </c>
      <c r="E107" s="1">
        <v>90</v>
      </c>
      <c r="F107" s="1" t="s">
        <v>463</v>
      </c>
      <c r="G107" s="1" t="s">
        <v>464</v>
      </c>
      <c r="H107" s="1" t="s">
        <v>465</v>
      </c>
      <c r="I107" s="1" t="s">
        <v>29</v>
      </c>
      <c r="J107" s="1" t="s">
        <v>466</v>
      </c>
      <c r="K107" s="1" t="b">
        <v>0</v>
      </c>
      <c r="L107" s="1" t="s">
        <v>22</v>
      </c>
      <c r="M107" s="1" t="s">
        <v>16</v>
      </c>
      <c r="N107" s="1" t="s">
        <v>16</v>
      </c>
      <c r="O107" s="1" t="s">
        <v>9935</v>
      </c>
      <c r="P107" s="1" t="s">
        <v>16</v>
      </c>
      <c r="Q107" s="1">
        <v>100</v>
      </c>
      <c r="R107" s="1">
        <v>1500000</v>
      </c>
      <c r="S107" s="1">
        <v>1500000</v>
      </c>
    </row>
    <row r="108" spans="1:19" ht="12.5" x14ac:dyDescent="0.25">
      <c r="A108" s="1">
        <v>91</v>
      </c>
      <c r="B108" s="1" t="s">
        <v>467</v>
      </c>
      <c r="C108" s="1" t="s">
        <v>15</v>
      </c>
      <c r="D108" s="1" t="s">
        <v>15</v>
      </c>
      <c r="E108" s="1">
        <v>91</v>
      </c>
      <c r="F108" s="1" t="s">
        <v>468</v>
      </c>
      <c r="G108" s="1" t="s">
        <v>469</v>
      </c>
      <c r="H108" s="1" t="s">
        <v>470</v>
      </c>
      <c r="I108" s="1" t="s">
        <v>29</v>
      </c>
      <c r="J108" s="1" t="s">
        <v>471</v>
      </c>
      <c r="K108" s="1" t="b">
        <v>0</v>
      </c>
      <c r="L108" s="1" t="s">
        <v>22</v>
      </c>
      <c r="M108" s="1" t="s">
        <v>16</v>
      </c>
      <c r="N108" s="1" t="s">
        <v>16</v>
      </c>
      <c r="O108" s="1" t="s">
        <v>9935</v>
      </c>
      <c r="P108" s="1" t="s">
        <v>16</v>
      </c>
      <c r="Q108" s="1">
        <v>100</v>
      </c>
      <c r="R108" s="1">
        <v>800000</v>
      </c>
      <c r="S108" s="1">
        <v>800000</v>
      </c>
    </row>
    <row r="109" spans="1:19" ht="12.5" x14ac:dyDescent="0.25">
      <c r="A109" s="1">
        <v>92</v>
      </c>
      <c r="B109" s="1" t="s">
        <v>472</v>
      </c>
      <c r="C109" s="1" t="s">
        <v>15</v>
      </c>
      <c r="D109" s="1" t="s">
        <v>15</v>
      </c>
      <c r="E109" s="1">
        <v>92</v>
      </c>
      <c r="F109" s="1" t="s">
        <v>473</v>
      </c>
      <c r="G109" s="1" t="s">
        <v>474</v>
      </c>
      <c r="H109" s="1" t="s">
        <v>475</v>
      </c>
      <c r="I109" s="1" t="s">
        <v>29</v>
      </c>
      <c r="J109" s="1" t="s">
        <v>476</v>
      </c>
      <c r="K109" s="1" t="b">
        <v>0</v>
      </c>
      <c r="L109" s="1" t="s">
        <v>22</v>
      </c>
      <c r="M109" s="1" t="s">
        <v>16</v>
      </c>
      <c r="N109" s="1" t="s">
        <v>16</v>
      </c>
      <c r="O109" s="1" t="s">
        <v>9935</v>
      </c>
      <c r="P109" s="1" t="s">
        <v>16</v>
      </c>
      <c r="Q109" s="1">
        <v>100</v>
      </c>
      <c r="R109" s="1">
        <v>100000</v>
      </c>
      <c r="S109" s="1">
        <v>100000</v>
      </c>
    </row>
    <row r="110" spans="1:19" ht="12.5" x14ac:dyDescent="0.25">
      <c r="A110" s="1">
        <v>93</v>
      </c>
      <c r="B110" s="1" t="s">
        <v>477</v>
      </c>
      <c r="C110" s="1" t="s">
        <v>15</v>
      </c>
      <c r="D110" s="1" t="s">
        <v>15</v>
      </c>
      <c r="E110" s="1">
        <v>93</v>
      </c>
      <c r="F110" s="1" t="s">
        <v>478</v>
      </c>
      <c r="G110" s="1" t="s">
        <v>479</v>
      </c>
      <c r="H110" s="1" t="s">
        <v>480</v>
      </c>
      <c r="I110" s="1" t="s">
        <v>29</v>
      </c>
      <c r="J110" s="1" t="s">
        <v>481</v>
      </c>
      <c r="K110" s="1" t="b">
        <v>1</v>
      </c>
      <c r="L110" s="1" t="s">
        <v>31</v>
      </c>
      <c r="M110" s="1" t="s">
        <v>16</v>
      </c>
      <c r="N110" s="1" t="s">
        <v>16</v>
      </c>
      <c r="O110" s="1" t="s">
        <v>9935</v>
      </c>
      <c r="P110" s="1" t="s">
        <v>16</v>
      </c>
      <c r="Q110" s="1">
        <v>100</v>
      </c>
      <c r="R110" s="1">
        <v>264028.84860000003</v>
      </c>
      <c r="S110" s="1">
        <v>264028.84860000003</v>
      </c>
    </row>
    <row r="111" spans="1:19" ht="12.5" x14ac:dyDescent="0.25">
      <c r="A111" s="1">
        <v>94</v>
      </c>
      <c r="B111" s="1" t="s">
        <v>482</v>
      </c>
      <c r="C111" s="1" t="s">
        <v>15</v>
      </c>
      <c r="D111" s="1" t="s">
        <v>15</v>
      </c>
      <c r="E111" s="1">
        <v>94</v>
      </c>
      <c r="F111" s="1" t="s">
        <v>483</v>
      </c>
      <c r="G111" s="1" t="s">
        <v>484</v>
      </c>
      <c r="H111" s="1" t="s">
        <v>485</v>
      </c>
      <c r="I111" s="1" t="s">
        <v>29</v>
      </c>
      <c r="J111" s="1" t="s">
        <v>486</v>
      </c>
      <c r="K111" s="1" t="b">
        <v>0</v>
      </c>
      <c r="L111" s="1" t="s">
        <v>22</v>
      </c>
      <c r="M111" s="1">
        <v>2022</v>
      </c>
      <c r="N111" s="1" t="s">
        <v>23</v>
      </c>
      <c r="O111" s="1" t="s">
        <v>9935</v>
      </c>
      <c r="P111" s="1" t="s">
        <v>16</v>
      </c>
      <c r="Q111" s="1">
        <v>100</v>
      </c>
      <c r="R111" s="1">
        <v>608761.90209999995</v>
      </c>
      <c r="S111" s="1">
        <v>608761.90209999995</v>
      </c>
    </row>
    <row r="112" spans="1:19" ht="12.5" x14ac:dyDescent="0.25">
      <c r="A112" s="1">
        <v>95</v>
      </c>
      <c r="B112" s="1" t="s">
        <v>487</v>
      </c>
      <c r="C112" s="1" t="s">
        <v>15</v>
      </c>
      <c r="D112" s="1" t="s">
        <v>15</v>
      </c>
      <c r="E112" s="1">
        <v>95</v>
      </c>
      <c r="F112" s="1" t="s">
        <v>488</v>
      </c>
      <c r="G112" s="1" t="s">
        <v>489</v>
      </c>
      <c r="H112" s="1" t="s">
        <v>490</v>
      </c>
      <c r="I112" s="1" t="s">
        <v>29</v>
      </c>
      <c r="J112" s="1" t="s">
        <v>491</v>
      </c>
      <c r="K112" s="1" t="b">
        <v>0</v>
      </c>
      <c r="L112" s="1" t="s">
        <v>22</v>
      </c>
      <c r="M112" s="1" t="s">
        <v>16</v>
      </c>
      <c r="N112" s="1" t="s">
        <v>16</v>
      </c>
      <c r="O112" s="1" t="s">
        <v>9935</v>
      </c>
      <c r="P112" s="1" t="s">
        <v>16</v>
      </c>
      <c r="Q112" s="1">
        <v>100</v>
      </c>
      <c r="R112" s="1">
        <v>1254402.9586</v>
      </c>
      <c r="S112" s="1">
        <v>1254402.9586</v>
      </c>
    </row>
    <row r="113" spans="1:19" ht="12.5" x14ac:dyDescent="0.25">
      <c r="A113" s="1">
        <v>96</v>
      </c>
      <c r="B113" s="1" t="s">
        <v>492</v>
      </c>
      <c r="C113" s="1" t="s">
        <v>15</v>
      </c>
      <c r="D113" s="1" t="s">
        <v>15</v>
      </c>
      <c r="E113" s="1">
        <v>96</v>
      </c>
      <c r="F113" s="1" t="s">
        <v>493</v>
      </c>
      <c r="G113" s="1" t="s">
        <v>494</v>
      </c>
      <c r="H113" s="1" t="s">
        <v>495</v>
      </c>
      <c r="I113" s="1" t="s">
        <v>29</v>
      </c>
      <c r="J113" s="1" t="s">
        <v>496</v>
      </c>
      <c r="K113" s="1" t="b">
        <v>1</v>
      </c>
      <c r="L113" s="1" t="s">
        <v>31</v>
      </c>
      <c r="M113" s="1" t="s">
        <v>16</v>
      </c>
      <c r="N113" s="1" t="s">
        <v>16</v>
      </c>
      <c r="O113" s="1" t="s">
        <v>9935</v>
      </c>
      <c r="P113" s="1" t="s">
        <v>16</v>
      </c>
      <c r="Q113" s="1">
        <v>100</v>
      </c>
      <c r="R113" s="1">
        <v>331270.84999999998</v>
      </c>
      <c r="S113" s="1">
        <v>331270.84999999998</v>
      </c>
    </row>
    <row r="114" spans="1:19" ht="12.5" x14ac:dyDescent="0.25">
      <c r="A114" s="1">
        <v>97</v>
      </c>
      <c r="B114" s="1" t="s">
        <v>497</v>
      </c>
      <c r="C114" s="1" t="s">
        <v>15</v>
      </c>
      <c r="D114" s="1" t="s">
        <v>15</v>
      </c>
      <c r="E114" s="1">
        <v>97</v>
      </c>
      <c r="F114" s="1" t="s">
        <v>498</v>
      </c>
      <c r="G114" s="1" t="s">
        <v>499</v>
      </c>
      <c r="H114" s="1" t="s">
        <v>500</v>
      </c>
      <c r="I114" s="1" t="s">
        <v>29</v>
      </c>
      <c r="J114" s="1" t="s">
        <v>501</v>
      </c>
      <c r="K114" s="1" t="b">
        <v>1</v>
      </c>
      <c r="L114" s="1" t="s">
        <v>31</v>
      </c>
      <c r="M114" s="1" t="s">
        <v>16</v>
      </c>
      <c r="N114" s="1" t="s">
        <v>16</v>
      </c>
      <c r="O114" s="1" t="s">
        <v>9935</v>
      </c>
      <c r="P114" s="1" t="s">
        <v>16</v>
      </c>
      <c r="Q114" s="1">
        <v>100</v>
      </c>
      <c r="R114" s="1">
        <v>73995.19</v>
      </c>
      <c r="S114" s="1">
        <v>73995.19</v>
      </c>
    </row>
    <row r="115" spans="1:19" ht="12.5" x14ac:dyDescent="0.25">
      <c r="A115" s="1">
        <v>98</v>
      </c>
      <c r="B115" s="1" t="s">
        <v>502</v>
      </c>
      <c r="C115" s="1" t="s">
        <v>15</v>
      </c>
      <c r="D115" s="1" t="s">
        <v>15</v>
      </c>
      <c r="E115" s="1">
        <v>98</v>
      </c>
      <c r="F115" s="1" t="s">
        <v>503</v>
      </c>
      <c r="G115" s="1" t="s">
        <v>504</v>
      </c>
      <c r="H115" s="1" t="s">
        <v>505</v>
      </c>
      <c r="I115" s="1" t="s">
        <v>29</v>
      </c>
      <c r="J115" s="1" t="s">
        <v>506</v>
      </c>
      <c r="K115" s="1" t="b">
        <v>1</v>
      </c>
      <c r="L115" s="1" t="s">
        <v>31</v>
      </c>
      <c r="M115" s="1" t="s">
        <v>16</v>
      </c>
      <c r="N115" s="1" t="s">
        <v>16</v>
      </c>
      <c r="O115" s="1" t="s">
        <v>9935</v>
      </c>
      <c r="P115" s="1" t="s">
        <v>16</v>
      </c>
      <c r="Q115" s="1">
        <v>100</v>
      </c>
      <c r="R115" s="1">
        <v>181902.36</v>
      </c>
      <c r="S115" s="1">
        <v>181902.36</v>
      </c>
    </row>
    <row r="116" spans="1:19" ht="12.5" x14ac:dyDescent="0.25">
      <c r="A116" s="1">
        <v>99</v>
      </c>
      <c r="B116" s="1" t="s">
        <v>507</v>
      </c>
      <c r="C116" s="1" t="s">
        <v>15</v>
      </c>
      <c r="D116" s="1" t="s">
        <v>15</v>
      </c>
      <c r="E116" s="1">
        <v>99</v>
      </c>
      <c r="F116" s="1" t="s">
        <v>508</v>
      </c>
      <c r="G116" s="1" t="s">
        <v>509</v>
      </c>
      <c r="H116" s="1" t="s">
        <v>510</v>
      </c>
      <c r="I116" s="1" t="s">
        <v>29</v>
      </c>
      <c r="J116" s="1" t="s">
        <v>511</v>
      </c>
      <c r="K116" s="1" t="b">
        <v>1</v>
      </c>
      <c r="L116" s="1" t="s">
        <v>31</v>
      </c>
      <c r="M116" s="1" t="s">
        <v>16</v>
      </c>
      <c r="N116" s="1" t="s">
        <v>16</v>
      </c>
      <c r="O116" s="1" t="s">
        <v>9935</v>
      </c>
      <c r="P116" s="1" t="s">
        <v>16</v>
      </c>
      <c r="Q116" s="1">
        <v>100</v>
      </c>
      <c r="R116" s="1">
        <v>90471.43</v>
      </c>
      <c r="S116" s="1">
        <v>90471.43</v>
      </c>
    </row>
    <row r="117" spans="1:19" ht="12.5" x14ac:dyDescent="0.25">
      <c r="A117" s="1">
        <v>100</v>
      </c>
      <c r="B117" s="1" t="s">
        <v>512</v>
      </c>
      <c r="C117" s="1" t="s">
        <v>15</v>
      </c>
      <c r="D117" s="1" t="s">
        <v>15</v>
      </c>
      <c r="E117" s="1">
        <v>100</v>
      </c>
      <c r="F117" s="1" t="s">
        <v>513</v>
      </c>
      <c r="G117" s="1" t="s">
        <v>514</v>
      </c>
      <c r="H117" s="1" t="s">
        <v>515</v>
      </c>
      <c r="I117" s="1" t="s">
        <v>29</v>
      </c>
      <c r="J117" s="1" t="s">
        <v>516</v>
      </c>
      <c r="K117" s="1" t="b">
        <v>1</v>
      </c>
      <c r="L117" s="1" t="s">
        <v>31</v>
      </c>
      <c r="M117" s="1" t="s">
        <v>16</v>
      </c>
      <c r="N117" s="1" t="s">
        <v>16</v>
      </c>
      <c r="O117" s="1" t="s">
        <v>9935</v>
      </c>
      <c r="P117" s="1" t="s">
        <v>16</v>
      </c>
      <c r="Q117" s="1">
        <v>100</v>
      </c>
      <c r="R117" s="1">
        <v>214741.75</v>
      </c>
      <c r="S117" s="1">
        <v>214741.75</v>
      </c>
    </row>
    <row r="118" spans="1:19" ht="12.5" x14ac:dyDescent="0.25">
      <c r="A118" s="1">
        <v>101</v>
      </c>
      <c r="B118" s="1" t="s">
        <v>517</v>
      </c>
      <c r="C118" s="1" t="s">
        <v>15</v>
      </c>
      <c r="D118" s="1" t="s">
        <v>15</v>
      </c>
      <c r="E118" s="1">
        <v>101</v>
      </c>
      <c r="F118" s="1" t="s">
        <v>518</v>
      </c>
      <c r="G118" s="1" t="s">
        <v>519</v>
      </c>
      <c r="H118" s="1" t="s">
        <v>520</v>
      </c>
      <c r="I118" s="1" t="s">
        <v>29</v>
      </c>
      <c r="J118" s="1" t="s">
        <v>521</v>
      </c>
      <c r="K118" s="1" t="b">
        <v>1</v>
      </c>
      <c r="L118" s="1" t="s">
        <v>31</v>
      </c>
      <c r="M118" s="1" t="s">
        <v>16</v>
      </c>
      <c r="N118" s="1" t="s">
        <v>16</v>
      </c>
      <c r="O118" s="1" t="s">
        <v>9935</v>
      </c>
      <c r="P118" s="1" t="s">
        <v>16</v>
      </c>
      <c r="Q118" s="1">
        <v>100</v>
      </c>
      <c r="R118" s="1">
        <v>343592.7</v>
      </c>
      <c r="S118" s="1">
        <v>343592.7</v>
      </c>
    </row>
    <row r="119" spans="1:19" ht="12.5" x14ac:dyDescent="0.25">
      <c r="A119" s="1">
        <v>102</v>
      </c>
      <c r="B119" s="1" t="s">
        <v>522</v>
      </c>
      <c r="C119" s="1" t="s">
        <v>15</v>
      </c>
      <c r="D119" s="1" t="s">
        <v>15</v>
      </c>
      <c r="E119" s="1">
        <v>102</v>
      </c>
      <c r="F119" s="1" t="s">
        <v>523</v>
      </c>
      <c r="G119" s="1" t="s">
        <v>524</v>
      </c>
      <c r="H119" s="1" t="s">
        <v>525</v>
      </c>
      <c r="I119" s="1" t="s">
        <v>29</v>
      </c>
      <c r="J119" s="1" t="s">
        <v>526</v>
      </c>
      <c r="K119" s="1" t="b">
        <v>1</v>
      </c>
      <c r="L119" s="1" t="s">
        <v>31</v>
      </c>
      <c r="M119" s="1" t="s">
        <v>16</v>
      </c>
      <c r="N119" s="1" t="s">
        <v>16</v>
      </c>
      <c r="O119" s="1" t="s">
        <v>9935</v>
      </c>
      <c r="P119" s="1" t="s">
        <v>16</v>
      </c>
      <c r="Q119" s="1">
        <v>100</v>
      </c>
      <c r="R119" s="1">
        <v>87490.25</v>
      </c>
      <c r="S119" s="1">
        <v>87490.25</v>
      </c>
    </row>
    <row r="120" spans="1:19" ht="12.5" x14ac:dyDescent="0.25">
      <c r="A120" s="1">
        <v>103</v>
      </c>
      <c r="B120" s="1" t="s">
        <v>527</v>
      </c>
      <c r="C120" s="1" t="s">
        <v>15</v>
      </c>
      <c r="D120" s="1" t="s">
        <v>15</v>
      </c>
      <c r="E120" s="1">
        <v>103</v>
      </c>
      <c r="F120" s="1" t="s">
        <v>528</v>
      </c>
      <c r="G120" s="1" t="s">
        <v>529</v>
      </c>
      <c r="H120" s="1" t="s">
        <v>530</v>
      </c>
      <c r="I120" s="1" t="s">
        <v>29</v>
      </c>
      <c r="J120" s="1" t="s">
        <v>531</v>
      </c>
      <c r="K120" s="1" t="b">
        <v>1</v>
      </c>
      <c r="L120" s="1" t="s">
        <v>31</v>
      </c>
      <c r="M120" s="1" t="s">
        <v>16</v>
      </c>
      <c r="N120" s="1" t="s">
        <v>16</v>
      </c>
      <c r="O120" s="1" t="s">
        <v>9935</v>
      </c>
      <c r="P120" s="1" t="s">
        <v>16</v>
      </c>
      <c r="Q120" s="1">
        <v>100</v>
      </c>
      <c r="R120" s="1">
        <v>173598.13</v>
      </c>
      <c r="S120" s="1">
        <v>173598.13</v>
      </c>
    </row>
    <row r="121" spans="1:19" ht="12.5" x14ac:dyDescent="0.25">
      <c r="A121" s="1">
        <v>104</v>
      </c>
      <c r="B121" s="1" t="s">
        <v>532</v>
      </c>
      <c r="C121" s="1" t="s">
        <v>15</v>
      </c>
      <c r="D121" s="1" t="s">
        <v>15</v>
      </c>
      <c r="E121" s="1">
        <v>104</v>
      </c>
      <c r="F121" s="1" t="s">
        <v>533</v>
      </c>
      <c r="G121" s="1" t="s">
        <v>534</v>
      </c>
      <c r="H121" s="1" t="s">
        <v>535</v>
      </c>
      <c r="I121" s="1" t="s">
        <v>29</v>
      </c>
      <c r="J121" s="1" t="s">
        <v>536</v>
      </c>
      <c r="K121" s="1" t="b">
        <v>1</v>
      </c>
      <c r="L121" s="1" t="s">
        <v>31</v>
      </c>
      <c r="M121" s="1">
        <v>2022</v>
      </c>
      <c r="N121" s="1" t="s">
        <v>23</v>
      </c>
      <c r="O121" s="1" t="s">
        <v>9935</v>
      </c>
      <c r="P121" s="1" t="s">
        <v>16</v>
      </c>
      <c r="Q121" s="1">
        <v>100</v>
      </c>
      <c r="R121" s="1">
        <v>309999.99</v>
      </c>
      <c r="S121" s="1">
        <v>309999.99</v>
      </c>
    </row>
    <row r="122" spans="1:19" ht="12.5" x14ac:dyDescent="0.25">
      <c r="A122" s="1">
        <v>105</v>
      </c>
      <c r="B122" s="1" t="s">
        <v>537</v>
      </c>
      <c r="C122" s="1" t="s">
        <v>15</v>
      </c>
      <c r="D122" s="1" t="s">
        <v>15</v>
      </c>
      <c r="E122" s="1">
        <v>105</v>
      </c>
      <c r="F122" s="1" t="s">
        <v>538</v>
      </c>
      <c r="G122" s="1" t="s">
        <v>539</v>
      </c>
      <c r="H122" s="1" t="s">
        <v>16</v>
      </c>
      <c r="I122" s="1" t="s">
        <v>29</v>
      </c>
      <c r="J122" s="1" t="s">
        <v>540</v>
      </c>
      <c r="K122" s="1" t="b">
        <v>1</v>
      </c>
      <c r="L122" s="1" t="s">
        <v>31</v>
      </c>
      <c r="M122" s="1">
        <v>2022</v>
      </c>
      <c r="N122" s="1" t="s">
        <v>45</v>
      </c>
      <c r="O122" s="1" t="s">
        <v>9935</v>
      </c>
      <c r="P122" s="1" t="s">
        <v>16</v>
      </c>
      <c r="Q122" s="1">
        <v>100</v>
      </c>
      <c r="R122" s="1">
        <v>143256.07</v>
      </c>
      <c r="S122" s="1">
        <v>143256.07</v>
      </c>
    </row>
    <row r="123" spans="1:19" ht="12.5" x14ac:dyDescent="0.25">
      <c r="A123" s="1">
        <v>106</v>
      </c>
      <c r="B123" s="1" t="s">
        <v>541</v>
      </c>
      <c r="C123" s="1" t="s">
        <v>15</v>
      </c>
      <c r="D123" s="1" t="s">
        <v>15</v>
      </c>
      <c r="E123" s="1">
        <v>106</v>
      </c>
      <c r="F123" s="1" t="s">
        <v>542</v>
      </c>
      <c r="G123" s="1" t="s">
        <v>543</v>
      </c>
      <c r="H123" s="1" t="s">
        <v>544</v>
      </c>
      <c r="I123" s="1" t="s">
        <v>29</v>
      </c>
      <c r="J123" s="1" t="s">
        <v>545</v>
      </c>
      <c r="K123" s="1" t="b">
        <v>1</v>
      </c>
      <c r="L123" s="1" t="s">
        <v>31</v>
      </c>
      <c r="M123" s="1">
        <v>2022</v>
      </c>
      <c r="N123" s="1" t="s">
        <v>23</v>
      </c>
      <c r="O123" s="1" t="s">
        <v>9935</v>
      </c>
      <c r="P123" s="1" t="s">
        <v>16</v>
      </c>
      <c r="Q123" s="1">
        <v>100</v>
      </c>
      <c r="R123" s="1">
        <v>192923.33</v>
      </c>
      <c r="S123" s="1">
        <v>192923.33</v>
      </c>
    </row>
    <row r="124" spans="1:19" ht="12.5" x14ac:dyDescent="0.25">
      <c r="A124" s="1">
        <v>107</v>
      </c>
      <c r="B124" s="1" t="s">
        <v>546</v>
      </c>
      <c r="C124" s="1" t="s">
        <v>15</v>
      </c>
      <c r="D124" s="1" t="s">
        <v>15</v>
      </c>
      <c r="E124" s="1">
        <v>107</v>
      </c>
      <c r="F124" s="1" t="s">
        <v>547</v>
      </c>
      <c r="G124" s="1" t="s">
        <v>548</v>
      </c>
      <c r="H124" s="1" t="s">
        <v>549</v>
      </c>
      <c r="I124" s="1" t="s">
        <v>29</v>
      </c>
      <c r="J124" s="1" t="s">
        <v>550</v>
      </c>
      <c r="K124" s="1" t="b">
        <v>1</v>
      </c>
      <c r="L124" s="1" t="s">
        <v>31</v>
      </c>
      <c r="M124" s="1">
        <v>2022</v>
      </c>
      <c r="N124" s="1" t="s">
        <v>23</v>
      </c>
      <c r="O124" s="1" t="s">
        <v>9935</v>
      </c>
      <c r="P124" s="1" t="s">
        <v>16</v>
      </c>
      <c r="Q124" s="1">
        <v>100</v>
      </c>
      <c r="R124" s="1">
        <v>230298.09</v>
      </c>
      <c r="S124" s="1">
        <v>230298.09</v>
      </c>
    </row>
    <row r="125" spans="1:19" ht="12.5" x14ac:dyDescent="0.25">
      <c r="A125" s="1">
        <v>108</v>
      </c>
      <c r="B125" s="1" t="s">
        <v>551</v>
      </c>
      <c r="C125" s="1" t="s">
        <v>15</v>
      </c>
      <c r="D125" s="1" t="s">
        <v>15</v>
      </c>
      <c r="E125" s="1">
        <v>108</v>
      </c>
      <c r="F125" s="1" t="s">
        <v>552</v>
      </c>
      <c r="G125" s="1" t="s">
        <v>553</v>
      </c>
      <c r="H125" s="1" t="s">
        <v>16</v>
      </c>
      <c r="I125" s="1" t="s">
        <v>29</v>
      </c>
      <c r="J125" s="1" t="s">
        <v>554</v>
      </c>
      <c r="K125" s="1" t="b">
        <v>1</v>
      </c>
      <c r="L125" s="1" t="s">
        <v>31</v>
      </c>
      <c r="M125" s="1">
        <v>2022</v>
      </c>
      <c r="N125" s="1" t="s">
        <v>45</v>
      </c>
      <c r="O125" s="1" t="s">
        <v>9935</v>
      </c>
      <c r="P125" s="1" t="s">
        <v>16</v>
      </c>
      <c r="Q125" s="1">
        <v>100</v>
      </c>
      <c r="R125" s="1">
        <v>151372.46</v>
      </c>
      <c r="S125" s="1">
        <v>151372.46</v>
      </c>
    </row>
    <row r="126" spans="1:19" ht="12.5" x14ac:dyDescent="0.25">
      <c r="A126" s="1">
        <v>109</v>
      </c>
      <c r="B126" s="1" t="s">
        <v>555</v>
      </c>
      <c r="C126" s="1" t="s">
        <v>15</v>
      </c>
      <c r="D126" s="1" t="s">
        <v>15</v>
      </c>
      <c r="E126" s="1">
        <v>109</v>
      </c>
      <c r="F126" s="1" t="s">
        <v>556</v>
      </c>
      <c r="G126" s="1" t="s">
        <v>557</v>
      </c>
      <c r="H126" s="1" t="s">
        <v>16</v>
      </c>
      <c r="I126" s="1" t="s">
        <v>29</v>
      </c>
      <c r="J126" s="1" t="s">
        <v>558</v>
      </c>
      <c r="K126" s="1" t="b">
        <v>1</v>
      </c>
      <c r="L126" s="1" t="s">
        <v>31</v>
      </c>
      <c r="M126" s="1">
        <v>2021</v>
      </c>
      <c r="N126" s="1" t="s">
        <v>52</v>
      </c>
      <c r="O126" s="1" t="s">
        <v>9935</v>
      </c>
      <c r="P126" s="1" t="s">
        <v>16</v>
      </c>
      <c r="Q126" s="1">
        <v>100</v>
      </c>
      <c r="R126" s="1">
        <v>193612.55</v>
      </c>
      <c r="S126" s="1">
        <v>193612.55</v>
      </c>
    </row>
    <row r="127" spans="1:19" ht="12.5" x14ac:dyDescent="0.25">
      <c r="A127" s="1">
        <v>110</v>
      </c>
      <c r="B127" s="1" t="s">
        <v>559</v>
      </c>
      <c r="C127" s="1" t="s">
        <v>15</v>
      </c>
      <c r="D127" s="1" t="s">
        <v>15</v>
      </c>
      <c r="E127" s="1">
        <v>110</v>
      </c>
      <c r="F127" s="1" t="s">
        <v>560</v>
      </c>
      <c r="G127" s="1" t="s">
        <v>561</v>
      </c>
      <c r="H127" s="1" t="s">
        <v>16</v>
      </c>
      <c r="I127" s="1" t="s">
        <v>29</v>
      </c>
      <c r="J127" s="1" t="s">
        <v>562</v>
      </c>
      <c r="K127" s="1" t="b">
        <v>1</v>
      </c>
      <c r="L127" s="1" t="s">
        <v>31</v>
      </c>
      <c r="M127" s="1">
        <v>2022</v>
      </c>
      <c r="N127" s="1" t="s">
        <v>45</v>
      </c>
      <c r="O127" s="1" t="s">
        <v>9935</v>
      </c>
      <c r="P127" s="1" t="s">
        <v>16</v>
      </c>
      <c r="Q127" s="1">
        <v>100</v>
      </c>
      <c r="R127" s="1">
        <v>208813.35</v>
      </c>
      <c r="S127" s="1">
        <v>208813.35</v>
      </c>
    </row>
    <row r="128" spans="1:19" ht="12.5" x14ac:dyDescent="0.25">
      <c r="A128" s="1">
        <v>111</v>
      </c>
      <c r="B128" s="1" t="s">
        <v>563</v>
      </c>
      <c r="C128" s="1" t="s">
        <v>15</v>
      </c>
      <c r="D128" s="1" t="s">
        <v>15</v>
      </c>
      <c r="E128" s="1">
        <v>111</v>
      </c>
      <c r="F128" s="1" t="s">
        <v>564</v>
      </c>
      <c r="G128" s="1" t="s">
        <v>565</v>
      </c>
      <c r="H128" s="1" t="s">
        <v>566</v>
      </c>
      <c r="I128" s="1" t="s">
        <v>29</v>
      </c>
      <c r="J128" s="1" t="s">
        <v>567</v>
      </c>
      <c r="K128" s="1" t="b">
        <v>1</v>
      </c>
      <c r="L128" s="1" t="s">
        <v>31</v>
      </c>
      <c r="M128" s="1">
        <v>2022</v>
      </c>
      <c r="N128" s="1" t="s">
        <v>45</v>
      </c>
      <c r="O128" s="1" t="s">
        <v>9935</v>
      </c>
      <c r="P128" s="1" t="s">
        <v>16</v>
      </c>
      <c r="Q128" s="1">
        <v>100</v>
      </c>
      <c r="R128" s="1">
        <v>1067572.1100000001</v>
      </c>
      <c r="S128" s="1">
        <v>1067572.1100000001</v>
      </c>
    </row>
    <row r="129" spans="1:19" ht="12.5" x14ac:dyDescent="0.25">
      <c r="A129" s="1">
        <v>112</v>
      </c>
      <c r="B129" s="1" t="s">
        <v>568</v>
      </c>
      <c r="C129" s="1" t="s">
        <v>15</v>
      </c>
      <c r="D129" s="1" t="s">
        <v>15</v>
      </c>
      <c r="E129" s="1">
        <v>112</v>
      </c>
      <c r="F129" s="1" t="s">
        <v>569</v>
      </c>
      <c r="G129" s="1" t="s">
        <v>570</v>
      </c>
      <c r="H129" s="1" t="s">
        <v>571</v>
      </c>
      <c r="I129" s="1" t="s">
        <v>29</v>
      </c>
      <c r="J129" s="1" t="s">
        <v>572</v>
      </c>
      <c r="K129" s="1" t="b">
        <v>1</v>
      </c>
      <c r="L129" s="1" t="s">
        <v>31</v>
      </c>
      <c r="M129" s="1">
        <v>2022</v>
      </c>
      <c r="N129" s="1" t="s">
        <v>23</v>
      </c>
      <c r="O129" s="1" t="s">
        <v>9935</v>
      </c>
      <c r="P129" s="1" t="s">
        <v>16</v>
      </c>
      <c r="Q129" s="1">
        <v>100</v>
      </c>
      <c r="R129" s="1">
        <v>243573.75</v>
      </c>
      <c r="S129" s="1">
        <v>243573.75</v>
      </c>
    </row>
    <row r="130" spans="1:19" ht="12.5" x14ac:dyDescent="0.25">
      <c r="A130" s="1">
        <v>113</v>
      </c>
      <c r="B130" s="1" t="s">
        <v>573</v>
      </c>
      <c r="C130" s="1" t="s">
        <v>15</v>
      </c>
      <c r="D130" s="1" t="s">
        <v>15</v>
      </c>
      <c r="E130" s="1">
        <v>113</v>
      </c>
      <c r="F130" s="1" t="s">
        <v>574</v>
      </c>
      <c r="G130" s="1" t="s">
        <v>575</v>
      </c>
      <c r="H130" s="1" t="s">
        <v>16</v>
      </c>
      <c r="I130" s="1" t="s">
        <v>29</v>
      </c>
      <c r="J130" s="1" t="s">
        <v>576</v>
      </c>
      <c r="K130" s="1" t="b">
        <v>1</v>
      </c>
      <c r="L130" s="1" t="s">
        <v>31</v>
      </c>
      <c r="M130" s="1">
        <v>2021</v>
      </c>
      <c r="N130" s="1" t="s">
        <v>52</v>
      </c>
      <c r="O130" s="1" t="s">
        <v>9935</v>
      </c>
      <c r="P130" s="1" t="s">
        <v>16</v>
      </c>
      <c r="Q130" s="1">
        <v>100</v>
      </c>
      <c r="R130" s="1">
        <v>67789.600000000006</v>
      </c>
      <c r="S130" s="1">
        <v>67789.600000000006</v>
      </c>
    </row>
    <row r="131" spans="1:19" ht="12.5" x14ac:dyDescent="0.25">
      <c r="A131" s="1">
        <v>114</v>
      </c>
      <c r="B131" s="1" t="s">
        <v>577</v>
      </c>
      <c r="C131" s="1" t="s">
        <v>15</v>
      </c>
      <c r="D131" s="1" t="s">
        <v>15</v>
      </c>
      <c r="E131" s="1">
        <v>114</v>
      </c>
      <c r="F131" s="1" t="s">
        <v>578</v>
      </c>
      <c r="G131" s="1" t="s">
        <v>579</v>
      </c>
      <c r="H131" s="1" t="s">
        <v>16</v>
      </c>
      <c r="I131" s="1" t="s">
        <v>29</v>
      </c>
      <c r="J131" s="1" t="s">
        <v>580</v>
      </c>
      <c r="K131" s="1" t="b">
        <v>1</v>
      </c>
      <c r="L131" s="1" t="s">
        <v>31</v>
      </c>
      <c r="M131" s="1">
        <v>2022</v>
      </c>
      <c r="N131" s="1" t="s">
        <v>45</v>
      </c>
      <c r="O131" s="1" t="s">
        <v>9935</v>
      </c>
      <c r="P131" s="1" t="s">
        <v>16</v>
      </c>
      <c r="Q131" s="1">
        <v>100</v>
      </c>
      <c r="R131" s="1">
        <v>216339.53</v>
      </c>
      <c r="S131" s="1">
        <v>216339.53</v>
      </c>
    </row>
    <row r="132" spans="1:19" ht="12.5" x14ac:dyDescent="0.25">
      <c r="A132" s="1">
        <v>115</v>
      </c>
      <c r="B132" s="1" t="s">
        <v>581</v>
      </c>
      <c r="C132" s="1" t="s">
        <v>15</v>
      </c>
      <c r="D132" s="1" t="s">
        <v>15</v>
      </c>
      <c r="E132" s="1">
        <v>115</v>
      </c>
      <c r="F132" s="1" t="s">
        <v>582</v>
      </c>
      <c r="G132" s="1" t="s">
        <v>583</v>
      </c>
      <c r="H132" s="1" t="s">
        <v>16</v>
      </c>
      <c r="I132" s="1" t="s">
        <v>29</v>
      </c>
      <c r="J132" s="1" t="s">
        <v>584</v>
      </c>
      <c r="K132" s="1" t="b">
        <v>1</v>
      </c>
      <c r="L132" s="1" t="s">
        <v>31</v>
      </c>
      <c r="M132" s="1">
        <v>2022</v>
      </c>
      <c r="N132" s="1" t="s">
        <v>45</v>
      </c>
      <c r="O132" s="1" t="s">
        <v>9935</v>
      </c>
      <c r="P132" s="1" t="s">
        <v>16</v>
      </c>
      <c r="Q132" s="1">
        <v>100</v>
      </c>
      <c r="R132" s="1">
        <v>405486.73</v>
      </c>
      <c r="S132" s="1">
        <v>405486.73</v>
      </c>
    </row>
    <row r="133" spans="1:19" ht="12.5" x14ac:dyDescent="0.25">
      <c r="A133" s="1">
        <v>116</v>
      </c>
      <c r="B133" s="1" t="s">
        <v>585</v>
      </c>
      <c r="C133" s="1" t="s">
        <v>15</v>
      </c>
      <c r="D133" s="1" t="s">
        <v>15</v>
      </c>
      <c r="E133" s="1">
        <v>116</v>
      </c>
      <c r="F133" s="1" t="s">
        <v>586</v>
      </c>
      <c r="G133" s="1" t="s">
        <v>587</v>
      </c>
      <c r="H133" s="1" t="s">
        <v>588</v>
      </c>
      <c r="I133" s="1" t="s">
        <v>29</v>
      </c>
      <c r="J133" s="1" t="s">
        <v>589</v>
      </c>
      <c r="K133" s="1" t="b">
        <v>1</v>
      </c>
      <c r="L133" s="1" t="s">
        <v>31</v>
      </c>
      <c r="M133" s="1">
        <v>2023</v>
      </c>
      <c r="N133" s="1" t="s">
        <v>45</v>
      </c>
      <c r="O133" s="1" t="s">
        <v>9935</v>
      </c>
      <c r="P133" s="1" t="s">
        <v>16</v>
      </c>
      <c r="Q133" s="1">
        <v>100</v>
      </c>
      <c r="R133" s="1">
        <v>899999.99</v>
      </c>
      <c r="S133" s="1">
        <v>899999.99</v>
      </c>
    </row>
    <row r="134" spans="1:19" ht="12.5" x14ac:dyDescent="0.25">
      <c r="A134" s="1">
        <v>117</v>
      </c>
      <c r="B134" s="1" t="s">
        <v>590</v>
      </c>
      <c r="C134" s="1" t="s">
        <v>15</v>
      </c>
      <c r="D134" s="1" t="s">
        <v>15</v>
      </c>
      <c r="E134" s="1">
        <v>117</v>
      </c>
      <c r="F134" s="1" t="s">
        <v>591</v>
      </c>
      <c r="G134" s="1" t="s">
        <v>592</v>
      </c>
      <c r="H134" s="1" t="s">
        <v>593</v>
      </c>
      <c r="I134" s="1" t="s">
        <v>29</v>
      </c>
      <c r="J134" s="1" t="s">
        <v>594</v>
      </c>
      <c r="K134" s="1" t="b">
        <v>1</v>
      </c>
      <c r="L134" s="1" t="s">
        <v>31</v>
      </c>
      <c r="M134" s="1">
        <v>2022</v>
      </c>
      <c r="N134" s="1" t="s">
        <v>32</v>
      </c>
      <c r="O134" s="1" t="s">
        <v>9935</v>
      </c>
      <c r="P134" s="1" t="s">
        <v>16</v>
      </c>
      <c r="Q134" s="1">
        <v>100</v>
      </c>
      <c r="R134" s="1">
        <v>202486.34</v>
      </c>
      <c r="S134" s="1">
        <v>202486.34</v>
      </c>
    </row>
    <row r="135" spans="1:19" ht="12.5" x14ac:dyDescent="0.25">
      <c r="A135" s="1">
        <v>118</v>
      </c>
      <c r="B135" s="1" t="s">
        <v>595</v>
      </c>
      <c r="C135" s="1" t="s">
        <v>15</v>
      </c>
      <c r="D135" s="1" t="s">
        <v>15</v>
      </c>
      <c r="E135" s="1">
        <v>118</v>
      </c>
      <c r="F135" s="1" t="s">
        <v>596</v>
      </c>
      <c r="G135" s="1" t="s">
        <v>597</v>
      </c>
      <c r="H135" s="1" t="s">
        <v>16</v>
      </c>
      <c r="I135" s="1" t="s">
        <v>29</v>
      </c>
      <c r="J135" s="1" t="s">
        <v>598</v>
      </c>
      <c r="K135" s="1" t="b">
        <v>1</v>
      </c>
      <c r="L135" s="1" t="s">
        <v>31</v>
      </c>
      <c r="M135" s="1">
        <v>2022</v>
      </c>
      <c r="N135" s="1" t="s">
        <v>32</v>
      </c>
      <c r="O135" s="1" t="s">
        <v>9935</v>
      </c>
      <c r="P135" s="1" t="s">
        <v>16</v>
      </c>
      <c r="Q135" s="1">
        <v>100</v>
      </c>
      <c r="R135" s="1">
        <v>114893.29</v>
      </c>
      <c r="S135" s="1">
        <v>114893.29</v>
      </c>
    </row>
    <row r="136" spans="1:19" ht="12.5" x14ac:dyDescent="0.25">
      <c r="A136" s="1">
        <v>119</v>
      </c>
      <c r="B136" s="1" t="s">
        <v>599</v>
      </c>
      <c r="C136" s="1" t="s">
        <v>15</v>
      </c>
      <c r="D136" s="1" t="s">
        <v>15</v>
      </c>
      <c r="E136" s="1">
        <v>119</v>
      </c>
      <c r="F136" s="1" t="s">
        <v>600</v>
      </c>
      <c r="G136" s="1" t="s">
        <v>601</v>
      </c>
      <c r="H136" s="1" t="s">
        <v>16</v>
      </c>
      <c r="I136" s="1" t="s">
        <v>29</v>
      </c>
      <c r="J136" s="1" t="s">
        <v>602</v>
      </c>
      <c r="K136" s="1" t="b">
        <v>1</v>
      </c>
      <c r="L136" s="1" t="s">
        <v>31</v>
      </c>
      <c r="M136" s="1">
        <v>2022</v>
      </c>
      <c r="N136" s="1" t="s">
        <v>23</v>
      </c>
      <c r="O136" s="1" t="s">
        <v>9935</v>
      </c>
      <c r="P136" s="1" t="s">
        <v>16</v>
      </c>
      <c r="Q136" s="1">
        <v>100</v>
      </c>
      <c r="R136" s="1">
        <v>25732.79</v>
      </c>
      <c r="S136" s="1">
        <v>25732.79</v>
      </c>
    </row>
    <row r="137" spans="1:19" ht="12.5" x14ac:dyDescent="0.25">
      <c r="A137" s="1">
        <v>120</v>
      </c>
      <c r="B137" s="1" t="s">
        <v>603</v>
      </c>
      <c r="C137" s="1" t="s">
        <v>15</v>
      </c>
      <c r="D137" s="1" t="s">
        <v>15</v>
      </c>
      <c r="E137" s="1">
        <v>120</v>
      </c>
      <c r="F137" s="1" t="s">
        <v>604</v>
      </c>
      <c r="G137" s="1" t="s">
        <v>605</v>
      </c>
      <c r="H137" s="1" t="s">
        <v>16</v>
      </c>
      <c r="I137" s="1" t="s">
        <v>29</v>
      </c>
      <c r="J137" s="1" t="s">
        <v>606</v>
      </c>
      <c r="K137" s="1" t="b">
        <v>1</v>
      </c>
      <c r="L137" s="1" t="s">
        <v>31</v>
      </c>
      <c r="M137" s="1">
        <v>2022</v>
      </c>
      <c r="N137" s="1" t="s">
        <v>45</v>
      </c>
      <c r="O137" s="1" t="s">
        <v>9935</v>
      </c>
      <c r="P137" s="1" t="s">
        <v>16</v>
      </c>
      <c r="Q137" s="1">
        <v>100</v>
      </c>
      <c r="R137" s="1">
        <v>407967.63</v>
      </c>
      <c r="S137" s="1">
        <v>407967.63</v>
      </c>
    </row>
    <row r="138" spans="1:19" ht="12.5" x14ac:dyDescent="0.25">
      <c r="A138" s="1">
        <v>121</v>
      </c>
      <c r="B138" s="1" t="s">
        <v>607</v>
      </c>
      <c r="C138" s="1" t="s">
        <v>15</v>
      </c>
      <c r="D138" s="1" t="s">
        <v>15</v>
      </c>
      <c r="E138" s="1">
        <v>121</v>
      </c>
      <c r="F138" s="1" t="s">
        <v>608</v>
      </c>
      <c r="G138" s="1" t="s">
        <v>609</v>
      </c>
      <c r="H138" s="1" t="s">
        <v>16</v>
      </c>
      <c r="I138" s="1" t="s">
        <v>29</v>
      </c>
      <c r="J138" s="1" t="s">
        <v>610</v>
      </c>
      <c r="K138" s="1" t="b">
        <v>1</v>
      </c>
      <c r="L138" s="1" t="s">
        <v>31</v>
      </c>
      <c r="M138" s="1">
        <v>2022</v>
      </c>
      <c r="N138" s="1" t="s">
        <v>45</v>
      </c>
      <c r="O138" s="1" t="s">
        <v>9935</v>
      </c>
      <c r="P138" s="1" t="s">
        <v>16</v>
      </c>
      <c r="Q138" s="1">
        <v>100</v>
      </c>
      <c r="R138" s="1">
        <v>216694.97</v>
      </c>
      <c r="S138" s="1">
        <v>216694.97</v>
      </c>
    </row>
    <row r="139" spans="1:19" ht="12.5" x14ac:dyDescent="0.25">
      <c r="A139" s="1">
        <v>122</v>
      </c>
      <c r="B139" s="1" t="s">
        <v>611</v>
      </c>
      <c r="C139" s="1" t="s">
        <v>15</v>
      </c>
      <c r="D139" s="1" t="s">
        <v>15</v>
      </c>
      <c r="E139" s="1">
        <v>122</v>
      </c>
      <c r="F139" s="1" t="s">
        <v>612</v>
      </c>
      <c r="G139" s="1" t="s">
        <v>613</v>
      </c>
      <c r="H139" s="1" t="s">
        <v>16</v>
      </c>
      <c r="I139" s="1" t="s">
        <v>29</v>
      </c>
      <c r="J139" s="1" t="s">
        <v>614</v>
      </c>
      <c r="K139" s="1" t="b">
        <v>1</v>
      </c>
      <c r="L139" s="1" t="s">
        <v>31</v>
      </c>
      <c r="M139" s="1">
        <v>2022</v>
      </c>
      <c r="N139" s="1" t="s">
        <v>32</v>
      </c>
      <c r="O139" s="1" t="s">
        <v>9935</v>
      </c>
      <c r="P139" s="1" t="s">
        <v>16</v>
      </c>
      <c r="Q139" s="1">
        <v>100</v>
      </c>
      <c r="R139" s="1">
        <v>131757.17000000001</v>
      </c>
      <c r="S139" s="1">
        <v>131757.17000000001</v>
      </c>
    </row>
    <row r="140" spans="1:19" ht="12.5" x14ac:dyDescent="0.25">
      <c r="A140" s="1">
        <v>123</v>
      </c>
      <c r="B140" s="1" t="s">
        <v>615</v>
      </c>
      <c r="C140" s="1" t="s">
        <v>15</v>
      </c>
      <c r="D140" s="1" t="s">
        <v>15</v>
      </c>
      <c r="E140" s="1">
        <v>123</v>
      </c>
      <c r="F140" s="1" t="s">
        <v>616</v>
      </c>
      <c r="G140" s="1" t="s">
        <v>617</v>
      </c>
      <c r="H140" s="1" t="s">
        <v>16</v>
      </c>
      <c r="I140" s="1" t="s">
        <v>29</v>
      </c>
      <c r="J140" s="1" t="s">
        <v>618</v>
      </c>
      <c r="K140" s="1" t="b">
        <v>0</v>
      </c>
      <c r="L140" s="1" t="s">
        <v>22</v>
      </c>
      <c r="M140" s="1" t="s">
        <v>16</v>
      </c>
      <c r="N140" s="1" t="s">
        <v>16</v>
      </c>
      <c r="O140" s="1" t="s">
        <v>9935</v>
      </c>
      <c r="P140" s="1" t="s">
        <v>16</v>
      </c>
      <c r="Q140" s="1">
        <v>100</v>
      </c>
      <c r="R140" s="1">
        <v>4320</v>
      </c>
      <c r="S140" s="1">
        <v>4320</v>
      </c>
    </row>
    <row r="141" spans="1:19" ht="12.5" x14ac:dyDescent="0.25">
      <c r="A141" s="1">
        <v>124</v>
      </c>
      <c r="B141" s="1" t="s">
        <v>619</v>
      </c>
      <c r="C141" s="1" t="s">
        <v>15</v>
      </c>
      <c r="D141" s="1" t="s">
        <v>15</v>
      </c>
      <c r="E141" s="1">
        <v>124</v>
      </c>
      <c r="F141" s="1" t="s">
        <v>620</v>
      </c>
      <c r="G141" s="1" t="s">
        <v>621</v>
      </c>
      <c r="H141" s="1" t="s">
        <v>16</v>
      </c>
      <c r="I141" s="1" t="s">
        <v>29</v>
      </c>
      <c r="J141" s="1" t="s">
        <v>622</v>
      </c>
      <c r="K141" s="1" t="b">
        <v>0</v>
      </c>
      <c r="L141" s="1" t="s">
        <v>22</v>
      </c>
      <c r="M141" s="1" t="s">
        <v>16</v>
      </c>
      <c r="N141" s="1" t="s">
        <v>16</v>
      </c>
      <c r="O141" s="1" t="s">
        <v>9935</v>
      </c>
      <c r="P141" s="1" t="s">
        <v>16</v>
      </c>
      <c r="Q141" s="1">
        <v>100</v>
      </c>
      <c r="R141" s="1">
        <v>2880</v>
      </c>
      <c r="S141" s="1">
        <v>2880</v>
      </c>
    </row>
    <row r="142" spans="1:19" ht="12.5" x14ac:dyDescent="0.25">
      <c r="A142" s="1">
        <v>125</v>
      </c>
      <c r="B142" s="1" t="s">
        <v>623</v>
      </c>
      <c r="C142" s="1" t="s">
        <v>15</v>
      </c>
      <c r="D142" s="1" t="s">
        <v>15</v>
      </c>
      <c r="E142" s="1">
        <v>125</v>
      </c>
      <c r="F142" s="1" t="s">
        <v>624</v>
      </c>
      <c r="G142" s="1" t="s">
        <v>625</v>
      </c>
      <c r="H142" s="1" t="s">
        <v>626</v>
      </c>
      <c r="I142" s="1" t="s">
        <v>29</v>
      </c>
      <c r="J142" s="1" t="s">
        <v>627</v>
      </c>
      <c r="K142" s="1" t="b">
        <v>1</v>
      </c>
      <c r="L142" s="1" t="s">
        <v>31</v>
      </c>
      <c r="M142" s="1" t="s">
        <v>16</v>
      </c>
      <c r="N142" s="1" t="s">
        <v>16</v>
      </c>
      <c r="O142" s="1" t="s">
        <v>9935</v>
      </c>
      <c r="P142" s="1" t="s">
        <v>16</v>
      </c>
      <c r="Q142" s="1">
        <v>100</v>
      </c>
      <c r="R142" s="1">
        <v>200000</v>
      </c>
      <c r="S142" s="1">
        <v>200000</v>
      </c>
    </row>
    <row r="143" spans="1:19" ht="12.5" x14ac:dyDescent="0.25">
      <c r="A143" s="1">
        <v>126</v>
      </c>
      <c r="B143" s="1" t="s">
        <v>628</v>
      </c>
      <c r="C143" s="1" t="s">
        <v>15</v>
      </c>
      <c r="D143" s="1" t="s">
        <v>15</v>
      </c>
      <c r="E143" s="1">
        <v>126</v>
      </c>
      <c r="F143" s="1" t="s">
        <v>629</v>
      </c>
      <c r="G143" s="1" t="s">
        <v>630</v>
      </c>
      <c r="H143" s="1" t="s">
        <v>16</v>
      </c>
      <c r="I143" s="1" t="s">
        <v>20</v>
      </c>
      <c r="J143" s="1" t="s">
        <v>631</v>
      </c>
      <c r="K143" s="1" t="b">
        <v>0</v>
      </c>
      <c r="L143" s="1" t="s">
        <v>22</v>
      </c>
      <c r="M143" s="1" t="s">
        <v>16</v>
      </c>
      <c r="N143" s="1" t="s">
        <v>16</v>
      </c>
      <c r="O143" s="1" t="s">
        <v>9935</v>
      </c>
      <c r="P143" s="1" t="s">
        <v>16</v>
      </c>
      <c r="Q143" s="1">
        <v>100</v>
      </c>
      <c r="R143" s="1">
        <v>300000</v>
      </c>
      <c r="S143" s="1">
        <v>300000</v>
      </c>
    </row>
    <row r="144" spans="1:19" ht="12.5" x14ac:dyDescent="0.25">
      <c r="A144" s="1" t="s">
        <v>16</v>
      </c>
      <c r="B144" s="1" t="s">
        <v>16</v>
      </c>
      <c r="C144" s="1" t="s">
        <v>16</v>
      </c>
      <c r="D144" s="1" t="s">
        <v>16</v>
      </c>
      <c r="E144" s="1">
        <v>127</v>
      </c>
      <c r="F144" s="1" t="s">
        <v>632</v>
      </c>
      <c r="G144" s="1" t="s">
        <v>633</v>
      </c>
      <c r="H144" s="1" t="s">
        <v>16</v>
      </c>
      <c r="I144" s="1" t="s">
        <v>29</v>
      </c>
      <c r="J144" s="1" t="s">
        <v>16</v>
      </c>
      <c r="K144" s="1" t="b">
        <v>0</v>
      </c>
      <c r="L144" s="1" t="s">
        <v>22</v>
      </c>
      <c r="M144" s="1" t="s">
        <v>16</v>
      </c>
      <c r="N144" s="1" t="s">
        <v>16</v>
      </c>
      <c r="O144" s="1" t="s">
        <v>9935</v>
      </c>
      <c r="P144" s="1" t="s">
        <v>16</v>
      </c>
      <c r="R144" s="1">
        <v>500000</v>
      </c>
    </row>
    <row r="145" spans="1:19" ht="12.5" x14ac:dyDescent="0.25">
      <c r="A145" s="1">
        <v>128</v>
      </c>
      <c r="B145" s="1" t="s">
        <v>634</v>
      </c>
      <c r="C145" s="1" t="s">
        <v>15</v>
      </c>
      <c r="D145" s="1" t="s">
        <v>15</v>
      </c>
      <c r="E145" s="1">
        <v>128</v>
      </c>
      <c r="F145" s="1" t="s">
        <v>635</v>
      </c>
      <c r="G145" s="1" t="s">
        <v>636</v>
      </c>
      <c r="H145" s="1" t="s">
        <v>637</v>
      </c>
      <c r="I145" s="1" t="s">
        <v>29</v>
      </c>
      <c r="J145" s="1" t="s">
        <v>638</v>
      </c>
      <c r="K145" s="1" t="b">
        <v>0</v>
      </c>
      <c r="L145" s="1" t="s">
        <v>22</v>
      </c>
      <c r="M145" s="1">
        <v>2022</v>
      </c>
      <c r="N145" s="1" t="s">
        <v>32</v>
      </c>
      <c r="O145" s="1" t="s">
        <v>9935</v>
      </c>
      <c r="P145" s="1" t="s">
        <v>16</v>
      </c>
      <c r="Q145" s="1">
        <v>100</v>
      </c>
      <c r="R145" s="1">
        <v>100000</v>
      </c>
      <c r="S145" s="1">
        <v>100000</v>
      </c>
    </row>
    <row r="146" spans="1:19" ht="12.5" x14ac:dyDescent="0.25">
      <c r="A146" s="1">
        <v>129</v>
      </c>
      <c r="B146" s="1" t="s">
        <v>639</v>
      </c>
      <c r="C146" s="1" t="s">
        <v>15</v>
      </c>
      <c r="D146" s="1" t="s">
        <v>15</v>
      </c>
      <c r="E146" s="1">
        <v>129</v>
      </c>
      <c r="F146" s="1" t="s">
        <v>640</v>
      </c>
      <c r="G146" s="1" t="s">
        <v>641</v>
      </c>
      <c r="H146" s="1" t="s">
        <v>642</v>
      </c>
      <c r="I146" s="1" t="s">
        <v>29</v>
      </c>
      <c r="J146" s="1" t="s">
        <v>643</v>
      </c>
      <c r="K146" s="1" t="b">
        <v>0</v>
      </c>
      <c r="L146" s="1" t="s">
        <v>22</v>
      </c>
      <c r="M146" s="1">
        <v>2022</v>
      </c>
      <c r="N146" s="1" t="s">
        <v>32</v>
      </c>
      <c r="O146" s="1" t="s">
        <v>9935</v>
      </c>
      <c r="P146" s="1" t="s">
        <v>16</v>
      </c>
      <c r="Q146" s="1">
        <v>100</v>
      </c>
      <c r="R146" s="1">
        <v>245000</v>
      </c>
      <c r="S146" s="1">
        <v>245000</v>
      </c>
    </row>
    <row r="147" spans="1:19" ht="12.5" x14ac:dyDescent="0.25">
      <c r="A147" s="1">
        <v>130</v>
      </c>
      <c r="B147" s="1" t="s">
        <v>644</v>
      </c>
      <c r="C147" s="1" t="s">
        <v>15</v>
      </c>
      <c r="D147" s="1" t="s">
        <v>15</v>
      </c>
      <c r="E147" s="1">
        <v>130</v>
      </c>
      <c r="F147" s="1" t="s">
        <v>645</v>
      </c>
      <c r="G147" s="1" t="s">
        <v>646</v>
      </c>
      <c r="H147" s="1" t="s">
        <v>16</v>
      </c>
      <c r="I147" s="1" t="s">
        <v>29</v>
      </c>
      <c r="J147" s="1" t="s">
        <v>647</v>
      </c>
      <c r="K147" s="1" t="b">
        <v>1</v>
      </c>
      <c r="L147" s="1" t="s">
        <v>31</v>
      </c>
      <c r="M147" s="1">
        <v>2022</v>
      </c>
      <c r="N147" s="1" t="s">
        <v>45</v>
      </c>
      <c r="O147" s="1" t="s">
        <v>9935</v>
      </c>
      <c r="P147" s="1" t="s">
        <v>16</v>
      </c>
      <c r="Q147" s="1">
        <v>100</v>
      </c>
      <c r="R147" s="1">
        <v>88000</v>
      </c>
      <c r="S147" s="1">
        <v>88000</v>
      </c>
    </row>
    <row r="148" spans="1:19" ht="12.5" x14ac:dyDescent="0.25">
      <c r="A148" s="1">
        <v>131</v>
      </c>
      <c r="B148" s="1" t="s">
        <v>648</v>
      </c>
      <c r="C148" s="1" t="s">
        <v>15</v>
      </c>
      <c r="D148" s="1" t="s">
        <v>15</v>
      </c>
      <c r="E148" s="1">
        <v>131</v>
      </c>
      <c r="F148" s="1" t="s">
        <v>649</v>
      </c>
      <c r="G148" s="1" t="s">
        <v>650</v>
      </c>
      <c r="H148" s="1" t="s">
        <v>16</v>
      </c>
      <c r="I148" s="1" t="s">
        <v>29</v>
      </c>
      <c r="J148" s="1" t="s">
        <v>651</v>
      </c>
      <c r="K148" s="1" t="b">
        <v>0</v>
      </c>
      <c r="L148" s="1" t="s">
        <v>22</v>
      </c>
      <c r="M148" s="1">
        <v>2022</v>
      </c>
      <c r="N148" s="1" t="s">
        <v>23</v>
      </c>
      <c r="O148" s="1" t="s">
        <v>9935</v>
      </c>
      <c r="P148" s="1" t="s">
        <v>9949</v>
      </c>
      <c r="Q148" s="1">
        <v>100</v>
      </c>
      <c r="R148" s="1">
        <v>250000</v>
      </c>
      <c r="S148" s="1">
        <v>250000</v>
      </c>
    </row>
    <row r="149" spans="1:19" ht="12.5" x14ac:dyDescent="0.25">
      <c r="A149" s="1">
        <v>132</v>
      </c>
      <c r="B149" s="1" t="s">
        <v>652</v>
      </c>
      <c r="C149" s="1" t="s">
        <v>15</v>
      </c>
      <c r="D149" s="1" t="s">
        <v>15</v>
      </c>
      <c r="E149" s="1">
        <v>132</v>
      </c>
      <c r="F149" s="1" t="s">
        <v>653</v>
      </c>
      <c r="G149" s="1" t="s">
        <v>654</v>
      </c>
      <c r="H149" s="1" t="s">
        <v>195</v>
      </c>
      <c r="I149" s="1" t="s">
        <v>29</v>
      </c>
      <c r="J149" s="1" t="s">
        <v>655</v>
      </c>
      <c r="K149" s="1" t="b">
        <v>1</v>
      </c>
      <c r="L149" s="1" t="s">
        <v>31</v>
      </c>
      <c r="M149" s="1" t="s">
        <v>16</v>
      </c>
      <c r="N149" s="1" t="s">
        <v>16</v>
      </c>
      <c r="O149" s="1" t="s">
        <v>9935</v>
      </c>
      <c r="P149" s="1" t="s">
        <v>16</v>
      </c>
      <c r="Q149" s="1">
        <v>100</v>
      </c>
      <c r="R149" s="1">
        <v>321266.47080000001</v>
      </c>
      <c r="S149" s="1">
        <v>321266.47080000001</v>
      </c>
    </row>
    <row r="150" spans="1:19" ht="12.5" x14ac:dyDescent="0.25">
      <c r="A150" s="1">
        <v>133</v>
      </c>
      <c r="B150" s="1" t="s">
        <v>656</v>
      </c>
      <c r="C150" s="1" t="s">
        <v>15</v>
      </c>
      <c r="D150" s="1" t="s">
        <v>15</v>
      </c>
      <c r="E150" s="1">
        <v>133</v>
      </c>
      <c r="F150" s="1" t="s">
        <v>657</v>
      </c>
      <c r="G150" s="1" t="s">
        <v>658</v>
      </c>
      <c r="H150" s="1" t="s">
        <v>659</v>
      </c>
      <c r="I150" s="1" t="s">
        <v>29</v>
      </c>
      <c r="J150" s="1" t="s">
        <v>660</v>
      </c>
      <c r="K150" s="1" t="b">
        <v>0</v>
      </c>
      <c r="L150" s="1" t="s">
        <v>22</v>
      </c>
      <c r="M150" s="1" t="s">
        <v>16</v>
      </c>
      <c r="N150" s="1" t="s">
        <v>16</v>
      </c>
      <c r="O150" s="1" t="s">
        <v>9935</v>
      </c>
      <c r="P150" s="1" t="s">
        <v>16</v>
      </c>
      <c r="Q150" s="1">
        <v>100</v>
      </c>
      <c r="R150" s="1">
        <v>800000</v>
      </c>
      <c r="S150" s="1">
        <v>800000</v>
      </c>
    </row>
    <row r="151" spans="1:19" ht="12.5" x14ac:dyDescent="0.25">
      <c r="A151" s="1">
        <v>134</v>
      </c>
      <c r="B151" s="1" t="s">
        <v>661</v>
      </c>
      <c r="C151" s="1" t="s">
        <v>15</v>
      </c>
      <c r="D151" s="1" t="s">
        <v>15</v>
      </c>
      <c r="E151" s="1">
        <v>134</v>
      </c>
      <c r="F151" s="1" t="s">
        <v>662</v>
      </c>
      <c r="G151" s="1" t="s">
        <v>663</v>
      </c>
      <c r="H151" s="1" t="s">
        <v>664</v>
      </c>
      <c r="I151" s="1" t="s">
        <v>29</v>
      </c>
      <c r="J151" s="1" t="s">
        <v>665</v>
      </c>
      <c r="K151" s="1" t="b">
        <v>0</v>
      </c>
      <c r="L151" s="1" t="s">
        <v>22</v>
      </c>
      <c r="M151" s="1">
        <v>2022</v>
      </c>
      <c r="N151" s="1" t="s">
        <v>52</v>
      </c>
      <c r="O151" s="1" t="s">
        <v>9935</v>
      </c>
      <c r="P151" s="1" t="s">
        <v>9950</v>
      </c>
      <c r="Q151" s="1">
        <v>95</v>
      </c>
      <c r="R151" s="1">
        <v>1303307.3400000001</v>
      </c>
      <c r="S151" s="1">
        <v>1238141.973</v>
      </c>
    </row>
    <row r="152" spans="1:19" ht="12.5" x14ac:dyDescent="0.25">
      <c r="A152" s="1">
        <v>1623</v>
      </c>
      <c r="B152" s="1" t="s">
        <v>666</v>
      </c>
      <c r="C152" s="1" t="s">
        <v>35</v>
      </c>
      <c r="D152" s="1" t="s">
        <v>152</v>
      </c>
      <c r="E152" s="1">
        <v>134</v>
      </c>
      <c r="F152" s="1" t="s">
        <v>662</v>
      </c>
      <c r="G152" s="1" t="s">
        <v>663</v>
      </c>
      <c r="H152" s="1" t="s">
        <v>664</v>
      </c>
      <c r="I152" s="1" t="s">
        <v>29</v>
      </c>
      <c r="J152" s="1" t="s">
        <v>665</v>
      </c>
      <c r="K152" s="1" t="b">
        <v>0</v>
      </c>
      <c r="L152" s="1" t="s">
        <v>22</v>
      </c>
      <c r="M152" s="1">
        <v>2022</v>
      </c>
      <c r="N152" s="1" t="s">
        <v>52</v>
      </c>
      <c r="O152" s="1" t="s">
        <v>9935</v>
      </c>
      <c r="P152" s="1" t="s">
        <v>9950</v>
      </c>
      <c r="Q152" s="1">
        <v>5</v>
      </c>
      <c r="R152" s="1">
        <v>1303307.3400000001</v>
      </c>
      <c r="S152" s="1">
        <v>65165.366999999998</v>
      </c>
    </row>
    <row r="153" spans="1:19" ht="12.5" x14ac:dyDescent="0.25">
      <c r="A153" s="1">
        <v>135</v>
      </c>
      <c r="B153" s="1" t="s">
        <v>667</v>
      </c>
      <c r="C153" s="1" t="s">
        <v>15</v>
      </c>
      <c r="D153" s="1" t="s">
        <v>15</v>
      </c>
      <c r="E153" s="1">
        <v>135</v>
      </c>
      <c r="F153" s="1" t="s">
        <v>668</v>
      </c>
      <c r="G153" s="1" t="s">
        <v>669</v>
      </c>
      <c r="H153" s="1" t="s">
        <v>670</v>
      </c>
      <c r="I153" s="1" t="s">
        <v>29</v>
      </c>
      <c r="J153" s="1" t="s">
        <v>671</v>
      </c>
      <c r="K153" s="1" t="b">
        <v>0</v>
      </c>
      <c r="L153" s="1" t="s">
        <v>22</v>
      </c>
      <c r="M153" s="1" t="s">
        <v>16</v>
      </c>
      <c r="N153" s="1" t="s">
        <v>16</v>
      </c>
      <c r="O153" s="1" t="s">
        <v>9935</v>
      </c>
      <c r="P153" s="1" t="s">
        <v>16</v>
      </c>
      <c r="Q153" s="1">
        <v>100</v>
      </c>
      <c r="R153" s="1">
        <v>1800000</v>
      </c>
      <c r="S153" s="1">
        <v>1800000</v>
      </c>
    </row>
    <row r="154" spans="1:19" ht="12.5" x14ac:dyDescent="0.25">
      <c r="A154" s="1">
        <v>136</v>
      </c>
      <c r="B154" s="1" t="s">
        <v>672</v>
      </c>
      <c r="C154" s="1" t="s">
        <v>15</v>
      </c>
      <c r="D154" s="1" t="s">
        <v>15</v>
      </c>
      <c r="E154" s="1">
        <v>136</v>
      </c>
      <c r="F154" s="1" t="s">
        <v>673</v>
      </c>
      <c r="G154" s="1" t="s">
        <v>674</v>
      </c>
      <c r="H154" s="1" t="s">
        <v>675</v>
      </c>
      <c r="I154" s="1" t="s">
        <v>29</v>
      </c>
      <c r="J154" s="1" t="s">
        <v>676</v>
      </c>
      <c r="K154" s="1" t="b">
        <v>0</v>
      </c>
      <c r="L154" s="1" t="s">
        <v>22</v>
      </c>
      <c r="M154" s="1" t="s">
        <v>16</v>
      </c>
      <c r="N154" s="1" t="s">
        <v>16</v>
      </c>
      <c r="O154" s="1" t="s">
        <v>9935</v>
      </c>
      <c r="P154" s="1" t="s">
        <v>16</v>
      </c>
      <c r="Q154" s="1">
        <v>100</v>
      </c>
      <c r="R154" s="1">
        <v>650000</v>
      </c>
      <c r="S154" s="1">
        <v>650000</v>
      </c>
    </row>
    <row r="155" spans="1:19" ht="12.5" x14ac:dyDescent="0.25">
      <c r="A155" s="1">
        <v>137</v>
      </c>
      <c r="B155" s="1" t="s">
        <v>677</v>
      </c>
      <c r="C155" s="1" t="s">
        <v>15</v>
      </c>
      <c r="D155" s="1" t="s">
        <v>15</v>
      </c>
      <c r="E155" s="1">
        <v>137</v>
      </c>
      <c r="F155" s="1" t="s">
        <v>678</v>
      </c>
      <c r="G155" s="1" t="s">
        <v>679</v>
      </c>
      <c r="H155" s="1" t="s">
        <v>680</v>
      </c>
      <c r="I155" s="1" t="s">
        <v>29</v>
      </c>
      <c r="J155" s="1" t="s">
        <v>681</v>
      </c>
      <c r="K155" s="1" t="b">
        <v>0</v>
      </c>
      <c r="L155" s="1" t="s">
        <v>22</v>
      </c>
      <c r="M155" s="1" t="s">
        <v>16</v>
      </c>
      <c r="N155" s="1" t="s">
        <v>16</v>
      </c>
      <c r="O155" s="1" t="s">
        <v>9935</v>
      </c>
      <c r="P155" s="1" t="s">
        <v>16</v>
      </c>
      <c r="Q155" s="1">
        <v>100</v>
      </c>
      <c r="R155" s="1">
        <v>150000</v>
      </c>
      <c r="S155" s="1">
        <v>150000</v>
      </c>
    </row>
    <row r="156" spans="1:19" ht="12.5" x14ac:dyDescent="0.25">
      <c r="A156" s="1">
        <v>138</v>
      </c>
      <c r="B156" s="1" t="s">
        <v>682</v>
      </c>
      <c r="C156" s="1" t="s">
        <v>15</v>
      </c>
      <c r="D156" s="1" t="s">
        <v>15</v>
      </c>
      <c r="E156" s="1">
        <v>138</v>
      </c>
      <c r="F156" s="1" t="s">
        <v>683</v>
      </c>
      <c r="G156" s="1" t="s">
        <v>684</v>
      </c>
      <c r="H156" s="1" t="s">
        <v>685</v>
      </c>
      <c r="I156" s="1" t="s">
        <v>29</v>
      </c>
      <c r="J156" s="1" t="s">
        <v>686</v>
      </c>
      <c r="K156" s="1" t="b">
        <v>0</v>
      </c>
      <c r="L156" s="1" t="s">
        <v>22</v>
      </c>
      <c r="M156" s="1" t="s">
        <v>16</v>
      </c>
      <c r="N156" s="1" t="s">
        <v>16</v>
      </c>
      <c r="O156" s="1" t="s">
        <v>9935</v>
      </c>
      <c r="P156" s="1" t="s">
        <v>16</v>
      </c>
      <c r="Q156" s="1">
        <v>100</v>
      </c>
      <c r="R156" s="1">
        <v>200000</v>
      </c>
      <c r="S156" s="1">
        <v>200000</v>
      </c>
    </row>
    <row r="157" spans="1:19" ht="12.5" x14ac:dyDescent="0.25">
      <c r="A157" s="1">
        <v>139</v>
      </c>
      <c r="B157" s="1" t="s">
        <v>687</v>
      </c>
      <c r="C157" s="1" t="s">
        <v>15</v>
      </c>
      <c r="D157" s="1" t="s">
        <v>15</v>
      </c>
      <c r="E157" s="1">
        <v>139</v>
      </c>
      <c r="F157" s="1" t="s">
        <v>688</v>
      </c>
      <c r="G157" s="1" t="s">
        <v>689</v>
      </c>
      <c r="H157" s="1" t="s">
        <v>690</v>
      </c>
      <c r="I157" s="1" t="s">
        <v>29</v>
      </c>
      <c r="J157" s="1" t="s">
        <v>691</v>
      </c>
      <c r="K157" s="1" t="b">
        <v>0</v>
      </c>
      <c r="L157" s="1" t="s">
        <v>22</v>
      </c>
      <c r="M157" s="1" t="s">
        <v>16</v>
      </c>
      <c r="N157" s="1" t="s">
        <v>16</v>
      </c>
      <c r="O157" s="1" t="s">
        <v>9935</v>
      </c>
      <c r="P157" s="1" t="s">
        <v>16</v>
      </c>
      <c r="Q157" s="1">
        <v>100</v>
      </c>
      <c r="R157" s="1">
        <v>200000</v>
      </c>
      <c r="S157" s="1">
        <v>200000</v>
      </c>
    </row>
    <row r="158" spans="1:19" ht="12.5" x14ac:dyDescent="0.25">
      <c r="A158" s="1">
        <v>140</v>
      </c>
      <c r="B158" s="1" t="s">
        <v>692</v>
      </c>
      <c r="C158" s="1" t="s">
        <v>15</v>
      </c>
      <c r="D158" s="1" t="s">
        <v>15</v>
      </c>
      <c r="E158" s="1">
        <v>140</v>
      </c>
      <c r="F158" s="1" t="s">
        <v>693</v>
      </c>
      <c r="G158" s="1" t="s">
        <v>694</v>
      </c>
      <c r="H158" s="1" t="s">
        <v>695</v>
      </c>
      <c r="I158" s="1" t="s">
        <v>29</v>
      </c>
      <c r="J158" s="1" t="s">
        <v>696</v>
      </c>
      <c r="K158" s="1" t="b">
        <v>0</v>
      </c>
      <c r="L158" s="1" t="s">
        <v>22</v>
      </c>
      <c r="M158" s="1" t="s">
        <v>16</v>
      </c>
      <c r="N158" s="1" t="s">
        <v>16</v>
      </c>
      <c r="O158" s="1" t="s">
        <v>9935</v>
      </c>
      <c r="P158" s="1" t="s">
        <v>16</v>
      </c>
      <c r="Q158" s="1">
        <v>100</v>
      </c>
      <c r="R158" s="1">
        <v>200000</v>
      </c>
      <c r="S158" s="1">
        <v>200000</v>
      </c>
    </row>
    <row r="159" spans="1:19" ht="12.5" x14ac:dyDescent="0.25">
      <c r="A159" s="1">
        <v>141</v>
      </c>
      <c r="B159" s="1" t="s">
        <v>697</v>
      </c>
      <c r="C159" s="1" t="s">
        <v>15</v>
      </c>
      <c r="D159" s="1" t="s">
        <v>15</v>
      </c>
      <c r="E159" s="1">
        <v>141</v>
      </c>
      <c r="F159" s="1" t="s">
        <v>698</v>
      </c>
      <c r="G159" s="1" t="s">
        <v>699</v>
      </c>
      <c r="H159" s="1" t="s">
        <v>700</v>
      </c>
      <c r="I159" s="1" t="s">
        <v>29</v>
      </c>
      <c r="J159" s="1" t="s">
        <v>701</v>
      </c>
      <c r="K159" s="1" t="b">
        <v>0</v>
      </c>
      <c r="L159" s="1" t="s">
        <v>22</v>
      </c>
      <c r="M159" s="1" t="s">
        <v>16</v>
      </c>
      <c r="N159" s="1" t="s">
        <v>16</v>
      </c>
      <c r="O159" s="1" t="s">
        <v>9935</v>
      </c>
      <c r="P159" s="1" t="s">
        <v>16</v>
      </c>
      <c r="Q159" s="1">
        <v>100</v>
      </c>
      <c r="R159" s="1">
        <v>150000</v>
      </c>
      <c r="S159" s="1">
        <v>150000</v>
      </c>
    </row>
    <row r="160" spans="1:19" ht="12.5" x14ac:dyDescent="0.25">
      <c r="A160" s="1" t="s">
        <v>16</v>
      </c>
      <c r="B160" s="1" t="s">
        <v>16</v>
      </c>
      <c r="C160" s="1" t="s">
        <v>16</v>
      </c>
      <c r="D160" s="1" t="s">
        <v>16</v>
      </c>
      <c r="E160" s="1">
        <v>142</v>
      </c>
      <c r="F160" s="1" t="s">
        <v>702</v>
      </c>
      <c r="G160" s="1" t="s">
        <v>703</v>
      </c>
      <c r="H160" s="1" t="s">
        <v>704</v>
      </c>
      <c r="I160" s="1" t="s">
        <v>29</v>
      </c>
      <c r="J160" s="1" t="s">
        <v>705</v>
      </c>
      <c r="K160" s="1" t="b">
        <v>0</v>
      </c>
      <c r="L160" s="1" t="s">
        <v>22</v>
      </c>
      <c r="M160" s="1">
        <v>2023</v>
      </c>
      <c r="N160" s="1" t="s">
        <v>16</v>
      </c>
      <c r="O160" s="1" t="s">
        <v>9935</v>
      </c>
      <c r="P160" s="1" t="s">
        <v>9951</v>
      </c>
      <c r="R160" s="1">
        <v>100000</v>
      </c>
    </row>
    <row r="161" spans="1:19" ht="12.5" x14ac:dyDescent="0.25">
      <c r="A161" s="1">
        <v>143</v>
      </c>
      <c r="B161" s="1" t="s">
        <v>707</v>
      </c>
      <c r="C161" s="1" t="s">
        <v>15</v>
      </c>
      <c r="D161" s="1" t="s">
        <v>15</v>
      </c>
      <c r="E161" s="1">
        <v>143</v>
      </c>
      <c r="F161" s="1" t="s">
        <v>708</v>
      </c>
      <c r="G161" s="1" t="s">
        <v>709</v>
      </c>
      <c r="H161" s="1" t="s">
        <v>709</v>
      </c>
      <c r="I161" s="1" t="s">
        <v>29</v>
      </c>
      <c r="J161" s="1" t="s">
        <v>710</v>
      </c>
      <c r="K161" s="1" t="b">
        <v>0</v>
      </c>
      <c r="L161" s="1" t="s">
        <v>22</v>
      </c>
      <c r="M161" s="1">
        <v>2022</v>
      </c>
      <c r="N161" s="1" t="s">
        <v>23</v>
      </c>
      <c r="O161" s="1" t="s">
        <v>9952</v>
      </c>
      <c r="P161" s="1" t="s">
        <v>16</v>
      </c>
      <c r="Q161" s="1">
        <v>100</v>
      </c>
      <c r="R161" s="1">
        <v>200000</v>
      </c>
      <c r="S161" s="1">
        <v>200000</v>
      </c>
    </row>
    <row r="162" spans="1:19" ht="12.5" x14ac:dyDescent="0.25">
      <c r="A162" s="1">
        <v>144</v>
      </c>
      <c r="B162" s="1" t="s">
        <v>711</v>
      </c>
      <c r="C162" s="1" t="s">
        <v>15</v>
      </c>
      <c r="D162" s="1" t="s">
        <v>15</v>
      </c>
      <c r="E162" s="1">
        <v>144</v>
      </c>
      <c r="F162" s="1" t="s">
        <v>712</v>
      </c>
      <c r="G162" s="1" t="s">
        <v>713</v>
      </c>
      <c r="H162" s="1" t="s">
        <v>714</v>
      </c>
      <c r="I162" s="1" t="s">
        <v>29</v>
      </c>
      <c r="J162" s="1" t="s">
        <v>715</v>
      </c>
      <c r="K162" s="1" t="b">
        <v>1</v>
      </c>
      <c r="L162" s="1" t="s">
        <v>31</v>
      </c>
      <c r="M162" s="1" t="s">
        <v>16</v>
      </c>
      <c r="N162" s="1" t="s">
        <v>16</v>
      </c>
      <c r="O162" s="1" t="s">
        <v>9935</v>
      </c>
      <c r="P162" s="1" t="s">
        <v>16</v>
      </c>
      <c r="Q162" s="1">
        <v>100</v>
      </c>
      <c r="R162" s="1">
        <v>346625.77179999999</v>
      </c>
      <c r="S162" s="1">
        <v>346625.77179999999</v>
      </c>
    </row>
    <row r="163" spans="1:19" ht="12.5" x14ac:dyDescent="0.25">
      <c r="A163" s="1">
        <v>1155</v>
      </c>
      <c r="B163" s="1" t="s">
        <v>716</v>
      </c>
      <c r="C163" s="1" t="s">
        <v>35</v>
      </c>
      <c r="D163" s="1" t="s">
        <v>152</v>
      </c>
      <c r="E163" s="1">
        <v>144</v>
      </c>
      <c r="F163" s="1" t="s">
        <v>712</v>
      </c>
      <c r="G163" s="1" t="s">
        <v>713</v>
      </c>
      <c r="H163" s="1" t="s">
        <v>714</v>
      </c>
      <c r="I163" s="1" t="s">
        <v>29</v>
      </c>
      <c r="J163" s="1" t="s">
        <v>715</v>
      </c>
      <c r="K163" s="1" t="b">
        <v>1</v>
      </c>
      <c r="L163" s="1" t="s">
        <v>31</v>
      </c>
      <c r="M163" s="1" t="s">
        <v>16</v>
      </c>
      <c r="N163" s="1" t="s">
        <v>16</v>
      </c>
      <c r="O163" s="1" t="s">
        <v>9935</v>
      </c>
      <c r="P163" s="1" t="s">
        <v>16</v>
      </c>
      <c r="Q163" s="1">
        <v>0</v>
      </c>
      <c r="R163" s="1">
        <v>346625.77179999999</v>
      </c>
      <c r="S163" s="1">
        <v>0</v>
      </c>
    </row>
    <row r="164" spans="1:19" ht="12.5" x14ac:dyDescent="0.25">
      <c r="A164" s="1">
        <v>1160</v>
      </c>
      <c r="B164" s="1" t="s">
        <v>718</v>
      </c>
      <c r="C164" s="1" t="s">
        <v>35</v>
      </c>
      <c r="D164" s="1" t="s">
        <v>152</v>
      </c>
      <c r="E164" s="1">
        <v>144</v>
      </c>
      <c r="F164" s="1" t="s">
        <v>712</v>
      </c>
      <c r="G164" s="1" t="s">
        <v>713</v>
      </c>
      <c r="H164" s="1" t="s">
        <v>714</v>
      </c>
      <c r="I164" s="1" t="s">
        <v>29</v>
      </c>
      <c r="J164" s="1" t="s">
        <v>715</v>
      </c>
      <c r="K164" s="1" t="b">
        <v>1</v>
      </c>
      <c r="L164" s="1" t="s">
        <v>31</v>
      </c>
      <c r="M164" s="1" t="s">
        <v>16</v>
      </c>
      <c r="N164" s="1" t="s">
        <v>16</v>
      </c>
      <c r="O164" s="1" t="s">
        <v>9935</v>
      </c>
      <c r="P164" s="1" t="s">
        <v>16</v>
      </c>
      <c r="Q164" s="1">
        <v>0</v>
      </c>
      <c r="R164" s="1">
        <v>346625.77179999999</v>
      </c>
      <c r="S164" s="1">
        <v>0</v>
      </c>
    </row>
    <row r="165" spans="1:19" ht="12.5" x14ac:dyDescent="0.25">
      <c r="A165" s="1">
        <v>1379</v>
      </c>
      <c r="B165" s="1" t="s">
        <v>720</v>
      </c>
      <c r="C165" s="1" t="s">
        <v>35</v>
      </c>
      <c r="D165" s="1" t="s">
        <v>152</v>
      </c>
      <c r="E165" s="1">
        <v>144</v>
      </c>
      <c r="F165" s="1" t="s">
        <v>712</v>
      </c>
      <c r="G165" s="1" t="s">
        <v>713</v>
      </c>
      <c r="H165" s="1" t="s">
        <v>714</v>
      </c>
      <c r="I165" s="1" t="s">
        <v>29</v>
      </c>
      <c r="J165" s="1" t="s">
        <v>715</v>
      </c>
      <c r="K165" s="1" t="b">
        <v>1</v>
      </c>
      <c r="L165" s="1" t="s">
        <v>31</v>
      </c>
      <c r="M165" s="1" t="s">
        <v>16</v>
      </c>
      <c r="N165" s="1" t="s">
        <v>16</v>
      </c>
      <c r="O165" s="1" t="s">
        <v>9935</v>
      </c>
      <c r="P165" s="1" t="s">
        <v>16</v>
      </c>
      <c r="Q165" s="1">
        <v>0</v>
      </c>
      <c r="R165" s="1">
        <v>346625.77179999999</v>
      </c>
      <c r="S165" s="1">
        <v>0</v>
      </c>
    </row>
    <row r="166" spans="1:19" ht="12.5" x14ac:dyDescent="0.25">
      <c r="A166" s="1">
        <v>145</v>
      </c>
      <c r="B166" s="1" t="s">
        <v>722</v>
      </c>
      <c r="C166" s="1" t="s">
        <v>15</v>
      </c>
      <c r="D166" s="1" t="s">
        <v>15</v>
      </c>
      <c r="E166" s="1">
        <v>145</v>
      </c>
      <c r="F166" s="1" t="s">
        <v>723</v>
      </c>
      <c r="G166" s="1" t="s">
        <v>724</v>
      </c>
      <c r="H166" s="1" t="s">
        <v>725</v>
      </c>
      <c r="I166" s="1" t="s">
        <v>29</v>
      </c>
      <c r="J166" s="1" t="s">
        <v>726</v>
      </c>
      <c r="K166" s="1" t="b">
        <v>1</v>
      </c>
      <c r="L166" s="1" t="s">
        <v>31</v>
      </c>
      <c r="M166" s="1">
        <v>2022</v>
      </c>
      <c r="N166" s="1" t="s">
        <v>45</v>
      </c>
      <c r="O166" s="1" t="s">
        <v>9935</v>
      </c>
      <c r="P166" s="1" t="s">
        <v>16</v>
      </c>
      <c r="Q166" s="1">
        <v>95</v>
      </c>
      <c r="R166" s="1">
        <v>1393097.8533999999</v>
      </c>
      <c r="S166" s="1">
        <v>1323442.9607299999</v>
      </c>
    </row>
    <row r="167" spans="1:19" ht="12.5" x14ac:dyDescent="0.25">
      <c r="A167" s="1">
        <v>379</v>
      </c>
      <c r="B167" s="1" t="s">
        <v>727</v>
      </c>
      <c r="C167" s="1" t="s">
        <v>35</v>
      </c>
      <c r="D167" s="1" t="s">
        <v>36</v>
      </c>
      <c r="E167" s="1">
        <v>145</v>
      </c>
      <c r="F167" s="1" t="s">
        <v>723</v>
      </c>
      <c r="G167" s="1" t="s">
        <v>724</v>
      </c>
      <c r="H167" s="1" t="s">
        <v>725</v>
      </c>
      <c r="I167" s="1" t="s">
        <v>29</v>
      </c>
      <c r="J167" s="1" t="s">
        <v>726</v>
      </c>
      <c r="K167" s="1" t="b">
        <v>1</v>
      </c>
      <c r="L167" s="1" t="s">
        <v>31</v>
      </c>
      <c r="M167" s="1">
        <v>2022</v>
      </c>
      <c r="N167" s="1" t="s">
        <v>45</v>
      </c>
      <c r="O167" s="1" t="s">
        <v>9935</v>
      </c>
      <c r="P167" s="1" t="s">
        <v>16</v>
      </c>
      <c r="Q167" s="1">
        <v>5</v>
      </c>
      <c r="R167" s="1">
        <v>1393097.8533999999</v>
      </c>
      <c r="S167" s="1">
        <v>69654.892670000001</v>
      </c>
    </row>
    <row r="168" spans="1:19" ht="12.5" x14ac:dyDescent="0.25">
      <c r="A168" s="1">
        <v>146</v>
      </c>
      <c r="B168" s="1" t="s">
        <v>728</v>
      </c>
      <c r="C168" s="1" t="s">
        <v>15</v>
      </c>
      <c r="D168" s="1" t="s">
        <v>15</v>
      </c>
      <c r="E168" s="1">
        <v>146</v>
      </c>
      <c r="F168" s="1" t="s">
        <v>729</v>
      </c>
      <c r="G168" s="1" t="s">
        <v>730</v>
      </c>
      <c r="H168" s="1" t="s">
        <v>731</v>
      </c>
      <c r="I168" s="1" t="s">
        <v>29</v>
      </c>
      <c r="J168" s="1" t="s">
        <v>732</v>
      </c>
      <c r="K168" s="1" t="b">
        <v>0</v>
      </c>
      <c r="L168" s="1" t="s">
        <v>22</v>
      </c>
      <c r="M168" s="1" t="s">
        <v>16</v>
      </c>
      <c r="N168" s="1" t="s">
        <v>16</v>
      </c>
      <c r="O168" s="1" t="s">
        <v>9935</v>
      </c>
      <c r="P168" s="1" t="s">
        <v>16</v>
      </c>
      <c r="Q168" s="1">
        <v>100</v>
      </c>
      <c r="R168" s="1">
        <v>1457059.3125</v>
      </c>
      <c r="S168" s="1">
        <v>1457059.3125</v>
      </c>
    </row>
    <row r="169" spans="1:19" ht="12.5" x14ac:dyDescent="0.25">
      <c r="A169" s="1">
        <v>147</v>
      </c>
      <c r="B169" s="1" t="s">
        <v>733</v>
      </c>
      <c r="C169" s="1" t="s">
        <v>15</v>
      </c>
      <c r="D169" s="1" t="s">
        <v>15</v>
      </c>
      <c r="E169" s="1">
        <v>147</v>
      </c>
      <c r="F169" s="1" t="s">
        <v>734</v>
      </c>
      <c r="G169" s="1" t="s">
        <v>735</v>
      </c>
      <c r="H169" s="1" t="s">
        <v>736</v>
      </c>
      <c r="I169" s="1" t="s">
        <v>29</v>
      </c>
      <c r="J169" s="1" t="s">
        <v>737</v>
      </c>
      <c r="K169" s="1" t="b">
        <v>1</v>
      </c>
      <c r="L169" s="1" t="s">
        <v>31</v>
      </c>
      <c r="M169" s="1" t="s">
        <v>16</v>
      </c>
      <c r="N169" s="1" t="s">
        <v>16</v>
      </c>
      <c r="O169" s="1" t="s">
        <v>9935</v>
      </c>
      <c r="P169" s="1" t="s">
        <v>16</v>
      </c>
      <c r="Q169" s="1">
        <v>100</v>
      </c>
      <c r="R169" s="1">
        <v>251203.91</v>
      </c>
      <c r="S169" s="1">
        <v>251203.91</v>
      </c>
    </row>
    <row r="170" spans="1:19" ht="12.5" x14ac:dyDescent="0.25">
      <c r="A170" s="1">
        <v>148</v>
      </c>
      <c r="B170" s="1" t="s">
        <v>738</v>
      </c>
      <c r="C170" s="1" t="s">
        <v>15</v>
      </c>
      <c r="D170" s="1" t="s">
        <v>15</v>
      </c>
      <c r="E170" s="1">
        <v>148</v>
      </c>
      <c r="F170" s="1" t="s">
        <v>739</v>
      </c>
      <c r="G170" s="1" t="s">
        <v>740</v>
      </c>
      <c r="H170" s="1" t="s">
        <v>741</v>
      </c>
      <c r="I170" s="1" t="s">
        <v>29</v>
      </c>
      <c r="J170" s="1" t="s">
        <v>742</v>
      </c>
      <c r="K170" s="1" t="b">
        <v>0</v>
      </c>
      <c r="L170" s="1" t="s">
        <v>22</v>
      </c>
      <c r="M170" s="1" t="s">
        <v>16</v>
      </c>
      <c r="N170" s="1" t="s">
        <v>16</v>
      </c>
      <c r="O170" s="1" t="s">
        <v>9935</v>
      </c>
      <c r="P170" s="1" t="s">
        <v>16</v>
      </c>
      <c r="Q170" s="1">
        <v>100</v>
      </c>
      <c r="R170" s="1">
        <v>300000</v>
      </c>
      <c r="S170" s="1">
        <v>300000</v>
      </c>
    </row>
    <row r="171" spans="1:19" ht="12.5" x14ac:dyDescent="0.25">
      <c r="A171" s="1">
        <v>149</v>
      </c>
      <c r="B171" s="1" t="s">
        <v>743</v>
      </c>
      <c r="C171" s="1" t="s">
        <v>15</v>
      </c>
      <c r="D171" s="1" t="s">
        <v>15</v>
      </c>
      <c r="E171" s="1">
        <v>149</v>
      </c>
      <c r="F171" s="1" t="s">
        <v>744</v>
      </c>
      <c r="G171" s="1" t="s">
        <v>745</v>
      </c>
      <c r="H171" s="1" t="s">
        <v>746</v>
      </c>
      <c r="I171" s="1" t="s">
        <v>29</v>
      </c>
      <c r="J171" s="1" t="s">
        <v>747</v>
      </c>
      <c r="K171" s="1" t="b">
        <v>0</v>
      </c>
      <c r="L171" s="1" t="s">
        <v>22</v>
      </c>
      <c r="M171" s="1" t="s">
        <v>16</v>
      </c>
      <c r="N171" s="1" t="s">
        <v>16</v>
      </c>
      <c r="O171" s="1" t="s">
        <v>9935</v>
      </c>
      <c r="P171" s="1" t="s">
        <v>16</v>
      </c>
      <c r="Q171" s="1">
        <v>100</v>
      </c>
      <c r="R171" s="1">
        <v>900000</v>
      </c>
      <c r="S171" s="1">
        <v>900000</v>
      </c>
    </row>
    <row r="172" spans="1:19" ht="12.5" x14ac:dyDescent="0.25">
      <c r="A172" s="1">
        <v>150</v>
      </c>
      <c r="B172" s="1" t="s">
        <v>748</v>
      </c>
      <c r="C172" s="1" t="s">
        <v>15</v>
      </c>
      <c r="D172" s="1" t="s">
        <v>15</v>
      </c>
      <c r="E172" s="1">
        <v>150</v>
      </c>
      <c r="F172" s="1" t="s">
        <v>749</v>
      </c>
      <c r="G172" s="1" t="s">
        <v>750</v>
      </c>
      <c r="H172" s="1" t="s">
        <v>751</v>
      </c>
      <c r="I172" s="1" t="s">
        <v>29</v>
      </c>
      <c r="J172" s="1" t="s">
        <v>752</v>
      </c>
      <c r="K172" s="1" t="b">
        <v>1</v>
      </c>
      <c r="L172" s="1" t="s">
        <v>31</v>
      </c>
      <c r="M172" s="1">
        <v>2022</v>
      </c>
      <c r="N172" s="1" t="s">
        <v>45</v>
      </c>
      <c r="O172" s="1" t="s">
        <v>9935</v>
      </c>
      <c r="P172" s="1" t="s">
        <v>16</v>
      </c>
      <c r="Q172" s="1">
        <v>100</v>
      </c>
      <c r="R172" s="1">
        <v>419720.69</v>
      </c>
      <c r="S172" s="1">
        <v>419720.69</v>
      </c>
    </row>
    <row r="173" spans="1:19" ht="12.5" x14ac:dyDescent="0.25">
      <c r="A173" s="1">
        <v>151</v>
      </c>
      <c r="B173" s="1" t="s">
        <v>753</v>
      </c>
      <c r="C173" s="1" t="s">
        <v>15</v>
      </c>
      <c r="D173" s="1" t="s">
        <v>15</v>
      </c>
      <c r="E173" s="1">
        <v>151</v>
      </c>
      <c r="F173" s="1" t="s">
        <v>754</v>
      </c>
      <c r="G173" s="1" t="s">
        <v>755</v>
      </c>
      <c r="H173" s="1" t="s">
        <v>16</v>
      </c>
      <c r="I173" s="1" t="s">
        <v>20</v>
      </c>
      <c r="J173" s="1" t="s">
        <v>756</v>
      </c>
      <c r="K173" s="1" t="b">
        <v>0</v>
      </c>
      <c r="L173" s="1" t="s">
        <v>22</v>
      </c>
      <c r="M173" s="1" t="s">
        <v>16</v>
      </c>
      <c r="N173" s="1" t="s">
        <v>16</v>
      </c>
      <c r="O173" s="1" t="s">
        <v>9935</v>
      </c>
      <c r="P173" s="1" t="s">
        <v>16</v>
      </c>
      <c r="Q173" s="1">
        <v>100</v>
      </c>
      <c r="R173" s="1">
        <v>2500000</v>
      </c>
      <c r="S173" s="1">
        <v>2500000</v>
      </c>
    </row>
    <row r="174" spans="1:19" ht="12.5" x14ac:dyDescent="0.25">
      <c r="A174" s="1">
        <v>914</v>
      </c>
      <c r="B174" s="1" t="s">
        <v>757</v>
      </c>
      <c r="C174" s="1" t="s">
        <v>35</v>
      </c>
      <c r="D174" s="1" t="s">
        <v>152</v>
      </c>
      <c r="E174" s="1">
        <v>151</v>
      </c>
      <c r="F174" s="1" t="s">
        <v>754</v>
      </c>
      <c r="G174" s="1" t="s">
        <v>755</v>
      </c>
      <c r="H174" s="1" t="s">
        <v>16</v>
      </c>
      <c r="I174" s="1" t="s">
        <v>20</v>
      </c>
      <c r="J174" s="1" t="s">
        <v>756</v>
      </c>
      <c r="K174" s="1" t="b">
        <v>0</v>
      </c>
      <c r="L174" s="1" t="s">
        <v>22</v>
      </c>
      <c r="M174" s="1" t="s">
        <v>16</v>
      </c>
      <c r="N174" s="1" t="s">
        <v>16</v>
      </c>
      <c r="O174" s="1" t="s">
        <v>9935</v>
      </c>
      <c r="P174" s="1" t="s">
        <v>16</v>
      </c>
      <c r="Q174" s="1">
        <v>0</v>
      </c>
      <c r="R174" s="1">
        <v>2500000</v>
      </c>
      <c r="S174" s="1">
        <v>0</v>
      </c>
    </row>
    <row r="175" spans="1:19" ht="12.5" x14ac:dyDescent="0.25">
      <c r="A175" s="1">
        <v>152</v>
      </c>
      <c r="B175" s="1" t="s">
        <v>758</v>
      </c>
      <c r="C175" s="1" t="s">
        <v>15</v>
      </c>
      <c r="D175" s="1" t="s">
        <v>15</v>
      </c>
      <c r="E175" s="1">
        <v>152</v>
      </c>
      <c r="F175" s="1" t="s">
        <v>759</v>
      </c>
      <c r="G175" s="1" t="s">
        <v>760</v>
      </c>
      <c r="H175" s="1" t="s">
        <v>761</v>
      </c>
      <c r="I175" s="1" t="s">
        <v>29</v>
      </c>
      <c r="J175" s="1" t="s">
        <v>16</v>
      </c>
      <c r="K175" s="1" t="b">
        <v>0</v>
      </c>
      <c r="L175" s="1" t="s">
        <v>22</v>
      </c>
      <c r="M175" s="1" t="s">
        <v>16</v>
      </c>
      <c r="N175" s="1" t="s">
        <v>16</v>
      </c>
      <c r="O175" s="1" t="s">
        <v>9935</v>
      </c>
      <c r="P175" s="1" t="s">
        <v>16</v>
      </c>
      <c r="Q175" s="1">
        <v>100</v>
      </c>
      <c r="R175" s="1">
        <v>1000000</v>
      </c>
      <c r="S175" s="1">
        <v>1000000</v>
      </c>
    </row>
    <row r="176" spans="1:19" ht="12.5" x14ac:dyDescent="0.25">
      <c r="A176" s="1" t="s">
        <v>16</v>
      </c>
      <c r="B176" s="1" t="s">
        <v>16</v>
      </c>
      <c r="C176" s="1" t="s">
        <v>16</v>
      </c>
      <c r="D176" s="1" t="s">
        <v>16</v>
      </c>
      <c r="E176" s="1">
        <v>153</v>
      </c>
      <c r="F176" s="1" t="s">
        <v>762</v>
      </c>
      <c r="G176" s="1" t="s">
        <v>763</v>
      </c>
      <c r="H176" s="1" t="s">
        <v>764</v>
      </c>
      <c r="I176" s="1" t="s">
        <v>29</v>
      </c>
      <c r="J176" s="1" t="s">
        <v>16</v>
      </c>
      <c r="K176" s="1" t="b">
        <v>0</v>
      </c>
      <c r="L176" s="1" t="s">
        <v>22</v>
      </c>
      <c r="M176" s="1" t="s">
        <v>16</v>
      </c>
      <c r="N176" s="1" t="s">
        <v>16</v>
      </c>
      <c r="O176" s="1" t="s">
        <v>9935</v>
      </c>
      <c r="P176" s="1" t="s">
        <v>16</v>
      </c>
      <c r="R176" s="1">
        <v>400000</v>
      </c>
    </row>
    <row r="177" spans="1:19" ht="12.5" x14ac:dyDescent="0.25">
      <c r="A177" s="1">
        <v>154</v>
      </c>
      <c r="B177" s="1" t="s">
        <v>765</v>
      </c>
      <c r="C177" s="1" t="s">
        <v>15</v>
      </c>
      <c r="D177" s="1" t="s">
        <v>15</v>
      </c>
      <c r="E177" s="1">
        <v>154</v>
      </c>
      <c r="F177" s="1" t="s">
        <v>766</v>
      </c>
      <c r="G177" s="1" t="s">
        <v>767</v>
      </c>
      <c r="H177" s="1" t="s">
        <v>195</v>
      </c>
      <c r="I177" s="1" t="s">
        <v>29</v>
      </c>
      <c r="J177" s="1" t="s">
        <v>768</v>
      </c>
      <c r="K177" s="1" t="b">
        <v>1</v>
      </c>
      <c r="L177" s="1" t="s">
        <v>31</v>
      </c>
      <c r="M177" s="1" t="s">
        <v>16</v>
      </c>
      <c r="N177" s="1" t="s">
        <v>16</v>
      </c>
      <c r="O177" s="1" t="s">
        <v>9935</v>
      </c>
      <c r="P177" s="1" t="s">
        <v>16</v>
      </c>
      <c r="Q177" s="1">
        <v>100</v>
      </c>
      <c r="R177" s="1">
        <v>152825.8314</v>
      </c>
      <c r="S177" s="1">
        <v>152825.8314</v>
      </c>
    </row>
    <row r="178" spans="1:19" ht="12.5" x14ac:dyDescent="0.25">
      <c r="A178" s="1">
        <v>155</v>
      </c>
      <c r="B178" s="1" t="s">
        <v>769</v>
      </c>
      <c r="C178" s="1" t="s">
        <v>15</v>
      </c>
      <c r="D178" s="1" t="s">
        <v>15</v>
      </c>
      <c r="E178" s="1">
        <v>155</v>
      </c>
      <c r="F178" s="1" t="s">
        <v>770</v>
      </c>
      <c r="G178" s="1" t="s">
        <v>771</v>
      </c>
      <c r="H178" s="1" t="s">
        <v>195</v>
      </c>
      <c r="I178" s="1" t="s">
        <v>29</v>
      </c>
      <c r="J178" s="1" t="s">
        <v>772</v>
      </c>
      <c r="K178" s="1" t="b">
        <v>1</v>
      </c>
      <c r="L178" s="1" t="s">
        <v>31</v>
      </c>
      <c r="M178" s="1" t="s">
        <v>16</v>
      </c>
      <c r="N178" s="1" t="s">
        <v>16</v>
      </c>
      <c r="O178" s="1" t="s">
        <v>9935</v>
      </c>
      <c r="P178" s="1" t="s">
        <v>16</v>
      </c>
      <c r="Q178" s="1">
        <v>100</v>
      </c>
      <c r="R178" s="1">
        <v>44345.943399999996</v>
      </c>
      <c r="S178" s="1">
        <v>44345.943399999996</v>
      </c>
    </row>
    <row r="179" spans="1:19" ht="12.5" x14ac:dyDescent="0.25">
      <c r="A179" s="1">
        <v>156</v>
      </c>
      <c r="B179" s="1" t="s">
        <v>773</v>
      </c>
      <c r="C179" s="1" t="s">
        <v>15</v>
      </c>
      <c r="D179" s="1" t="s">
        <v>15</v>
      </c>
      <c r="E179" s="1">
        <v>156</v>
      </c>
      <c r="F179" s="1" t="s">
        <v>774</v>
      </c>
      <c r="G179" s="1" t="s">
        <v>775</v>
      </c>
      <c r="H179" s="1" t="s">
        <v>195</v>
      </c>
      <c r="I179" s="1" t="s">
        <v>29</v>
      </c>
      <c r="J179" s="1" t="s">
        <v>776</v>
      </c>
      <c r="K179" s="1" t="b">
        <v>1</v>
      </c>
      <c r="L179" s="1" t="s">
        <v>31</v>
      </c>
      <c r="M179" s="1" t="s">
        <v>16</v>
      </c>
      <c r="N179" s="1" t="s">
        <v>16</v>
      </c>
      <c r="O179" s="1" t="s">
        <v>9935</v>
      </c>
      <c r="P179" s="1" t="s">
        <v>16</v>
      </c>
      <c r="Q179" s="1">
        <v>100</v>
      </c>
      <c r="R179" s="1">
        <v>105014.14707000001</v>
      </c>
      <c r="S179" s="1">
        <v>105014.14707000001</v>
      </c>
    </row>
    <row r="180" spans="1:19" ht="12.5" x14ac:dyDescent="0.25">
      <c r="A180" s="1">
        <v>157</v>
      </c>
      <c r="B180" s="1" t="s">
        <v>777</v>
      </c>
      <c r="C180" s="1" t="s">
        <v>15</v>
      </c>
      <c r="D180" s="1" t="s">
        <v>15</v>
      </c>
      <c r="E180" s="1">
        <v>157</v>
      </c>
      <c r="F180" s="1" t="s">
        <v>778</v>
      </c>
      <c r="G180" s="1" t="s">
        <v>779</v>
      </c>
      <c r="H180" s="1" t="s">
        <v>195</v>
      </c>
      <c r="I180" s="1" t="s">
        <v>29</v>
      </c>
      <c r="J180" s="1" t="s">
        <v>780</v>
      </c>
      <c r="K180" s="1" t="b">
        <v>1</v>
      </c>
      <c r="L180" s="1" t="s">
        <v>31</v>
      </c>
      <c r="M180" s="1" t="s">
        <v>16</v>
      </c>
      <c r="N180" s="1" t="s">
        <v>16</v>
      </c>
      <c r="O180" s="1" t="s">
        <v>9935</v>
      </c>
      <c r="P180" s="1" t="s">
        <v>16</v>
      </c>
      <c r="Q180" s="1">
        <v>100</v>
      </c>
      <c r="R180" s="1">
        <v>37063.816610000002</v>
      </c>
      <c r="S180" s="1">
        <v>37063.816610000002</v>
      </c>
    </row>
    <row r="181" spans="1:19" ht="12.5" x14ac:dyDescent="0.25">
      <c r="A181" s="1">
        <v>158</v>
      </c>
      <c r="B181" s="1" t="s">
        <v>781</v>
      </c>
      <c r="C181" s="1" t="s">
        <v>15</v>
      </c>
      <c r="D181" s="1" t="s">
        <v>15</v>
      </c>
      <c r="E181" s="1">
        <v>158</v>
      </c>
      <c r="F181" s="1" t="s">
        <v>782</v>
      </c>
      <c r="G181" s="1" t="s">
        <v>783</v>
      </c>
      <c r="H181" s="1" t="s">
        <v>784</v>
      </c>
      <c r="I181" s="1" t="s">
        <v>29</v>
      </c>
      <c r="J181" s="1" t="s">
        <v>785</v>
      </c>
      <c r="K181" s="1" t="b">
        <v>0</v>
      </c>
      <c r="L181" s="1" t="s">
        <v>22</v>
      </c>
      <c r="M181" s="1" t="s">
        <v>16</v>
      </c>
      <c r="N181" s="1" t="s">
        <v>16</v>
      </c>
      <c r="O181" s="1" t="s">
        <v>9935</v>
      </c>
      <c r="P181" s="1" t="s">
        <v>16</v>
      </c>
      <c r="Q181" s="1">
        <v>100</v>
      </c>
      <c r="R181" s="1">
        <v>700000</v>
      </c>
      <c r="S181" s="1">
        <v>700000</v>
      </c>
    </row>
    <row r="182" spans="1:19" ht="12.5" x14ac:dyDescent="0.25">
      <c r="A182" s="1">
        <v>1313</v>
      </c>
      <c r="B182" s="1" t="s">
        <v>786</v>
      </c>
      <c r="C182" s="1" t="s">
        <v>35</v>
      </c>
      <c r="D182" s="1" t="s">
        <v>152</v>
      </c>
      <c r="E182" s="1">
        <v>158</v>
      </c>
      <c r="F182" s="1" t="s">
        <v>782</v>
      </c>
      <c r="G182" s="1" t="s">
        <v>783</v>
      </c>
      <c r="H182" s="1" t="s">
        <v>784</v>
      </c>
      <c r="I182" s="1" t="s">
        <v>29</v>
      </c>
      <c r="J182" s="1" t="s">
        <v>785</v>
      </c>
      <c r="K182" s="1" t="b">
        <v>0</v>
      </c>
      <c r="L182" s="1" t="s">
        <v>22</v>
      </c>
      <c r="M182" s="1" t="s">
        <v>16</v>
      </c>
      <c r="N182" s="1" t="s">
        <v>16</v>
      </c>
      <c r="O182" s="1" t="s">
        <v>9935</v>
      </c>
      <c r="P182" s="1" t="s">
        <v>16</v>
      </c>
      <c r="Q182" s="1">
        <v>0</v>
      </c>
      <c r="R182" s="1">
        <v>700000</v>
      </c>
      <c r="S182" s="1">
        <v>0</v>
      </c>
    </row>
    <row r="183" spans="1:19" ht="12.5" x14ac:dyDescent="0.25">
      <c r="A183" s="1">
        <v>1314</v>
      </c>
      <c r="B183" s="1" t="s">
        <v>788</v>
      </c>
      <c r="C183" s="1" t="s">
        <v>35</v>
      </c>
      <c r="D183" s="1" t="s">
        <v>152</v>
      </c>
      <c r="E183" s="1">
        <v>158</v>
      </c>
      <c r="F183" s="1" t="s">
        <v>782</v>
      </c>
      <c r="G183" s="1" t="s">
        <v>783</v>
      </c>
      <c r="H183" s="1" t="s">
        <v>784</v>
      </c>
      <c r="I183" s="1" t="s">
        <v>29</v>
      </c>
      <c r="J183" s="1" t="s">
        <v>785</v>
      </c>
      <c r="K183" s="1" t="b">
        <v>0</v>
      </c>
      <c r="L183" s="1" t="s">
        <v>22</v>
      </c>
      <c r="M183" s="1" t="s">
        <v>16</v>
      </c>
      <c r="N183" s="1" t="s">
        <v>16</v>
      </c>
      <c r="O183" s="1" t="s">
        <v>9935</v>
      </c>
      <c r="P183" s="1" t="s">
        <v>16</v>
      </c>
      <c r="Q183" s="1">
        <v>0</v>
      </c>
      <c r="R183" s="1">
        <v>700000</v>
      </c>
      <c r="S183" s="1">
        <v>0</v>
      </c>
    </row>
    <row r="184" spans="1:19" ht="12.5" x14ac:dyDescent="0.25">
      <c r="A184" s="1">
        <v>159</v>
      </c>
      <c r="B184" s="1" t="s">
        <v>790</v>
      </c>
      <c r="C184" s="1" t="s">
        <v>15</v>
      </c>
      <c r="D184" s="1" t="s">
        <v>15</v>
      </c>
      <c r="E184" s="1">
        <v>159</v>
      </c>
      <c r="F184" s="1" t="s">
        <v>791</v>
      </c>
      <c r="G184" s="1" t="s">
        <v>792</v>
      </c>
      <c r="H184" s="1" t="s">
        <v>793</v>
      </c>
      <c r="I184" s="1" t="s">
        <v>29</v>
      </c>
      <c r="J184" s="1" t="s">
        <v>794</v>
      </c>
      <c r="K184" s="1" t="b">
        <v>0</v>
      </c>
      <c r="L184" s="1" t="s">
        <v>22</v>
      </c>
      <c r="M184" s="1" t="s">
        <v>16</v>
      </c>
      <c r="N184" s="1" t="s">
        <v>16</v>
      </c>
      <c r="O184" s="1" t="s">
        <v>9935</v>
      </c>
      <c r="P184" s="1" t="s">
        <v>16</v>
      </c>
      <c r="Q184" s="1">
        <v>100</v>
      </c>
      <c r="R184" s="1">
        <v>600000</v>
      </c>
      <c r="S184" s="1">
        <v>600000</v>
      </c>
    </row>
    <row r="185" spans="1:19" ht="12.5" x14ac:dyDescent="0.25">
      <c r="A185" s="1">
        <v>1388</v>
      </c>
      <c r="B185" s="1" t="s">
        <v>795</v>
      </c>
      <c r="C185" s="1" t="s">
        <v>35</v>
      </c>
      <c r="D185" s="1" t="s">
        <v>152</v>
      </c>
      <c r="E185" s="1">
        <v>159</v>
      </c>
      <c r="F185" s="1" t="s">
        <v>791</v>
      </c>
      <c r="G185" s="1" t="s">
        <v>792</v>
      </c>
      <c r="H185" s="1" t="s">
        <v>793</v>
      </c>
      <c r="I185" s="1" t="s">
        <v>29</v>
      </c>
      <c r="J185" s="1" t="s">
        <v>794</v>
      </c>
      <c r="K185" s="1" t="b">
        <v>0</v>
      </c>
      <c r="L185" s="1" t="s">
        <v>22</v>
      </c>
      <c r="M185" s="1" t="s">
        <v>16</v>
      </c>
      <c r="N185" s="1" t="s">
        <v>16</v>
      </c>
      <c r="O185" s="1" t="s">
        <v>9935</v>
      </c>
      <c r="P185" s="1" t="s">
        <v>16</v>
      </c>
      <c r="Q185" s="1">
        <v>0</v>
      </c>
      <c r="R185" s="1">
        <v>600000</v>
      </c>
      <c r="S185" s="1">
        <v>0</v>
      </c>
    </row>
    <row r="186" spans="1:19" ht="12.5" x14ac:dyDescent="0.25">
      <c r="A186" s="1">
        <v>160</v>
      </c>
      <c r="B186" s="1" t="s">
        <v>797</v>
      </c>
      <c r="C186" s="1" t="s">
        <v>15</v>
      </c>
      <c r="D186" s="1" t="s">
        <v>15</v>
      </c>
      <c r="E186" s="1">
        <v>160</v>
      </c>
      <c r="F186" s="1" t="s">
        <v>798</v>
      </c>
      <c r="G186" s="1" t="s">
        <v>799</v>
      </c>
      <c r="H186" s="1" t="s">
        <v>800</v>
      </c>
      <c r="I186" s="1" t="s">
        <v>29</v>
      </c>
      <c r="J186" s="1" t="s">
        <v>801</v>
      </c>
      <c r="K186" s="1" t="b">
        <v>0</v>
      </c>
      <c r="L186" s="1" t="s">
        <v>22</v>
      </c>
      <c r="M186" s="1" t="s">
        <v>16</v>
      </c>
      <c r="N186" s="1" t="s">
        <v>16</v>
      </c>
      <c r="O186" s="1" t="s">
        <v>9935</v>
      </c>
      <c r="P186" s="1" t="s">
        <v>16</v>
      </c>
      <c r="Q186" s="1">
        <v>100</v>
      </c>
      <c r="R186" s="1">
        <v>500000</v>
      </c>
      <c r="S186" s="1">
        <v>500000</v>
      </c>
    </row>
    <row r="187" spans="1:19" ht="12.5" x14ac:dyDescent="0.25">
      <c r="A187" s="1">
        <v>161</v>
      </c>
      <c r="B187" s="1" t="s">
        <v>802</v>
      </c>
      <c r="C187" s="1" t="s">
        <v>15</v>
      </c>
      <c r="D187" s="1" t="s">
        <v>15</v>
      </c>
      <c r="E187" s="1">
        <v>161</v>
      </c>
      <c r="F187" s="1" t="s">
        <v>803</v>
      </c>
      <c r="G187" s="1" t="s">
        <v>804</v>
      </c>
      <c r="H187" s="1" t="s">
        <v>800</v>
      </c>
      <c r="I187" s="1" t="s">
        <v>29</v>
      </c>
      <c r="J187" s="1" t="s">
        <v>805</v>
      </c>
      <c r="K187" s="1" t="b">
        <v>0</v>
      </c>
      <c r="L187" s="1" t="s">
        <v>22</v>
      </c>
      <c r="M187" s="1" t="s">
        <v>16</v>
      </c>
      <c r="N187" s="1" t="s">
        <v>16</v>
      </c>
      <c r="O187" s="1" t="s">
        <v>9935</v>
      </c>
      <c r="P187" s="1" t="s">
        <v>16</v>
      </c>
      <c r="Q187" s="1">
        <v>100</v>
      </c>
      <c r="R187" s="1">
        <v>350000</v>
      </c>
      <c r="S187" s="1">
        <v>350000</v>
      </c>
    </row>
    <row r="188" spans="1:19" ht="12.5" x14ac:dyDescent="0.25">
      <c r="A188" s="1">
        <v>162</v>
      </c>
      <c r="B188" s="1" t="s">
        <v>806</v>
      </c>
      <c r="C188" s="1" t="s">
        <v>15</v>
      </c>
      <c r="D188" s="1" t="s">
        <v>15</v>
      </c>
      <c r="E188" s="1">
        <v>162</v>
      </c>
      <c r="F188" s="1" t="s">
        <v>807</v>
      </c>
      <c r="G188" s="1" t="s">
        <v>808</v>
      </c>
      <c r="H188" s="1" t="s">
        <v>809</v>
      </c>
      <c r="I188" s="1" t="s">
        <v>29</v>
      </c>
      <c r="J188" s="1" t="s">
        <v>810</v>
      </c>
      <c r="K188" s="1" t="b">
        <v>1</v>
      </c>
      <c r="L188" s="1" t="s">
        <v>31</v>
      </c>
      <c r="M188" s="1" t="s">
        <v>16</v>
      </c>
      <c r="N188" s="1" t="s">
        <v>16</v>
      </c>
      <c r="O188" s="1" t="s">
        <v>9935</v>
      </c>
      <c r="P188" s="1" t="s">
        <v>16</v>
      </c>
      <c r="Q188" s="1">
        <v>100</v>
      </c>
      <c r="R188" s="1">
        <v>442730.71755</v>
      </c>
      <c r="S188" s="1">
        <v>442730.71755</v>
      </c>
    </row>
    <row r="189" spans="1:19" ht="12.5" x14ac:dyDescent="0.25">
      <c r="A189" s="1">
        <v>163</v>
      </c>
      <c r="B189" s="1" t="s">
        <v>811</v>
      </c>
      <c r="C189" s="1" t="s">
        <v>15</v>
      </c>
      <c r="D189" s="1" t="s">
        <v>15</v>
      </c>
      <c r="E189" s="1">
        <v>163</v>
      </c>
      <c r="F189" s="1" t="s">
        <v>812</v>
      </c>
      <c r="G189" s="1" t="s">
        <v>813</v>
      </c>
      <c r="H189" s="1" t="s">
        <v>814</v>
      </c>
      <c r="I189" s="1" t="s">
        <v>29</v>
      </c>
      <c r="J189" s="1" t="s">
        <v>815</v>
      </c>
      <c r="K189" s="1" t="b">
        <v>0</v>
      </c>
      <c r="L189" s="1" t="s">
        <v>22</v>
      </c>
      <c r="M189" s="1" t="s">
        <v>16</v>
      </c>
      <c r="N189" s="1" t="s">
        <v>16</v>
      </c>
      <c r="O189" s="1" t="s">
        <v>9935</v>
      </c>
      <c r="P189" s="1" t="s">
        <v>16</v>
      </c>
      <c r="Q189" s="1">
        <v>100</v>
      </c>
      <c r="R189" s="1">
        <v>147576.90585000001</v>
      </c>
      <c r="S189" s="1">
        <v>147576.90585000001</v>
      </c>
    </row>
    <row r="190" spans="1:19" ht="12.5" x14ac:dyDescent="0.25">
      <c r="A190" s="1">
        <v>164</v>
      </c>
      <c r="B190" s="1" t="s">
        <v>816</v>
      </c>
      <c r="C190" s="1" t="s">
        <v>15</v>
      </c>
      <c r="D190" s="1" t="s">
        <v>15</v>
      </c>
      <c r="E190" s="1">
        <v>164</v>
      </c>
      <c r="F190" s="1" t="s">
        <v>817</v>
      </c>
      <c r="G190" s="1" t="s">
        <v>818</v>
      </c>
      <c r="H190" s="1" t="s">
        <v>819</v>
      </c>
      <c r="I190" s="1" t="s">
        <v>29</v>
      </c>
      <c r="J190" s="1" t="s">
        <v>820</v>
      </c>
      <c r="K190" s="1" t="b">
        <v>1</v>
      </c>
      <c r="L190" s="1" t="s">
        <v>31</v>
      </c>
      <c r="M190" s="1" t="s">
        <v>16</v>
      </c>
      <c r="N190" s="1" t="s">
        <v>16</v>
      </c>
      <c r="O190" s="1" t="s">
        <v>9935</v>
      </c>
      <c r="P190" s="1" t="s">
        <v>16</v>
      </c>
      <c r="Q190" s="1">
        <v>90</v>
      </c>
      <c r="R190" s="1">
        <v>174878.14493000001</v>
      </c>
      <c r="S190" s="1">
        <v>157390.330437</v>
      </c>
    </row>
    <row r="191" spans="1:19" ht="12.5" x14ac:dyDescent="0.25">
      <c r="A191" s="1">
        <v>1099</v>
      </c>
      <c r="B191" s="1" t="s">
        <v>821</v>
      </c>
      <c r="C191" s="1" t="s">
        <v>35</v>
      </c>
      <c r="D191" s="1" t="s">
        <v>152</v>
      </c>
      <c r="E191" s="1">
        <v>164</v>
      </c>
      <c r="F191" s="1" t="s">
        <v>817</v>
      </c>
      <c r="G191" s="1" t="s">
        <v>818</v>
      </c>
      <c r="H191" s="1" t="s">
        <v>819</v>
      </c>
      <c r="I191" s="1" t="s">
        <v>29</v>
      </c>
      <c r="J191" s="1" t="s">
        <v>820</v>
      </c>
      <c r="K191" s="1" t="b">
        <v>1</v>
      </c>
      <c r="L191" s="1" t="s">
        <v>31</v>
      </c>
      <c r="M191" s="1" t="s">
        <v>16</v>
      </c>
      <c r="N191" s="1" t="s">
        <v>16</v>
      </c>
      <c r="O191" s="1" t="s">
        <v>9935</v>
      </c>
      <c r="P191" s="1" t="s">
        <v>16</v>
      </c>
      <c r="Q191" s="1">
        <v>10</v>
      </c>
      <c r="R191" s="1">
        <v>174878.14493000001</v>
      </c>
      <c r="S191" s="1">
        <v>17487.814493000002</v>
      </c>
    </row>
    <row r="192" spans="1:19" ht="12.5" x14ac:dyDescent="0.25">
      <c r="A192" s="1">
        <v>165</v>
      </c>
      <c r="B192" s="1" t="s">
        <v>823</v>
      </c>
      <c r="C192" s="1" t="s">
        <v>15</v>
      </c>
      <c r="D192" s="1" t="s">
        <v>15</v>
      </c>
      <c r="E192" s="1">
        <v>165</v>
      </c>
      <c r="F192" s="1" t="s">
        <v>824</v>
      </c>
      <c r="G192" s="1" t="s">
        <v>825</v>
      </c>
      <c r="H192" s="1" t="s">
        <v>826</v>
      </c>
      <c r="I192" s="1" t="s">
        <v>29</v>
      </c>
      <c r="J192" s="1" t="s">
        <v>827</v>
      </c>
      <c r="K192" s="1" t="b">
        <v>1</v>
      </c>
      <c r="L192" s="1" t="s">
        <v>31</v>
      </c>
      <c r="M192" s="1" t="s">
        <v>16</v>
      </c>
      <c r="N192" s="1" t="s">
        <v>16</v>
      </c>
      <c r="O192" s="1" t="s">
        <v>9935</v>
      </c>
      <c r="P192" s="1" t="s">
        <v>16</v>
      </c>
      <c r="Q192" s="1">
        <v>100</v>
      </c>
      <c r="R192" s="1">
        <v>1603264.38</v>
      </c>
      <c r="S192" s="1">
        <v>1603264.38</v>
      </c>
    </row>
    <row r="193" spans="1:19" ht="12.5" x14ac:dyDescent="0.25">
      <c r="A193" s="1">
        <v>867</v>
      </c>
      <c r="B193" s="1" t="s">
        <v>828</v>
      </c>
      <c r="C193" s="1" t="s">
        <v>35</v>
      </c>
      <c r="D193" s="1" t="s">
        <v>152</v>
      </c>
      <c r="E193" s="1">
        <v>165</v>
      </c>
      <c r="F193" s="1" t="s">
        <v>824</v>
      </c>
      <c r="G193" s="1" t="s">
        <v>825</v>
      </c>
      <c r="H193" s="1" t="s">
        <v>826</v>
      </c>
      <c r="I193" s="1" t="s">
        <v>29</v>
      </c>
      <c r="J193" s="1" t="s">
        <v>827</v>
      </c>
      <c r="K193" s="1" t="b">
        <v>1</v>
      </c>
      <c r="L193" s="1" t="s">
        <v>31</v>
      </c>
      <c r="M193" s="1" t="s">
        <v>16</v>
      </c>
      <c r="N193" s="1" t="s">
        <v>16</v>
      </c>
      <c r="O193" s="1" t="s">
        <v>9935</v>
      </c>
      <c r="P193" s="1" t="s">
        <v>16</v>
      </c>
      <c r="Q193" s="1">
        <v>0</v>
      </c>
      <c r="R193" s="1">
        <v>1603264.38</v>
      </c>
      <c r="S193" s="1">
        <v>0</v>
      </c>
    </row>
    <row r="194" spans="1:19" ht="12.5" x14ac:dyDescent="0.25">
      <c r="A194" s="1" t="s">
        <v>16</v>
      </c>
      <c r="B194" s="1" t="s">
        <v>16</v>
      </c>
      <c r="C194" s="1" t="s">
        <v>16</v>
      </c>
      <c r="D194" s="1" t="s">
        <v>16</v>
      </c>
      <c r="E194" s="1">
        <v>166</v>
      </c>
      <c r="F194" s="1" t="s">
        <v>830</v>
      </c>
      <c r="G194" s="1" t="s">
        <v>831</v>
      </c>
      <c r="H194" s="1" t="s">
        <v>832</v>
      </c>
      <c r="I194" s="1" t="s">
        <v>20</v>
      </c>
      <c r="J194" s="1" t="s">
        <v>16</v>
      </c>
      <c r="K194" s="1" t="b">
        <v>0</v>
      </c>
      <c r="L194" s="1" t="s">
        <v>22</v>
      </c>
      <c r="M194" s="1" t="s">
        <v>16</v>
      </c>
      <c r="N194" s="1" t="s">
        <v>16</v>
      </c>
      <c r="O194" s="1" t="s">
        <v>9935</v>
      </c>
      <c r="P194" s="1" t="s">
        <v>16</v>
      </c>
      <c r="R194" s="1">
        <v>5000000</v>
      </c>
    </row>
    <row r="195" spans="1:19" ht="12.5" x14ac:dyDescent="0.25">
      <c r="A195" s="1">
        <v>167</v>
      </c>
      <c r="B195" s="1" t="s">
        <v>833</v>
      </c>
      <c r="C195" s="1" t="s">
        <v>15</v>
      </c>
      <c r="D195" s="1" t="s">
        <v>15</v>
      </c>
      <c r="E195" s="1">
        <v>167</v>
      </c>
      <c r="F195" s="1" t="s">
        <v>834</v>
      </c>
      <c r="G195" s="1" t="s">
        <v>835</v>
      </c>
      <c r="H195" s="1" t="s">
        <v>836</v>
      </c>
      <c r="I195" s="1" t="s">
        <v>29</v>
      </c>
      <c r="J195" s="1" t="s">
        <v>837</v>
      </c>
      <c r="K195" s="1" t="b">
        <v>1</v>
      </c>
      <c r="L195" s="1" t="s">
        <v>31</v>
      </c>
      <c r="M195" s="1">
        <v>2022</v>
      </c>
      <c r="N195" s="1" t="s">
        <v>45</v>
      </c>
      <c r="O195" s="1" t="s">
        <v>9935</v>
      </c>
      <c r="P195" s="1" t="s">
        <v>16</v>
      </c>
      <c r="Q195" s="1">
        <v>100</v>
      </c>
      <c r="R195" s="1">
        <v>135471.21</v>
      </c>
      <c r="S195" s="1">
        <v>135471.21</v>
      </c>
    </row>
    <row r="196" spans="1:19" ht="12.5" x14ac:dyDescent="0.25">
      <c r="A196" s="1">
        <v>168</v>
      </c>
      <c r="B196" s="1" t="s">
        <v>838</v>
      </c>
      <c r="C196" s="1" t="s">
        <v>15</v>
      </c>
      <c r="D196" s="1" t="s">
        <v>15</v>
      </c>
      <c r="E196" s="1">
        <v>168</v>
      </c>
      <c r="F196" s="1" t="s">
        <v>839</v>
      </c>
      <c r="G196" s="1" t="s">
        <v>840</v>
      </c>
      <c r="H196" s="1" t="s">
        <v>841</v>
      </c>
      <c r="I196" s="1" t="s">
        <v>29</v>
      </c>
      <c r="J196" s="1" t="s">
        <v>842</v>
      </c>
      <c r="K196" s="1" t="b">
        <v>0</v>
      </c>
      <c r="L196" s="1" t="s">
        <v>22</v>
      </c>
      <c r="M196" s="1" t="s">
        <v>16</v>
      </c>
      <c r="N196" s="1" t="s">
        <v>16</v>
      </c>
      <c r="O196" s="1" t="s">
        <v>9935</v>
      </c>
      <c r="P196" s="1" t="s">
        <v>16</v>
      </c>
      <c r="Q196" s="1">
        <v>100</v>
      </c>
      <c r="R196" s="1">
        <v>96000</v>
      </c>
      <c r="S196" s="1">
        <v>96000</v>
      </c>
    </row>
    <row r="197" spans="1:19" ht="12.5" x14ac:dyDescent="0.25">
      <c r="A197" s="1">
        <v>169</v>
      </c>
      <c r="B197" s="1" t="s">
        <v>843</v>
      </c>
      <c r="C197" s="1" t="s">
        <v>15</v>
      </c>
      <c r="D197" s="1" t="s">
        <v>15</v>
      </c>
      <c r="E197" s="1">
        <v>169</v>
      </c>
      <c r="F197" s="1" t="s">
        <v>844</v>
      </c>
      <c r="G197" s="1" t="s">
        <v>845</v>
      </c>
      <c r="H197" s="1" t="s">
        <v>846</v>
      </c>
      <c r="I197" s="1" t="s">
        <v>20</v>
      </c>
      <c r="J197" s="1" t="s">
        <v>16</v>
      </c>
      <c r="K197" s="1" t="b">
        <v>0</v>
      </c>
      <c r="L197" s="1" t="s">
        <v>22</v>
      </c>
      <c r="M197" s="1">
        <v>2021</v>
      </c>
      <c r="N197" s="1" t="s">
        <v>52</v>
      </c>
      <c r="O197" s="1" t="s">
        <v>9935</v>
      </c>
      <c r="P197" s="1" t="s">
        <v>16</v>
      </c>
      <c r="Q197" s="1">
        <v>100</v>
      </c>
      <c r="R197" s="1">
        <v>475689</v>
      </c>
      <c r="S197" s="1">
        <v>475689</v>
      </c>
    </row>
    <row r="198" spans="1:19" ht="12.5" x14ac:dyDescent="0.25">
      <c r="A198" s="1">
        <v>170</v>
      </c>
      <c r="B198" s="1" t="s">
        <v>847</v>
      </c>
      <c r="C198" s="1" t="s">
        <v>15</v>
      </c>
      <c r="D198" s="1" t="s">
        <v>15</v>
      </c>
      <c r="E198" s="1">
        <v>170</v>
      </c>
      <c r="F198" s="1" t="s">
        <v>848</v>
      </c>
      <c r="G198" s="1" t="s">
        <v>849</v>
      </c>
      <c r="H198" s="1" t="s">
        <v>16</v>
      </c>
      <c r="I198" s="1" t="s">
        <v>29</v>
      </c>
      <c r="J198" s="1" t="s">
        <v>850</v>
      </c>
      <c r="K198" s="1" t="b">
        <v>1</v>
      </c>
      <c r="L198" s="1" t="s">
        <v>31</v>
      </c>
      <c r="M198" s="1">
        <v>2023</v>
      </c>
      <c r="N198" s="1" t="s">
        <v>45</v>
      </c>
      <c r="O198" s="1" t="s">
        <v>9935</v>
      </c>
      <c r="P198" s="1" t="s">
        <v>16</v>
      </c>
      <c r="Q198" s="1">
        <v>100</v>
      </c>
      <c r="R198" s="1">
        <v>71586.820000000007</v>
      </c>
      <c r="S198" s="1">
        <v>71586.820000000007</v>
      </c>
    </row>
    <row r="199" spans="1:19" ht="12.5" x14ac:dyDescent="0.25">
      <c r="A199" s="1">
        <v>171</v>
      </c>
      <c r="B199" s="1" t="s">
        <v>851</v>
      </c>
      <c r="C199" s="1" t="s">
        <v>15</v>
      </c>
      <c r="D199" s="1" t="s">
        <v>15</v>
      </c>
      <c r="E199" s="1">
        <v>171</v>
      </c>
      <c r="F199" s="1" t="s">
        <v>852</v>
      </c>
      <c r="G199" s="1" t="s">
        <v>853</v>
      </c>
      <c r="H199" s="1" t="s">
        <v>16</v>
      </c>
      <c r="I199" s="1" t="s">
        <v>29</v>
      </c>
      <c r="J199" s="1" t="s">
        <v>854</v>
      </c>
      <c r="K199" s="1" t="b">
        <v>1</v>
      </c>
      <c r="L199" s="1" t="s">
        <v>31</v>
      </c>
      <c r="M199" s="1">
        <v>2022</v>
      </c>
      <c r="N199" s="1" t="s">
        <v>45</v>
      </c>
      <c r="O199" s="1" t="s">
        <v>9935</v>
      </c>
      <c r="P199" s="1" t="s">
        <v>16</v>
      </c>
      <c r="Q199" s="1">
        <v>100</v>
      </c>
      <c r="R199" s="1">
        <v>336579.89</v>
      </c>
      <c r="S199" s="1">
        <v>336579.89</v>
      </c>
    </row>
    <row r="200" spans="1:19" ht="12.5" x14ac:dyDescent="0.25">
      <c r="A200" s="1" t="s">
        <v>16</v>
      </c>
      <c r="B200" s="1" t="s">
        <v>16</v>
      </c>
      <c r="C200" s="1" t="s">
        <v>16</v>
      </c>
      <c r="D200" s="1" t="s">
        <v>16</v>
      </c>
      <c r="E200" s="1">
        <v>172</v>
      </c>
      <c r="F200" s="1" t="s">
        <v>855</v>
      </c>
      <c r="G200" s="1" t="s">
        <v>856</v>
      </c>
      <c r="H200" s="1" t="s">
        <v>535</v>
      </c>
      <c r="I200" s="1" t="s">
        <v>29</v>
      </c>
      <c r="J200" s="1" t="s">
        <v>857</v>
      </c>
      <c r="K200" s="1" t="b">
        <v>0</v>
      </c>
      <c r="L200" s="1" t="s">
        <v>22</v>
      </c>
      <c r="M200" s="1">
        <v>2022</v>
      </c>
      <c r="N200" s="1" t="s">
        <v>45</v>
      </c>
      <c r="O200" s="1" t="s">
        <v>9935</v>
      </c>
      <c r="P200" s="1" t="s">
        <v>16</v>
      </c>
      <c r="R200" s="1">
        <v>721700</v>
      </c>
    </row>
    <row r="201" spans="1:19" ht="12.5" x14ac:dyDescent="0.25">
      <c r="A201" s="1">
        <v>173</v>
      </c>
      <c r="B201" s="1" t="s">
        <v>858</v>
      </c>
      <c r="C201" s="1" t="s">
        <v>15</v>
      </c>
      <c r="D201" s="1" t="s">
        <v>15</v>
      </c>
      <c r="E201" s="1">
        <v>173</v>
      </c>
      <c r="F201" s="1" t="s">
        <v>859</v>
      </c>
      <c r="G201" s="1" t="s">
        <v>860</v>
      </c>
      <c r="H201" s="1" t="s">
        <v>861</v>
      </c>
      <c r="I201" s="1" t="s">
        <v>29</v>
      </c>
      <c r="J201" s="1" t="s">
        <v>862</v>
      </c>
      <c r="K201" s="1" t="b">
        <v>1</v>
      </c>
      <c r="L201" s="1" t="s">
        <v>31</v>
      </c>
      <c r="M201" s="1">
        <v>2022</v>
      </c>
      <c r="N201" s="1" t="s">
        <v>23</v>
      </c>
      <c r="O201" s="1" t="s">
        <v>9935</v>
      </c>
      <c r="P201" s="1" t="s">
        <v>16</v>
      </c>
      <c r="Q201" s="1">
        <v>100</v>
      </c>
      <c r="R201" s="1">
        <v>43456</v>
      </c>
      <c r="S201" s="1">
        <v>43456</v>
      </c>
    </row>
    <row r="202" spans="1:19" ht="12.5" x14ac:dyDescent="0.25">
      <c r="A202" s="1">
        <v>174</v>
      </c>
      <c r="B202" s="1" t="s">
        <v>863</v>
      </c>
      <c r="C202" s="1" t="s">
        <v>15</v>
      </c>
      <c r="D202" s="1" t="s">
        <v>15</v>
      </c>
      <c r="E202" s="1">
        <v>174</v>
      </c>
      <c r="F202" s="1" t="s">
        <v>864</v>
      </c>
      <c r="G202" s="1" t="s">
        <v>865</v>
      </c>
      <c r="H202" s="1" t="s">
        <v>16</v>
      </c>
      <c r="I202" s="1" t="s">
        <v>29</v>
      </c>
      <c r="J202" s="1" t="s">
        <v>866</v>
      </c>
      <c r="K202" s="1" t="b">
        <v>0</v>
      </c>
      <c r="L202" s="1" t="s">
        <v>22</v>
      </c>
      <c r="M202" s="1">
        <v>2023</v>
      </c>
      <c r="N202" s="1" t="s">
        <v>45</v>
      </c>
      <c r="O202" s="1" t="s">
        <v>9935</v>
      </c>
      <c r="P202" s="1" t="s">
        <v>16</v>
      </c>
      <c r="Q202" s="1">
        <v>100</v>
      </c>
      <c r="R202" s="1">
        <v>324000</v>
      </c>
      <c r="S202" s="1">
        <v>324000</v>
      </c>
    </row>
    <row r="203" spans="1:19" ht="12.5" x14ac:dyDescent="0.25">
      <c r="A203" s="1">
        <v>175</v>
      </c>
      <c r="B203" s="1" t="s">
        <v>867</v>
      </c>
      <c r="C203" s="1" t="s">
        <v>15</v>
      </c>
      <c r="D203" s="1" t="s">
        <v>15</v>
      </c>
      <c r="E203" s="1">
        <v>175</v>
      </c>
      <c r="F203" s="1" t="s">
        <v>868</v>
      </c>
      <c r="G203" s="1" t="s">
        <v>869</v>
      </c>
      <c r="H203" s="1" t="s">
        <v>16</v>
      </c>
      <c r="I203" s="1" t="s">
        <v>29</v>
      </c>
      <c r="J203" s="1" t="s">
        <v>870</v>
      </c>
      <c r="K203" s="1" t="b">
        <v>1</v>
      </c>
      <c r="L203" s="1" t="s">
        <v>31</v>
      </c>
      <c r="M203" s="1">
        <v>2021</v>
      </c>
      <c r="N203" s="1" t="s">
        <v>52</v>
      </c>
      <c r="O203" s="1" t="s">
        <v>9935</v>
      </c>
      <c r="P203" s="1" t="s">
        <v>16</v>
      </c>
      <c r="Q203" s="1">
        <v>100</v>
      </c>
      <c r="R203" s="1">
        <v>46354.93</v>
      </c>
      <c r="S203" s="1">
        <v>46354.93</v>
      </c>
    </row>
    <row r="204" spans="1:19" ht="12.5" x14ac:dyDescent="0.25">
      <c r="A204" s="1">
        <v>176</v>
      </c>
      <c r="B204" s="1" t="s">
        <v>871</v>
      </c>
      <c r="C204" s="1" t="s">
        <v>15</v>
      </c>
      <c r="D204" s="1" t="s">
        <v>15</v>
      </c>
      <c r="E204" s="1">
        <v>176</v>
      </c>
      <c r="F204" s="1" t="s">
        <v>872</v>
      </c>
      <c r="G204" s="1" t="s">
        <v>873</v>
      </c>
      <c r="H204" s="1" t="s">
        <v>593</v>
      </c>
      <c r="I204" s="1" t="s">
        <v>29</v>
      </c>
      <c r="J204" s="1" t="s">
        <v>874</v>
      </c>
      <c r="K204" s="1" t="b">
        <v>1</v>
      </c>
      <c r="L204" s="1" t="s">
        <v>31</v>
      </c>
      <c r="M204" s="1">
        <v>2022</v>
      </c>
      <c r="N204" s="1" t="s">
        <v>32</v>
      </c>
      <c r="O204" s="1" t="s">
        <v>9935</v>
      </c>
      <c r="P204" s="1" t="s">
        <v>16</v>
      </c>
      <c r="Q204" s="1">
        <v>100</v>
      </c>
      <c r="R204" s="1">
        <v>47070.95</v>
      </c>
      <c r="S204" s="1">
        <v>47070.95</v>
      </c>
    </row>
    <row r="205" spans="1:19" ht="12.5" x14ac:dyDescent="0.25">
      <c r="A205" s="1">
        <v>177</v>
      </c>
      <c r="B205" s="1" t="s">
        <v>875</v>
      </c>
      <c r="C205" s="1" t="s">
        <v>15</v>
      </c>
      <c r="D205" s="1" t="s">
        <v>15</v>
      </c>
      <c r="E205" s="1">
        <v>177</v>
      </c>
      <c r="F205" s="1" t="s">
        <v>876</v>
      </c>
      <c r="G205" s="1" t="s">
        <v>877</v>
      </c>
      <c r="H205" s="1" t="s">
        <v>878</v>
      </c>
      <c r="I205" s="1" t="s">
        <v>29</v>
      </c>
      <c r="J205" s="1" t="s">
        <v>879</v>
      </c>
      <c r="K205" s="1" t="b">
        <v>0</v>
      </c>
      <c r="L205" s="1" t="s">
        <v>22</v>
      </c>
      <c r="M205" s="1" t="s">
        <v>16</v>
      </c>
      <c r="N205" s="1" t="s">
        <v>16</v>
      </c>
      <c r="O205" s="1" t="s">
        <v>9935</v>
      </c>
      <c r="P205" s="1" t="s">
        <v>16</v>
      </c>
      <c r="Q205" s="1">
        <v>100</v>
      </c>
      <c r="R205" s="1">
        <v>1068469</v>
      </c>
      <c r="S205" s="1">
        <v>1068469</v>
      </c>
    </row>
    <row r="206" spans="1:19" ht="12.5" x14ac:dyDescent="0.25">
      <c r="A206" s="1">
        <v>178</v>
      </c>
      <c r="B206" s="1" t="s">
        <v>880</v>
      </c>
      <c r="C206" s="1" t="s">
        <v>15</v>
      </c>
      <c r="D206" s="1" t="s">
        <v>15</v>
      </c>
      <c r="E206" s="1">
        <v>178</v>
      </c>
      <c r="F206" s="1" t="s">
        <v>881</v>
      </c>
      <c r="G206" s="1" t="s">
        <v>882</v>
      </c>
      <c r="H206" s="1" t="s">
        <v>883</v>
      </c>
      <c r="I206" s="1" t="s">
        <v>29</v>
      </c>
      <c r="J206" s="1" t="s">
        <v>884</v>
      </c>
      <c r="K206" s="1" t="b">
        <v>1</v>
      </c>
      <c r="L206" s="1" t="s">
        <v>31</v>
      </c>
      <c r="M206" s="1">
        <v>2021</v>
      </c>
      <c r="N206" s="1" t="s">
        <v>52</v>
      </c>
      <c r="O206" s="1" t="s">
        <v>9935</v>
      </c>
      <c r="P206" s="1" t="s">
        <v>16</v>
      </c>
      <c r="Q206" s="1">
        <v>100</v>
      </c>
      <c r="R206" s="1">
        <v>45466.05</v>
      </c>
      <c r="S206" s="1">
        <v>45466.05</v>
      </c>
    </row>
    <row r="207" spans="1:19" ht="12.5" x14ac:dyDescent="0.25">
      <c r="A207" s="1">
        <v>179</v>
      </c>
      <c r="B207" s="1" t="s">
        <v>885</v>
      </c>
      <c r="C207" s="1" t="s">
        <v>15</v>
      </c>
      <c r="D207" s="1" t="s">
        <v>15</v>
      </c>
      <c r="E207" s="1">
        <v>179</v>
      </c>
      <c r="F207" s="1" t="s">
        <v>886</v>
      </c>
      <c r="G207" s="1" t="s">
        <v>887</v>
      </c>
      <c r="H207" s="1" t="s">
        <v>888</v>
      </c>
      <c r="I207" s="1" t="s">
        <v>29</v>
      </c>
      <c r="J207" s="1" t="s">
        <v>889</v>
      </c>
      <c r="K207" s="1" t="b">
        <v>0</v>
      </c>
      <c r="L207" s="1" t="s">
        <v>22</v>
      </c>
      <c r="M207" s="1" t="s">
        <v>16</v>
      </c>
      <c r="N207" s="1" t="s">
        <v>16</v>
      </c>
      <c r="O207" s="1" t="s">
        <v>9935</v>
      </c>
      <c r="P207" s="1" t="s">
        <v>16</v>
      </c>
      <c r="Q207" s="1">
        <v>100</v>
      </c>
      <c r="R207" s="1">
        <v>500000</v>
      </c>
      <c r="S207" s="1">
        <v>500000</v>
      </c>
    </row>
    <row r="208" spans="1:19" ht="12.5" x14ac:dyDescent="0.25">
      <c r="A208" s="1">
        <v>180</v>
      </c>
      <c r="B208" s="1" t="s">
        <v>890</v>
      </c>
      <c r="C208" s="1" t="s">
        <v>15</v>
      </c>
      <c r="D208" s="1" t="s">
        <v>15</v>
      </c>
      <c r="E208" s="1">
        <v>180</v>
      </c>
      <c r="F208" s="1" t="s">
        <v>891</v>
      </c>
      <c r="G208" s="1" t="s">
        <v>892</v>
      </c>
      <c r="H208" s="1" t="s">
        <v>893</v>
      </c>
      <c r="I208" s="1" t="s">
        <v>29</v>
      </c>
      <c r="J208" s="1" t="s">
        <v>894</v>
      </c>
      <c r="K208" s="1" t="b">
        <v>0</v>
      </c>
      <c r="L208" s="1" t="s">
        <v>22</v>
      </c>
      <c r="M208" s="1" t="s">
        <v>16</v>
      </c>
      <c r="N208" s="1" t="s">
        <v>16</v>
      </c>
      <c r="O208" s="1" t="s">
        <v>9935</v>
      </c>
      <c r="P208" s="1" t="s">
        <v>16</v>
      </c>
      <c r="Q208" s="1">
        <v>100</v>
      </c>
      <c r="R208" s="1">
        <v>1000000</v>
      </c>
      <c r="S208" s="1">
        <v>1000000</v>
      </c>
    </row>
    <row r="209" spans="1:19" ht="12.5" x14ac:dyDescent="0.25">
      <c r="A209" s="1" t="s">
        <v>16</v>
      </c>
      <c r="B209" s="1" t="s">
        <v>16</v>
      </c>
      <c r="C209" s="1" t="s">
        <v>16</v>
      </c>
      <c r="D209" s="1" t="s">
        <v>16</v>
      </c>
      <c r="E209" s="1">
        <v>181</v>
      </c>
      <c r="F209" s="1" t="s">
        <v>895</v>
      </c>
      <c r="G209" s="1" t="s">
        <v>896</v>
      </c>
      <c r="H209" s="1" t="s">
        <v>897</v>
      </c>
      <c r="I209" s="1" t="s">
        <v>29</v>
      </c>
      <c r="J209" s="1" t="s">
        <v>898</v>
      </c>
      <c r="K209" s="1" t="b">
        <v>0</v>
      </c>
      <c r="L209" s="1" t="s">
        <v>22</v>
      </c>
      <c r="M209" s="1">
        <v>2022</v>
      </c>
      <c r="N209" s="1" t="s">
        <v>45</v>
      </c>
      <c r="O209" s="1" t="s">
        <v>9935</v>
      </c>
      <c r="P209" s="1" t="s">
        <v>16</v>
      </c>
      <c r="R209" s="1">
        <v>1450000</v>
      </c>
    </row>
    <row r="210" spans="1:19" ht="12.5" x14ac:dyDescent="0.25">
      <c r="A210" s="1">
        <v>182</v>
      </c>
      <c r="B210" s="1" t="s">
        <v>899</v>
      </c>
      <c r="C210" s="1" t="s">
        <v>15</v>
      </c>
      <c r="D210" s="1" t="s">
        <v>15</v>
      </c>
      <c r="E210" s="1">
        <v>182</v>
      </c>
      <c r="F210" s="1" t="s">
        <v>901</v>
      </c>
      <c r="G210" s="1" t="s">
        <v>900</v>
      </c>
      <c r="H210" s="1" t="s">
        <v>16</v>
      </c>
      <c r="I210" s="1" t="s">
        <v>29</v>
      </c>
      <c r="J210" s="1" t="s">
        <v>902</v>
      </c>
      <c r="K210" s="1" t="b">
        <v>1</v>
      </c>
      <c r="L210" s="1" t="s">
        <v>31</v>
      </c>
      <c r="M210" s="1" t="s">
        <v>16</v>
      </c>
      <c r="N210" s="1" t="s">
        <v>16</v>
      </c>
      <c r="O210" s="1" t="s">
        <v>9935</v>
      </c>
      <c r="P210" s="1" t="s">
        <v>16</v>
      </c>
      <c r="Q210" s="1">
        <v>100</v>
      </c>
      <c r="R210" s="1">
        <v>466295.8</v>
      </c>
      <c r="S210" s="1">
        <v>466295.8</v>
      </c>
    </row>
    <row r="211" spans="1:19" ht="12.5" x14ac:dyDescent="0.25">
      <c r="A211" s="1">
        <v>183</v>
      </c>
      <c r="B211" s="1" t="s">
        <v>903</v>
      </c>
      <c r="C211" s="1" t="s">
        <v>15</v>
      </c>
      <c r="D211" s="1" t="s">
        <v>15</v>
      </c>
      <c r="E211" s="1">
        <v>183</v>
      </c>
      <c r="F211" s="1" t="s">
        <v>904</v>
      </c>
      <c r="G211" s="1" t="s">
        <v>905</v>
      </c>
      <c r="H211" s="1" t="s">
        <v>16</v>
      </c>
      <c r="I211" s="1" t="s">
        <v>29</v>
      </c>
      <c r="J211" s="1" t="s">
        <v>906</v>
      </c>
      <c r="K211" s="1" t="b">
        <v>0</v>
      </c>
      <c r="L211" s="1" t="s">
        <v>22</v>
      </c>
      <c r="M211" s="1" t="s">
        <v>16</v>
      </c>
      <c r="N211" s="1" t="s">
        <v>16</v>
      </c>
      <c r="O211" s="1" t="s">
        <v>9935</v>
      </c>
      <c r="P211" s="1" t="s">
        <v>16</v>
      </c>
      <c r="Q211" s="1">
        <v>100</v>
      </c>
      <c r="R211" s="1">
        <v>30800</v>
      </c>
      <c r="S211" s="1">
        <v>30800</v>
      </c>
    </row>
    <row r="212" spans="1:19" ht="12.5" x14ac:dyDescent="0.25">
      <c r="A212" s="1">
        <v>184</v>
      </c>
      <c r="B212" s="1" t="s">
        <v>907</v>
      </c>
      <c r="C212" s="1" t="s">
        <v>15</v>
      </c>
      <c r="D212" s="1" t="s">
        <v>15</v>
      </c>
      <c r="E212" s="1">
        <v>184</v>
      </c>
      <c r="F212" s="1" t="s">
        <v>909</v>
      </c>
      <c r="G212" s="1" t="s">
        <v>908</v>
      </c>
      <c r="H212" s="1" t="s">
        <v>16</v>
      </c>
      <c r="I212" s="1" t="s">
        <v>29</v>
      </c>
      <c r="J212" s="1" t="s">
        <v>910</v>
      </c>
      <c r="K212" s="1" t="b">
        <v>1</v>
      </c>
      <c r="L212" s="1" t="s">
        <v>31</v>
      </c>
      <c r="M212" s="1" t="s">
        <v>16</v>
      </c>
      <c r="N212" s="1" t="s">
        <v>16</v>
      </c>
      <c r="O212" s="1" t="s">
        <v>9935</v>
      </c>
      <c r="P212" s="1" t="s">
        <v>16</v>
      </c>
      <c r="Q212" s="1">
        <v>100</v>
      </c>
      <c r="R212" s="1">
        <v>312995.69</v>
      </c>
      <c r="S212" s="1">
        <v>312995.69</v>
      </c>
    </row>
    <row r="213" spans="1:19" ht="12.5" x14ac:dyDescent="0.25">
      <c r="A213" s="1">
        <v>185</v>
      </c>
      <c r="B213" s="1" t="s">
        <v>911</v>
      </c>
      <c r="C213" s="1" t="s">
        <v>15</v>
      </c>
      <c r="D213" s="1" t="s">
        <v>15</v>
      </c>
      <c r="E213" s="1">
        <v>185</v>
      </c>
      <c r="F213" s="1" t="s">
        <v>913</v>
      </c>
      <c r="G213" s="1" t="s">
        <v>912</v>
      </c>
      <c r="H213" s="1" t="s">
        <v>16</v>
      </c>
      <c r="I213" s="1" t="s">
        <v>29</v>
      </c>
      <c r="J213" s="1" t="s">
        <v>914</v>
      </c>
      <c r="K213" s="1" t="b">
        <v>0</v>
      </c>
      <c r="L213" s="1" t="s">
        <v>22</v>
      </c>
      <c r="M213" s="1" t="s">
        <v>16</v>
      </c>
      <c r="N213" s="1" t="s">
        <v>16</v>
      </c>
      <c r="O213" s="1" t="s">
        <v>9935</v>
      </c>
      <c r="P213" s="1" t="s">
        <v>16</v>
      </c>
      <c r="Q213" s="1">
        <v>100</v>
      </c>
      <c r="R213" s="1">
        <v>275749.8</v>
      </c>
      <c r="S213" s="1">
        <v>275749.8</v>
      </c>
    </row>
    <row r="214" spans="1:19" ht="12.5" x14ac:dyDescent="0.25">
      <c r="A214" s="1">
        <v>186</v>
      </c>
      <c r="B214" s="1" t="s">
        <v>915</v>
      </c>
      <c r="C214" s="1" t="s">
        <v>15</v>
      </c>
      <c r="D214" s="1" t="s">
        <v>15</v>
      </c>
      <c r="E214" s="1">
        <v>186</v>
      </c>
      <c r="F214" s="1" t="s">
        <v>917</v>
      </c>
      <c r="G214" s="1" t="s">
        <v>916</v>
      </c>
      <c r="H214" s="1" t="s">
        <v>16</v>
      </c>
      <c r="I214" s="1" t="s">
        <v>29</v>
      </c>
      <c r="J214" s="1" t="s">
        <v>918</v>
      </c>
      <c r="K214" s="1" t="b">
        <v>1</v>
      </c>
      <c r="L214" s="1" t="s">
        <v>31</v>
      </c>
      <c r="M214" s="1" t="s">
        <v>16</v>
      </c>
      <c r="N214" s="1" t="s">
        <v>16</v>
      </c>
      <c r="O214" s="1" t="s">
        <v>9935</v>
      </c>
      <c r="P214" s="1" t="s">
        <v>16</v>
      </c>
      <c r="Q214" s="1">
        <v>100</v>
      </c>
      <c r="R214" s="1">
        <v>254196.35</v>
      </c>
      <c r="S214" s="1">
        <v>254196.35</v>
      </c>
    </row>
    <row r="215" spans="1:19" ht="12.5" x14ac:dyDescent="0.25">
      <c r="A215" s="1">
        <v>187</v>
      </c>
      <c r="B215" s="1" t="s">
        <v>919</v>
      </c>
      <c r="C215" s="1" t="s">
        <v>15</v>
      </c>
      <c r="D215" s="1" t="s">
        <v>15</v>
      </c>
      <c r="E215" s="1">
        <v>187</v>
      </c>
      <c r="F215" s="1" t="s">
        <v>920</v>
      </c>
      <c r="G215" s="1" t="s">
        <v>921</v>
      </c>
      <c r="H215" s="1" t="s">
        <v>16</v>
      </c>
      <c r="I215" s="1" t="s">
        <v>29</v>
      </c>
      <c r="J215" s="1" t="s">
        <v>922</v>
      </c>
      <c r="K215" s="1" t="b">
        <v>0</v>
      </c>
      <c r="L215" s="1" t="s">
        <v>22</v>
      </c>
      <c r="M215" s="1" t="s">
        <v>16</v>
      </c>
      <c r="N215" s="1" t="s">
        <v>16</v>
      </c>
      <c r="O215" s="1" t="s">
        <v>9935</v>
      </c>
      <c r="P215" s="1" t="s">
        <v>16</v>
      </c>
      <c r="Q215" s="1">
        <v>100</v>
      </c>
      <c r="R215" s="1">
        <v>42000</v>
      </c>
      <c r="S215" s="1">
        <v>42000</v>
      </c>
    </row>
    <row r="216" spans="1:19" ht="12.5" x14ac:dyDescent="0.25">
      <c r="A216" s="1" t="s">
        <v>16</v>
      </c>
      <c r="B216" s="1" t="s">
        <v>16</v>
      </c>
      <c r="C216" s="1" t="s">
        <v>16</v>
      </c>
      <c r="D216" s="1" t="s">
        <v>16</v>
      </c>
      <c r="E216" s="1">
        <v>188</v>
      </c>
      <c r="F216" s="1" t="s">
        <v>923</v>
      </c>
      <c r="G216" s="1" t="s">
        <v>924</v>
      </c>
      <c r="H216" s="1" t="s">
        <v>16</v>
      </c>
      <c r="I216" s="1" t="s">
        <v>29</v>
      </c>
      <c r="J216" s="1" t="s">
        <v>925</v>
      </c>
      <c r="K216" s="1" t="b">
        <v>0</v>
      </c>
      <c r="L216" s="1" t="s">
        <v>22</v>
      </c>
      <c r="M216" s="1" t="s">
        <v>16</v>
      </c>
      <c r="N216" s="1" t="s">
        <v>16</v>
      </c>
      <c r="O216" s="1" t="s">
        <v>9935</v>
      </c>
      <c r="P216" s="1" t="s">
        <v>16</v>
      </c>
      <c r="R216" s="1">
        <v>396200</v>
      </c>
    </row>
    <row r="217" spans="1:19" ht="12.5" x14ac:dyDescent="0.25">
      <c r="A217" s="1">
        <v>189</v>
      </c>
      <c r="B217" s="1" t="s">
        <v>926</v>
      </c>
      <c r="C217" s="1" t="s">
        <v>15</v>
      </c>
      <c r="D217" s="1" t="s">
        <v>15</v>
      </c>
      <c r="E217" s="1">
        <v>189</v>
      </c>
      <c r="F217" s="1" t="s">
        <v>927</v>
      </c>
      <c r="G217" s="1" t="s">
        <v>928</v>
      </c>
      <c r="H217" s="1" t="s">
        <v>929</v>
      </c>
      <c r="I217" s="1" t="s">
        <v>29</v>
      </c>
      <c r="J217" s="1" t="s">
        <v>930</v>
      </c>
      <c r="K217" s="1" t="b">
        <v>1</v>
      </c>
      <c r="L217" s="1" t="s">
        <v>31</v>
      </c>
      <c r="M217" s="1" t="s">
        <v>16</v>
      </c>
      <c r="N217" s="1" t="s">
        <v>16</v>
      </c>
      <c r="O217" s="1" t="s">
        <v>9935</v>
      </c>
      <c r="P217" s="1" t="s">
        <v>16</v>
      </c>
      <c r="Q217" s="1">
        <v>100</v>
      </c>
      <c r="R217" s="1">
        <v>125964.7994</v>
      </c>
      <c r="S217" s="1">
        <v>125964.7994</v>
      </c>
    </row>
    <row r="218" spans="1:19" ht="12.5" x14ac:dyDescent="0.25">
      <c r="A218" s="1">
        <v>190</v>
      </c>
      <c r="B218" s="1" t="s">
        <v>931</v>
      </c>
      <c r="C218" s="1" t="s">
        <v>15</v>
      </c>
      <c r="D218" s="1" t="s">
        <v>15</v>
      </c>
      <c r="E218" s="1">
        <v>190</v>
      </c>
      <c r="F218" s="1" t="s">
        <v>932</v>
      </c>
      <c r="G218" s="1" t="s">
        <v>933</v>
      </c>
      <c r="H218" s="1" t="s">
        <v>929</v>
      </c>
      <c r="I218" s="1" t="s">
        <v>29</v>
      </c>
      <c r="J218" s="1" t="s">
        <v>934</v>
      </c>
      <c r="K218" s="1" t="b">
        <v>1</v>
      </c>
      <c r="L218" s="1" t="s">
        <v>31</v>
      </c>
      <c r="M218" s="1" t="s">
        <v>16</v>
      </c>
      <c r="N218" s="1" t="s">
        <v>16</v>
      </c>
      <c r="O218" s="1" t="s">
        <v>9935</v>
      </c>
      <c r="P218" s="1" t="s">
        <v>16</v>
      </c>
      <c r="Q218" s="1">
        <v>100</v>
      </c>
      <c r="R218" s="1">
        <v>123182.2834</v>
      </c>
      <c r="S218" s="1">
        <v>123182.2834</v>
      </c>
    </row>
    <row r="219" spans="1:19" ht="12.5" x14ac:dyDescent="0.25">
      <c r="A219" s="1">
        <v>191</v>
      </c>
      <c r="B219" s="1" t="s">
        <v>935</v>
      </c>
      <c r="C219" s="1" t="s">
        <v>15</v>
      </c>
      <c r="D219" s="1" t="s">
        <v>15</v>
      </c>
      <c r="E219" s="1">
        <v>191</v>
      </c>
      <c r="F219" s="1" t="s">
        <v>936</v>
      </c>
      <c r="G219" s="1" t="s">
        <v>937</v>
      </c>
      <c r="H219" s="1" t="s">
        <v>938</v>
      </c>
      <c r="I219" s="1" t="s">
        <v>29</v>
      </c>
      <c r="J219" s="1" t="s">
        <v>939</v>
      </c>
      <c r="K219" s="1" t="b">
        <v>1</v>
      </c>
      <c r="L219" s="1" t="s">
        <v>31</v>
      </c>
      <c r="M219" s="1">
        <v>2021</v>
      </c>
      <c r="N219" s="1" t="s">
        <v>32</v>
      </c>
      <c r="O219" s="1" t="s">
        <v>9935</v>
      </c>
      <c r="P219" s="1" t="s">
        <v>16</v>
      </c>
      <c r="Q219" s="1">
        <v>100</v>
      </c>
      <c r="R219" s="1">
        <v>300000</v>
      </c>
      <c r="S219" s="1">
        <v>300000</v>
      </c>
    </row>
    <row r="220" spans="1:19" ht="12.5" x14ac:dyDescent="0.25">
      <c r="A220" s="1">
        <v>192</v>
      </c>
      <c r="B220" s="1" t="s">
        <v>940</v>
      </c>
      <c r="C220" s="1" t="s">
        <v>15</v>
      </c>
      <c r="D220" s="1" t="s">
        <v>15</v>
      </c>
      <c r="E220" s="1">
        <v>192</v>
      </c>
      <c r="F220" s="1" t="s">
        <v>941</v>
      </c>
      <c r="G220" s="1" t="s">
        <v>942</v>
      </c>
      <c r="H220" s="1" t="s">
        <v>943</v>
      </c>
      <c r="I220" s="1" t="s">
        <v>29</v>
      </c>
      <c r="J220" s="1" t="s">
        <v>944</v>
      </c>
      <c r="K220" s="1" t="b">
        <v>1</v>
      </c>
      <c r="L220" s="1" t="s">
        <v>31</v>
      </c>
      <c r="M220" s="1">
        <v>2021</v>
      </c>
      <c r="N220" s="1" t="s">
        <v>32</v>
      </c>
      <c r="O220" s="1" t="s">
        <v>9935</v>
      </c>
      <c r="P220" s="1" t="s">
        <v>9953</v>
      </c>
      <c r="Q220" s="1">
        <v>100</v>
      </c>
      <c r="R220" s="1">
        <v>54833.42</v>
      </c>
      <c r="S220" s="1">
        <v>54833.42</v>
      </c>
    </row>
    <row r="221" spans="1:19" ht="12.5" x14ac:dyDescent="0.25">
      <c r="A221" s="1">
        <v>193</v>
      </c>
      <c r="B221" s="1" t="s">
        <v>945</v>
      </c>
      <c r="C221" s="1" t="s">
        <v>15</v>
      </c>
      <c r="D221" s="1" t="s">
        <v>15</v>
      </c>
      <c r="E221" s="1">
        <v>193</v>
      </c>
      <c r="F221" s="1" t="s">
        <v>946</v>
      </c>
      <c r="G221" s="1" t="s">
        <v>947</v>
      </c>
      <c r="H221" s="1" t="s">
        <v>948</v>
      </c>
      <c r="I221" s="1" t="s">
        <v>29</v>
      </c>
      <c r="J221" s="1" t="s">
        <v>949</v>
      </c>
      <c r="K221" s="1" t="b">
        <v>1</v>
      </c>
      <c r="L221" s="1" t="s">
        <v>31</v>
      </c>
      <c r="M221" s="1" t="s">
        <v>16</v>
      </c>
      <c r="N221" s="1" t="s">
        <v>16</v>
      </c>
      <c r="O221" s="1" t="s">
        <v>9935</v>
      </c>
      <c r="P221" s="1" t="s">
        <v>16</v>
      </c>
      <c r="Q221" s="1">
        <v>100</v>
      </c>
      <c r="R221" s="1">
        <v>250000</v>
      </c>
      <c r="S221" s="1">
        <v>250000</v>
      </c>
    </row>
    <row r="222" spans="1:19" ht="12.5" x14ac:dyDescent="0.25">
      <c r="A222" s="1">
        <v>194</v>
      </c>
      <c r="B222" s="1" t="s">
        <v>950</v>
      </c>
      <c r="C222" s="1" t="s">
        <v>15</v>
      </c>
      <c r="D222" s="1" t="s">
        <v>15</v>
      </c>
      <c r="E222" s="1">
        <v>194</v>
      </c>
      <c r="F222" s="1" t="s">
        <v>951</v>
      </c>
      <c r="G222" s="1" t="s">
        <v>952</v>
      </c>
      <c r="H222" s="1" t="s">
        <v>948</v>
      </c>
      <c r="I222" s="1" t="s">
        <v>29</v>
      </c>
      <c r="J222" s="1" t="s">
        <v>953</v>
      </c>
      <c r="K222" s="1" t="b">
        <v>1</v>
      </c>
      <c r="L222" s="1" t="s">
        <v>31</v>
      </c>
      <c r="M222" s="1" t="s">
        <v>16</v>
      </c>
      <c r="N222" s="1" t="s">
        <v>16</v>
      </c>
      <c r="O222" s="1" t="s">
        <v>9935</v>
      </c>
      <c r="P222" s="1" t="s">
        <v>16</v>
      </c>
      <c r="Q222" s="1">
        <v>100</v>
      </c>
      <c r="R222" s="1">
        <v>150000</v>
      </c>
      <c r="S222" s="1">
        <v>150000</v>
      </c>
    </row>
    <row r="223" spans="1:19" ht="12.5" x14ac:dyDescent="0.25">
      <c r="A223" s="1">
        <v>195</v>
      </c>
      <c r="B223" s="1" t="s">
        <v>954</v>
      </c>
      <c r="C223" s="1" t="s">
        <v>15</v>
      </c>
      <c r="D223" s="1" t="s">
        <v>15</v>
      </c>
      <c r="E223" s="1">
        <v>195</v>
      </c>
      <c r="F223" s="1" t="s">
        <v>955</v>
      </c>
      <c r="G223" s="1" t="s">
        <v>956</v>
      </c>
      <c r="H223" s="1" t="s">
        <v>957</v>
      </c>
      <c r="I223" s="1" t="s">
        <v>20</v>
      </c>
      <c r="J223" s="1" t="s">
        <v>958</v>
      </c>
      <c r="K223" s="1" t="b">
        <v>0</v>
      </c>
      <c r="L223" s="1" t="s">
        <v>22</v>
      </c>
      <c r="M223" s="1">
        <v>2022</v>
      </c>
      <c r="N223" s="1" t="s">
        <v>45</v>
      </c>
      <c r="O223" s="1" t="s">
        <v>9935</v>
      </c>
      <c r="P223" s="1" t="s">
        <v>16</v>
      </c>
      <c r="Q223" s="1">
        <v>100</v>
      </c>
      <c r="R223" s="1">
        <v>650000</v>
      </c>
      <c r="S223" s="1">
        <v>650000</v>
      </c>
    </row>
    <row r="224" spans="1:19" ht="12.5" x14ac:dyDescent="0.25">
      <c r="A224" s="1">
        <v>196</v>
      </c>
      <c r="B224" s="1" t="s">
        <v>959</v>
      </c>
      <c r="C224" s="1" t="s">
        <v>15</v>
      </c>
      <c r="D224" s="1" t="s">
        <v>15</v>
      </c>
      <c r="E224" s="1">
        <v>196</v>
      </c>
      <c r="F224" s="1" t="s">
        <v>960</v>
      </c>
      <c r="G224" s="1" t="s">
        <v>961</v>
      </c>
      <c r="H224" s="1" t="s">
        <v>962</v>
      </c>
      <c r="I224" s="1" t="s">
        <v>29</v>
      </c>
      <c r="J224" s="1" t="s">
        <v>963</v>
      </c>
      <c r="K224" s="1" t="b">
        <v>0</v>
      </c>
      <c r="L224" s="1" t="s">
        <v>22</v>
      </c>
      <c r="M224" s="1" t="s">
        <v>16</v>
      </c>
      <c r="N224" s="1" t="s">
        <v>16</v>
      </c>
      <c r="O224" s="1" t="s">
        <v>9935</v>
      </c>
      <c r="P224" s="1" t="s">
        <v>16</v>
      </c>
      <c r="Q224" s="1">
        <v>100</v>
      </c>
      <c r="R224" s="1">
        <v>5000000</v>
      </c>
      <c r="S224" s="1">
        <v>5000000</v>
      </c>
    </row>
    <row r="225" spans="1:19" ht="12.5" x14ac:dyDescent="0.25">
      <c r="A225" s="1" t="s">
        <v>16</v>
      </c>
      <c r="B225" s="1" t="s">
        <v>16</v>
      </c>
      <c r="C225" s="1" t="s">
        <v>16</v>
      </c>
      <c r="D225" s="1" t="s">
        <v>16</v>
      </c>
      <c r="E225" s="1">
        <v>197</v>
      </c>
      <c r="F225" s="1" t="s">
        <v>964</v>
      </c>
      <c r="G225" s="1" t="s">
        <v>965</v>
      </c>
      <c r="H225" s="1" t="s">
        <v>966</v>
      </c>
      <c r="I225" s="1" t="s">
        <v>29</v>
      </c>
      <c r="J225" s="1" t="s">
        <v>967</v>
      </c>
      <c r="K225" s="1" t="b">
        <v>0</v>
      </c>
      <c r="L225" s="1" t="s">
        <v>22</v>
      </c>
      <c r="M225" s="1" t="s">
        <v>16</v>
      </c>
      <c r="N225" s="1" t="s">
        <v>16</v>
      </c>
      <c r="O225" s="1" t="s">
        <v>9935</v>
      </c>
      <c r="P225" s="1" t="s">
        <v>16</v>
      </c>
      <c r="R225" s="1">
        <v>1500000</v>
      </c>
    </row>
    <row r="226" spans="1:19" ht="12.5" x14ac:dyDescent="0.25">
      <c r="A226" s="1">
        <v>198</v>
      </c>
      <c r="B226" s="1" t="s">
        <v>968</v>
      </c>
      <c r="C226" s="1" t="s">
        <v>15</v>
      </c>
      <c r="D226" s="1" t="s">
        <v>15</v>
      </c>
      <c r="E226" s="1">
        <v>198</v>
      </c>
      <c r="F226" s="1" t="s">
        <v>969</v>
      </c>
      <c r="G226" s="1" t="s">
        <v>970</v>
      </c>
      <c r="H226" s="1" t="s">
        <v>971</v>
      </c>
      <c r="I226" s="1" t="s">
        <v>29</v>
      </c>
      <c r="J226" s="1" t="s">
        <v>972</v>
      </c>
      <c r="K226" s="1" t="b">
        <v>0</v>
      </c>
      <c r="L226" s="1" t="s">
        <v>22</v>
      </c>
      <c r="M226" s="1" t="s">
        <v>16</v>
      </c>
      <c r="N226" s="1" t="s">
        <v>16</v>
      </c>
      <c r="O226" s="1" t="s">
        <v>9935</v>
      </c>
      <c r="P226" s="1" t="s">
        <v>16</v>
      </c>
      <c r="Q226" s="1">
        <v>100</v>
      </c>
      <c r="R226" s="1">
        <v>1500000</v>
      </c>
      <c r="S226" s="1">
        <v>1500000</v>
      </c>
    </row>
    <row r="227" spans="1:19" ht="12.5" x14ac:dyDescent="0.25">
      <c r="A227" s="1">
        <v>199</v>
      </c>
      <c r="B227" s="1" t="s">
        <v>973</v>
      </c>
      <c r="C227" s="1" t="s">
        <v>15</v>
      </c>
      <c r="D227" s="1" t="s">
        <v>15</v>
      </c>
      <c r="E227" s="1">
        <v>199</v>
      </c>
      <c r="F227" s="1" t="s">
        <v>974</v>
      </c>
      <c r="G227" s="1" t="s">
        <v>975</v>
      </c>
      <c r="H227" s="1" t="s">
        <v>976</v>
      </c>
      <c r="I227" s="1" t="s">
        <v>29</v>
      </c>
      <c r="J227" s="1" t="s">
        <v>977</v>
      </c>
      <c r="K227" s="1" t="b">
        <v>0</v>
      </c>
      <c r="L227" s="1" t="s">
        <v>22</v>
      </c>
      <c r="M227" s="1">
        <v>2022</v>
      </c>
      <c r="N227" s="1" t="s">
        <v>23</v>
      </c>
      <c r="O227" s="1" t="s">
        <v>9935</v>
      </c>
      <c r="P227" s="1" t="s">
        <v>16</v>
      </c>
      <c r="Q227" s="1">
        <v>100</v>
      </c>
      <c r="R227" s="1">
        <v>1000000</v>
      </c>
      <c r="S227" s="1">
        <v>1000000</v>
      </c>
    </row>
    <row r="228" spans="1:19" ht="12.5" x14ac:dyDescent="0.25">
      <c r="A228" s="1">
        <v>200</v>
      </c>
      <c r="B228" s="1" t="s">
        <v>978</v>
      </c>
      <c r="C228" s="1" t="s">
        <v>15</v>
      </c>
      <c r="D228" s="1" t="s">
        <v>15</v>
      </c>
      <c r="E228" s="1">
        <v>200</v>
      </c>
      <c r="F228" s="1" t="s">
        <v>979</v>
      </c>
      <c r="G228" s="1" t="s">
        <v>980</v>
      </c>
      <c r="H228" s="1" t="s">
        <v>981</v>
      </c>
      <c r="I228" s="1" t="s">
        <v>20</v>
      </c>
      <c r="J228" s="1" t="s">
        <v>16</v>
      </c>
      <c r="K228" s="1" t="b">
        <v>0</v>
      </c>
      <c r="L228" s="1" t="s">
        <v>22</v>
      </c>
      <c r="M228" s="1" t="s">
        <v>16</v>
      </c>
      <c r="N228" s="1" t="s">
        <v>16</v>
      </c>
      <c r="O228" s="1" t="s">
        <v>9935</v>
      </c>
      <c r="P228" s="1" t="s">
        <v>16</v>
      </c>
      <c r="Q228" s="1">
        <v>100</v>
      </c>
      <c r="R228" s="1">
        <v>150000</v>
      </c>
      <c r="S228" s="1">
        <v>150000</v>
      </c>
    </row>
    <row r="229" spans="1:19" ht="12.5" x14ac:dyDescent="0.25">
      <c r="A229" s="1">
        <v>201</v>
      </c>
      <c r="B229" s="1" t="s">
        <v>982</v>
      </c>
      <c r="C229" s="1" t="s">
        <v>15</v>
      </c>
      <c r="D229" s="1" t="s">
        <v>15</v>
      </c>
      <c r="E229" s="1">
        <v>201</v>
      </c>
      <c r="F229" s="1" t="s">
        <v>983</v>
      </c>
      <c r="G229" s="1" t="s">
        <v>984</v>
      </c>
      <c r="H229" s="1" t="s">
        <v>985</v>
      </c>
      <c r="I229" s="1" t="s">
        <v>20</v>
      </c>
      <c r="J229" s="1" t="s">
        <v>986</v>
      </c>
      <c r="K229" s="1" t="b">
        <v>0</v>
      </c>
      <c r="L229" s="1" t="s">
        <v>22</v>
      </c>
      <c r="M229" s="1" t="s">
        <v>16</v>
      </c>
      <c r="N229" s="1" t="s">
        <v>16</v>
      </c>
      <c r="O229" s="1" t="s">
        <v>9935</v>
      </c>
      <c r="P229" s="1" t="s">
        <v>16</v>
      </c>
      <c r="Q229" s="1">
        <v>100</v>
      </c>
      <c r="R229" s="1">
        <v>50000</v>
      </c>
      <c r="S229" s="1">
        <v>50000</v>
      </c>
    </row>
    <row r="230" spans="1:19" ht="12.5" x14ac:dyDescent="0.25">
      <c r="A230" s="1">
        <v>202</v>
      </c>
      <c r="B230" s="1" t="s">
        <v>987</v>
      </c>
      <c r="C230" s="1" t="s">
        <v>15</v>
      </c>
      <c r="D230" s="1" t="s">
        <v>15</v>
      </c>
      <c r="E230" s="1">
        <v>202</v>
      </c>
      <c r="F230" s="1" t="s">
        <v>988</v>
      </c>
      <c r="G230" s="1" t="s">
        <v>989</v>
      </c>
      <c r="H230" s="1" t="s">
        <v>990</v>
      </c>
      <c r="I230" s="1" t="s">
        <v>20</v>
      </c>
      <c r="J230" s="1" t="s">
        <v>991</v>
      </c>
      <c r="K230" s="1" t="b">
        <v>0</v>
      </c>
      <c r="L230" s="1" t="s">
        <v>22</v>
      </c>
      <c r="M230" s="1" t="s">
        <v>16</v>
      </c>
      <c r="N230" s="1" t="s">
        <v>16</v>
      </c>
      <c r="O230" s="1" t="s">
        <v>9935</v>
      </c>
      <c r="P230" s="1" t="s">
        <v>16</v>
      </c>
      <c r="Q230" s="1">
        <v>100</v>
      </c>
      <c r="R230" s="1">
        <v>900000</v>
      </c>
      <c r="S230" s="1">
        <v>900000</v>
      </c>
    </row>
    <row r="231" spans="1:19" ht="12.5" x14ac:dyDescent="0.25">
      <c r="A231" s="1">
        <v>203</v>
      </c>
      <c r="B231" s="1" t="s">
        <v>992</v>
      </c>
      <c r="C231" s="1" t="s">
        <v>15</v>
      </c>
      <c r="D231" s="1" t="s">
        <v>15</v>
      </c>
      <c r="E231" s="1">
        <v>203</v>
      </c>
      <c r="F231" s="1" t="s">
        <v>993</v>
      </c>
      <c r="G231" s="1" t="s">
        <v>994</v>
      </c>
      <c r="H231" s="1" t="s">
        <v>995</v>
      </c>
      <c r="I231" s="1" t="s">
        <v>20</v>
      </c>
      <c r="J231" s="1" t="s">
        <v>996</v>
      </c>
      <c r="K231" s="1" t="b">
        <v>0</v>
      </c>
      <c r="L231" s="1" t="s">
        <v>22</v>
      </c>
      <c r="M231" s="1">
        <v>2022</v>
      </c>
      <c r="N231" s="1" t="s">
        <v>16</v>
      </c>
      <c r="O231" s="1" t="s">
        <v>9935</v>
      </c>
      <c r="P231" s="1" t="s">
        <v>9954</v>
      </c>
      <c r="Q231" s="1">
        <v>100</v>
      </c>
      <c r="R231" s="1">
        <v>370000</v>
      </c>
      <c r="S231" s="1">
        <v>370000</v>
      </c>
    </row>
    <row r="232" spans="1:19" ht="12.5" x14ac:dyDescent="0.25">
      <c r="A232" s="1" t="s">
        <v>16</v>
      </c>
      <c r="B232" s="1" t="s">
        <v>16</v>
      </c>
      <c r="C232" s="1" t="s">
        <v>16</v>
      </c>
      <c r="D232" s="1" t="s">
        <v>16</v>
      </c>
      <c r="E232" s="1">
        <v>204</v>
      </c>
      <c r="F232" s="1" t="s">
        <v>997</v>
      </c>
      <c r="G232" s="1" t="s">
        <v>998</v>
      </c>
      <c r="H232" s="1" t="s">
        <v>999</v>
      </c>
      <c r="I232" s="1" t="s">
        <v>20</v>
      </c>
      <c r="J232" s="1" t="s">
        <v>16</v>
      </c>
      <c r="K232" s="1" t="b">
        <v>0</v>
      </c>
      <c r="L232" s="1" t="s">
        <v>22</v>
      </c>
      <c r="M232" s="1" t="s">
        <v>16</v>
      </c>
      <c r="N232" s="1" t="s">
        <v>16</v>
      </c>
      <c r="O232" s="1" t="s">
        <v>9935</v>
      </c>
      <c r="P232" s="1" t="s">
        <v>16</v>
      </c>
      <c r="R232" s="1">
        <v>2000000</v>
      </c>
    </row>
    <row r="233" spans="1:19" ht="12.5" x14ac:dyDescent="0.25">
      <c r="A233" s="1">
        <v>205</v>
      </c>
      <c r="B233" s="1" t="s">
        <v>1000</v>
      </c>
      <c r="C233" s="1" t="s">
        <v>15</v>
      </c>
      <c r="D233" s="1" t="s">
        <v>15</v>
      </c>
      <c r="E233" s="1">
        <v>205</v>
      </c>
      <c r="F233" s="1" t="s">
        <v>1001</v>
      </c>
      <c r="G233" s="1" t="s">
        <v>1002</v>
      </c>
      <c r="H233" s="1" t="s">
        <v>1003</v>
      </c>
      <c r="I233" s="1" t="s">
        <v>20</v>
      </c>
      <c r="J233" s="1" t="s">
        <v>1004</v>
      </c>
      <c r="K233" s="1" t="b">
        <v>0</v>
      </c>
      <c r="L233" s="1" t="s">
        <v>22</v>
      </c>
      <c r="M233" s="1" t="s">
        <v>16</v>
      </c>
      <c r="N233" s="1" t="s">
        <v>16</v>
      </c>
      <c r="O233" s="1" t="s">
        <v>9935</v>
      </c>
      <c r="P233" s="1" t="s">
        <v>16</v>
      </c>
      <c r="Q233" s="1">
        <v>100</v>
      </c>
      <c r="R233" s="1">
        <v>425000</v>
      </c>
      <c r="S233" s="1">
        <v>425000</v>
      </c>
    </row>
    <row r="234" spans="1:19" ht="12.5" x14ac:dyDescent="0.25">
      <c r="A234" s="1">
        <v>206</v>
      </c>
      <c r="B234" s="1" t="s">
        <v>1005</v>
      </c>
      <c r="C234" s="1" t="s">
        <v>15</v>
      </c>
      <c r="D234" s="1" t="s">
        <v>15</v>
      </c>
      <c r="E234" s="1">
        <v>206</v>
      </c>
      <c r="F234" s="1" t="s">
        <v>1006</v>
      </c>
      <c r="G234" s="1" t="s">
        <v>1007</v>
      </c>
      <c r="H234" s="1" t="s">
        <v>1008</v>
      </c>
      <c r="I234" s="1" t="s">
        <v>20</v>
      </c>
      <c r="J234" s="1" t="s">
        <v>1009</v>
      </c>
      <c r="K234" s="1" t="b">
        <v>0</v>
      </c>
      <c r="L234" s="1" t="s">
        <v>22</v>
      </c>
      <c r="M234" s="1" t="s">
        <v>16</v>
      </c>
      <c r="N234" s="1" t="s">
        <v>16</v>
      </c>
      <c r="O234" s="1" t="s">
        <v>9952</v>
      </c>
      <c r="P234" s="1" t="s">
        <v>16</v>
      </c>
      <c r="Q234" s="1">
        <v>100</v>
      </c>
      <c r="R234" s="1">
        <v>250000</v>
      </c>
      <c r="S234" s="1">
        <v>250000</v>
      </c>
    </row>
    <row r="235" spans="1:19" ht="12.5" x14ac:dyDescent="0.25">
      <c r="A235" s="1">
        <v>207</v>
      </c>
      <c r="B235" s="1" t="s">
        <v>1010</v>
      </c>
      <c r="C235" s="1" t="s">
        <v>15</v>
      </c>
      <c r="D235" s="1" t="s">
        <v>15</v>
      </c>
      <c r="E235" s="1">
        <v>207</v>
      </c>
      <c r="F235" s="1" t="s">
        <v>1011</v>
      </c>
      <c r="G235" s="1" t="s">
        <v>1012</v>
      </c>
      <c r="H235" s="1" t="s">
        <v>1013</v>
      </c>
      <c r="I235" s="1" t="s">
        <v>20</v>
      </c>
      <c r="J235" s="1" t="s">
        <v>1014</v>
      </c>
      <c r="K235" s="1" t="b">
        <v>0</v>
      </c>
      <c r="L235" s="1" t="s">
        <v>22</v>
      </c>
      <c r="M235" s="1">
        <v>2023</v>
      </c>
      <c r="N235" s="1" t="s">
        <v>16</v>
      </c>
      <c r="O235" s="1" t="s">
        <v>9935</v>
      </c>
      <c r="P235" s="1" t="s">
        <v>16</v>
      </c>
      <c r="Q235" s="1">
        <v>100</v>
      </c>
      <c r="R235" s="1">
        <v>1150000</v>
      </c>
      <c r="S235" s="1">
        <v>1150000</v>
      </c>
    </row>
    <row r="236" spans="1:19" ht="12.5" x14ac:dyDescent="0.25">
      <c r="A236" s="1">
        <v>208</v>
      </c>
      <c r="B236" s="1" t="s">
        <v>1015</v>
      </c>
      <c r="C236" s="1" t="s">
        <v>15</v>
      </c>
      <c r="D236" s="1" t="s">
        <v>15</v>
      </c>
      <c r="E236" s="1">
        <v>208</v>
      </c>
      <c r="F236" s="1" t="s">
        <v>1016</v>
      </c>
      <c r="G236" s="1" t="s">
        <v>1017</v>
      </c>
      <c r="H236" s="1" t="s">
        <v>1018</v>
      </c>
      <c r="I236" s="1" t="s">
        <v>29</v>
      </c>
      <c r="J236" s="1" t="s">
        <v>1019</v>
      </c>
      <c r="K236" s="1" t="b">
        <v>0</v>
      </c>
      <c r="L236" s="1" t="s">
        <v>22</v>
      </c>
      <c r="M236" s="1">
        <v>2022</v>
      </c>
      <c r="N236" s="1" t="s">
        <v>52</v>
      </c>
      <c r="O236" s="1" t="s">
        <v>9942</v>
      </c>
      <c r="P236" s="1" t="s">
        <v>9955</v>
      </c>
      <c r="Q236" s="1">
        <v>100</v>
      </c>
      <c r="R236" s="1">
        <v>300000</v>
      </c>
      <c r="S236" s="1">
        <v>300000</v>
      </c>
    </row>
    <row r="237" spans="1:19" ht="12.5" x14ac:dyDescent="0.25">
      <c r="A237" s="1">
        <v>209</v>
      </c>
      <c r="B237" s="1" t="s">
        <v>1020</v>
      </c>
      <c r="C237" s="1" t="s">
        <v>15</v>
      </c>
      <c r="D237" s="1" t="s">
        <v>15</v>
      </c>
      <c r="E237" s="1">
        <v>209</v>
      </c>
      <c r="F237" s="1" t="s">
        <v>1021</v>
      </c>
      <c r="G237" s="1" t="s">
        <v>1022</v>
      </c>
      <c r="H237" s="1" t="s">
        <v>1023</v>
      </c>
      <c r="I237" s="1" t="s">
        <v>29</v>
      </c>
      <c r="J237" s="1" t="s">
        <v>1024</v>
      </c>
      <c r="K237" s="1" t="b">
        <v>0</v>
      </c>
      <c r="L237" s="1" t="s">
        <v>22</v>
      </c>
      <c r="M237" s="1">
        <v>2021</v>
      </c>
      <c r="N237" s="1" t="s">
        <v>52</v>
      </c>
      <c r="O237" s="1" t="s">
        <v>9935</v>
      </c>
      <c r="P237" s="1" t="s">
        <v>16</v>
      </c>
      <c r="Q237" s="1">
        <v>100</v>
      </c>
      <c r="R237" s="1">
        <v>85000</v>
      </c>
      <c r="S237" s="1">
        <v>85000</v>
      </c>
    </row>
    <row r="238" spans="1:19" ht="12.5" x14ac:dyDescent="0.25">
      <c r="A238" s="1">
        <v>210</v>
      </c>
      <c r="B238" s="1" t="s">
        <v>1025</v>
      </c>
      <c r="C238" s="1" t="s">
        <v>15</v>
      </c>
      <c r="D238" s="1" t="s">
        <v>15</v>
      </c>
      <c r="E238" s="1">
        <v>210</v>
      </c>
      <c r="F238" s="1" t="s">
        <v>1026</v>
      </c>
      <c r="G238" s="1" t="s">
        <v>1027</v>
      </c>
      <c r="H238" s="1" t="s">
        <v>1028</v>
      </c>
      <c r="I238" s="1" t="s">
        <v>29</v>
      </c>
      <c r="J238" s="1" t="s">
        <v>1029</v>
      </c>
      <c r="K238" s="1" t="b">
        <v>1</v>
      </c>
      <c r="L238" s="1" t="s">
        <v>31</v>
      </c>
      <c r="M238" s="1">
        <v>2022</v>
      </c>
      <c r="N238" s="1" t="s">
        <v>45</v>
      </c>
      <c r="O238" s="1" t="s">
        <v>9935</v>
      </c>
      <c r="P238" s="1" t="s">
        <v>16</v>
      </c>
      <c r="Q238" s="1">
        <v>100</v>
      </c>
      <c r="R238" s="1">
        <v>275000</v>
      </c>
      <c r="S238" s="1">
        <v>275000</v>
      </c>
    </row>
    <row r="239" spans="1:19" ht="12.5" x14ac:dyDescent="0.25">
      <c r="A239" s="1">
        <v>211</v>
      </c>
      <c r="B239" s="1" t="s">
        <v>1030</v>
      </c>
      <c r="C239" s="1" t="s">
        <v>15</v>
      </c>
      <c r="D239" s="1" t="s">
        <v>15</v>
      </c>
      <c r="E239" s="1">
        <v>211</v>
      </c>
      <c r="F239" s="1" t="s">
        <v>1031</v>
      </c>
      <c r="G239" s="1" t="s">
        <v>1032</v>
      </c>
      <c r="H239" s="1" t="s">
        <v>1033</v>
      </c>
      <c r="I239" s="1" t="s">
        <v>29</v>
      </c>
      <c r="J239" s="1" t="s">
        <v>1034</v>
      </c>
      <c r="K239" s="1" t="b">
        <v>0</v>
      </c>
      <c r="L239" s="1" t="s">
        <v>22</v>
      </c>
      <c r="M239" s="1">
        <v>2021</v>
      </c>
      <c r="N239" s="1" t="s">
        <v>45</v>
      </c>
      <c r="O239" s="1" t="s">
        <v>9935</v>
      </c>
      <c r="P239" s="1" t="s">
        <v>16</v>
      </c>
      <c r="Q239" s="1">
        <v>100</v>
      </c>
      <c r="R239" s="1">
        <v>130000</v>
      </c>
      <c r="S239" s="1">
        <v>130000</v>
      </c>
    </row>
    <row r="240" spans="1:19" ht="12.5" x14ac:dyDescent="0.25">
      <c r="A240" s="1">
        <v>212</v>
      </c>
      <c r="B240" s="1" t="s">
        <v>1035</v>
      </c>
      <c r="C240" s="1" t="s">
        <v>15</v>
      </c>
      <c r="D240" s="1" t="s">
        <v>15</v>
      </c>
      <c r="E240" s="1">
        <v>212</v>
      </c>
      <c r="F240" s="1" t="s">
        <v>1036</v>
      </c>
      <c r="G240" s="1" t="s">
        <v>1037</v>
      </c>
      <c r="H240" s="1" t="s">
        <v>1038</v>
      </c>
      <c r="I240" s="1" t="s">
        <v>29</v>
      </c>
      <c r="J240" s="1" t="s">
        <v>1039</v>
      </c>
      <c r="K240" s="1" t="b">
        <v>1</v>
      </c>
      <c r="L240" s="1" t="s">
        <v>31</v>
      </c>
      <c r="M240" s="1" t="s">
        <v>16</v>
      </c>
      <c r="N240" s="1" t="s">
        <v>16</v>
      </c>
      <c r="O240" s="1" t="s">
        <v>9935</v>
      </c>
      <c r="P240" s="1" t="s">
        <v>16</v>
      </c>
      <c r="Q240" s="1">
        <v>100</v>
      </c>
      <c r="R240" s="1">
        <v>117938.62</v>
      </c>
      <c r="S240" s="1">
        <v>117938.62</v>
      </c>
    </row>
    <row r="241" spans="1:19" ht="12.5" x14ac:dyDescent="0.25">
      <c r="A241" s="1">
        <v>76</v>
      </c>
      <c r="B241" s="1" t="s">
        <v>393</v>
      </c>
      <c r="C241" s="1" t="s">
        <v>15</v>
      </c>
      <c r="D241" s="1" t="s">
        <v>15</v>
      </c>
      <c r="E241" s="1">
        <v>213</v>
      </c>
      <c r="F241" s="1" t="s">
        <v>1040</v>
      </c>
      <c r="G241" s="1" t="s">
        <v>1041</v>
      </c>
      <c r="H241" s="1" t="s">
        <v>1042</v>
      </c>
      <c r="I241" s="1" t="s">
        <v>29</v>
      </c>
      <c r="J241" s="1" t="s">
        <v>1043</v>
      </c>
      <c r="K241" s="1" t="b">
        <v>0</v>
      </c>
      <c r="L241" s="1" t="s">
        <v>22</v>
      </c>
      <c r="M241" s="1" t="s">
        <v>16</v>
      </c>
      <c r="N241" s="1" t="s">
        <v>16</v>
      </c>
      <c r="O241" s="1" t="s">
        <v>9935</v>
      </c>
      <c r="P241" s="1" t="s">
        <v>16</v>
      </c>
      <c r="Q241" s="1">
        <v>100</v>
      </c>
      <c r="R241" s="1">
        <v>200000</v>
      </c>
      <c r="S241" s="1">
        <v>200000</v>
      </c>
    </row>
    <row r="242" spans="1:19" ht="12.5" x14ac:dyDescent="0.25">
      <c r="A242" s="1">
        <v>214</v>
      </c>
      <c r="B242" s="1" t="s">
        <v>1044</v>
      </c>
      <c r="C242" s="1" t="s">
        <v>15</v>
      </c>
      <c r="D242" s="1" t="s">
        <v>15</v>
      </c>
      <c r="E242" s="1">
        <v>214</v>
      </c>
      <c r="F242" s="1" t="s">
        <v>1045</v>
      </c>
      <c r="G242" s="1" t="s">
        <v>1046</v>
      </c>
      <c r="H242" s="1" t="s">
        <v>1047</v>
      </c>
      <c r="I242" s="1" t="s">
        <v>29</v>
      </c>
      <c r="J242" s="1" t="s">
        <v>1048</v>
      </c>
      <c r="K242" s="1" t="b">
        <v>0</v>
      </c>
      <c r="L242" s="1" t="s">
        <v>22</v>
      </c>
      <c r="M242" s="1">
        <v>2022</v>
      </c>
      <c r="N242" s="1" t="s">
        <v>45</v>
      </c>
      <c r="O242" s="1" t="s">
        <v>9935</v>
      </c>
      <c r="P242" s="1" t="s">
        <v>16</v>
      </c>
      <c r="Q242" s="1">
        <v>100</v>
      </c>
      <c r="R242" s="1">
        <v>25000</v>
      </c>
      <c r="S242" s="1">
        <v>25000</v>
      </c>
    </row>
    <row r="243" spans="1:19" ht="12.5" x14ac:dyDescent="0.25">
      <c r="A243" s="1">
        <v>22</v>
      </c>
      <c r="B243" s="1" t="s">
        <v>1049</v>
      </c>
      <c r="C243" s="1" t="s">
        <v>15</v>
      </c>
      <c r="D243" s="1" t="s">
        <v>15</v>
      </c>
      <c r="E243" s="1">
        <v>215</v>
      </c>
      <c r="F243" s="1" t="s">
        <v>1050</v>
      </c>
      <c r="G243" s="1" t="s">
        <v>1051</v>
      </c>
      <c r="H243" s="1" t="s">
        <v>1052</v>
      </c>
      <c r="I243" s="1" t="s">
        <v>29</v>
      </c>
      <c r="J243" s="1" t="s">
        <v>1053</v>
      </c>
      <c r="K243" s="1" t="b">
        <v>1</v>
      </c>
      <c r="L243" s="1" t="s">
        <v>31</v>
      </c>
      <c r="M243" s="1">
        <v>2022</v>
      </c>
      <c r="N243" s="1" t="s">
        <v>32</v>
      </c>
      <c r="O243" s="1" t="s">
        <v>9935</v>
      </c>
      <c r="P243" s="1" t="s">
        <v>16</v>
      </c>
      <c r="Q243" s="1">
        <v>100</v>
      </c>
      <c r="R243" s="1">
        <v>148704.4</v>
      </c>
      <c r="S243" s="1">
        <v>148704.4</v>
      </c>
    </row>
    <row r="244" spans="1:19" ht="12.5" x14ac:dyDescent="0.25">
      <c r="A244" s="1">
        <v>252</v>
      </c>
      <c r="B244" s="1" t="s">
        <v>1054</v>
      </c>
      <c r="C244" s="1" t="s">
        <v>35</v>
      </c>
      <c r="D244" s="1" t="s">
        <v>36</v>
      </c>
      <c r="E244" s="1">
        <v>252</v>
      </c>
      <c r="F244" s="1" t="s">
        <v>1055</v>
      </c>
      <c r="G244" s="1" t="s">
        <v>1056</v>
      </c>
      <c r="H244" s="1" t="s">
        <v>1057</v>
      </c>
      <c r="I244" s="1" t="s">
        <v>20</v>
      </c>
      <c r="J244" s="1" t="s">
        <v>1058</v>
      </c>
      <c r="K244" s="1" t="b">
        <v>0</v>
      </c>
      <c r="L244" s="1" t="s">
        <v>22</v>
      </c>
      <c r="M244" s="1" t="s">
        <v>16</v>
      </c>
      <c r="N244" s="1" t="s">
        <v>16</v>
      </c>
      <c r="O244" s="1" t="s">
        <v>16</v>
      </c>
      <c r="P244" s="1" t="s">
        <v>16</v>
      </c>
      <c r="Q244" s="1">
        <v>10</v>
      </c>
    </row>
    <row r="245" spans="1:19" ht="12.5" x14ac:dyDescent="0.25">
      <c r="A245" s="1">
        <v>255</v>
      </c>
      <c r="B245" s="1" t="s">
        <v>1060</v>
      </c>
      <c r="C245" s="1" t="s">
        <v>35</v>
      </c>
      <c r="D245" s="1" t="s">
        <v>36</v>
      </c>
      <c r="E245" s="1">
        <v>252</v>
      </c>
      <c r="F245" s="1" t="s">
        <v>1055</v>
      </c>
      <c r="G245" s="1" t="s">
        <v>1056</v>
      </c>
      <c r="H245" s="1" t="s">
        <v>1057</v>
      </c>
      <c r="I245" s="1" t="s">
        <v>20</v>
      </c>
      <c r="J245" s="1" t="s">
        <v>1058</v>
      </c>
      <c r="K245" s="1" t="b">
        <v>0</v>
      </c>
      <c r="L245" s="1" t="s">
        <v>22</v>
      </c>
      <c r="M245" s="1" t="s">
        <v>16</v>
      </c>
      <c r="N245" s="1" t="s">
        <v>16</v>
      </c>
      <c r="O245" s="1" t="s">
        <v>16</v>
      </c>
      <c r="P245" s="1" t="s">
        <v>16</v>
      </c>
      <c r="Q245" s="1">
        <v>10</v>
      </c>
    </row>
    <row r="246" spans="1:19" ht="12.5" x14ac:dyDescent="0.25">
      <c r="A246" s="1">
        <v>256</v>
      </c>
      <c r="B246" s="1" t="s">
        <v>1061</v>
      </c>
      <c r="C246" s="1" t="s">
        <v>35</v>
      </c>
      <c r="D246" s="1" t="s">
        <v>36</v>
      </c>
      <c r="E246" s="1">
        <v>252</v>
      </c>
      <c r="F246" s="1" t="s">
        <v>1055</v>
      </c>
      <c r="G246" s="1" t="s">
        <v>1056</v>
      </c>
      <c r="H246" s="1" t="s">
        <v>1057</v>
      </c>
      <c r="I246" s="1" t="s">
        <v>20</v>
      </c>
      <c r="J246" s="1" t="s">
        <v>1058</v>
      </c>
      <c r="K246" s="1" t="b">
        <v>0</v>
      </c>
      <c r="L246" s="1" t="s">
        <v>22</v>
      </c>
      <c r="M246" s="1" t="s">
        <v>16</v>
      </c>
      <c r="N246" s="1" t="s">
        <v>16</v>
      </c>
      <c r="O246" s="1" t="s">
        <v>16</v>
      </c>
      <c r="P246" s="1" t="s">
        <v>16</v>
      </c>
      <c r="Q246" s="1">
        <v>70</v>
      </c>
    </row>
    <row r="247" spans="1:19" ht="12.5" x14ac:dyDescent="0.25">
      <c r="A247" s="1">
        <v>731</v>
      </c>
      <c r="B247" s="1" t="s">
        <v>1062</v>
      </c>
      <c r="C247" s="1" t="s">
        <v>35</v>
      </c>
      <c r="D247" s="1" t="s">
        <v>36</v>
      </c>
      <c r="E247" s="1">
        <v>252</v>
      </c>
      <c r="F247" s="1" t="s">
        <v>1055</v>
      </c>
      <c r="G247" s="1" t="s">
        <v>1056</v>
      </c>
      <c r="H247" s="1" t="s">
        <v>1057</v>
      </c>
      <c r="I247" s="1" t="s">
        <v>20</v>
      </c>
      <c r="J247" s="1" t="s">
        <v>1058</v>
      </c>
      <c r="K247" s="1" t="b">
        <v>0</v>
      </c>
      <c r="L247" s="1" t="s">
        <v>22</v>
      </c>
      <c r="M247" s="1" t="s">
        <v>16</v>
      </c>
      <c r="N247" s="1" t="s">
        <v>16</v>
      </c>
      <c r="O247" s="1" t="s">
        <v>16</v>
      </c>
      <c r="P247" s="1" t="s">
        <v>16</v>
      </c>
      <c r="Q247" s="1">
        <v>10</v>
      </c>
    </row>
    <row r="248" spans="1:19" ht="12.5" x14ac:dyDescent="0.25">
      <c r="A248" s="1">
        <v>253</v>
      </c>
      <c r="B248" s="1" t="s">
        <v>1063</v>
      </c>
      <c r="C248" s="1" t="s">
        <v>35</v>
      </c>
      <c r="D248" s="1" t="s">
        <v>36</v>
      </c>
      <c r="E248" s="1">
        <v>253</v>
      </c>
      <c r="F248" s="1" t="s">
        <v>1064</v>
      </c>
      <c r="G248" s="1" t="s">
        <v>1065</v>
      </c>
      <c r="H248" s="1" t="s">
        <v>1066</v>
      </c>
      <c r="I248" s="1" t="s">
        <v>29</v>
      </c>
      <c r="J248" s="1" t="s">
        <v>1067</v>
      </c>
      <c r="K248" s="1" t="b">
        <v>0</v>
      </c>
      <c r="L248" s="1" t="s">
        <v>22</v>
      </c>
      <c r="M248" s="1" t="s">
        <v>16</v>
      </c>
      <c r="N248" s="1" t="s">
        <v>16</v>
      </c>
      <c r="O248" s="1" t="s">
        <v>16</v>
      </c>
      <c r="P248" s="1" t="s">
        <v>16</v>
      </c>
      <c r="Q248" s="1">
        <v>100</v>
      </c>
    </row>
    <row r="249" spans="1:19" ht="12.5" x14ac:dyDescent="0.25">
      <c r="A249" s="1" t="s">
        <v>16</v>
      </c>
      <c r="B249" s="1" t="s">
        <v>16</v>
      </c>
      <c r="C249" s="1" t="s">
        <v>16</v>
      </c>
      <c r="D249" s="1" t="s">
        <v>16</v>
      </c>
      <c r="E249" s="1">
        <v>254</v>
      </c>
      <c r="F249" s="1" t="s">
        <v>1068</v>
      </c>
      <c r="G249" s="1" t="s">
        <v>1069</v>
      </c>
      <c r="H249" s="1" t="s">
        <v>1070</v>
      </c>
      <c r="I249" s="1" t="s">
        <v>20</v>
      </c>
      <c r="J249" s="1" t="s">
        <v>16</v>
      </c>
      <c r="K249" s="1" t="b">
        <v>0</v>
      </c>
      <c r="L249" s="1" t="s">
        <v>22</v>
      </c>
      <c r="M249" s="1" t="s">
        <v>16</v>
      </c>
      <c r="N249" s="1" t="s">
        <v>16</v>
      </c>
      <c r="O249" s="1" t="s">
        <v>16</v>
      </c>
      <c r="P249" s="1" t="s">
        <v>16</v>
      </c>
    </row>
    <row r="250" spans="1:19" ht="12.5" x14ac:dyDescent="0.25">
      <c r="A250" s="1" t="s">
        <v>16</v>
      </c>
      <c r="B250" s="1" t="s">
        <v>16</v>
      </c>
      <c r="C250" s="1" t="s">
        <v>16</v>
      </c>
      <c r="D250" s="1" t="s">
        <v>16</v>
      </c>
      <c r="E250" s="1">
        <v>255</v>
      </c>
      <c r="F250" s="1" t="s">
        <v>1071</v>
      </c>
      <c r="G250" s="1" t="s">
        <v>1072</v>
      </c>
      <c r="H250" s="1" t="s">
        <v>16</v>
      </c>
      <c r="I250" s="1" t="s">
        <v>20</v>
      </c>
      <c r="J250" s="1" t="s">
        <v>16</v>
      </c>
      <c r="K250" s="1" t="b">
        <v>0</v>
      </c>
      <c r="L250" s="1" t="s">
        <v>22</v>
      </c>
      <c r="M250" s="1" t="s">
        <v>16</v>
      </c>
      <c r="N250" s="1" t="s">
        <v>16</v>
      </c>
      <c r="O250" s="1" t="s">
        <v>16</v>
      </c>
      <c r="P250" s="1" t="s">
        <v>16</v>
      </c>
    </row>
    <row r="251" spans="1:19" ht="12.5" x14ac:dyDescent="0.25">
      <c r="A251" s="1">
        <v>259</v>
      </c>
      <c r="B251" s="1" t="s">
        <v>1073</v>
      </c>
      <c r="C251" s="1" t="s">
        <v>35</v>
      </c>
      <c r="D251" s="1" t="s">
        <v>36</v>
      </c>
      <c r="E251" s="1">
        <v>256</v>
      </c>
      <c r="F251" s="1" t="s">
        <v>1074</v>
      </c>
      <c r="G251" s="1" t="s">
        <v>1075</v>
      </c>
      <c r="H251" s="1" t="s">
        <v>1076</v>
      </c>
      <c r="I251" s="1" t="s">
        <v>20</v>
      </c>
      <c r="J251" s="1" t="s">
        <v>16</v>
      </c>
      <c r="K251" s="1" t="b">
        <v>0</v>
      </c>
      <c r="L251" s="1" t="s">
        <v>22</v>
      </c>
      <c r="M251" s="1" t="s">
        <v>16</v>
      </c>
      <c r="N251" s="1" t="s">
        <v>16</v>
      </c>
      <c r="O251" s="1" t="s">
        <v>16</v>
      </c>
      <c r="P251" s="1" t="s">
        <v>16</v>
      </c>
      <c r="Q251" s="1">
        <v>100</v>
      </c>
    </row>
    <row r="252" spans="1:19" ht="12.5" x14ac:dyDescent="0.25">
      <c r="A252" s="1">
        <v>260</v>
      </c>
      <c r="B252" s="1" t="s">
        <v>1077</v>
      </c>
      <c r="C252" s="1" t="s">
        <v>35</v>
      </c>
      <c r="D252" s="1" t="s">
        <v>36</v>
      </c>
      <c r="E252" s="1">
        <v>257</v>
      </c>
      <c r="F252" s="1" t="s">
        <v>1078</v>
      </c>
      <c r="G252" s="1" t="s">
        <v>1079</v>
      </c>
      <c r="H252" s="1" t="s">
        <v>1076</v>
      </c>
      <c r="I252" s="1" t="s">
        <v>20</v>
      </c>
      <c r="J252" s="1" t="s">
        <v>1080</v>
      </c>
      <c r="K252" s="1" t="b">
        <v>0</v>
      </c>
      <c r="L252" s="1" t="s">
        <v>22</v>
      </c>
      <c r="M252" s="1" t="s">
        <v>16</v>
      </c>
      <c r="N252" s="1" t="s">
        <v>16</v>
      </c>
      <c r="O252" s="1" t="s">
        <v>16</v>
      </c>
      <c r="P252" s="1" t="s">
        <v>16</v>
      </c>
      <c r="Q252" s="1">
        <v>100</v>
      </c>
    </row>
    <row r="253" spans="1:19" ht="12.5" x14ac:dyDescent="0.25">
      <c r="A253" s="1">
        <v>262</v>
      </c>
      <c r="B253" s="1" t="s">
        <v>1081</v>
      </c>
      <c r="C253" s="1" t="s">
        <v>35</v>
      </c>
      <c r="D253" s="1" t="s">
        <v>36</v>
      </c>
      <c r="E253" s="1">
        <v>258</v>
      </c>
      <c r="F253" s="1" t="s">
        <v>1082</v>
      </c>
      <c r="G253" s="1" t="s">
        <v>1083</v>
      </c>
      <c r="H253" s="1" t="s">
        <v>1084</v>
      </c>
      <c r="I253" s="1" t="s">
        <v>29</v>
      </c>
      <c r="J253" s="1" t="s">
        <v>1085</v>
      </c>
      <c r="K253" s="1" t="b">
        <v>1</v>
      </c>
      <c r="L253" s="1" t="s">
        <v>31</v>
      </c>
      <c r="M253" s="1">
        <v>2022</v>
      </c>
      <c r="N253" s="1" t="s">
        <v>45</v>
      </c>
      <c r="O253" s="1" t="s">
        <v>9935</v>
      </c>
      <c r="P253" s="1" t="s">
        <v>16</v>
      </c>
      <c r="Q253" s="1">
        <v>100</v>
      </c>
      <c r="R253" s="1">
        <v>50000</v>
      </c>
      <c r="S253" s="1">
        <v>50000</v>
      </c>
    </row>
    <row r="254" spans="1:19" ht="12.5" x14ac:dyDescent="0.25">
      <c r="A254" s="1">
        <v>262</v>
      </c>
      <c r="B254" s="1" t="s">
        <v>1081</v>
      </c>
      <c r="C254" s="1" t="s">
        <v>35</v>
      </c>
      <c r="D254" s="1" t="s">
        <v>36</v>
      </c>
      <c r="E254" s="1">
        <v>258</v>
      </c>
      <c r="F254" s="1" t="s">
        <v>1082</v>
      </c>
      <c r="G254" s="1" t="s">
        <v>1083</v>
      </c>
      <c r="H254" s="1" t="s">
        <v>1084</v>
      </c>
      <c r="I254" s="1" t="s">
        <v>29</v>
      </c>
      <c r="J254" s="1" t="s">
        <v>1085</v>
      </c>
      <c r="K254" s="1" t="b">
        <v>1</v>
      </c>
      <c r="L254" s="1" t="s">
        <v>31</v>
      </c>
      <c r="M254" s="1">
        <v>2022</v>
      </c>
      <c r="N254" s="1" t="s">
        <v>45</v>
      </c>
      <c r="O254" s="1" t="s">
        <v>9942</v>
      </c>
      <c r="P254" s="1" t="s">
        <v>16</v>
      </c>
      <c r="Q254" s="1">
        <v>100</v>
      </c>
      <c r="R254" s="1">
        <v>150000</v>
      </c>
      <c r="S254" s="1">
        <v>150000</v>
      </c>
    </row>
    <row r="255" spans="1:19" ht="12.5" x14ac:dyDescent="0.25">
      <c r="A255" s="1">
        <v>263</v>
      </c>
      <c r="B255" s="1" t="s">
        <v>1086</v>
      </c>
      <c r="C255" s="1" t="s">
        <v>35</v>
      </c>
      <c r="D255" s="1" t="s">
        <v>36</v>
      </c>
      <c r="E255" s="1">
        <v>259</v>
      </c>
      <c r="F255" s="1" t="s">
        <v>1087</v>
      </c>
      <c r="G255" s="1" t="s">
        <v>1088</v>
      </c>
      <c r="H255" s="1" t="s">
        <v>1089</v>
      </c>
      <c r="I255" s="1" t="s">
        <v>29</v>
      </c>
      <c r="J255" s="1" t="s">
        <v>16</v>
      </c>
      <c r="K255" s="1" t="b">
        <v>0</v>
      </c>
      <c r="L255" s="1" t="s">
        <v>22</v>
      </c>
      <c r="M255" s="1" t="s">
        <v>16</v>
      </c>
      <c r="N255" s="1" t="s">
        <v>16</v>
      </c>
      <c r="O255" s="1" t="s">
        <v>16</v>
      </c>
      <c r="P255" s="1" t="s">
        <v>16</v>
      </c>
      <c r="Q255" s="1">
        <v>100</v>
      </c>
    </row>
    <row r="256" spans="1:19" ht="12.5" x14ac:dyDescent="0.25">
      <c r="A256" s="1">
        <v>264</v>
      </c>
      <c r="B256" s="1" t="s">
        <v>1090</v>
      </c>
      <c r="C256" s="1" t="s">
        <v>35</v>
      </c>
      <c r="D256" s="1" t="s">
        <v>36</v>
      </c>
      <c r="E256" s="1">
        <v>260</v>
      </c>
      <c r="F256" s="1" t="s">
        <v>1091</v>
      </c>
      <c r="G256" s="1" t="s">
        <v>1092</v>
      </c>
      <c r="H256" s="1" t="s">
        <v>1093</v>
      </c>
      <c r="I256" s="1" t="s">
        <v>29</v>
      </c>
      <c r="J256" s="1" t="s">
        <v>1094</v>
      </c>
      <c r="K256" s="1" t="b">
        <v>0</v>
      </c>
      <c r="L256" s="1" t="s">
        <v>22</v>
      </c>
      <c r="M256" s="1">
        <v>2022</v>
      </c>
      <c r="N256" s="1" t="s">
        <v>45</v>
      </c>
      <c r="O256" s="1" t="s">
        <v>9935</v>
      </c>
      <c r="P256" s="1" t="s">
        <v>16</v>
      </c>
      <c r="Q256" s="1">
        <v>100</v>
      </c>
      <c r="R256" s="1">
        <v>50000</v>
      </c>
      <c r="S256" s="1">
        <v>50000</v>
      </c>
    </row>
    <row r="257" spans="1:19" ht="12.5" x14ac:dyDescent="0.25">
      <c r="A257" s="1">
        <v>264</v>
      </c>
      <c r="B257" s="1" t="s">
        <v>1090</v>
      </c>
      <c r="C257" s="1" t="s">
        <v>35</v>
      </c>
      <c r="D257" s="1" t="s">
        <v>36</v>
      </c>
      <c r="E257" s="1">
        <v>260</v>
      </c>
      <c r="F257" s="1" t="s">
        <v>1091</v>
      </c>
      <c r="G257" s="1" t="s">
        <v>1092</v>
      </c>
      <c r="H257" s="1" t="s">
        <v>1093</v>
      </c>
      <c r="I257" s="1" t="s">
        <v>29</v>
      </c>
      <c r="J257" s="1" t="s">
        <v>1094</v>
      </c>
      <c r="K257" s="1" t="b">
        <v>0</v>
      </c>
      <c r="L257" s="1" t="s">
        <v>22</v>
      </c>
      <c r="M257" s="1">
        <v>2022</v>
      </c>
      <c r="N257" s="1" t="s">
        <v>45</v>
      </c>
      <c r="O257" s="1" t="s">
        <v>9942</v>
      </c>
      <c r="P257" s="1" t="s">
        <v>16</v>
      </c>
      <c r="Q257" s="1">
        <v>100</v>
      </c>
      <c r="R257" s="1">
        <v>100000</v>
      </c>
      <c r="S257" s="1">
        <v>100000</v>
      </c>
    </row>
    <row r="258" spans="1:19" ht="12.5" x14ac:dyDescent="0.25">
      <c r="A258" s="1">
        <v>265</v>
      </c>
      <c r="B258" s="1" t="s">
        <v>1095</v>
      </c>
      <c r="C258" s="1" t="s">
        <v>35</v>
      </c>
      <c r="D258" s="1" t="s">
        <v>36</v>
      </c>
      <c r="E258" s="1">
        <v>261</v>
      </c>
      <c r="F258" s="1" t="s">
        <v>1096</v>
      </c>
      <c r="G258" s="1" t="s">
        <v>1097</v>
      </c>
      <c r="H258" s="1"/>
      <c r="I258" s="1" t="s">
        <v>29</v>
      </c>
      <c r="J258" s="1" t="s">
        <v>1098</v>
      </c>
      <c r="K258" s="1" t="b">
        <v>0</v>
      </c>
      <c r="L258" s="1" t="s">
        <v>22</v>
      </c>
      <c r="M258" s="1">
        <v>2022</v>
      </c>
      <c r="N258" s="1" t="s">
        <v>23</v>
      </c>
      <c r="O258" s="1" t="s">
        <v>9935</v>
      </c>
      <c r="P258" s="1" t="s">
        <v>16</v>
      </c>
      <c r="Q258" s="1">
        <v>100</v>
      </c>
      <c r="R258" s="1">
        <v>50000</v>
      </c>
      <c r="S258" s="1">
        <v>50000</v>
      </c>
    </row>
    <row r="259" spans="1:19" ht="12.5" x14ac:dyDescent="0.25">
      <c r="A259" s="1">
        <v>266</v>
      </c>
      <c r="B259" s="1" t="s">
        <v>1099</v>
      </c>
      <c r="C259" s="1" t="s">
        <v>35</v>
      </c>
      <c r="D259" s="1" t="s">
        <v>36</v>
      </c>
      <c r="E259" s="1">
        <v>262</v>
      </c>
      <c r="F259" s="1" t="s">
        <v>1100</v>
      </c>
      <c r="G259" s="1" t="s">
        <v>1101</v>
      </c>
      <c r="H259" s="1" t="s">
        <v>1102</v>
      </c>
      <c r="I259" s="1" t="s">
        <v>29</v>
      </c>
      <c r="J259" s="1" t="s">
        <v>16</v>
      </c>
      <c r="K259" s="1" t="b">
        <v>0</v>
      </c>
      <c r="L259" s="1" t="s">
        <v>22</v>
      </c>
      <c r="M259" s="1" t="s">
        <v>16</v>
      </c>
      <c r="N259" s="1" t="s">
        <v>16</v>
      </c>
      <c r="O259" s="1" t="s">
        <v>16</v>
      </c>
      <c r="P259" s="1" t="s">
        <v>16</v>
      </c>
      <c r="Q259" s="1">
        <v>100</v>
      </c>
    </row>
    <row r="260" spans="1:19" ht="12.5" x14ac:dyDescent="0.25">
      <c r="A260" s="1">
        <v>266</v>
      </c>
      <c r="B260" s="1" t="s">
        <v>1099</v>
      </c>
      <c r="C260" s="1" t="s">
        <v>35</v>
      </c>
      <c r="D260" s="1" t="s">
        <v>36</v>
      </c>
      <c r="E260" s="1">
        <v>263</v>
      </c>
      <c r="F260" s="1" t="s">
        <v>1103</v>
      </c>
      <c r="G260" s="1" t="s">
        <v>1101</v>
      </c>
      <c r="H260" s="1" t="s">
        <v>1104</v>
      </c>
      <c r="I260" s="1" t="s">
        <v>20</v>
      </c>
      <c r="J260" s="1" t="s">
        <v>16</v>
      </c>
      <c r="K260" s="1" t="b">
        <v>0</v>
      </c>
      <c r="L260" s="1" t="s">
        <v>22</v>
      </c>
      <c r="M260" s="1" t="s">
        <v>16</v>
      </c>
      <c r="N260" s="1" t="s">
        <v>16</v>
      </c>
      <c r="O260" s="1" t="s">
        <v>16</v>
      </c>
      <c r="P260" s="1" t="s">
        <v>16</v>
      </c>
      <c r="Q260" s="1">
        <v>100</v>
      </c>
    </row>
    <row r="261" spans="1:19" ht="12.5" x14ac:dyDescent="0.25">
      <c r="A261" s="1">
        <v>267</v>
      </c>
      <c r="B261" s="1" t="s">
        <v>1105</v>
      </c>
      <c r="C261" s="1" t="s">
        <v>35</v>
      </c>
      <c r="D261" s="1" t="s">
        <v>36</v>
      </c>
      <c r="E261" s="1">
        <v>264</v>
      </c>
      <c r="F261" s="1" t="s">
        <v>1106</v>
      </c>
      <c r="G261" s="1" t="s">
        <v>1107</v>
      </c>
      <c r="H261" s="1" t="s">
        <v>1108</v>
      </c>
      <c r="I261" s="1" t="s">
        <v>29</v>
      </c>
      <c r="J261" s="1" t="s">
        <v>16</v>
      </c>
      <c r="K261" s="1" t="b">
        <v>0</v>
      </c>
      <c r="L261" s="1" t="s">
        <v>22</v>
      </c>
      <c r="M261" s="1" t="s">
        <v>16</v>
      </c>
      <c r="N261" s="1" t="s">
        <v>16</v>
      </c>
      <c r="O261" s="1" t="s">
        <v>16</v>
      </c>
      <c r="P261" s="1" t="s">
        <v>16</v>
      </c>
      <c r="Q261" s="1">
        <v>100</v>
      </c>
    </row>
    <row r="262" spans="1:19" ht="12.5" x14ac:dyDescent="0.25">
      <c r="A262" s="1">
        <v>267</v>
      </c>
      <c r="B262" s="1" t="s">
        <v>1105</v>
      </c>
      <c r="C262" s="1" t="s">
        <v>35</v>
      </c>
      <c r="D262" s="1" t="s">
        <v>36</v>
      </c>
      <c r="E262" s="1">
        <v>265</v>
      </c>
      <c r="F262" s="1" t="s">
        <v>1109</v>
      </c>
      <c r="G262" s="1" t="s">
        <v>1107</v>
      </c>
      <c r="H262" s="1" t="s">
        <v>1104</v>
      </c>
      <c r="I262" s="1" t="s">
        <v>20</v>
      </c>
      <c r="J262" s="1" t="s">
        <v>16</v>
      </c>
      <c r="K262" s="1" t="b">
        <v>0</v>
      </c>
      <c r="L262" s="1" t="s">
        <v>22</v>
      </c>
      <c r="M262" s="1" t="s">
        <v>16</v>
      </c>
      <c r="N262" s="1" t="s">
        <v>16</v>
      </c>
      <c r="O262" s="1" t="s">
        <v>16</v>
      </c>
      <c r="P262" s="1" t="s">
        <v>16</v>
      </c>
      <c r="Q262" s="1">
        <v>100</v>
      </c>
    </row>
    <row r="263" spans="1:19" ht="12.5" x14ac:dyDescent="0.25">
      <c r="A263" s="1">
        <v>268</v>
      </c>
      <c r="B263" s="1" t="s">
        <v>1110</v>
      </c>
      <c r="C263" s="1" t="s">
        <v>35</v>
      </c>
      <c r="D263" s="1" t="s">
        <v>36</v>
      </c>
      <c r="E263" s="1">
        <v>266</v>
      </c>
      <c r="F263" s="1" t="s">
        <v>1111</v>
      </c>
      <c r="G263" s="1" t="s">
        <v>1112</v>
      </c>
      <c r="H263" s="1" t="s">
        <v>1113</v>
      </c>
      <c r="I263" s="1" t="s">
        <v>29</v>
      </c>
      <c r="J263" s="1" t="s">
        <v>16</v>
      </c>
      <c r="K263" s="1" t="b">
        <v>0</v>
      </c>
      <c r="L263" s="1" t="s">
        <v>22</v>
      </c>
      <c r="M263" s="1" t="s">
        <v>16</v>
      </c>
      <c r="N263" s="1" t="s">
        <v>16</v>
      </c>
      <c r="O263" s="1" t="s">
        <v>16</v>
      </c>
      <c r="P263" s="1" t="s">
        <v>16</v>
      </c>
      <c r="Q263" s="1">
        <v>100</v>
      </c>
    </row>
    <row r="264" spans="1:19" ht="12.5" x14ac:dyDescent="0.25">
      <c r="A264" s="1">
        <v>268</v>
      </c>
      <c r="B264" s="1" t="s">
        <v>1110</v>
      </c>
      <c r="C264" s="1" t="s">
        <v>35</v>
      </c>
      <c r="D264" s="1" t="s">
        <v>36</v>
      </c>
      <c r="E264" s="1">
        <v>267</v>
      </c>
      <c r="F264" s="1" t="s">
        <v>1114</v>
      </c>
      <c r="G264" s="1" t="s">
        <v>1112</v>
      </c>
      <c r="H264" s="1" t="s">
        <v>1104</v>
      </c>
      <c r="I264" s="1" t="s">
        <v>20</v>
      </c>
      <c r="J264" s="1" t="s">
        <v>16</v>
      </c>
      <c r="K264" s="1" t="b">
        <v>0</v>
      </c>
      <c r="L264" s="1" t="s">
        <v>22</v>
      </c>
      <c r="M264" s="1" t="s">
        <v>16</v>
      </c>
      <c r="N264" s="1" t="s">
        <v>16</v>
      </c>
      <c r="O264" s="1" t="s">
        <v>16</v>
      </c>
      <c r="P264" s="1" t="s">
        <v>16</v>
      </c>
      <c r="Q264" s="1">
        <v>100</v>
      </c>
    </row>
    <row r="265" spans="1:19" ht="12.5" x14ac:dyDescent="0.25">
      <c r="A265" s="1">
        <v>269</v>
      </c>
      <c r="B265" s="1" t="s">
        <v>1115</v>
      </c>
      <c r="C265" s="1" t="s">
        <v>35</v>
      </c>
      <c r="D265" s="1" t="s">
        <v>36</v>
      </c>
      <c r="E265" s="1">
        <v>268</v>
      </c>
      <c r="F265" s="1" t="s">
        <v>1116</v>
      </c>
      <c r="G265" s="1" t="s">
        <v>1117</v>
      </c>
      <c r="H265" s="1" t="s">
        <v>1118</v>
      </c>
      <c r="I265" s="1" t="s">
        <v>29</v>
      </c>
      <c r="J265" s="1" t="s">
        <v>16</v>
      </c>
      <c r="K265" s="1" t="b">
        <v>0</v>
      </c>
      <c r="L265" s="1" t="s">
        <v>22</v>
      </c>
      <c r="M265" s="1" t="s">
        <v>16</v>
      </c>
      <c r="N265" s="1" t="s">
        <v>16</v>
      </c>
      <c r="O265" s="1" t="s">
        <v>16</v>
      </c>
      <c r="P265" s="1" t="s">
        <v>16</v>
      </c>
      <c r="Q265" s="1">
        <v>100</v>
      </c>
    </row>
    <row r="266" spans="1:19" ht="12.5" x14ac:dyDescent="0.25">
      <c r="A266" s="1">
        <v>269</v>
      </c>
      <c r="B266" s="1" t="s">
        <v>1115</v>
      </c>
      <c r="C266" s="1" t="s">
        <v>35</v>
      </c>
      <c r="D266" s="1" t="s">
        <v>36</v>
      </c>
      <c r="E266" s="1">
        <v>269</v>
      </c>
      <c r="F266" s="1" t="s">
        <v>1119</v>
      </c>
      <c r="G266" s="1" t="s">
        <v>1117</v>
      </c>
      <c r="H266" s="1" t="s">
        <v>1104</v>
      </c>
      <c r="I266" s="1" t="s">
        <v>20</v>
      </c>
      <c r="J266" s="1" t="s">
        <v>16</v>
      </c>
      <c r="K266" s="1" t="b">
        <v>0</v>
      </c>
      <c r="L266" s="1" t="s">
        <v>22</v>
      </c>
      <c r="M266" s="1" t="s">
        <v>16</v>
      </c>
      <c r="N266" s="1" t="s">
        <v>16</v>
      </c>
      <c r="O266" s="1" t="s">
        <v>16</v>
      </c>
      <c r="P266" s="1" t="s">
        <v>16</v>
      </c>
      <c r="Q266" s="1">
        <v>100</v>
      </c>
    </row>
    <row r="267" spans="1:19" ht="12.5" x14ac:dyDescent="0.25">
      <c r="A267" s="1">
        <v>270</v>
      </c>
      <c r="B267" s="1" t="s">
        <v>1120</v>
      </c>
      <c r="C267" s="1" t="s">
        <v>35</v>
      </c>
      <c r="D267" s="1" t="s">
        <v>36</v>
      </c>
      <c r="E267" s="1">
        <v>270</v>
      </c>
      <c r="F267" s="1" t="s">
        <v>1121</v>
      </c>
      <c r="G267" s="1" t="s">
        <v>1122</v>
      </c>
      <c r="H267" s="1" t="s">
        <v>1123</v>
      </c>
      <c r="I267" s="1" t="s">
        <v>29</v>
      </c>
      <c r="J267" s="1" t="s">
        <v>1124</v>
      </c>
      <c r="K267" s="1" t="b">
        <v>0</v>
      </c>
      <c r="L267" s="1" t="s">
        <v>22</v>
      </c>
      <c r="M267" s="1">
        <v>2022</v>
      </c>
      <c r="N267" s="1" t="s">
        <v>23</v>
      </c>
      <c r="O267" s="1" t="s">
        <v>9952</v>
      </c>
      <c r="P267" s="1" t="s">
        <v>16</v>
      </c>
      <c r="Q267" s="1">
        <v>100</v>
      </c>
      <c r="R267" s="1">
        <v>22500</v>
      </c>
      <c r="S267" s="1">
        <v>22500</v>
      </c>
    </row>
    <row r="268" spans="1:19" ht="12.5" x14ac:dyDescent="0.25">
      <c r="A268" s="1">
        <v>270</v>
      </c>
      <c r="B268" s="1" t="s">
        <v>1120</v>
      </c>
      <c r="C268" s="1" t="s">
        <v>35</v>
      </c>
      <c r="D268" s="1" t="s">
        <v>36</v>
      </c>
      <c r="E268" s="1">
        <v>270</v>
      </c>
      <c r="F268" s="1" t="s">
        <v>1121</v>
      </c>
      <c r="G268" s="1" t="s">
        <v>1122</v>
      </c>
      <c r="H268" s="1" t="s">
        <v>1123</v>
      </c>
      <c r="I268" s="1" t="s">
        <v>29</v>
      </c>
      <c r="J268" s="1" t="s">
        <v>1124</v>
      </c>
      <c r="K268" s="1" t="b">
        <v>0</v>
      </c>
      <c r="L268" s="1" t="s">
        <v>22</v>
      </c>
      <c r="M268" s="1">
        <v>2022</v>
      </c>
      <c r="N268" s="1" t="s">
        <v>23</v>
      </c>
      <c r="O268" s="1" t="s">
        <v>9940</v>
      </c>
      <c r="P268" s="1" t="s">
        <v>16</v>
      </c>
      <c r="Q268" s="1">
        <v>100</v>
      </c>
      <c r="R268" s="1">
        <v>100000</v>
      </c>
      <c r="S268" s="1">
        <v>100000</v>
      </c>
    </row>
    <row r="269" spans="1:19" ht="12.5" x14ac:dyDescent="0.25">
      <c r="A269" s="1">
        <v>270</v>
      </c>
      <c r="B269" s="1" t="s">
        <v>1120</v>
      </c>
      <c r="C269" s="1" t="s">
        <v>35</v>
      </c>
      <c r="D269" s="1" t="s">
        <v>36</v>
      </c>
      <c r="E269" s="1">
        <v>270</v>
      </c>
      <c r="F269" s="1" t="s">
        <v>1121</v>
      </c>
      <c r="G269" s="1" t="s">
        <v>1122</v>
      </c>
      <c r="H269" s="1" t="s">
        <v>1123</v>
      </c>
      <c r="I269" s="1" t="s">
        <v>29</v>
      </c>
      <c r="J269" s="1" t="s">
        <v>1124</v>
      </c>
      <c r="K269" s="1" t="b">
        <v>0</v>
      </c>
      <c r="L269" s="1" t="s">
        <v>22</v>
      </c>
      <c r="M269" s="1">
        <v>2022</v>
      </c>
      <c r="N269" s="1" t="s">
        <v>23</v>
      </c>
      <c r="O269" s="1" t="s">
        <v>9935</v>
      </c>
      <c r="P269" s="1" t="s">
        <v>16</v>
      </c>
      <c r="Q269" s="1">
        <v>100</v>
      </c>
      <c r="R269" s="1">
        <v>50000</v>
      </c>
      <c r="S269" s="1">
        <v>50000</v>
      </c>
    </row>
    <row r="270" spans="1:19" ht="12.5" x14ac:dyDescent="0.25">
      <c r="A270" s="1">
        <v>271</v>
      </c>
      <c r="B270" s="1" t="s">
        <v>1125</v>
      </c>
      <c r="C270" s="1" t="s">
        <v>35</v>
      </c>
      <c r="D270" s="1" t="s">
        <v>36</v>
      </c>
      <c r="E270" s="1">
        <v>271</v>
      </c>
      <c r="F270" s="1" t="s">
        <v>1126</v>
      </c>
      <c r="G270" s="1" t="s">
        <v>1127</v>
      </c>
      <c r="H270" s="1" t="s">
        <v>1128</v>
      </c>
      <c r="I270" s="1" t="s">
        <v>29</v>
      </c>
      <c r="J270" s="1" t="s">
        <v>16</v>
      </c>
      <c r="K270" s="1" t="b">
        <v>0</v>
      </c>
      <c r="L270" s="1" t="s">
        <v>22</v>
      </c>
      <c r="M270" s="1" t="s">
        <v>16</v>
      </c>
      <c r="N270" s="1" t="s">
        <v>16</v>
      </c>
      <c r="O270" s="1" t="s">
        <v>16</v>
      </c>
      <c r="P270" s="1" t="s">
        <v>16</v>
      </c>
      <c r="Q270" s="1">
        <v>100</v>
      </c>
    </row>
    <row r="271" spans="1:19" ht="12.5" x14ac:dyDescent="0.25">
      <c r="A271" s="1">
        <v>271</v>
      </c>
      <c r="B271" s="1" t="s">
        <v>1125</v>
      </c>
      <c r="C271" s="1" t="s">
        <v>35</v>
      </c>
      <c r="D271" s="1" t="s">
        <v>36</v>
      </c>
      <c r="E271" s="1">
        <v>272</v>
      </c>
      <c r="F271" s="1" t="s">
        <v>1129</v>
      </c>
      <c r="G271" s="1" t="s">
        <v>1127</v>
      </c>
      <c r="H271" s="1" t="s">
        <v>1104</v>
      </c>
      <c r="I271" s="1" t="s">
        <v>20</v>
      </c>
      <c r="J271" s="1" t="s">
        <v>16</v>
      </c>
      <c r="K271" s="1" t="b">
        <v>0</v>
      </c>
      <c r="L271" s="1" t="s">
        <v>22</v>
      </c>
      <c r="M271" s="1" t="s">
        <v>16</v>
      </c>
      <c r="N271" s="1" t="s">
        <v>16</v>
      </c>
      <c r="O271" s="1" t="s">
        <v>16</v>
      </c>
      <c r="P271" s="1" t="s">
        <v>16</v>
      </c>
      <c r="Q271" s="1">
        <v>100</v>
      </c>
    </row>
    <row r="272" spans="1:19" ht="12.5" x14ac:dyDescent="0.25">
      <c r="A272" s="1">
        <v>272</v>
      </c>
      <c r="B272" s="1" t="s">
        <v>1130</v>
      </c>
      <c r="C272" s="1" t="s">
        <v>35</v>
      </c>
      <c r="D272" s="1" t="s">
        <v>36</v>
      </c>
      <c r="E272" s="1">
        <v>273</v>
      </c>
      <c r="F272" s="1" t="s">
        <v>1131</v>
      </c>
      <c r="G272" s="1" t="s">
        <v>1132</v>
      </c>
      <c r="H272" s="1" t="s">
        <v>1133</v>
      </c>
      <c r="I272" s="1" t="s">
        <v>29</v>
      </c>
      <c r="J272" s="1" t="s">
        <v>16</v>
      </c>
      <c r="K272" s="1" t="b">
        <v>0</v>
      </c>
      <c r="L272" s="1" t="s">
        <v>22</v>
      </c>
      <c r="M272" s="1" t="s">
        <v>16</v>
      </c>
      <c r="N272" s="1" t="s">
        <v>16</v>
      </c>
      <c r="O272" s="1" t="s">
        <v>9935</v>
      </c>
      <c r="P272" s="1" t="s">
        <v>16</v>
      </c>
      <c r="Q272" s="1">
        <v>100</v>
      </c>
      <c r="R272" s="1">
        <v>100000</v>
      </c>
      <c r="S272" s="1">
        <v>100000</v>
      </c>
    </row>
    <row r="273" spans="1:19" ht="12.5" x14ac:dyDescent="0.25">
      <c r="A273" s="1">
        <v>273</v>
      </c>
      <c r="B273" s="1" t="s">
        <v>1135</v>
      </c>
      <c r="C273" s="1" t="s">
        <v>35</v>
      </c>
      <c r="D273" s="1" t="s">
        <v>36</v>
      </c>
      <c r="E273" s="1">
        <v>274</v>
      </c>
      <c r="F273" s="1" t="s">
        <v>1136</v>
      </c>
      <c r="G273" s="1" t="s">
        <v>1137</v>
      </c>
      <c r="H273" s="1" t="s">
        <v>1138</v>
      </c>
      <c r="I273" s="1" t="s">
        <v>29</v>
      </c>
      <c r="J273" s="1" t="s">
        <v>16</v>
      </c>
      <c r="K273" s="1" t="b">
        <v>0</v>
      </c>
      <c r="L273" s="1" t="s">
        <v>22</v>
      </c>
      <c r="M273" s="1" t="s">
        <v>16</v>
      </c>
      <c r="N273" s="1" t="s">
        <v>16</v>
      </c>
      <c r="O273" s="1" t="s">
        <v>9935</v>
      </c>
      <c r="P273" s="1" t="s">
        <v>16</v>
      </c>
      <c r="Q273" s="1">
        <v>100</v>
      </c>
      <c r="R273" s="1">
        <v>100000</v>
      </c>
      <c r="S273" s="1">
        <v>100000</v>
      </c>
    </row>
    <row r="274" spans="1:19" ht="12.5" x14ac:dyDescent="0.25">
      <c r="A274" s="1">
        <v>274</v>
      </c>
      <c r="B274" s="1" t="s">
        <v>1139</v>
      </c>
      <c r="C274" s="1" t="s">
        <v>35</v>
      </c>
      <c r="D274" s="1" t="s">
        <v>36</v>
      </c>
      <c r="E274" s="1">
        <v>275</v>
      </c>
      <c r="F274" s="1" t="s">
        <v>1140</v>
      </c>
      <c r="G274" s="1" t="s">
        <v>1141</v>
      </c>
      <c r="H274" s="1" t="s">
        <v>1142</v>
      </c>
      <c r="I274" s="1" t="s">
        <v>29</v>
      </c>
      <c r="J274" s="1" t="s">
        <v>16</v>
      </c>
      <c r="K274" s="1" t="b">
        <v>0</v>
      </c>
      <c r="L274" s="1" t="s">
        <v>22</v>
      </c>
      <c r="M274" s="1" t="s">
        <v>16</v>
      </c>
      <c r="N274" s="1" t="s">
        <v>16</v>
      </c>
      <c r="O274" s="1" t="s">
        <v>9942</v>
      </c>
      <c r="P274" s="1" t="s">
        <v>16</v>
      </c>
      <c r="Q274" s="1">
        <v>100</v>
      </c>
      <c r="R274" s="1">
        <v>150000</v>
      </c>
      <c r="S274" s="1">
        <v>150000</v>
      </c>
    </row>
    <row r="275" spans="1:19" ht="12.5" x14ac:dyDescent="0.25">
      <c r="A275" s="1">
        <v>275</v>
      </c>
      <c r="B275" s="1" t="s">
        <v>1143</v>
      </c>
      <c r="C275" s="1" t="s">
        <v>35</v>
      </c>
      <c r="D275" s="1" t="s">
        <v>36</v>
      </c>
      <c r="E275" s="1">
        <v>276</v>
      </c>
      <c r="F275" s="1" t="s">
        <v>1144</v>
      </c>
      <c r="G275" s="1" t="s">
        <v>1145</v>
      </c>
      <c r="H275" s="1" t="s">
        <v>1146</v>
      </c>
      <c r="I275" s="1" t="s">
        <v>29</v>
      </c>
      <c r="J275" s="1" t="s">
        <v>1147</v>
      </c>
      <c r="K275" s="1" t="b">
        <v>1</v>
      </c>
      <c r="L275" s="1" t="s">
        <v>31</v>
      </c>
      <c r="M275" s="1">
        <v>2022</v>
      </c>
      <c r="N275" s="1" t="s">
        <v>23</v>
      </c>
      <c r="O275" s="1" t="s">
        <v>9952</v>
      </c>
      <c r="P275" s="1" t="s">
        <v>16</v>
      </c>
      <c r="Q275" s="1">
        <v>100</v>
      </c>
      <c r="R275" s="1">
        <v>60000</v>
      </c>
      <c r="S275" s="1">
        <v>60000</v>
      </c>
    </row>
    <row r="276" spans="1:19" ht="12.5" x14ac:dyDescent="0.25">
      <c r="A276" s="1">
        <v>275</v>
      </c>
      <c r="B276" s="1" t="s">
        <v>1143</v>
      </c>
      <c r="C276" s="1" t="s">
        <v>35</v>
      </c>
      <c r="D276" s="1" t="s">
        <v>36</v>
      </c>
      <c r="E276" s="1">
        <v>276</v>
      </c>
      <c r="F276" s="1" t="s">
        <v>1144</v>
      </c>
      <c r="G276" s="1" t="s">
        <v>1145</v>
      </c>
      <c r="H276" s="1" t="s">
        <v>1146</v>
      </c>
      <c r="I276" s="1" t="s">
        <v>29</v>
      </c>
      <c r="J276" s="1" t="s">
        <v>1147</v>
      </c>
      <c r="K276" s="1" t="b">
        <v>1</v>
      </c>
      <c r="L276" s="1" t="s">
        <v>31</v>
      </c>
      <c r="M276" s="1">
        <v>2022</v>
      </c>
      <c r="N276" s="1" t="s">
        <v>23</v>
      </c>
      <c r="O276" s="1" t="s">
        <v>9935</v>
      </c>
      <c r="P276" s="1" t="s">
        <v>16</v>
      </c>
      <c r="Q276" s="1">
        <v>100</v>
      </c>
      <c r="R276" s="1">
        <v>150000</v>
      </c>
      <c r="S276" s="1">
        <v>150000</v>
      </c>
    </row>
    <row r="277" spans="1:19" ht="12.5" x14ac:dyDescent="0.25">
      <c r="A277" s="1">
        <v>275</v>
      </c>
      <c r="B277" s="1" t="s">
        <v>1143</v>
      </c>
      <c r="C277" s="1" t="s">
        <v>35</v>
      </c>
      <c r="D277" s="1" t="s">
        <v>36</v>
      </c>
      <c r="E277" s="1">
        <v>276</v>
      </c>
      <c r="F277" s="1" t="s">
        <v>1144</v>
      </c>
      <c r="G277" s="1" t="s">
        <v>1145</v>
      </c>
      <c r="H277" s="1" t="s">
        <v>1146</v>
      </c>
      <c r="I277" s="1" t="s">
        <v>29</v>
      </c>
      <c r="J277" s="1" t="s">
        <v>1147</v>
      </c>
      <c r="K277" s="1" t="b">
        <v>1</v>
      </c>
      <c r="L277" s="1" t="s">
        <v>31</v>
      </c>
      <c r="M277" s="1">
        <v>2022</v>
      </c>
      <c r="N277" s="1" t="s">
        <v>23</v>
      </c>
      <c r="O277" s="1" t="s">
        <v>9942</v>
      </c>
      <c r="P277" s="1" t="s">
        <v>16</v>
      </c>
      <c r="Q277" s="1">
        <v>100</v>
      </c>
      <c r="R277" s="1">
        <v>250000</v>
      </c>
      <c r="S277" s="1">
        <v>250000</v>
      </c>
    </row>
    <row r="278" spans="1:19" ht="12.5" x14ac:dyDescent="0.25">
      <c r="A278" s="1">
        <v>276</v>
      </c>
      <c r="B278" s="1" t="s">
        <v>1148</v>
      </c>
      <c r="C278" s="1" t="s">
        <v>35</v>
      </c>
      <c r="D278" s="1" t="s">
        <v>36</v>
      </c>
      <c r="E278" s="1">
        <v>277</v>
      </c>
      <c r="F278" s="1" t="s">
        <v>1149</v>
      </c>
      <c r="G278" s="1" t="s">
        <v>1150</v>
      </c>
      <c r="H278" s="1" t="s">
        <v>1151</v>
      </c>
      <c r="I278" s="1" t="s">
        <v>29</v>
      </c>
      <c r="J278" s="1" t="s">
        <v>16</v>
      </c>
      <c r="K278" s="1" t="b">
        <v>0</v>
      </c>
      <c r="L278" s="1" t="s">
        <v>22</v>
      </c>
      <c r="M278" s="1">
        <v>2022</v>
      </c>
      <c r="N278" s="1" t="s">
        <v>16</v>
      </c>
      <c r="O278" s="1" t="s">
        <v>9935</v>
      </c>
      <c r="P278" s="1" t="s">
        <v>16</v>
      </c>
      <c r="Q278" s="1">
        <v>100</v>
      </c>
      <c r="R278" s="1">
        <v>2000000</v>
      </c>
      <c r="S278" s="1">
        <v>2000000</v>
      </c>
    </row>
    <row r="279" spans="1:19" ht="12.5" x14ac:dyDescent="0.25">
      <c r="A279" s="1">
        <v>276</v>
      </c>
      <c r="B279" s="1" t="s">
        <v>1148</v>
      </c>
      <c r="C279" s="1" t="s">
        <v>35</v>
      </c>
      <c r="D279" s="1" t="s">
        <v>36</v>
      </c>
      <c r="E279" s="1">
        <v>277</v>
      </c>
      <c r="F279" s="1" t="s">
        <v>1149</v>
      </c>
      <c r="G279" s="1" t="s">
        <v>1150</v>
      </c>
      <c r="H279" s="1" t="s">
        <v>1151</v>
      </c>
      <c r="I279" s="1" t="s">
        <v>29</v>
      </c>
      <c r="J279" s="1" t="s">
        <v>16</v>
      </c>
      <c r="K279" s="1" t="b">
        <v>0</v>
      </c>
      <c r="L279" s="1" t="s">
        <v>22</v>
      </c>
      <c r="M279" s="1">
        <v>2022</v>
      </c>
      <c r="N279" s="1" t="s">
        <v>16</v>
      </c>
      <c r="O279" s="1" t="s">
        <v>9942</v>
      </c>
      <c r="P279" s="1" t="s">
        <v>16</v>
      </c>
      <c r="Q279" s="1">
        <v>100</v>
      </c>
      <c r="R279" s="1">
        <v>250000</v>
      </c>
      <c r="S279" s="1">
        <v>250000</v>
      </c>
    </row>
    <row r="280" spans="1:19" ht="12.5" x14ac:dyDescent="0.25">
      <c r="A280" s="1">
        <v>276</v>
      </c>
      <c r="B280" s="1" t="s">
        <v>1148</v>
      </c>
      <c r="C280" s="1" t="s">
        <v>35</v>
      </c>
      <c r="D280" s="1" t="s">
        <v>36</v>
      </c>
      <c r="E280" s="1">
        <v>277</v>
      </c>
      <c r="F280" s="1" t="s">
        <v>1149</v>
      </c>
      <c r="G280" s="1" t="s">
        <v>1150</v>
      </c>
      <c r="H280" s="1" t="s">
        <v>1151</v>
      </c>
      <c r="I280" s="1" t="s">
        <v>29</v>
      </c>
      <c r="J280" s="1" t="s">
        <v>16</v>
      </c>
      <c r="K280" s="1" t="b">
        <v>0</v>
      </c>
      <c r="L280" s="1" t="s">
        <v>22</v>
      </c>
      <c r="M280" s="1" t="s">
        <v>16</v>
      </c>
      <c r="N280" s="1" t="s">
        <v>16</v>
      </c>
      <c r="O280" s="1" t="s">
        <v>9952</v>
      </c>
      <c r="P280" s="1" t="s">
        <v>16</v>
      </c>
      <c r="Q280" s="1">
        <v>100</v>
      </c>
      <c r="R280" s="1">
        <v>345000</v>
      </c>
      <c r="S280" s="1">
        <v>345000</v>
      </c>
    </row>
    <row r="281" spans="1:19" ht="12.5" x14ac:dyDescent="0.25">
      <c r="A281" s="1">
        <v>276</v>
      </c>
      <c r="B281" s="1" t="s">
        <v>1148</v>
      </c>
      <c r="C281" s="1" t="s">
        <v>35</v>
      </c>
      <c r="D281" s="1" t="s">
        <v>36</v>
      </c>
      <c r="E281" s="1">
        <v>277</v>
      </c>
      <c r="F281" s="1" t="s">
        <v>1149</v>
      </c>
      <c r="G281" s="1" t="s">
        <v>1150</v>
      </c>
      <c r="H281" s="1" t="s">
        <v>1151</v>
      </c>
      <c r="I281" s="1" t="s">
        <v>29</v>
      </c>
      <c r="J281" s="1" t="s">
        <v>16</v>
      </c>
      <c r="K281" s="1" t="b">
        <v>0</v>
      </c>
      <c r="L281" s="1" t="s">
        <v>22</v>
      </c>
      <c r="M281" s="1" t="s">
        <v>16</v>
      </c>
      <c r="N281" s="1" t="s">
        <v>16</v>
      </c>
      <c r="O281" s="1" t="s">
        <v>9940</v>
      </c>
      <c r="P281" s="1" t="s">
        <v>16</v>
      </c>
      <c r="Q281" s="1">
        <v>100</v>
      </c>
      <c r="R281" s="1">
        <v>50000</v>
      </c>
      <c r="S281" s="1">
        <v>50000</v>
      </c>
    </row>
    <row r="282" spans="1:19" ht="12.5" x14ac:dyDescent="0.25">
      <c r="A282" s="1">
        <v>277</v>
      </c>
      <c r="B282" s="1" t="s">
        <v>1152</v>
      </c>
      <c r="C282" s="1" t="s">
        <v>35</v>
      </c>
      <c r="D282" s="1" t="s">
        <v>36</v>
      </c>
      <c r="E282" s="1">
        <v>278</v>
      </c>
      <c r="F282" s="1" t="s">
        <v>1153</v>
      </c>
      <c r="G282" s="1" t="s">
        <v>1154</v>
      </c>
      <c r="H282" s="1" t="s">
        <v>1155</v>
      </c>
      <c r="I282" s="1" t="s">
        <v>29</v>
      </c>
      <c r="J282" s="1" t="s">
        <v>1156</v>
      </c>
      <c r="K282" s="1" t="b">
        <v>1</v>
      </c>
      <c r="L282" s="1" t="s">
        <v>31</v>
      </c>
      <c r="M282" s="1">
        <v>2022</v>
      </c>
      <c r="N282" s="1" t="s">
        <v>52</v>
      </c>
      <c r="O282" s="1" t="s">
        <v>9935</v>
      </c>
      <c r="P282" s="1" t="s">
        <v>16</v>
      </c>
      <c r="Q282" s="1">
        <v>50</v>
      </c>
      <c r="R282" s="1">
        <v>250000</v>
      </c>
      <c r="S282" s="1">
        <v>125000</v>
      </c>
    </row>
    <row r="283" spans="1:19" ht="12.5" x14ac:dyDescent="0.25">
      <c r="A283" s="1">
        <v>277</v>
      </c>
      <c r="B283" s="1" t="s">
        <v>1152</v>
      </c>
      <c r="C283" s="1" t="s">
        <v>35</v>
      </c>
      <c r="D283" s="1" t="s">
        <v>36</v>
      </c>
      <c r="E283" s="1">
        <v>278</v>
      </c>
      <c r="F283" s="1" t="s">
        <v>1153</v>
      </c>
      <c r="G283" s="1" t="s">
        <v>1154</v>
      </c>
      <c r="H283" s="1" t="s">
        <v>1155</v>
      </c>
      <c r="I283" s="1" t="s">
        <v>29</v>
      </c>
      <c r="J283" s="1" t="s">
        <v>1156</v>
      </c>
      <c r="K283" s="1" t="b">
        <v>1</v>
      </c>
      <c r="L283" s="1" t="s">
        <v>31</v>
      </c>
      <c r="M283" s="1">
        <v>2022</v>
      </c>
      <c r="N283" s="1" t="s">
        <v>52</v>
      </c>
      <c r="O283" s="1" t="s">
        <v>9942</v>
      </c>
      <c r="P283" s="1" t="s">
        <v>16</v>
      </c>
      <c r="Q283" s="1">
        <v>50</v>
      </c>
      <c r="R283" s="1">
        <v>350000</v>
      </c>
      <c r="S283" s="1">
        <v>175000</v>
      </c>
    </row>
    <row r="284" spans="1:19" ht="12.5" x14ac:dyDescent="0.25">
      <c r="A284" s="1">
        <v>277</v>
      </c>
      <c r="B284" s="1" t="s">
        <v>1152</v>
      </c>
      <c r="C284" s="1" t="s">
        <v>35</v>
      </c>
      <c r="D284" s="1" t="s">
        <v>36</v>
      </c>
      <c r="E284" s="1">
        <v>278</v>
      </c>
      <c r="F284" s="1" t="s">
        <v>1153</v>
      </c>
      <c r="G284" s="1" t="s">
        <v>1154</v>
      </c>
      <c r="H284" s="1" t="s">
        <v>1155</v>
      </c>
      <c r="I284" s="1" t="s">
        <v>29</v>
      </c>
      <c r="J284" s="1" t="s">
        <v>1156</v>
      </c>
      <c r="K284" s="1" t="b">
        <v>1</v>
      </c>
      <c r="L284" s="1" t="s">
        <v>31</v>
      </c>
      <c r="M284" s="1">
        <v>2022</v>
      </c>
      <c r="N284" s="1" t="s">
        <v>52</v>
      </c>
      <c r="O284" s="1" t="s">
        <v>9940</v>
      </c>
      <c r="P284" s="1" t="s">
        <v>16</v>
      </c>
      <c r="Q284" s="1">
        <v>50</v>
      </c>
      <c r="R284" s="1">
        <v>100000</v>
      </c>
      <c r="S284" s="1">
        <v>50000</v>
      </c>
    </row>
    <row r="285" spans="1:19" ht="12.5" x14ac:dyDescent="0.25">
      <c r="A285" s="1">
        <v>314</v>
      </c>
      <c r="B285" s="1" t="s">
        <v>1157</v>
      </c>
      <c r="C285" s="1" t="s">
        <v>35</v>
      </c>
      <c r="D285" s="1" t="s">
        <v>36</v>
      </c>
      <c r="E285" s="1">
        <v>278</v>
      </c>
      <c r="F285" s="1" t="s">
        <v>1153</v>
      </c>
      <c r="G285" s="1" t="s">
        <v>1154</v>
      </c>
      <c r="H285" s="1" t="s">
        <v>1155</v>
      </c>
      <c r="I285" s="1" t="s">
        <v>29</v>
      </c>
      <c r="J285" s="1" t="s">
        <v>1156</v>
      </c>
      <c r="K285" s="1" t="b">
        <v>1</v>
      </c>
      <c r="L285" s="1" t="s">
        <v>31</v>
      </c>
      <c r="M285" s="1">
        <v>2022</v>
      </c>
      <c r="N285" s="1" t="s">
        <v>52</v>
      </c>
      <c r="O285" s="1" t="s">
        <v>9940</v>
      </c>
      <c r="P285" s="1" t="s">
        <v>16</v>
      </c>
      <c r="Q285" s="1">
        <v>50</v>
      </c>
      <c r="R285" s="1">
        <v>100000</v>
      </c>
      <c r="S285" s="1">
        <v>50000</v>
      </c>
    </row>
    <row r="286" spans="1:19" ht="12.5" x14ac:dyDescent="0.25">
      <c r="A286" s="1">
        <v>314</v>
      </c>
      <c r="B286" s="1" t="s">
        <v>1157</v>
      </c>
      <c r="C286" s="1" t="s">
        <v>35</v>
      </c>
      <c r="D286" s="1" t="s">
        <v>36</v>
      </c>
      <c r="E286" s="1">
        <v>278</v>
      </c>
      <c r="F286" s="1" t="s">
        <v>1153</v>
      </c>
      <c r="G286" s="1" t="s">
        <v>1154</v>
      </c>
      <c r="H286" s="1" t="s">
        <v>1155</v>
      </c>
      <c r="I286" s="1" t="s">
        <v>29</v>
      </c>
      <c r="J286" s="1" t="s">
        <v>1156</v>
      </c>
      <c r="K286" s="1" t="b">
        <v>1</v>
      </c>
      <c r="L286" s="1" t="s">
        <v>31</v>
      </c>
      <c r="M286" s="1">
        <v>2022</v>
      </c>
      <c r="N286" s="1" t="s">
        <v>52</v>
      </c>
      <c r="O286" s="1" t="s">
        <v>9935</v>
      </c>
      <c r="P286" s="1" t="s">
        <v>16</v>
      </c>
      <c r="Q286" s="1">
        <v>50</v>
      </c>
      <c r="R286" s="1">
        <v>250000</v>
      </c>
      <c r="S286" s="1">
        <v>125000</v>
      </c>
    </row>
    <row r="287" spans="1:19" ht="12.5" x14ac:dyDescent="0.25">
      <c r="A287" s="1">
        <v>314</v>
      </c>
      <c r="B287" s="1" t="s">
        <v>1157</v>
      </c>
      <c r="C287" s="1" t="s">
        <v>35</v>
      </c>
      <c r="D287" s="1" t="s">
        <v>36</v>
      </c>
      <c r="E287" s="1">
        <v>278</v>
      </c>
      <c r="F287" s="1" t="s">
        <v>1153</v>
      </c>
      <c r="G287" s="1" t="s">
        <v>1154</v>
      </c>
      <c r="H287" s="1" t="s">
        <v>1155</v>
      </c>
      <c r="I287" s="1" t="s">
        <v>29</v>
      </c>
      <c r="J287" s="1" t="s">
        <v>1156</v>
      </c>
      <c r="K287" s="1" t="b">
        <v>1</v>
      </c>
      <c r="L287" s="1" t="s">
        <v>31</v>
      </c>
      <c r="M287" s="1">
        <v>2022</v>
      </c>
      <c r="N287" s="1" t="s">
        <v>52</v>
      </c>
      <c r="O287" s="1" t="s">
        <v>9942</v>
      </c>
      <c r="P287" s="1" t="s">
        <v>16</v>
      </c>
      <c r="Q287" s="1">
        <v>50</v>
      </c>
      <c r="R287" s="1">
        <v>350000</v>
      </c>
      <c r="S287" s="1">
        <v>175000</v>
      </c>
    </row>
    <row r="288" spans="1:19" ht="12.5" x14ac:dyDescent="0.25">
      <c r="A288" s="1">
        <v>278</v>
      </c>
      <c r="B288" s="1" t="s">
        <v>1158</v>
      </c>
      <c r="C288" s="1" t="s">
        <v>35</v>
      </c>
      <c r="D288" s="1" t="s">
        <v>36</v>
      </c>
      <c r="E288" s="1">
        <v>279</v>
      </c>
      <c r="F288" s="1" t="s">
        <v>1159</v>
      </c>
      <c r="G288" s="1" t="s">
        <v>1160</v>
      </c>
      <c r="H288" s="1" t="s">
        <v>1161</v>
      </c>
      <c r="I288" s="1" t="s">
        <v>29</v>
      </c>
      <c r="J288" s="1" t="s">
        <v>16</v>
      </c>
      <c r="K288" s="1" t="b">
        <v>0</v>
      </c>
      <c r="L288" s="1" t="s">
        <v>22</v>
      </c>
      <c r="M288" s="1" t="s">
        <v>16</v>
      </c>
      <c r="N288" s="1" t="s">
        <v>16</v>
      </c>
      <c r="O288" s="1" t="s">
        <v>16</v>
      </c>
      <c r="P288" s="1" t="s">
        <v>16</v>
      </c>
      <c r="Q288" s="1">
        <v>100</v>
      </c>
    </row>
    <row r="289" spans="1:19" ht="12.5" x14ac:dyDescent="0.25">
      <c r="A289" s="1">
        <v>280</v>
      </c>
      <c r="B289" s="1" t="s">
        <v>1162</v>
      </c>
      <c r="C289" s="1" t="s">
        <v>35</v>
      </c>
      <c r="D289" s="1" t="s">
        <v>36</v>
      </c>
      <c r="E289" s="1">
        <v>280</v>
      </c>
      <c r="F289" s="1" t="s">
        <v>1163</v>
      </c>
      <c r="G289" s="1" t="s">
        <v>1164</v>
      </c>
      <c r="H289" s="1" t="s">
        <v>1165</v>
      </c>
      <c r="I289" s="1" t="s">
        <v>29</v>
      </c>
      <c r="J289" s="1" t="s">
        <v>16</v>
      </c>
      <c r="K289" s="1" t="b">
        <v>0</v>
      </c>
      <c r="L289" s="1" t="s">
        <v>22</v>
      </c>
      <c r="M289" s="1" t="s">
        <v>16</v>
      </c>
      <c r="N289" s="1" t="s">
        <v>16</v>
      </c>
      <c r="O289" s="1" t="s">
        <v>16</v>
      </c>
      <c r="P289" s="1" t="s">
        <v>16</v>
      </c>
      <c r="Q289" s="1">
        <v>100</v>
      </c>
    </row>
    <row r="290" spans="1:19" ht="12.5" x14ac:dyDescent="0.25">
      <c r="A290" s="1">
        <v>281</v>
      </c>
      <c r="B290" s="1" t="s">
        <v>1166</v>
      </c>
      <c r="C290" s="1" t="s">
        <v>35</v>
      </c>
      <c r="D290" s="1" t="s">
        <v>36</v>
      </c>
      <c r="E290" s="1">
        <v>281</v>
      </c>
      <c r="F290" s="1" t="s">
        <v>1167</v>
      </c>
      <c r="G290" s="1" t="s">
        <v>1168</v>
      </c>
      <c r="H290" s="1" t="s">
        <v>1169</v>
      </c>
      <c r="I290" s="1" t="s">
        <v>20</v>
      </c>
      <c r="J290" s="1" t="s">
        <v>16</v>
      </c>
      <c r="K290" s="1" t="b">
        <v>0</v>
      </c>
      <c r="L290" s="1" t="s">
        <v>22</v>
      </c>
      <c r="M290" s="1" t="s">
        <v>16</v>
      </c>
      <c r="N290" s="1" t="s">
        <v>16</v>
      </c>
      <c r="O290" s="1" t="s">
        <v>16</v>
      </c>
      <c r="P290" s="1" t="s">
        <v>16</v>
      </c>
      <c r="Q290" s="1">
        <v>100</v>
      </c>
    </row>
    <row r="291" spans="1:19" ht="12.5" x14ac:dyDescent="0.25">
      <c r="A291" s="1">
        <v>282</v>
      </c>
      <c r="B291" s="1" t="s">
        <v>1170</v>
      </c>
      <c r="C291" s="1" t="s">
        <v>35</v>
      </c>
      <c r="D291" s="1" t="s">
        <v>36</v>
      </c>
      <c r="E291" s="1">
        <v>282</v>
      </c>
      <c r="F291" s="1" t="s">
        <v>1171</v>
      </c>
      <c r="G291" s="1" t="s">
        <v>1172</v>
      </c>
      <c r="H291" s="1" t="s">
        <v>1173</v>
      </c>
      <c r="I291" s="1" t="s">
        <v>29</v>
      </c>
      <c r="J291" s="1" t="s">
        <v>1174</v>
      </c>
      <c r="K291" s="1" t="b">
        <v>0</v>
      </c>
      <c r="L291" s="1" t="s">
        <v>22</v>
      </c>
      <c r="M291" s="1" t="s">
        <v>16</v>
      </c>
      <c r="N291" s="1" t="s">
        <v>16</v>
      </c>
      <c r="O291" s="1" t="s">
        <v>9952</v>
      </c>
      <c r="P291" s="1" t="s">
        <v>16</v>
      </c>
      <c r="Q291" s="1">
        <v>100</v>
      </c>
      <c r="R291" s="1">
        <v>7500</v>
      </c>
      <c r="S291" s="1">
        <v>7500</v>
      </c>
    </row>
    <row r="292" spans="1:19" ht="12.5" x14ac:dyDescent="0.25">
      <c r="A292" s="1">
        <v>282</v>
      </c>
      <c r="B292" s="1" t="s">
        <v>1170</v>
      </c>
      <c r="C292" s="1" t="s">
        <v>35</v>
      </c>
      <c r="D292" s="1" t="s">
        <v>36</v>
      </c>
      <c r="E292" s="1">
        <v>282</v>
      </c>
      <c r="F292" s="1" t="s">
        <v>1171</v>
      </c>
      <c r="G292" s="1" t="s">
        <v>1172</v>
      </c>
      <c r="H292" s="1" t="s">
        <v>1173</v>
      </c>
      <c r="I292" s="1" t="s">
        <v>29</v>
      </c>
      <c r="J292" s="1" t="s">
        <v>1174</v>
      </c>
      <c r="K292" s="1" t="b">
        <v>0</v>
      </c>
      <c r="L292" s="1" t="s">
        <v>22</v>
      </c>
      <c r="M292" s="1" t="s">
        <v>16</v>
      </c>
      <c r="N292" s="1" t="s">
        <v>16</v>
      </c>
      <c r="O292" s="1" t="s">
        <v>9935</v>
      </c>
      <c r="P292" s="1" t="s">
        <v>16</v>
      </c>
      <c r="Q292" s="1">
        <v>100</v>
      </c>
      <c r="R292" s="1">
        <v>50000</v>
      </c>
      <c r="S292" s="1">
        <v>50000</v>
      </c>
    </row>
    <row r="293" spans="1:19" ht="12.5" x14ac:dyDescent="0.25">
      <c r="A293" s="1">
        <v>284</v>
      </c>
      <c r="B293" s="1" t="s">
        <v>1175</v>
      </c>
      <c r="C293" s="1" t="s">
        <v>35</v>
      </c>
      <c r="D293" s="1" t="s">
        <v>36</v>
      </c>
      <c r="E293" s="1">
        <v>283</v>
      </c>
      <c r="F293" s="1" t="s">
        <v>1176</v>
      </c>
      <c r="G293" s="1" t="s">
        <v>1177</v>
      </c>
      <c r="H293" s="1" t="s">
        <v>1178</v>
      </c>
      <c r="I293" s="1" t="s">
        <v>29</v>
      </c>
      <c r="J293" s="1" t="s">
        <v>16</v>
      </c>
      <c r="K293" s="1" t="b">
        <v>0</v>
      </c>
      <c r="L293" s="1" t="s">
        <v>22</v>
      </c>
      <c r="M293" s="1">
        <v>2022</v>
      </c>
      <c r="N293" s="1" t="s">
        <v>16</v>
      </c>
      <c r="O293" s="1" t="s">
        <v>9942</v>
      </c>
      <c r="P293" s="1" t="s">
        <v>16</v>
      </c>
      <c r="Q293" s="1">
        <v>100</v>
      </c>
      <c r="R293" s="1">
        <v>250000</v>
      </c>
      <c r="S293" s="1">
        <v>250000</v>
      </c>
    </row>
    <row r="294" spans="1:19" ht="12.5" x14ac:dyDescent="0.25">
      <c r="A294" s="1">
        <v>285</v>
      </c>
      <c r="B294" s="1" t="s">
        <v>1179</v>
      </c>
      <c r="C294" s="1" t="s">
        <v>35</v>
      </c>
      <c r="D294" s="1" t="s">
        <v>36</v>
      </c>
      <c r="E294" s="1">
        <v>284</v>
      </c>
      <c r="F294" s="1" t="s">
        <v>1180</v>
      </c>
      <c r="G294" s="1" t="s">
        <v>1181</v>
      </c>
      <c r="H294" s="1" t="s">
        <v>1102</v>
      </c>
      <c r="I294" s="1" t="s">
        <v>29</v>
      </c>
      <c r="J294" s="1" t="s">
        <v>16</v>
      </c>
      <c r="K294" s="1" t="b">
        <v>0</v>
      </c>
      <c r="L294" s="1" t="s">
        <v>22</v>
      </c>
      <c r="M294" s="1" t="s">
        <v>16</v>
      </c>
      <c r="N294" s="1" t="s">
        <v>16</v>
      </c>
      <c r="O294" s="1" t="s">
        <v>16</v>
      </c>
      <c r="P294" s="1" t="s">
        <v>16</v>
      </c>
      <c r="Q294" s="1">
        <v>100</v>
      </c>
    </row>
    <row r="295" spans="1:19" ht="12.5" x14ac:dyDescent="0.25">
      <c r="A295" s="1">
        <v>285</v>
      </c>
      <c r="B295" s="1" t="s">
        <v>1179</v>
      </c>
      <c r="C295" s="1" t="s">
        <v>35</v>
      </c>
      <c r="D295" s="1" t="s">
        <v>36</v>
      </c>
      <c r="E295" s="1">
        <v>285</v>
      </c>
      <c r="F295" s="1" t="s">
        <v>1182</v>
      </c>
      <c r="G295" s="1" t="s">
        <v>1181</v>
      </c>
      <c r="H295" s="1" t="s">
        <v>1104</v>
      </c>
      <c r="I295" s="1" t="s">
        <v>20</v>
      </c>
      <c r="J295" s="1" t="s">
        <v>16</v>
      </c>
      <c r="K295" s="1" t="b">
        <v>0</v>
      </c>
      <c r="L295" s="1" t="s">
        <v>22</v>
      </c>
      <c r="M295" s="1" t="s">
        <v>16</v>
      </c>
      <c r="N295" s="1" t="s">
        <v>16</v>
      </c>
      <c r="O295" s="1" t="s">
        <v>16</v>
      </c>
      <c r="P295" s="1" t="s">
        <v>16</v>
      </c>
      <c r="Q295" s="1">
        <v>100</v>
      </c>
    </row>
    <row r="296" spans="1:19" ht="12.5" x14ac:dyDescent="0.25">
      <c r="A296" s="1">
        <v>286</v>
      </c>
      <c r="B296" s="1" t="s">
        <v>1183</v>
      </c>
      <c r="C296" s="1" t="s">
        <v>35</v>
      </c>
      <c r="D296" s="1" t="s">
        <v>36</v>
      </c>
      <c r="E296" s="1">
        <v>286</v>
      </c>
      <c r="F296" s="1" t="s">
        <v>1184</v>
      </c>
      <c r="G296" s="1" t="s">
        <v>1185</v>
      </c>
      <c r="H296" s="1" t="s">
        <v>1186</v>
      </c>
      <c r="I296" s="1" t="s">
        <v>29</v>
      </c>
      <c r="J296" s="1" t="s">
        <v>16</v>
      </c>
      <c r="K296" s="1" t="b">
        <v>0</v>
      </c>
      <c r="L296" s="1" t="s">
        <v>22</v>
      </c>
      <c r="M296" s="1" t="s">
        <v>16</v>
      </c>
      <c r="N296" s="1" t="s">
        <v>16</v>
      </c>
      <c r="O296" s="1" t="s">
        <v>16</v>
      </c>
      <c r="P296" s="1" t="s">
        <v>16</v>
      </c>
      <c r="Q296" s="1">
        <v>100</v>
      </c>
    </row>
    <row r="297" spans="1:19" ht="12.5" x14ac:dyDescent="0.25">
      <c r="A297" s="1">
        <v>287</v>
      </c>
      <c r="B297" s="1" t="s">
        <v>1187</v>
      </c>
      <c r="C297" s="1" t="s">
        <v>35</v>
      </c>
      <c r="D297" s="1" t="s">
        <v>36</v>
      </c>
      <c r="E297" s="1">
        <v>287</v>
      </c>
      <c r="F297" s="1" t="s">
        <v>1188</v>
      </c>
      <c r="G297" s="1" t="s">
        <v>1164</v>
      </c>
      <c r="H297" s="1" t="s">
        <v>1189</v>
      </c>
      <c r="I297" s="1" t="s">
        <v>29</v>
      </c>
      <c r="J297" s="1" t="s">
        <v>16</v>
      </c>
      <c r="K297" s="1" t="b">
        <v>0</v>
      </c>
      <c r="L297" s="1" t="s">
        <v>22</v>
      </c>
      <c r="M297" s="1" t="s">
        <v>16</v>
      </c>
      <c r="N297" s="1" t="s">
        <v>16</v>
      </c>
      <c r="O297" s="1" t="s">
        <v>16</v>
      </c>
      <c r="P297" s="1" t="s">
        <v>16</v>
      </c>
      <c r="Q297" s="1">
        <v>100</v>
      </c>
    </row>
    <row r="298" spans="1:19" ht="12.5" x14ac:dyDescent="0.25">
      <c r="A298" s="1">
        <v>288</v>
      </c>
      <c r="B298" s="1" t="s">
        <v>1190</v>
      </c>
      <c r="C298" s="1" t="s">
        <v>35</v>
      </c>
      <c r="D298" s="1" t="s">
        <v>36</v>
      </c>
      <c r="E298" s="1">
        <v>288</v>
      </c>
      <c r="F298" s="1" t="s">
        <v>1191</v>
      </c>
      <c r="G298" s="1" t="s">
        <v>1192</v>
      </c>
      <c r="H298" s="1" t="s">
        <v>1193</v>
      </c>
      <c r="I298" s="1" t="s">
        <v>20</v>
      </c>
      <c r="J298" s="1" t="s">
        <v>1194</v>
      </c>
      <c r="K298" s="1" t="b">
        <v>0</v>
      </c>
      <c r="L298" s="1" t="s">
        <v>22</v>
      </c>
      <c r="M298" s="1">
        <v>2022</v>
      </c>
      <c r="N298" s="1" t="s">
        <v>16</v>
      </c>
      <c r="O298" s="1" t="s">
        <v>9956</v>
      </c>
      <c r="P298" s="1" t="s">
        <v>16</v>
      </c>
      <c r="Q298" s="1">
        <v>100</v>
      </c>
      <c r="R298" s="1">
        <v>240000</v>
      </c>
      <c r="S298" s="1">
        <v>240000</v>
      </c>
    </row>
    <row r="299" spans="1:19" ht="12.5" x14ac:dyDescent="0.25">
      <c r="A299" s="1">
        <v>288</v>
      </c>
      <c r="B299" s="1" t="s">
        <v>1190</v>
      </c>
      <c r="C299" s="1" t="s">
        <v>35</v>
      </c>
      <c r="D299" s="1" t="s">
        <v>36</v>
      </c>
      <c r="E299" s="1">
        <v>288</v>
      </c>
      <c r="F299" s="1" t="s">
        <v>1191</v>
      </c>
      <c r="G299" s="1" t="s">
        <v>1192</v>
      </c>
      <c r="H299" s="1" t="s">
        <v>1193</v>
      </c>
      <c r="I299" s="1" t="s">
        <v>20</v>
      </c>
      <c r="J299" s="1" t="s">
        <v>1194</v>
      </c>
      <c r="K299" s="1" t="b">
        <v>0</v>
      </c>
      <c r="L299" s="1" t="s">
        <v>22</v>
      </c>
      <c r="M299" s="1" t="s">
        <v>16</v>
      </c>
      <c r="N299" s="1" t="s">
        <v>16</v>
      </c>
      <c r="O299" s="1" t="s">
        <v>9935</v>
      </c>
      <c r="P299" s="1" t="s">
        <v>16</v>
      </c>
      <c r="Q299" s="1">
        <v>100</v>
      </c>
      <c r="R299" s="1">
        <v>4500000</v>
      </c>
      <c r="S299" s="1">
        <v>4500000</v>
      </c>
    </row>
    <row r="300" spans="1:19" ht="12.5" x14ac:dyDescent="0.25">
      <c r="A300" s="1">
        <v>289</v>
      </c>
      <c r="B300" s="1" t="s">
        <v>1195</v>
      </c>
      <c r="C300" s="1" t="s">
        <v>35</v>
      </c>
      <c r="D300" s="1" t="s">
        <v>36</v>
      </c>
      <c r="E300" s="1">
        <v>289</v>
      </c>
      <c r="F300" s="1" t="s">
        <v>1196</v>
      </c>
      <c r="G300" s="1" t="s">
        <v>1197</v>
      </c>
      <c r="H300" s="1" t="s">
        <v>1198</v>
      </c>
      <c r="I300" s="1" t="s">
        <v>20</v>
      </c>
      <c r="J300" s="1" t="s">
        <v>16</v>
      </c>
      <c r="K300" s="1" t="b">
        <v>0</v>
      </c>
      <c r="L300" s="1" t="s">
        <v>22</v>
      </c>
      <c r="M300" s="1" t="s">
        <v>16</v>
      </c>
      <c r="N300" s="1" t="s">
        <v>16</v>
      </c>
      <c r="O300" s="1" t="s">
        <v>16</v>
      </c>
      <c r="P300" s="1" t="s">
        <v>16</v>
      </c>
      <c r="Q300" s="1">
        <v>100</v>
      </c>
    </row>
    <row r="301" spans="1:19" ht="12.5" x14ac:dyDescent="0.25">
      <c r="A301" s="1" t="s">
        <v>16</v>
      </c>
      <c r="B301" s="1" t="s">
        <v>16</v>
      </c>
      <c r="C301" s="1" t="s">
        <v>16</v>
      </c>
      <c r="D301" s="1" t="s">
        <v>16</v>
      </c>
      <c r="E301" s="1">
        <v>290</v>
      </c>
      <c r="F301" s="1" t="s">
        <v>1199</v>
      </c>
      <c r="G301" s="1" t="s">
        <v>1200</v>
      </c>
      <c r="H301" s="1" t="s">
        <v>1201</v>
      </c>
      <c r="I301" s="1" t="s">
        <v>29</v>
      </c>
      <c r="J301" s="1" t="s">
        <v>16</v>
      </c>
      <c r="K301" s="1" t="b">
        <v>0</v>
      </c>
      <c r="L301" s="1" t="s">
        <v>22</v>
      </c>
      <c r="M301" s="1">
        <v>2022</v>
      </c>
      <c r="N301" s="1" t="s">
        <v>16</v>
      </c>
      <c r="O301" s="1" t="s">
        <v>9935</v>
      </c>
      <c r="P301" s="1" t="s">
        <v>16</v>
      </c>
      <c r="R301" s="1">
        <v>50000</v>
      </c>
    </row>
    <row r="302" spans="1:19" ht="12.5" x14ac:dyDescent="0.25">
      <c r="A302" s="1" t="s">
        <v>16</v>
      </c>
      <c r="B302" s="1" t="s">
        <v>16</v>
      </c>
      <c r="C302" s="1" t="s">
        <v>16</v>
      </c>
      <c r="D302" s="1" t="s">
        <v>16</v>
      </c>
      <c r="E302" s="1">
        <v>290</v>
      </c>
      <c r="F302" s="1" t="s">
        <v>1199</v>
      </c>
      <c r="G302" s="1" t="s">
        <v>1200</v>
      </c>
      <c r="H302" s="1" t="s">
        <v>1201</v>
      </c>
      <c r="I302" s="1" t="s">
        <v>29</v>
      </c>
      <c r="J302" s="1" t="s">
        <v>16</v>
      </c>
      <c r="K302" s="1" t="b">
        <v>0</v>
      </c>
      <c r="L302" s="1" t="s">
        <v>22</v>
      </c>
      <c r="M302" s="1" t="s">
        <v>16</v>
      </c>
      <c r="N302" s="1" t="s">
        <v>16</v>
      </c>
      <c r="O302" s="1" t="s">
        <v>9952</v>
      </c>
      <c r="P302" s="1" t="s">
        <v>16</v>
      </c>
      <c r="R302" s="1">
        <v>11250</v>
      </c>
    </row>
    <row r="303" spans="1:19" ht="12.5" x14ac:dyDescent="0.25">
      <c r="A303" s="1" t="s">
        <v>16</v>
      </c>
      <c r="B303" s="1" t="s">
        <v>16</v>
      </c>
      <c r="C303" s="1" t="s">
        <v>16</v>
      </c>
      <c r="D303" s="1" t="s">
        <v>16</v>
      </c>
      <c r="E303" s="1">
        <v>290</v>
      </c>
      <c r="F303" s="1" t="s">
        <v>1199</v>
      </c>
      <c r="G303" s="1" t="s">
        <v>1200</v>
      </c>
      <c r="H303" s="1" t="s">
        <v>1201</v>
      </c>
      <c r="I303" s="1" t="s">
        <v>29</v>
      </c>
      <c r="J303" s="1" t="s">
        <v>16</v>
      </c>
      <c r="K303" s="1" t="b">
        <v>0</v>
      </c>
      <c r="L303" s="1" t="s">
        <v>22</v>
      </c>
      <c r="M303" s="1" t="s">
        <v>16</v>
      </c>
      <c r="N303" s="1" t="s">
        <v>16</v>
      </c>
      <c r="O303" s="1" t="s">
        <v>9940</v>
      </c>
      <c r="P303" s="1" t="s">
        <v>16</v>
      </c>
      <c r="R303" s="1">
        <v>25000</v>
      </c>
    </row>
    <row r="304" spans="1:19" ht="12.5" x14ac:dyDescent="0.25">
      <c r="A304" s="1">
        <v>292</v>
      </c>
      <c r="B304" s="1" t="s">
        <v>1202</v>
      </c>
      <c r="C304" s="1" t="s">
        <v>35</v>
      </c>
      <c r="D304" s="1" t="s">
        <v>36</v>
      </c>
      <c r="E304" s="1">
        <v>291</v>
      </c>
      <c r="F304" s="1" t="s">
        <v>1203</v>
      </c>
      <c r="G304" s="1" t="s">
        <v>1204</v>
      </c>
      <c r="H304" s="1" t="s">
        <v>1205</v>
      </c>
      <c r="I304" s="1" t="s">
        <v>29</v>
      </c>
      <c r="J304" s="1" t="s">
        <v>16</v>
      </c>
      <c r="K304" s="1" t="b">
        <v>0</v>
      </c>
      <c r="L304" s="1" t="s">
        <v>22</v>
      </c>
      <c r="M304" s="1" t="s">
        <v>16</v>
      </c>
      <c r="N304" s="1" t="s">
        <v>16</v>
      </c>
      <c r="O304" s="1" t="s">
        <v>16</v>
      </c>
      <c r="P304" s="1" t="s">
        <v>16</v>
      </c>
      <c r="Q304" s="1">
        <v>100</v>
      </c>
    </row>
    <row r="305" spans="1:19" ht="12.5" x14ac:dyDescent="0.25">
      <c r="A305" s="1">
        <v>293</v>
      </c>
      <c r="B305" s="1" t="s">
        <v>1206</v>
      </c>
      <c r="C305" s="1" t="s">
        <v>35</v>
      </c>
      <c r="D305" s="1" t="s">
        <v>36</v>
      </c>
      <c r="E305" s="1">
        <v>292</v>
      </c>
      <c r="F305" s="1" t="s">
        <v>1207</v>
      </c>
      <c r="G305" s="1" t="s">
        <v>1208</v>
      </c>
      <c r="H305" s="1" t="s">
        <v>1209</v>
      </c>
      <c r="I305" s="1" t="s">
        <v>29</v>
      </c>
      <c r="J305" s="1" t="s">
        <v>1210</v>
      </c>
      <c r="K305" s="1" t="b">
        <v>0</v>
      </c>
      <c r="L305" s="1" t="s">
        <v>22</v>
      </c>
      <c r="M305" s="1">
        <v>2022</v>
      </c>
      <c r="N305" s="1" t="s">
        <v>52</v>
      </c>
      <c r="O305" s="1" t="s">
        <v>9942</v>
      </c>
      <c r="P305" s="1"/>
      <c r="Q305" s="1">
        <v>100</v>
      </c>
      <c r="R305" s="1">
        <v>150000</v>
      </c>
      <c r="S305" s="1">
        <v>150000</v>
      </c>
    </row>
    <row r="306" spans="1:19" ht="12.5" x14ac:dyDescent="0.25">
      <c r="A306" s="1">
        <v>293</v>
      </c>
      <c r="B306" s="1" t="s">
        <v>1206</v>
      </c>
      <c r="C306" s="1" t="s">
        <v>35</v>
      </c>
      <c r="D306" s="1" t="s">
        <v>36</v>
      </c>
      <c r="E306" s="1">
        <v>292</v>
      </c>
      <c r="F306" s="1" t="s">
        <v>1207</v>
      </c>
      <c r="G306" s="1" t="s">
        <v>1208</v>
      </c>
      <c r="H306" s="1" t="s">
        <v>1209</v>
      </c>
      <c r="I306" s="1" t="s">
        <v>29</v>
      </c>
      <c r="J306" s="1" t="s">
        <v>1210</v>
      </c>
      <c r="K306" s="1" t="b">
        <v>0</v>
      </c>
      <c r="L306" s="1" t="s">
        <v>22</v>
      </c>
      <c r="M306" s="1">
        <v>2022</v>
      </c>
      <c r="N306" s="1" t="s">
        <v>52</v>
      </c>
      <c r="O306" s="1" t="s">
        <v>9935</v>
      </c>
      <c r="P306" s="1" t="s">
        <v>16</v>
      </c>
      <c r="Q306" s="1">
        <v>100</v>
      </c>
      <c r="R306" s="1">
        <v>100000</v>
      </c>
      <c r="S306" s="1">
        <v>100000</v>
      </c>
    </row>
    <row r="307" spans="1:19" ht="12.5" x14ac:dyDescent="0.25">
      <c r="A307" s="1">
        <v>295</v>
      </c>
      <c r="B307" s="1" t="s">
        <v>1211</v>
      </c>
      <c r="C307" s="1" t="s">
        <v>35</v>
      </c>
      <c r="D307" s="1" t="s">
        <v>36</v>
      </c>
      <c r="E307" s="1">
        <v>293</v>
      </c>
      <c r="F307" s="1" t="s">
        <v>1212</v>
      </c>
      <c r="G307" s="1" t="s">
        <v>1213</v>
      </c>
      <c r="H307" s="1" t="s">
        <v>1209</v>
      </c>
      <c r="I307" s="1" t="s">
        <v>29</v>
      </c>
      <c r="J307" s="1" t="s">
        <v>16</v>
      </c>
      <c r="K307" s="1" t="b">
        <v>0</v>
      </c>
      <c r="L307" s="1" t="s">
        <v>22</v>
      </c>
      <c r="M307" s="1">
        <v>2022</v>
      </c>
      <c r="N307" s="1" t="s">
        <v>16</v>
      </c>
      <c r="O307" s="1" t="s">
        <v>9935</v>
      </c>
      <c r="P307" s="1" t="s">
        <v>16</v>
      </c>
      <c r="Q307" s="1">
        <v>100</v>
      </c>
      <c r="R307" s="1">
        <v>100000</v>
      </c>
      <c r="S307" s="1">
        <v>100000</v>
      </c>
    </row>
    <row r="308" spans="1:19" ht="12.5" x14ac:dyDescent="0.25">
      <c r="A308" s="1">
        <v>295</v>
      </c>
      <c r="B308" s="1" t="s">
        <v>1211</v>
      </c>
      <c r="C308" s="1" t="s">
        <v>35</v>
      </c>
      <c r="D308" s="1" t="s">
        <v>36</v>
      </c>
      <c r="E308" s="1">
        <v>293</v>
      </c>
      <c r="F308" s="1" t="s">
        <v>1212</v>
      </c>
      <c r="G308" s="1" t="s">
        <v>1213</v>
      </c>
      <c r="H308" s="1" t="s">
        <v>1209</v>
      </c>
      <c r="I308" s="1" t="s">
        <v>29</v>
      </c>
      <c r="J308" s="1" t="s">
        <v>16</v>
      </c>
      <c r="K308" s="1" t="b">
        <v>0</v>
      </c>
      <c r="L308" s="1" t="s">
        <v>22</v>
      </c>
      <c r="M308" s="1" t="s">
        <v>16</v>
      </c>
      <c r="N308" s="1" t="s">
        <v>16</v>
      </c>
      <c r="O308" s="1" t="s">
        <v>9940</v>
      </c>
      <c r="P308" s="1" t="s">
        <v>16</v>
      </c>
      <c r="Q308" s="1">
        <v>100</v>
      </c>
      <c r="R308" s="1">
        <v>25000</v>
      </c>
      <c r="S308" s="1">
        <v>25000</v>
      </c>
    </row>
    <row r="309" spans="1:19" ht="12.5" x14ac:dyDescent="0.25">
      <c r="A309" s="1">
        <v>295</v>
      </c>
      <c r="B309" s="1" t="s">
        <v>1211</v>
      </c>
      <c r="C309" s="1" t="s">
        <v>35</v>
      </c>
      <c r="D309" s="1" t="s">
        <v>36</v>
      </c>
      <c r="E309" s="1">
        <v>293</v>
      </c>
      <c r="F309" s="1" t="s">
        <v>1212</v>
      </c>
      <c r="G309" s="1" t="s">
        <v>1213</v>
      </c>
      <c r="H309" s="1" t="s">
        <v>1209</v>
      </c>
      <c r="I309" s="1" t="s">
        <v>29</v>
      </c>
      <c r="J309" s="1" t="s">
        <v>16</v>
      </c>
      <c r="K309" s="1" t="b">
        <v>0</v>
      </c>
      <c r="L309" s="1" t="s">
        <v>22</v>
      </c>
      <c r="M309" s="1" t="s">
        <v>16</v>
      </c>
      <c r="N309" s="1" t="s">
        <v>16</v>
      </c>
      <c r="O309" s="1" t="s">
        <v>9952</v>
      </c>
      <c r="P309" s="1" t="s">
        <v>16</v>
      </c>
      <c r="Q309" s="1">
        <v>100</v>
      </c>
      <c r="R309" s="1">
        <v>18750</v>
      </c>
      <c r="S309" s="1">
        <v>18750</v>
      </c>
    </row>
    <row r="310" spans="1:19" ht="12.5" x14ac:dyDescent="0.25">
      <c r="A310" s="1">
        <v>1465</v>
      </c>
      <c r="B310" s="1" t="s">
        <v>1214</v>
      </c>
      <c r="C310" s="1" t="s">
        <v>35</v>
      </c>
      <c r="D310" s="1" t="s">
        <v>152</v>
      </c>
      <c r="E310" s="1">
        <v>293</v>
      </c>
      <c r="F310" s="1" t="s">
        <v>1212</v>
      </c>
      <c r="G310" s="1" t="s">
        <v>1213</v>
      </c>
      <c r="H310" s="1" t="s">
        <v>1209</v>
      </c>
      <c r="I310" s="1" t="s">
        <v>29</v>
      </c>
      <c r="J310" s="1" t="s">
        <v>16</v>
      </c>
      <c r="K310" s="1" t="b">
        <v>0</v>
      </c>
      <c r="L310" s="1" t="s">
        <v>22</v>
      </c>
      <c r="M310" s="1" t="s">
        <v>16</v>
      </c>
      <c r="N310" s="1" t="s">
        <v>16</v>
      </c>
      <c r="O310" s="1" t="s">
        <v>9940</v>
      </c>
      <c r="P310" s="1" t="s">
        <v>16</v>
      </c>
      <c r="Q310" s="1">
        <v>0</v>
      </c>
      <c r="R310" s="1">
        <v>25000</v>
      </c>
      <c r="S310" s="1">
        <v>0</v>
      </c>
    </row>
    <row r="311" spans="1:19" ht="12.5" x14ac:dyDescent="0.25">
      <c r="A311" s="1">
        <v>1465</v>
      </c>
      <c r="B311" s="1" t="s">
        <v>1214</v>
      </c>
      <c r="C311" s="1" t="s">
        <v>35</v>
      </c>
      <c r="D311" s="1" t="s">
        <v>152</v>
      </c>
      <c r="E311" s="1">
        <v>293</v>
      </c>
      <c r="F311" s="1" t="s">
        <v>1212</v>
      </c>
      <c r="G311" s="1" t="s">
        <v>1213</v>
      </c>
      <c r="H311" s="1" t="s">
        <v>1209</v>
      </c>
      <c r="I311" s="1" t="s">
        <v>29</v>
      </c>
      <c r="J311" s="1" t="s">
        <v>16</v>
      </c>
      <c r="K311" s="1" t="b">
        <v>0</v>
      </c>
      <c r="L311" s="1" t="s">
        <v>22</v>
      </c>
      <c r="M311" s="1">
        <v>2022</v>
      </c>
      <c r="N311" s="1" t="s">
        <v>16</v>
      </c>
      <c r="O311" s="1" t="s">
        <v>9935</v>
      </c>
      <c r="P311" s="1" t="s">
        <v>16</v>
      </c>
      <c r="Q311" s="1">
        <v>0</v>
      </c>
      <c r="R311" s="1">
        <v>100000</v>
      </c>
      <c r="S311" s="1">
        <v>0</v>
      </c>
    </row>
    <row r="312" spans="1:19" ht="12.5" x14ac:dyDescent="0.25">
      <c r="A312" s="1">
        <v>1465</v>
      </c>
      <c r="B312" s="1" t="s">
        <v>1214</v>
      </c>
      <c r="C312" s="1" t="s">
        <v>35</v>
      </c>
      <c r="D312" s="1" t="s">
        <v>152</v>
      </c>
      <c r="E312" s="1">
        <v>293</v>
      </c>
      <c r="F312" s="1" t="s">
        <v>1212</v>
      </c>
      <c r="G312" s="1" t="s">
        <v>1213</v>
      </c>
      <c r="H312" s="1" t="s">
        <v>1209</v>
      </c>
      <c r="I312" s="1" t="s">
        <v>29</v>
      </c>
      <c r="J312" s="1" t="s">
        <v>16</v>
      </c>
      <c r="K312" s="1" t="b">
        <v>0</v>
      </c>
      <c r="L312" s="1" t="s">
        <v>22</v>
      </c>
      <c r="M312" s="1" t="s">
        <v>16</v>
      </c>
      <c r="N312" s="1" t="s">
        <v>16</v>
      </c>
      <c r="O312" s="1" t="s">
        <v>9952</v>
      </c>
      <c r="P312" s="1" t="s">
        <v>16</v>
      </c>
      <c r="Q312" s="1">
        <v>0</v>
      </c>
      <c r="R312" s="1">
        <v>18750</v>
      </c>
      <c r="S312" s="1">
        <v>0</v>
      </c>
    </row>
    <row r="313" spans="1:19" ht="12.5" x14ac:dyDescent="0.25">
      <c r="A313" s="1">
        <v>296</v>
      </c>
      <c r="B313" s="1" t="s">
        <v>1215</v>
      </c>
      <c r="C313" s="1" t="s">
        <v>35</v>
      </c>
      <c r="D313" s="1" t="s">
        <v>36</v>
      </c>
      <c r="E313" s="1">
        <v>294</v>
      </c>
      <c r="F313" s="1" t="s">
        <v>1216</v>
      </c>
      <c r="G313" s="1" t="s">
        <v>1217</v>
      </c>
      <c r="H313" s="1" t="s">
        <v>1218</v>
      </c>
      <c r="I313" s="1" t="s">
        <v>29</v>
      </c>
      <c r="J313" s="1" t="s">
        <v>16</v>
      </c>
      <c r="K313" s="1" t="b">
        <v>0</v>
      </c>
      <c r="L313" s="1" t="s">
        <v>22</v>
      </c>
      <c r="M313" s="1" t="s">
        <v>16</v>
      </c>
      <c r="N313" s="1" t="s">
        <v>16</v>
      </c>
      <c r="O313" s="1" t="s">
        <v>16</v>
      </c>
      <c r="P313" s="1" t="s">
        <v>16</v>
      </c>
      <c r="Q313" s="1">
        <v>100</v>
      </c>
    </row>
    <row r="314" spans="1:19" ht="12.5" x14ac:dyDescent="0.25">
      <c r="A314" s="1">
        <v>297</v>
      </c>
      <c r="B314" s="1" t="s">
        <v>1219</v>
      </c>
      <c r="C314" s="1" t="s">
        <v>35</v>
      </c>
      <c r="D314" s="1" t="s">
        <v>36</v>
      </c>
      <c r="E314" s="1">
        <v>295</v>
      </c>
      <c r="F314" s="1" t="s">
        <v>1220</v>
      </c>
      <c r="G314" s="1" t="s">
        <v>1221</v>
      </c>
      <c r="H314" s="1" t="s">
        <v>1222</v>
      </c>
      <c r="I314" s="1" t="s">
        <v>29</v>
      </c>
      <c r="J314" s="1" t="s">
        <v>1223</v>
      </c>
      <c r="K314" s="1" t="b">
        <v>0</v>
      </c>
      <c r="L314" s="1" t="s">
        <v>22</v>
      </c>
      <c r="M314" s="1">
        <v>2022</v>
      </c>
      <c r="N314" s="1" t="s">
        <v>16</v>
      </c>
      <c r="O314" s="1" t="s">
        <v>9942</v>
      </c>
      <c r="P314" s="1" t="s">
        <v>16</v>
      </c>
      <c r="Q314" s="1">
        <v>100</v>
      </c>
      <c r="R314" s="1">
        <v>50000</v>
      </c>
      <c r="S314" s="1">
        <v>50000</v>
      </c>
    </row>
    <row r="315" spans="1:19" ht="12.5" x14ac:dyDescent="0.25">
      <c r="A315" s="1">
        <v>297</v>
      </c>
      <c r="B315" s="1" t="s">
        <v>1219</v>
      </c>
      <c r="C315" s="1" t="s">
        <v>35</v>
      </c>
      <c r="D315" s="1" t="s">
        <v>36</v>
      </c>
      <c r="E315" s="1">
        <v>295</v>
      </c>
      <c r="F315" s="1" t="s">
        <v>1220</v>
      </c>
      <c r="G315" s="1" t="s">
        <v>1221</v>
      </c>
      <c r="H315" s="1" t="s">
        <v>1222</v>
      </c>
      <c r="I315" s="1" t="s">
        <v>29</v>
      </c>
      <c r="J315" s="1" t="s">
        <v>1223</v>
      </c>
      <c r="K315" s="1" t="b">
        <v>0</v>
      </c>
      <c r="L315" s="1" t="s">
        <v>22</v>
      </c>
      <c r="M315" s="1" t="s">
        <v>16</v>
      </c>
      <c r="N315" s="1" t="s">
        <v>16</v>
      </c>
      <c r="O315" s="1" t="s">
        <v>9935</v>
      </c>
      <c r="P315" s="1" t="s">
        <v>16</v>
      </c>
      <c r="Q315" s="1">
        <v>100</v>
      </c>
      <c r="R315" s="1">
        <v>50000</v>
      </c>
      <c r="S315" s="1">
        <v>50000</v>
      </c>
    </row>
    <row r="316" spans="1:19" ht="12.5" x14ac:dyDescent="0.25">
      <c r="A316" s="1">
        <v>299</v>
      </c>
      <c r="B316" s="1" t="s">
        <v>1224</v>
      </c>
      <c r="C316" s="1" t="s">
        <v>35</v>
      </c>
      <c r="D316" s="1" t="s">
        <v>36</v>
      </c>
      <c r="E316" s="1">
        <v>296</v>
      </c>
      <c r="F316" s="1" t="s">
        <v>1225</v>
      </c>
      <c r="G316" s="1" t="s">
        <v>1226</v>
      </c>
      <c r="H316" s="1" t="s">
        <v>1227</v>
      </c>
      <c r="I316" s="1" t="s">
        <v>20</v>
      </c>
      <c r="J316" s="1" t="s">
        <v>16</v>
      </c>
      <c r="K316" s="1" t="b">
        <v>0</v>
      </c>
      <c r="L316" s="1" t="s">
        <v>22</v>
      </c>
      <c r="M316" s="1" t="s">
        <v>16</v>
      </c>
      <c r="N316" s="1" t="s">
        <v>16</v>
      </c>
      <c r="O316" s="1" t="s">
        <v>16</v>
      </c>
      <c r="P316" s="1" t="s">
        <v>16</v>
      </c>
      <c r="Q316" s="1">
        <v>100</v>
      </c>
    </row>
    <row r="317" spans="1:19" ht="12.5" x14ac:dyDescent="0.25">
      <c r="A317" s="1">
        <v>300</v>
      </c>
      <c r="B317" s="1" t="s">
        <v>1228</v>
      </c>
      <c r="C317" s="1" t="s">
        <v>35</v>
      </c>
      <c r="D317" s="1" t="s">
        <v>36</v>
      </c>
      <c r="E317" s="1">
        <v>297</v>
      </c>
      <c r="F317" s="1" t="s">
        <v>1229</v>
      </c>
      <c r="G317" s="1" t="s">
        <v>1230</v>
      </c>
      <c r="H317" s="1" t="s">
        <v>1231</v>
      </c>
      <c r="I317" s="1" t="s">
        <v>29</v>
      </c>
      <c r="J317" s="1" t="s">
        <v>16</v>
      </c>
      <c r="K317" s="1" t="b">
        <v>0</v>
      </c>
      <c r="L317" s="1" t="s">
        <v>22</v>
      </c>
      <c r="M317" s="1" t="s">
        <v>16</v>
      </c>
      <c r="N317" s="1" t="s">
        <v>16</v>
      </c>
      <c r="O317" s="1" t="s">
        <v>16</v>
      </c>
      <c r="P317" s="1" t="s">
        <v>16</v>
      </c>
      <c r="Q317" s="1">
        <v>100</v>
      </c>
    </row>
    <row r="318" spans="1:19" ht="12.5" x14ac:dyDescent="0.25">
      <c r="A318" s="1">
        <v>300</v>
      </c>
      <c r="B318" s="1" t="s">
        <v>1228</v>
      </c>
      <c r="C318" s="1" t="s">
        <v>35</v>
      </c>
      <c r="D318" s="1" t="s">
        <v>36</v>
      </c>
      <c r="E318" s="1">
        <v>298</v>
      </c>
      <c r="F318" s="1" t="s">
        <v>1232</v>
      </c>
      <c r="G318" s="1" t="s">
        <v>1233</v>
      </c>
      <c r="H318" s="1" t="s">
        <v>1234</v>
      </c>
      <c r="I318" s="1" t="s">
        <v>20</v>
      </c>
      <c r="J318" s="1" t="s">
        <v>16</v>
      </c>
      <c r="K318" s="1" t="b">
        <v>0</v>
      </c>
      <c r="L318" s="1" t="s">
        <v>22</v>
      </c>
      <c r="M318" s="1" t="s">
        <v>16</v>
      </c>
      <c r="N318" s="1" t="s">
        <v>16</v>
      </c>
      <c r="O318" s="1" t="s">
        <v>16</v>
      </c>
      <c r="P318" s="1" t="s">
        <v>16</v>
      </c>
      <c r="Q318" s="1">
        <v>100</v>
      </c>
    </row>
    <row r="319" spans="1:19" ht="12.5" x14ac:dyDescent="0.25">
      <c r="A319" s="1">
        <v>301</v>
      </c>
      <c r="B319" s="1" t="s">
        <v>1235</v>
      </c>
      <c r="C319" s="1" t="s">
        <v>35</v>
      </c>
      <c r="D319" s="1" t="s">
        <v>36</v>
      </c>
      <c r="E319" s="1">
        <v>299</v>
      </c>
      <c r="F319" s="1" t="s">
        <v>1236</v>
      </c>
      <c r="G319" s="1" t="s">
        <v>1237</v>
      </c>
      <c r="H319" s="1" t="s">
        <v>1238</v>
      </c>
      <c r="I319" s="1" t="s">
        <v>29</v>
      </c>
      <c r="J319" s="1" t="s">
        <v>16</v>
      </c>
      <c r="K319" s="1" t="b">
        <v>0</v>
      </c>
      <c r="L319" s="1" t="s">
        <v>22</v>
      </c>
      <c r="M319" s="1" t="s">
        <v>16</v>
      </c>
      <c r="N319" s="1" t="s">
        <v>16</v>
      </c>
      <c r="O319" s="1" t="s">
        <v>16</v>
      </c>
      <c r="P319" s="1" t="s">
        <v>16</v>
      </c>
      <c r="Q319" s="1">
        <v>100</v>
      </c>
    </row>
    <row r="320" spans="1:19" ht="12.5" x14ac:dyDescent="0.25">
      <c r="A320" s="1">
        <v>302</v>
      </c>
      <c r="B320" s="1" t="s">
        <v>1239</v>
      </c>
      <c r="C320" s="1" t="s">
        <v>35</v>
      </c>
      <c r="D320" s="1" t="s">
        <v>36</v>
      </c>
      <c r="E320" s="1">
        <v>300</v>
      </c>
      <c r="F320" s="1" t="s">
        <v>1240</v>
      </c>
      <c r="G320" s="1" t="s">
        <v>1241</v>
      </c>
      <c r="H320" s="1" t="s">
        <v>1209</v>
      </c>
      <c r="I320" s="1" t="s">
        <v>29</v>
      </c>
      <c r="J320" s="1" t="s">
        <v>16</v>
      </c>
      <c r="K320" s="1" t="b">
        <v>0</v>
      </c>
      <c r="L320" s="1" t="s">
        <v>22</v>
      </c>
      <c r="M320" s="1" t="s">
        <v>16</v>
      </c>
      <c r="N320" s="1" t="s">
        <v>16</v>
      </c>
      <c r="O320" s="1" t="s">
        <v>9940</v>
      </c>
      <c r="P320" s="1" t="s">
        <v>16</v>
      </c>
      <c r="Q320" s="1">
        <v>100</v>
      </c>
      <c r="R320" s="1">
        <v>75000</v>
      </c>
      <c r="S320" s="1">
        <v>75000</v>
      </c>
    </row>
    <row r="321" spans="1:19" ht="12.5" x14ac:dyDescent="0.25">
      <c r="A321" s="1">
        <v>302</v>
      </c>
      <c r="B321" s="1" t="s">
        <v>1239</v>
      </c>
      <c r="C321" s="1" t="s">
        <v>35</v>
      </c>
      <c r="D321" s="1" t="s">
        <v>36</v>
      </c>
      <c r="E321" s="1">
        <v>300</v>
      </c>
      <c r="F321" s="1" t="s">
        <v>1240</v>
      </c>
      <c r="G321" s="1" t="s">
        <v>1241</v>
      </c>
      <c r="H321" s="1" t="s">
        <v>1209</v>
      </c>
      <c r="I321" s="1" t="s">
        <v>29</v>
      </c>
      <c r="J321" s="1" t="s">
        <v>16</v>
      </c>
      <c r="K321" s="1" t="b">
        <v>0</v>
      </c>
      <c r="L321" s="1" t="s">
        <v>22</v>
      </c>
      <c r="M321" s="1" t="s">
        <v>16</v>
      </c>
      <c r="N321" s="1" t="s">
        <v>16</v>
      </c>
      <c r="O321" s="1" t="s">
        <v>9952</v>
      </c>
      <c r="P321" s="1" t="s">
        <v>16</v>
      </c>
      <c r="Q321" s="1">
        <v>100</v>
      </c>
      <c r="R321" s="1">
        <v>228750</v>
      </c>
      <c r="S321" s="1">
        <v>228750</v>
      </c>
    </row>
    <row r="322" spans="1:19" ht="12.5" x14ac:dyDescent="0.25">
      <c r="A322" s="1">
        <v>302</v>
      </c>
      <c r="B322" s="1" t="s">
        <v>1239</v>
      </c>
      <c r="C322" s="1" t="s">
        <v>35</v>
      </c>
      <c r="D322" s="1" t="s">
        <v>36</v>
      </c>
      <c r="E322" s="1">
        <v>300</v>
      </c>
      <c r="F322" s="1" t="s">
        <v>1240</v>
      </c>
      <c r="G322" s="1" t="s">
        <v>1241</v>
      </c>
      <c r="H322" s="1" t="s">
        <v>1209</v>
      </c>
      <c r="I322" s="1" t="s">
        <v>29</v>
      </c>
      <c r="J322" s="1" t="s">
        <v>16</v>
      </c>
      <c r="K322" s="1" t="b">
        <v>0</v>
      </c>
      <c r="L322" s="1" t="s">
        <v>22</v>
      </c>
      <c r="M322" s="1">
        <v>2022</v>
      </c>
      <c r="N322" s="1" t="s">
        <v>16</v>
      </c>
      <c r="O322" s="1" t="s">
        <v>9942</v>
      </c>
      <c r="P322" s="1" t="s">
        <v>16</v>
      </c>
      <c r="Q322" s="1">
        <v>100</v>
      </c>
      <c r="R322" s="1">
        <v>450000</v>
      </c>
      <c r="S322" s="1">
        <v>450000</v>
      </c>
    </row>
    <row r="323" spans="1:19" ht="12.5" x14ac:dyDescent="0.25">
      <c r="A323" s="1">
        <v>302</v>
      </c>
      <c r="B323" s="1" t="s">
        <v>1239</v>
      </c>
      <c r="C323" s="1" t="s">
        <v>35</v>
      </c>
      <c r="D323" s="1" t="s">
        <v>36</v>
      </c>
      <c r="E323" s="1">
        <v>300</v>
      </c>
      <c r="F323" s="1" t="s">
        <v>1240</v>
      </c>
      <c r="G323" s="1" t="s">
        <v>1241</v>
      </c>
      <c r="H323" s="1" t="s">
        <v>1209</v>
      </c>
      <c r="I323" s="1" t="s">
        <v>29</v>
      </c>
      <c r="J323" s="1" t="s">
        <v>16</v>
      </c>
      <c r="K323" s="1" t="b">
        <v>0</v>
      </c>
      <c r="L323" s="1" t="s">
        <v>22</v>
      </c>
      <c r="M323" s="1">
        <v>2022</v>
      </c>
      <c r="N323" s="1" t="s">
        <v>16</v>
      </c>
      <c r="O323" s="1" t="s">
        <v>9935</v>
      </c>
      <c r="P323" s="1" t="s">
        <v>16</v>
      </c>
      <c r="Q323" s="1">
        <v>100</v>
      </c>
      <c r="R323" s="1">
        <v>1000000</v>
      </c>
      <c r="S323" s="1">
        <v>1000000</v>
      </c>
    </row>
    <row r="324" spans="1:19" ht="12.5" x14ac:dyDescent="0.25">
      <c r="A324" s="1">
        <v>302</v>
      </c>
      <c r="B324" s="1" t="s">
        <v>1239</v>
      </c>
      <c r="C324" s="1" t="s">
        <v>35</v>
      </c>
      <c r="D324" s="1" t="s">
        <v>36</v>
      </c>
      <c r="E324" s="1">
        <v>301</v>
      </c>
      <c r="F324" s="1" t="s">
        <v>1242</v>
      </c>
      <c r="G324" s="1" t="s">
        <v>1243</v>
      </c>
      <c r="H324" s="1" t="s">
        <v>1244</v>
      </c>
      <c r="I324" s="1" t="s">
        <v>20</v>
      </c>
      <c r="J324" s="1" t="s">
        <v>16</v>
      </c>
      <c r="K324" s="1" t="b">
        <v>0</v>
      </c>
      <c r="L324" s="1" t="s">
        <v>22</v>
      </c>
      <c r="M324" s="1" t="s">
        <v>16</v>
      </c>
      <c r="N324" s="1" t="s">
        <v>16</v>
      </c>
      <c r="O324" s="1" t="s">
        <v>16</v>
      </c>
      <c r="P324" s="1" t="s">
        <v>16</v>
      </c>
      <c r="Q324" s="1">
        <v>100</v>
      </c>
    </row>
    <row r="325" spans="1:19" ht="12.5" x14ac:dyDescent="0.25">
      <c r="A325" s="1">
        <v>303</v>
      </c>
      <c r="B325" s="1" t="s">
        <v>1245</v>
      </c>
      <c r="C325" s="1" t="s">
        <v>35</v>
      </c>
      <c r="D325" s="1" t="s">
        <v>36</v>
      </c>
      <c r="E325" s="1">
        <v>302</v>
      </c>
      <c r="F325" s="1" t="s">
        <v>1246</v>
      </c>
      <c r="G325" s="1" t="s">
        <v>1247</v>
      </c>
      <c r="H325" s="1" t="s">
        <v>1209</v>
      </c>
      <c r="I325" s="1" t="s">
        <v>29</v>
      </c>
      <c r="J325" s="1" t="s">
        <v>16</v>
      </c>
      <c r="K325" s="1" t="b">
        <v>0</v>
      </c>
      <c r="L325" s="1" t="s">
        <v>22</v>
      </c>
      <c r="M325" s="1">
        <v>2022</v>
      </c>
      <c r="N325" s="1" t="s">
        <v>16</v>
      </c>
      <c r="O325" s="1" t="s">
        <v>9942</v>
      </c>
      <c r="P325" s="1" t="s">
        <v>16</v>
      </c>
      <c r="Q325" s="1">
        <v>100</v>
      </c>
      <c r="R325" s="1">
        <v>300000</v>
      </c>
      <c r="S325" s="1">
        <v>300000</v>
      </c>
    </row>
    <row r="326" spans="1:19" ht="12.5" x14ac:dyDescent="0.25">
      <c r="A326" s="1">
        <v>303</v>
      </c>
      <c r="B326" s="1" t="s">
        <v>1245</v>
      </c>
      <c r="C326" s="1" t="s">
        <v>35</v>
      </c>
      <c r="D326" s="1" t="s">
        <v>36</v>
      </c>
      <c r="E326" s="1">
        <v>302</v>
      </c>
      <c r="F326" s="1" t="s">
        <v>1246</v>
      </c>
      <c r="G326" s="1" t="s">
        <v>1247</v>
      </c>
      <c r="H326" s="1" t="s">
        <v>1209</v>
      </c>
      <c r="I326" s="1" t="s">
        <v>29</v>
      </c>
      <c r="J326" s="1" t="s">
        <v>16</v>
      </c>
      <c r="K326" s="1" t="b">
        <v>0</v>
      </c>
      <c r="L326" s="1" t="s">
        <v>22</v>
      </c>
      <c r="M326" s="1" t="s">
        <v>16</v>
      </c>
      <c r="N326" s="1" t="s">
        <v>16</v>
      </c>
      <c r="O326" s="1" t="s">
        <v>9940</v>
      </c>
      <c r="P326" s="1" t="s">
        <v>16</v>
      </c>
      <c r="Q326" s="1">
        <v>100</v>
      </c>
      <c r="R326" s="1">
        <v>50000</v>
      </c>
      <c r="S326" s="1">
        <v>50000</v>
      </c>
    </row>
    <row r="327" spans="1:19" ht="12.5" x14ac:dyDescent="0.25">
      <c r="A327" s="1">
        <v>303</v>
      </c>
      <c r="B327" s="1" t="s">
        <v>1245</v>
      </c>
      <c r="C327" s="1" t="s">
        <v>35</v>
      </c>
      <c r="D327" s="1" t="s">
        <v>36</v>
      </c>
      <c r="E327" s="1">
        <v>302</v>
      </c>
      <c r="F327" s="1" t="s">
        <v>1246</v>
      </c>
      <c r="G327" s="1" t="s">
        <v>1247</v>
      </c>
      <c r="H327" s="1" t="s">
        <v>1209</v>
      </c>
      <c r="I327" s="1" t="s">
        <v>29</v>
      </c>
      <c r="J327" s="1" t="s">
        <v>16</v>
      </c>
      <c r="K327" s="1" t="b">
        <v>0</v>
      </c>
      <c r="L327" s="1" t="s">
        <v>22</v>
      </c>
      <c r="M327" s="1" t="s">
        <v>16</v>
      </c>
      <c r="N327" s="1" t="s">
        <v>16</v>
      </c>
      <c r="O327" s="1" t="s">
        <v>9952</v>
      </c>
      <c r="P327" s="1" t="s">
        <v>16</v>
      </c>
      <c r="Q327" s="1">
        <v>100</v>
      </c>
      <c r="R327" s="1">
        <v>127500</v>
      </c>
      <c r="S327" s="1">
        <v>127500</v>
      </c>
    </row>
    <row r="328" spans="1:19" ht="12.5" x14ac:dyDescent="0.25">
      <c r="A328" s="1">
        <v>303</v>
      </c>
      <c r="B328" s="1" t="s">
        <v>1245</v>
      </c>
      <c r="C328" s="1" t="s">
        <v>35</v>
      </c>
      <c r="D328" s="1" t="s">
        <v>36</v>
      </c>
      <c r="E328" s="1">
        <v>302</v>
      </c>
      <c r="F328" s="1" t="s">
        <v>1246</v>
      </c>
      <c r="G328" s="1" t="s">
        <v>1247</v>
      </c>
      <c r="H328" s="1" t="s">
        <v>1209</v>
      </c>
      <c r="I328" s="1" t="s">
        <v>29</v>
      </c>
      <c r="J328" s="1" t="s">
        <v>16</v>
      </c>
      <c r="K328" s="1" t="b">
        <v>0</v>
      </c>
      <c r="L328" s="1" t="s">
        <v>22</v>
      </c>
      <c r="M328" s="1">
        <v>2022</v>
      </c>
      <c r="N328" s="1" t="s">
        <v>16</v>
      </c>
      <c r="O328" s="1" t="s">
        <v>9935</v>
      </c>
      <c r="P328" s="1" t="s">
        <v>16</v>
      </c>
      <c r="Q328" s="1">
        <v>100</v>
      </c>
      <c r="R328" s="1">
        <v>500000</v>
      </c>
      <c r="S328" s="1">
        <v>500000</v>
      </c>
    </row>
    <row r="329" spans="1:19" ht="12.5" x14ac:dyDescent="0.25">
      <c r="A329" s="1">
        <v>304</v>
      </c>
      <c r="B329" s="1" t="s">
        <v>1248</v>
      </c>
      <c r="C329" s="1" t="s">
        <v>35</v>
      </c>
      <c r="D329" s="1" t="s">
        <v>36</v>
      </c>
      <c r="E329" s="1">
        <v>303</v>
      </c>
      <c r="F329" s="1" t="s">
        <v>1249</v>
      </c>
      <c r="G329" s="1" t="s">
        <v>1250</v>
      </c>
      <c r="H329" s="1" t="s">
        <v>1251</v>
      </c>
      <c r="I329" s="1" t="s">
        <v>29</v>
      </c>
      <c r="J329" s="1" t="s">
        <v>16</v>
      </c>
      <c r="K329" s="1" t="b">
        <v>0</v>
      </c>
      <c r="L329" s="1" t="s">
        <v>22</v>
      </c>
      <c r="M329" s="1" t="s">
        <v>16</v>
      </c>
      <c r="N329" s="1" t="s">
        <v>16</v>
      </c>
      <c r="O329" s="1" t="s">
        <v>16</v>
      </c>
      <c r="P329" s="1" t="s">
        <v>16</v>
      </c>
      <c r="Q329" s="1">
        <v>100</v>
      </c>
    </row>
    <row r="330" spans="1:19" ht="12.5" x14ac:dyDescent="0.25">
      <c r="A330" s="1">
        <v>305</v>
      </c>
      <c r="B330" s="1" t="s">
        <v>1252</v>
      </c>
      <c r="C330" s="1" t="s">
        <v>35</v>
      </c>
      <c r="D330" s="1" t="s">
        <v>36</v>
      </c>
      <c r="E330" s="1">
        <v>304</v>
      </c>
      <c r="F330" s="1" t="s">
        <v>1253</v>
      </c>
      <c r="G330" s="1" t="s">
        <v>1254</v>
      </c>
      <c r="H330" s="1" t="s">
        <v>1255</v>
      </c>
      <c r="I330" s="1" t="s">
        <v>20</v>
      </c>
      <c r="J330" s="1" t="s">
        <v>16</v>
      </c>
      <c r="K330" s="1" t="b">
        <v>0</v>
      </c>
      <c r="L330" s="1" t="s">
        <v>22</v>
      </c>
      <c r="M330" s="1" t="s">
        <v>16</v>
      </c>
      <c r="N330" s="1" t="s">
        <v>16</v>
      </c>
      <c r="O330" s="1" t="s">
        <v>16</v>
      </c>
      <c r="P330" s="1" t="s">
        <v>16</v>
      </c>
      <c r="Q330" s="1">
        <v>100</v>
      </c>
    </row>
    <row r="331" spans="1:19" ht="12.5" x14ac:dyDescent="0.25">
      <c r="A331" s="1">
        <v>306</v>
      </c>
      <c r="B331" s="1" t="s">
        <v>1256</v>
      </c>
      <c r="C331" s="1" t="s">
        <v>35</v>
      </c>
      <c r="D331" s="1" t="s">
        <v>36</v>
      </c>
      <c r="E331" s="1">
        <v>305</v>
      </c>
      <c r="F331" s="1" t="s">
        <v>1257</v>
      </c>
      <c r="G331" s="1" t="s">
        <v>1258</v>
      </c>
      <c r="H331" s="1" t="s">
        <v>1259</v>
      </c>
      <c r="I331" s="1" t="s">
        <v>29</v>
      </c>
      <c r="J331" s="1" t="s">
        <v>1260</v>
      </c>
      <c r="K331" s="1" t="b">
        <v>1</v>
      </c>
      <c r="L331" s="1" t="s">
        <v>31</v>
      </c>
      <c r="M331" s="1">
        <v>2022</v>
      </c>
      <c r="N331" s="1" t="s">
        <v>23</v>
      </c>
      <c r="O331" s="1" t="s">
        <v>9935</v>
      </c>
      <c r="P331" s="1" t="s">
        <v>16</v>
      </c>
      <c r="Q331" s="1">
        <v>50</v>
      </c>
      <c r="R331" s="1">
        <v>50000</v>
      </c>
      <c r="S331" s="1">
        <v>25000</v>
      </c>
    </row>
    <row r="332" spans="1:19" ht="12.5" x14ac:dyDescent="0.25">
      <c r="A332" s="1">
        <v>2265</v>
      </c>
      <c r="B332" s="1" t="s">
        <v>1261</v>
      </c>
      <c r="C332" s="1" t="s">
        <v>35</v>
      </c>
      <c r="D332" s="1" t="s">
        <v>152</v>
      </c>
      <c r="E332" s="1">
        <v>305</v>
      </c>
      <c r="F332" s="1" t="s">
        <v>1257</v>
      </c>
      <c r="G332" s="1" t="s">
        <v>1258</v>
      </c>
      <c r="H332" s="1" t="s">
        <v>1259</v>
      </c>
      <c r="I332" s="1" t="s">
        <v>29</v>
      </c>
      <c r="J332" s="1" t="s">
        <v>1260</v>
      </c>
      <c r="K332" s="1" t="b">
        <v>1</v>
      </c>
      <c r="L332" s="1" t="s">
        <v>31</v>
      </c>
      <c r="M332" s="1">
        <v>2022</v>
      </c>
      <c r="N332" s="1" t="s">
        <v>23</v>
      </c>
      <c r="O332" s="1" t="s">
        <v>9935</v>
      </c>
      <c r="P332" s="1" t="s">
        <v>16</v>
      </c>
      <c r="Q332" s="1">
        <v>50</v>
      </c>
      <c r="R332" s="1">
        <v>50000</v>
      </c>
      <c r="S332" s="1">
        <v>25000</v>
      </c>
    </row>
    <row r="333" spans="1:19" ht="12.5" x14ac:dyDescent="0.25">
      <c r="A333" s="1">
        <v>308</v>
      </c>
      <c r="B333" s="1" t="s">
        <v>1262</v>
      </c>
      <c r="C333" s="1" t="s">
        <v>35</v>
      </c>
      <c r="D333" s="1" t="s">
        <v>36</v>
      </c>
      <c r="E333" s="1">
        <v>306</v>
      </c>
      <c r="F333" s="1" t="s">
        <v>1263</v>
      </c>
      <c r="G333" s="1" t="s">
        <v>1264</v>
      </c>
      <c r="H333" s="1" t="s">
        <v>1265</v>
      </c>
      <c r="I333" s="1" t="s">
        <v>29</v>
      </c>
      <c r="J333" s="1" t="s">
        <v>1266</v>
      </c>
      <c r="K333" s="1" t="b">
        <v>1</v>
      </c>
      <c r="L333" s="1" t="s">
        <v>31</v>
      </c>
      <c r="M333" s="1">
        <v>2021</v>
      </c>
      <c r="N333" s="1" t="s">
        <v>16</v>
      </c>
      <c r="O333" s="1" t="s">
        <v>9942</v>
      </c>
      <c r="P333" s="1" t="s">
        <v>16</v>
      </c>
      <c r="Q333" s="1">
        <v>100</v>
      </c>
      <c r="R333" s="1">
        <v>50000</v>
      </c>
      <c r="S333" s="1">
        <v>50000</v>
      </c>
    </row>
    <row r="334" spans="1:19" ht="12.5" x14ac:dyDescent="0.25">
      <c r="A334" s="1" t="s">
        <v>16</v>
      </c>
      <c r="B334" s="1" t="s">
        <v>16</v>
      </c>
      <c r="C334" s="1" t="s">
        <v>16</v>
      </c>
      <c r="D334" s="1" t="s">
        <v>16</v>
      </c>
      <c r="E334" s="1">
        <v>307</v>
      </c>
      <c r="F334" s="1" t="s">
        <v>1267</v>
      </c>
      <c r="G334" s="1" t="s">
        <v>1268</v>
      </c>
      <c r="H334" s="1" t="s">
        <v>1269</v>
      </c>
      <c r="I334" s="1" t="s">
        <v>29</v>
      </c>
      <c r="J334" s="1" t="s">
        <v>16</v>
      </c>
      <c r="K334" s="1" t="b">
        <v>0</v>
      </c>
      <c r="L334" s="1" t="s">
        <v>22</v>
      </c>
      <c r="M334" s="1" t="s">
        <v>16</v>
      </c>
      <c r="N334" s="1" t="s">
        <v>16</v>
      </c>
      <c r="O334" s="1" t="s">
        <v>16</v>
      </c>
      <c r="P334" s="1" t="s">
        <v>16</v>
      </c>
    </row>
    <row r="335" spans="1:19" ht="12.5" x14ac:dyDescent="0.25">
      <c r="A335" s="1">
        <v>290</v>
      </c>
      <c r="B335" s="1" t="s">
        <v>1270</v>
      </c>
      <c r="C335" s="1" t="s">
        <v>35</v>
      </c>
      <c r="D335" s="1" t="s">
        <v>36</v>
      </c>
      <c r="E335" s="1">
        <v>308</v>
      </c>
      <c r="F335" s="1" t="s">
        <v>1271</v>
      </c>
      <c r="G335" s="1" t="s">
        <v>1272</v>
      </c>
      <c r="H335" s="1" t="s">
        <v>1273</v>
      </c>
      <c r="I335" s="1" t="s">
        <v>29</v>
      </c>
      <c r="J335" s="1" t="s">
        <v>1274</v>
      </c>
      <c r="K335" s="1" t="b">
        <v>1</v>
      </c>
      <c r="L335" s="1" t="s">
        <v>31</v>
      </c>
      <c r="M335" s="1">
        <v>2022</v>
      </c>
      <c r="N335" s="1" t="s">
        <v>23</v>
      </c>
      <c r="O335" s="1" t="s">
        <v>9952</v>
      </c>
      <c r="P335" s="1" t="s">
        <v>16</v>
      </c>
      <c r="Q335" s="1">
        <v>25</v>
      </c>
      <c r="R335" s="1">
        <v>11250</v>
      </c>
      <c r="S335" s="1">
        <v>2812.5</v>
      </c>
    </row>
    <row r="336" spans="1:19" ht="12.5" x14ac:dyDescent="0.25">
      <c r="A336" s="1">
        <v>290</v>
      </c>
      <c r="B336" s="1" t="s">
        <v>1270</v>
      </c>
      <c r="C336" s="1" t="s">
        <v>35</v>
      </c>
      <c r="D336" s="1" t="s">
        <v>36</v>
      </c>
      <c r="E336" s="1">
        <v>308</v>
      </c>
      <c r="F336" s="1" t="s">
        <v>1271</v>
      </c>
      <c r="G336" s="1" t="s">
        <v>1272</v>
      </c>
      <c r="H336" s="1" t="s">
        <v>1273</v>
      </c>
      <c r="I336" s="1" t="s">
        <v>29</v>
      </c>
      <c r="J336" s="1" t="s">
        <v>1274</v>
      </c>
      <c r="K336" s="1" t="b">
        <v>1</v>
      </c>
      <c r="L336" s="1" t="s">
        <v>31</v>
      </c>
      <c r="M336" s="1">
        <v>2022</v>
      </c>
      <c r="N336" s="1" t="s">
        <v>23</v>
      </c>
      <c r="O336" s="1" t="s">
        <v>9935</v>
      </c>
      <c r="P336" s="1" t="s">
        <v>16</v>
      </c>
      <c r="Q336" s="1">
        <v>25</v>
      </c>
      <c r="R336" s="1">
        <v>50000</v>
      </c>
      <c r="S336" s="1">
        <v>12500</v>
      </c>
    </row>
    <row r="337" spans="1:19" ht="12.5" x14ac:dyDescent="0.25">
      <c r="A337" s="1">
        <v>290</v>
      </c>
      <c r="B337" s="1" t="s">
        <v>1270</v>
      </c>
      <c r="C337" s="1" t="s">
        <v>35</v>
      </c>
      <c r="D337" s="1" t="s">
        <v>36</v>
      </c>
      <c r="E337" s="1">
        <v>308</v>
      </c>
      <c r="F337" s="1" t="s">
        <v>1271</v>
      </c>
      <c r="G337" s="1" t="s">
        <v>1272</v>
      </c>
      <c r="H337" s="1" t="s">
        <v>1273</v>
      </c>
      <c r="I337" s="1" t="s">
        <v>29</v>
      </c>
      <c r="J337" s="1" t="s">
        <v>1274</v>
      </c>
      <c r="K337" s="1" t="b">
        <v>1</v>
      </c>
      <c r="L337" s="1" t="s">
        <v>31</v>
      </c>
      <c r="M337" s="1">
        <v>2022</v>
      </c>
      <c r="N337" s="1" t="s">
        <v>23</v>
      </c>
      <c r="O337" s="1" t="s">
        <v>9940</v>
      </c>
      <c r="P337" s="1" t="s">
        <v>16</v>
      </c>
      <c r="Q337" s="1">
        <v>25</v>
      </c>
      <c r="R337" s="1">
        <v>25000</v>
      </c>
      <c r="S337" s="1">
        <v>6250</v>
      </c>
    </row>
    <row r="338" spans="1:19" ht="12.5" x14ac:dyDescent="0.25">
      <c r="A338" s="1">
        <v>309</v>
      </c>
      <c r="B338" s="1" t="s">
        <v>1275</v>
      </c>
      <c r="C338" s="1" t="s">
        <v>35</v>
      </c>
      <c r="D338" s="1" t="s">
        <v>36</v>
      </c>
      <c r="E338" s="1">
        <v>308</v>
      </c>
      <c r="F338" s="1" t="s">
        <v>1271</v>
      </c>
      <c r="G338" s="1" t="s">
        <v>1272</v>
      </c>
      <c r="H338" s="1" t="s">
        <v>1273</v>
      </c>
      <c r="I338" s="1" t="s">
        <v>29</v>
      </c>
      <c r="J338" s="1" t="s">
        <v>1274</v>
      </c>
      <c r="K338" s="1" t="b">
        <v>1</v>
      </c>
      <c r="L338" s="1" t="s">
        <v>31</v>
      </c>
      <c r="M338" s="1">
        <v>2022</v>
      </c>
      <c r="N338" s="1" t="s">
        <v>23</v>
      </c>
      <c r="O338" s="1" t="s">
        <v>9952</v>
      </c>
      <c r="P338" s="1" t="s">
        <v>16</v>
      </c>
      <c r="Q338" s="1">
        <v>25</v>
      </c>
      <c r="R338" s="1">
        <v>11250</v>
      </c>
      <c r="S338" s="1">
        <v>2812.5</v>
      </c>
    </row>
    <row r="339" spans="1:19" ht="12.5" x14ac:dyDescent="0.25">
      <c r="A339" s="1">
        <v>309</v>
      </c>
      <c r="B339" s="1" t="s">
        <v>1275</v>
      </c>
      <c r="C339" s="1" t="s">
        <v>35</v>
      </c>
      <c r="D339" s="1" t="s">
        <v>36</v>
      </c>
      <c r="E339" s="1">
        <v>308</v>
      </c>
      <c r="F339" s="1" t="s">
        <v>1271</v>
      </c>
      <c r="G339" s="1" t="s">
        <v>1272</v>
      </c>
      <c r="H339" s="1" t="s">
        <v>1273</v>
      </c>
      <c r="I339" s="1" t="s">
        <v>29</v>
      </c>
      <c r="J339" s="1" t="s">
        <v>1274</v>
      </c>
      <c r="K339" s="1" t="b">
        <v>1</v>
      </c>
      <c r="L339" s="1" t="s">
        <v>31</v>
      </c>
      <c r="M339" s="1">
        <v>2022</v>
      </c>
      <c r="N339" s="1" t="s">
        <v>23</v>
      </c>
      <c r="O339" s="1" t="s">
        <v>9940</v>
      </c>
      <c r="P339" s="1" t="s">
        <v>16</v>
      </c>
      <c r="Q339" s="1">
        <v>25</v>
      </c>
      <c r="R339" s="1">
        <v>25000</v>
      </c>
      <c r="S339" s="1">
        <v>6250</v>
      </c>
    </row>
    <row r="340" spans="1:19" ht="12.5" x14ac:dyDescent="0.25">
      <c r="A340" s="1">
        <v>309</v>
      </c>
      <c r="B340" s="1" t="s">
        <v>1275</v>
      </c>
      <c r="C340" s="1" t="s">
        <v>35</v>
      </c>
      <c r="D340" s="1" t="s">
        <v>36</v>
      </c>
      <c r="E340" s="1">
        <v>308</v>
      </c>
      <c r="F340" s="1" t="s">
        <v>1271</v>
      </c>
      <c r="G340" s="1" t="s">
        <v>1272</v>
      </c>
      <c r="H340" s="1" t="s">
        <v>1273</v>
      </c>
      <c r="I340" s="1" t="s">
        <v>29</v>
      </c>
      <c r="J340" s="1" t="s">
        <v>1274</v>
      </c>
      <c r="K340" s="1" t="b">
        <v>1</v>
      </c>
      <c r="L340" s="1" t="s">
        <v>31</v>
      </c>
      <c r="M340" s="1">
        <v>2022</v>
      </c>
      <c r="N340" s="1" t="s">
        <v>23</v>
      </c>
      <c r="O340" s="1" t="s">
        <v>9935</v>
      </c>
      <c r="P340" s="1" t="s">
        <v>16</v>
      </c>
      <c r="Q340" s="1">
        <v>25</v>
      </c>
      <c r="R340" s="1">
        <v>50000</v>
      </c>
      <c r="S340" s="1">
        <v>12500</v>
      </c>
    </row>
    <row r="341" spans="1:19" ht="12.5" x14ac:dyDescent="0.25">
      <c r="A341" s="1">
        <v>359</v>
      </c>
      <c r="B341" s="1" t="s">
        <v>1276</v>
      </c>
      <c r="C341" s="1" t="s">
        <v>35</v>
      </c>
      <c r="D341" s="1" t="s">
        <v>36</v>
      </c>
      <c r="E341" s="1">
        <v>308</v>
      </c>
      <c r="F341" s="1" t="s">
        <v>1271</v>
      </c>
      <c r="G341" s="1" t="s">
        <v>1272</v>
      </c>
      <c r="H341" s="1" t="s">
        <v>1273</v>
      </c>
      <c r="I341" s="1" t="s">
        <v>29</v>
      </c>
      <c r="J341" s="1" t="s">
        <v>1274</v>
      </c>
      <c r="K341" s="1" t="b">
        <v>1</v>
      </c>
      <c r="L341" s="1" t="s">
        <v>31</v>
      </c>
      <c r="M341" s="1">
        <v>2022</v>
      </c>
      <c r="N341" s="1" t="s">
        <v>23</v>
      </c>
      <c r="O341" s="1" t="s">
        <v>9935</v>
      </c>
      <c r="P341" s="1" t="s">
        <v>16</v>
      </c>
      <c r="Q341" s="1">
        <v>25</v>
      </c>
      <c r="R341" s="1">
        <v>50000</v>
      </c>
      <c r="S341" s="1">
        <v>12500</v>
      </c>
    </row>
    <row r="342" spans="1:19" ht="12.5" x14ac:dyDescent="0.25">
      <c r="A342" s="1">
        <v>359</v>
      </c>
      <c r="B342" s="1" t="s">
        <v>1276</v>
      </c>
      <c r="C342" s="1" t="s">
        <v>35</v>
      </c>
      <c r="D342" s="1" t="s">
        <v>36</v>
      </c>
      <c r="E342" s="1">
        <v>308</v>
      </c>
      <c r="F342" s="1" t="s">
        <v>1271</v>
      </c>
      <c r="G342" s="1" t="s">
        <v>1272</v>
      </c>
      <c r="H342" s="1" t="s">
        <v>1273</v>
      </c>
      <c r="I342" s="1" t="s">
        <v>29</v>
      </c>
      <c r="J342" s="1" t="s">
        <v>1274</v>
      </c>
      <c r="K342" s="1" t="b">
        <v>1</v>
      </c>
      <c r="L342" s="1" t="s">
        <v>31</v>
      </c>
      <c r="M342" s="1">
        <v>2022</v>
      </c>
      <c r="N342" s="1" t="s">
        <v>23</v>
      </c>
      <c r="O342" s="1" t="s">
        <v>9952</v>
      </c>
      <c r="P342" s="1" t="s">
        <v>16</v>
      </c>
      <c r="Q342" s="1">
        <v>25</v>
      </c>
      <c r="R342" s="1">
        <v>11250</v>
      </c>
      <c r="S342" s="1">
        <v>2812.5</v>
      </c>
    </row>
    <row r="343" spans="1:19" ht="12.5" x14ac:dyDescent="0.25">
      <c r="A343" s="1">
        <v>359</v>
      </c>
      <c r="B343" s="1" t="s">
        <v>1276</v>
      </c>
      <c r="C343" s="1" t="s">
        <v>35</v>
      </c>
      <c r="D343" s="1" t="s">
        <v>36</v>
      </c>
      <c r="E343" s="1">
        <v>308</v>
      </c>
      <c r="F343" s="1" t="s">
        <v>1271</v>
      </c>
      <c r="G343" s="1" t="s">
        <v>1272</v>
      </c>
      <c r="H343" s="1" t="s">
        <v>1273</v>
      </c>
      <c r="I343" s="1" t="s">
        <v>29</v>
      </c>
      <c r="J343" s="1" t="s">
        <v>1274</v>
      </c>
      <c r="K343" s="1" t="b">
        <v>1</v>
      </c>
      <c r="L343" s="1" t="s">
        <v>31</v>
      </c>
      <c r="M343" s="1">
        <v>2022</v>
      </c>
      <c r="N343" s="1" t="s">
        <v>23</v>
      </c>
      <c r="O343" s="1" t="s">
        <v>9940</v>
      </c>
      <c r="P343" s="1" t="s">
        <v>16</v>
      </c>
      <c r="Q343" s="1">
        <v>25</v>
      </c>
      <c r="R343" s="1">
        <v>25000</v>
      </c>
      <c r="S343" s="1">
        <v>6250</v>
      </c>
    </row>
    <row r="344" spans="1:19" ht="12.5" x14ac:dyDescent="0.25">
      <c r="A344" s="1">
        <v>740</v>
      </c>
      <c r="B344" s="1" t="s">
        <v>1277</v>
      </c>
      <c r="C344" s="1" t="s">
        <v>35</v>
      </c>
      <c r="D344" s="1" t="s">
        <v>36</v>
      </c>
      <c r="E344" s="1">
        <v>308</v>
      </c>
      <c r="F344" s="1" t="s">
        <v>1271</v>
      </c>
      <c r="G344" s="1" t="s">
        <v>1272</v>
      </c>
      <c r="H344" s="1" t="s">
        <v>1273</v>
      </c>
      <c r="I344" s="1" t="s">
        <v>29</v>
      </c>
      <c r="J344" s="1" t="s">
        <v>1274</v>
      </c>
      <c r="K344" s="1" t="b">
        <v>1</v>
      </c>
      <c r="L344" s="1" t="s">
        <v>31</v>
      </c>
      <c r="M344" s="1">
        <v>2022</v>
      </c>
      <c r="N344" s="1" t="s">
        <v>23</v>
      </c>
      <c r="O344" s="1" t="s">
        <v>9952</v>
      </c>
      <c r="P344" s="1" t="s">
        <v>16</v>
      </c>
      <c r="Q344" s="1">
        <v>25</v>
      </c>
      <c r="R344" s="1">
        <v>11250</v>
      </c>
      <c r="S344" s="1">
        <v>2812.5</v>
      </c>
    </row>
    <row r="345" spans="1:19" ht="12.5" x14ac:dyDescent="0.25">
      <c r="A345" s="1">
        <v>740</v>
      </c>
      <c r="B345" s="1" t="s">
        <v>1277</v>
      </c>
      <c r="C345" s="1" t="s">
        <v>35</v>
      </c>
      <c r="D345" s="1" t="s">
        <v>36</v>
      </c>
      <c r="E345" s="1">
        <v>308</v>
      </c>
      <c r="F345" s="1" t="s">
        <v>1271</v>
      </c>
      <c r="G345" s="1" t="s">
        <v>1272</v>
      </c>
      <c r="H345" s="1" t="s">
        <v>1273</v>
      </c>
      <c r="I345" s="1" t="s">
        <v>29</v>
      </c>
      <c r="J345" s="1" t="s">
        <v>1274</v>
      </c>
      <c r="K345" s="1" t="b">
        <v>1</v>
      </c>
      <c r="L345" s="1" t="s">
        <v>31</v>
      </c>
      <c r="M345" s="1">
        <v>2022</v>
      </c>
      <c r="N345" s="1" t="s">
        <v>23</v>
      </c>
      <c r="O345" s="1" t="s">
        <v>9935</v>
      </c>
      <c r="P345" s="1" t="s">
        <v>16</v>
      </c>
      <c r="Q345" s="1">
        <v>25</v>
      </c>
      <c r="R345" s="1">
        <v>50000</v>
      </c>
      <c r="S345" s="1">
        <v>12500</v>
      </c>
    </row>
    <row r="346" spans="1:19" ht="12.5" x14ac:dyDescent="0.25">
      <c r="A346" s="1">
        <v>740</v>
      </c>
      <c r="B346" s="1" t="s">
        <v>1277</v>
      </c>
      <c r="C346" s="1" t="s">
        <v>35</v>
      </c>
      <c r="D346" s="1" t="s">
        <v>36</v>
      </c>
      <c r="E346" s="1">
        <v>308</v>
      </c>
      <c r="F346" s="1" t="s">
        <v>1271</v>
      </c>
      <c r="G346" s="1" t="s">
        <v>1272</v>
      </c>
      <c r="H346" s="1" t="s">
        <v>1273</v>
      </c>
      <c r="I346" s="1" t="s">
        <v>29</v>
      </c>
      <c r="J346" s="1" t="s">
        <v>1274</v>
      </c>
      <c r="K346" s="1" t="b">
        <v>1</v>
      </c>
      <c r="L346" s="1" t="s">
        <v>31</v>
      </c>
      <c r="M346" s="1">
        <v>2022</v>
      </c>
      <c r="N346" s="1" t="s">
        <v>23</v>
      </c>
      <c r="O346" s="1" t="s">
        <v>9940</v>
      </c>
      <c r="P346" s="1" t="s">
        <v>16</v>
      </c>
      <c r="Q346" s="1">
        <v>25</v>
      </c>
      <c r="R346" s="1">
        <v>25000</v>
      </c>
      <c r="S346" s="1">
        <v>6250</v>
      </c>
    </row>
    <row r="347" spans="1:19" ht="12.5" x14ac:dyDescent="0.25">
      <c r="A347" s="1" t="s">
        <v>16</v>
      </c>
      <c r="B347" s="1" t="s">
        <v>16</v>
      </c>
      <c r="C347" s="1" t="s">
        <v>16</v>
      </c>
      <c r="D347" s="1" t="s">
        <v>16</v>
      </c>
      <c r="E347" s="1">
        <v>309</v>
      </c>
      <c r="F347" s="1" t="s">
        <v>1278</v>
      </c>
      <c r="G347" s="1" t="s">
        <v>1279</v>
      </c>
      <c r="H347" s="1" t="s">
        <v>1209</v>
      </c>
      <c r="I347" s="1" t="s">
        <v>29</v>
      </c>
      <c r="J347" s="1" t="s">
        <v>16</v>
      </c>
      <c r="K347" s="1" t="b">
        <v>0</v>
      </c>
      <c r="L347" s="1" t="s">
        <v>22</v>
      </c>
      <c r="M347" s="1">
        <v>2022</v>
      </c>
      <c r="N347" s="1" t="s">
        <v>16</v>
      </c>
      <c r="O347" s="1" t="s">
        <v>9942</v>
      </c>
      <c r="P347" s="1" t="s">
        <v>16</v>
      </c>
      <c r="R347" s="1">
        <v>250000</v>
      </c>
    </row>
    <row r="348" spans="1:19" ht="12.5" x14ac:dyDescent="0.25">
      <c r="A348" s="1" t="s">
        <v>16</v>
      </c>
      <c r="B348" s="1" t="s">
        <v>16</v>
      </c>
      <c r="C348" s="1" t="s">
        <v>16</v>
      </c>
      <c r="D348" s="1" t="s">
        <v>16</v>
      </c>
      <c r="E348" s="1">
        <v>309</v>
      </c>
      <c r="F348" s="1" t="s">
        <v>1278</v>
      </c>
      <c r="G348" s="1" t="s">
        <v>1279</v>
      </c>
      <c r="H348" s="1" t="s">
        <v>1209</v>
      </c>
      <c r="I348" s="1" t="s">
        <v>29</v>
      </c>
      <c r="J348" s="1" t="s">
        <v>16</v>
      </c>
      <c r="K348" s="1" t="b">
        <v>0</v>
      </c>
      <c r="L348" s="1" t="s">
        <v>22</v>
      </c>
      <c r="M348" s="1" t="s">
        <v>16</v>
      </c>
      <c r="N348" s="1" t="s">
        <v>16</v>
      </c>
      <c r="O348" s="1" t="s">
        <v>9940</v>
      </c>
      <c r="P348" s="1" t="s">
        <v>16</v>
      </c>
      <c r="R348" s="1">
        <v>75000</v>
      </c>
    </row>
    <row r="349" spans="1:19" ht="12.5" x14ac:dyDescent="0.25">
      <c r="A349" s="1" t="s">
        <v>16</v>
      </c>
      <c r="B349" s="1" t="s">
        <v>16</v>
      </c>
      <c r="C349" s="1" t="s">
        <v>16</v>
      </c>
      <c r="D349" s="1" t="s">
        <v>16</v>
      </c>
      <c r="E349" s="1">
        <v>309</v>
      </c>
      <c r="F349" s="1" t="s">
        <v>1278</v>
      </c>
      <c r="G349" s="1" t="s">
        <v>1279</v>
      </c>
      <c r="H349" s="1" t="s">
        <v>1209</v>
      </c>
      <c r="I349" s="1" t="s">
        <v>29</v>
      </c>
      <c r="J349" s="1" t="s">
        <v>16</v>
      </c>
      <c r="K349" s="1" t="b">
        <v>0</v>
      </c>
      <c r="L349" s="1" t="s">
        <v>22</v>
      </c>
      <c r="M349" s="1" t="s">
        <v>16</v>
      </c>
      <c r="N349" s="1" t="s">
        <v>16</v>
      </c>
      <c r="O349" s="1" t="s">
        <v>9935</v>
      </c>
      <c r="P349" s="1" t="s">
        <v>16</v>
      </c>
      <c r="R349" s="1">
        <v>250000</v>
      </c>
    </row>
    <row r="350" spans="1:19" ht="12.5" x14ac:dyDescent="0.25">
      <c r="A350" s="1">
        <v>310</v>
      </c>
      <c r="B350" s="1" t="s">
        <v>1280</v>
      </c>
      <c r="C350" s="1" t="s">
        <v>35</v>
      </c>
      <c r="D350" s="1" t="s">
        <v>36</v>
      </c>
      <c r="E350" s="1">
        <v>310</v>
      </c>
      <c r="F350" s="1" t="s">
        <v>1281</v>
      </c>
      <c r="G350" s="1" t="s">
        <v>1279</v>
      </c>
      <c r="H350" s="1" t="s">
        <v>1282</v>
      </c>
      <c r="I350" s="1" t="s">
        <v>20</v>
      </c>
      <c r="J350" s="1" t="s">
        <v>1283</v>
      </c>
      <c r="K350" s="1" t="b">
        <v>0</v>
      </c>
      <c r="L350" s="1" t="s">
        <v>22</v>
      </c>
      <c r="M350" s="1" t="s">
        <v>16</v>
      </c>
      <c r="N350" s="1" t="s">
        <v>16</v>
      </c>
      <c r="O350" s="1" t="s">
        <v>9935</v>
      </c>
      <c r="P350" s="1" t="s">
        <v>16</v>
      </c>
      <c r="Q350" s="1">
        <v>100</v>
      </c>
      <c r="R350" s="1">
        <v>1</v>
      </c>
      <c r="S350" s="1">
        <v>1</v>
      </c>
    </row>
    <row r="351" spans="1:19" ht="12.5" x14ac:dyDescent="0.25">
      <c r="A351" s="1">
        <v>1263</v>
      </c>
      <c r="B351" s="1" t="s">
        <v>1284</v>
      </c>
      <c r="C351" s="1" t="s">
        <v>35</v>
      </c>
      <c r="D351" s="1" t="s">
        <v>152</v>
      </c>
      <c r="E351" s="1">
        <v>310</v>
      </c>
      <c r="F351" s="1" t="s">
        <v>1281</v>
      </c>
      <c r="G351" s="1" t="s">
        <v>1279</v>
      </c>
      <c r="H351" s="1" t="s">
        <v>1282</v>
      </c>
      <c r="I351" s="1" t="s">
        <v>20</v>
      </c>
      <c r="J351" s="1" t="s">
        <v>1283</v>
      </c>
      <c r="K351" s="1" t="b">
        <v>0</v>
      </c>
      <c r="L351" s="1" t="s">
        <v>22</v>
      </c>
      <c r="M351" s="1" t="s">
        <v>16</v>
      </c>
      <c r="N351" s="1" t="s">
        <v>16</v>
      </c>
      <c r="O351" s="1" t="s">
        <v>9935</v>
      </c>
      <c r="P351" s="1" t="s">
        <v>16</v>
      </c>
      <c r="Q351" s="1">
        <v>0</v>
      </c>
      <c r="R351" s="1">
        <v>1</v>
      </c>
      <c r="S351" s="1">
        <v>0</v>
      </c>
    </row>
    <row r="352" spans="1:19" ht="12.5" x14ac:dyDescent="0.25">
      <c r="A352" s="1">
        <v>311</v>
      </c>
      <c r="B352" s="1" t="s">
        <v>1285</v>
      </c>
      <c r="C352" s="1" t="s">
        <v>35</v>
      </c>
      <c r="D352" s="1" t="s">
        <v>36</v>
      </c>
      <c r="E352" s="1">
        <v>311</v>
      </c>
      <c r="F352" s="1" t="s">
        <v>1286</v>
      </c>
      <c r="G352" s="1" t="s">
        <v>1287</v>
      </c>
      <c r="H352" s="1" t="s">
        <v>1288</v>
      </c>
      <c r="I352" s="1" t="s">
        <v>29</v>
      </c>
      <c r="J352" s="1" t="s">
        <v>16</v>
      </c>
      <c r="K352" s="1" t="b">
        <v>0</v>
      </c>
      <c r="L352" s="1" t="s">
        <v>22</v>
      </c>
      <c r="M352" s="1" t="s">
        <v>16</v>
      </c>
      <c r="N352" s="1" t="s">
        <v>16</v>
      </c>
      <c r="O352" s="1" t="s">
        <v>16</v>
      </c>
      <c r="P352" s="1" t="s">
        <v>16</v>
      </c>
      <c r="Q352" s="1">
        <v>100</v>
      </c>
    </row>
    <row r="353" spans="1:19" ht="12.5" x14ac:dyDescent="0.25">
      <c r="A353" s="1">
        <v>312</v>
      </c>
      <c r="B353" s="1" t="s">
        <v>1289</v>
      </c>
      <c r="C353" s="1" t="s">
        <v>35</v>
      </c>
      <c r="D353" s="1" t="s">
        <v>36</v>
      </c>
      <c r="E353" s="1">
        <v>312</v>
      </c>
      <c r="F353" s="1" t="s">
        <v>1290</v>
      </c>
      <c r="G353" s="1" t="s">
        <v>1291</v>
      </c>
      <c r="H353" s="1" t="s">
        <v>1265</v>
      </c>
      <c r="I353" s="1" t="s">
        <v>29</v>
      </c>
      <c r="J353" s="1" t="s">
        <v>1292</v>
      </c>
      <c r="K353" s="1" t="b">
        <v>1</v>
      </c>
      <c r="L353" s="1" t="s">
        <v>31</v>
      </c>
      <c r="M353" s="1">
        <v>2021</v>
      </c>
      <c r="N353" s="1" t="s">
        <v>16</v>
      </c>
      <c r="O353" s="1" t="s">
        <v>9942</v>
      </c>
      <c r="P353" s="1" t="s">
        <v>16</v>
      </c>
      <c r="Q353" s="1">
        <v>100</v>
      </c>
      <c r="R353" s="1">
        <v>50000</v>
      </c>
      <c r="S353" s="1">
        <v>50000</v>
      </c>
    </row>
    <row r="354" spans="1:19" ht="12.5" x14ac:dyDescent="0.25">
      <c r="A354" s="1">
        <v>312</v>
      </c>
      <c r="B354" s="1" t="s">
        <v>1289</v>
      </c>
      <c r="C354" s="1" t="s">
        <v>35</v>
      </c>
      <c r="D354" s="1" t="s">
        <v>36</v>
      </c>
      <c r="E354" s="1">
        <v>313</v>
      </c>
      <c r="F354" s="1" t="s">
        <v>1293</v>
      </c>
      <c r="G354" s="1" t="s">
        <v>1294</v>
      </c>
      <c r="H354" s="1" t="s">
        <v>1295</v>
      </c>
      <c r="I354" s="1" t="s">
        <v>20</v>
      </c>
      <c r="J354" s="1" t="s">
        <v>16</v>
      </c>
      <c r="K354" s="1" t="b">
        <v>0</v>
      </c>
      <c r="L354" s="1" t="s">
        <v>22</v>
      </c>
      <c r="M354" s="1" t="s">
        <v>16</v>
      </c>
      <c r="N354" s="1" t="s">
        <v>16</v>
      </c>
      <c r="O354" s="1" t="s">
        <v>16</v>
      </c>
      <c r="P354" s="1" t="s">
        <v>16</v>
      </c>
      <c r="Q354" s="1">
        <v>100</v>
      </c>
    </row>
    <row r="355" spans="1:19" ht="12.5" x14ac:dyDescent="0.25">
      <c r="A355" s="1">
        <v>313</v>
      </c>
      <c r="B355" s="1" t="s">
        <v>1296</v>
      </c>
      <c r="C355" s="1" t="s">
        <v>35</v>
      </c>
      <c r="D355" s="1" t="s">
        <v>36</v>
      </c>
      <c r="E355" s="1">
        <v>314</v>
      </c>
      <c r="F355" s="1" t="s">
        <v>1297</v>
      </c>
      <c r="G355" s="1" t="s">
        <v>1298</v>
      </c>
      <c r="H355" s="1" t="s">
        <v>1299</v>
      </c>
      <c r="I355" s="1" t="s">
        <v>29</v>
      </c>
      <c r="J355" s="1" t="s">
        <v>16</v>
      </c>
      <c r="K355" s="1" t="b">
        <v>0</v>
      </c>
      <c r="L355" s="1" t="s">
        <v>22</v>
      </c>
      <c r="M355" s="1" t="s">
        <v>16</v>
      </c>
      <c r="N355" s="1" t="s">
        <v>16</v>
      </c>
      <c r="O355" s="1" t="s">
        <v>16</v>
      </c>
      <c r="P355" s="1" t="s">
        <v>16</v>
      </c>
      <c r="Q355" s="1">
        <v>100</v>
      </c>
    </row>
    <row r="356" spans="1:19" ht="12.5" x14ac:dyDescent="0.25">
      <c r="A356" s="1" t="s">
        <v>16</v>
      </c>
      <c r="B356" s="1" t="s">
        <v>16</v>
      </c>
      <c r="C356" s="1" t="s">
        <v>16</v>
      </c>
      <c r="D356" s="1" t="s">
        <v>16</v>
      </c>
      <c r="E356" s="1">
        <v>315</v>
      </c>
      <c r="F356" s="1" t="s">
        <v>1300</v>
      </c>
      <c r="G356" s="1" t="s">
        <v>1301</v>
      </c>
      <c r="H356" s="1" t="s">
        <v>1302</v>
      </c>
      <c r="I356" s="1" t="s">
        <v>29</v>
      </c>
      <c r="J356" s="1" t="s">
        <v>1303</v>
      </c>
      <c r="K356" s="1" t="b">
        <v>0</v>
      </c>
      <c r="L356" s="1" t="s">
        <v>22</v>
      </c>
      <c r="M356" s="1">
        <v>2022</v>
      </c>
      <c r="N356" s="1" t="s">
        <v>52</v>
      </c>
      <c r="O356" s="1" t="s">
        <v>9952</v>
      </c>
      <c r="P356" s="1" t="s">
        <v>16</v>
      </c>
      <c r="R356" s="1">
        <v>82500</v>
      </c>
    </row>
    <row r="357" spans="1:19" ht="12.5" x14ac:dyDescent="0.25">
      <c r="A357" s="1" t="s">
        <v>16</v>
      </c>
      <c r="B357" s="1" t="s">
        <v>16</v>
      </c>
      <c r="C357" s="1" t="s">
        <v>16</v>
      </c>
      <c r="D357" s="1" t="s">
        <v>16</v>
      </c>
      <c r="E357" s="1">
        <v>315</v>
      </c>
      <c r="F357" s="1" t="s">
        <v>1300</v>
      </c>
      <c r="G357" s="1" t="s">
        <v>1301</v>
      </c>
      <c r="H357" s="1" t="s">
        <v>1302</v>
      </c>
      <c r="I357" s="1" t="s">
        <v>29</v>
      </c>
      <c r="J357" s="1" t="s">
        <v>1303</v>
      </c>
      <c r="K357" s="1" t="b">
        <v>0</v>
      </c>
      <c r="L357" s="1" t="s">
        <v>22</v>
      </c>
      <c r="M357" s="1">
        <v>2022</v>
      </c>
      <c r="N357" s="1" t="s">
        <v>52</v>
      </c>
      <c r="O357" s="1" t="s">
        <v>9935</v>
      </c>
      <c r="P357" s="1" t="s">
        <v>16</v>
      </c>
      <c r="R357" s="1">
        <v>250000</v>
      </c>
    </row>
    <row r="358" spans="1:19" ht="12.5" x14ac:dyDescent="0.25">
      <c r="A358" s="1" t="s">
        <v>16</v>
      </c>
      <c r="B358" s="1" t="s">
        <v>16</v>
      </c>
      <c r="C358" s="1" t="s">
        <v>16</v>
      </c>
      <c r="D358" s="1" t="s">
        <v>16</v>
      </c>
      <c r="E358" s="1">
        <v>315</v>
      </c>
      <c r="F358" s="1" t="s">
        <v>1300</v>
      </c>
      <c r="G358" s="1" t="s">
        <v>1301</v>
      </c>
      <c r="H358" s="1" t="s">
        <v>1302</v>
      </c>
      <c r="I358" s="1" t="s">
        <v>29</v>
      </c>
      <c r="J358" s="1" t="s">
        <v>1303</v>
      </c>
      <c r="K358" s="1" t="b">
        <v>0</v>
      </c>
      <c r="L358" s="1" t="s">
        <v>22</v>
      </c>
      <c r="M358" s="1">
        <v>2022</v>
      </c>
      <c r="N358" s="1" t="s">
        <v>52</v>
      </c>
      <c r="O358" s="1" t="s">
        <v>9940</v>
      </c>
      <c r="P358" s="1" t="s">
        <v>16</v>
      </c>
      <c r="R358" s="1">
        <v>50000</v>
      </c>
    </row>
    <row r="359" spans="1:19" ht="12.5" x14ac:dyDescent="0.25">
      <c r="A359" s="1" t="s">
        <v>16</v>
      </c>
      <c r="B359" s="1" t="s">
        <v>16</v>
      </c>
      <c r="C359" s="1" t="s">
        <v>16</v>
      </c>
      <c r="D359" s="1" t="s">
        <v>16</v>
      </c>
      <c r="E359" s="1">
        <v>315</v>
      </c>
      <c r="F359" s="1" t="s">
        <v>1300</v>
      </c>
      <c r="G359" s="1" t="s">
        <v>1301</v>
      </c>
      <c r="H359" s="1" t="s">
        <v>1302</v>
      </c>
      <c r="I359" s="1" t="s">
        <v>29</v>
      </c>
      <c r="J359" s="1" t="s">
        <v>1303</v>
      </c>
      <c r="K359" s="1" t="b">
        <v>0</v>
      </c>
      <c r="L359" s="1" t="s">
        <v>22</v>
      </c>
      <c r="M359" s="1">
        <v>2022</v>
      </c>
      <c r="N359" s="1" t="s">
        <v>52</v>
      </c>
      <c r="O359" s="1" t="s">
        <v>9942</v>
      </c>
      <c r="P359" s="1" t="s">
        <v>16</v>
      </c>
      <c r="R359" s="1">
        <v>250000</v>
      </c>
    </row>
    <row r="360" spans="1:19" ht="12.5" x14ac:dyDescent="0.25">
      <c r="A360" s="1">
        <v>315</v>
      </c>
      <c r="B360" s="1" t="s">
        <v>1304</v>
      </c>
      <c r="C360" s="1" t="s">
        <v>35</v>
      </c>
      <c r="D360" s="1" t="s">
        <v>36</v>
      </c>
      <c r="E360" s="1">
        <v>316</v>
      </c>
      <c r="F360" s="1" t="s">
        <v>1305</v>
      </c>
      <c r="G360" s="1" t="s">
        <v>1306</v>
      </c>
      <c r="H360" s="1" t="s">
        <v>1307</v>
      </c>
      <c r="I360" s="1" t="s">
        <v>20</v>
      </c>
      <c r="J360" s="1" t="s">
        <v>1308</v>
      </c>
      <c r="K360" s="1" t="b">
        <v>0</v>
      </c>
      <c r="L360" s="1" t="s">
        <v>22</v>
      </c>
      <c r="M360" s="1" t="s">
        <v>16</v>
      </c>
      <c r="N360" s="1" t="s">
        <v>16</v>
      </c>
      <c r="O360" s="1" t="s">
        <v>9942</v>
      </c>
      <c r="P360" s="1" t="s">
        <v>16</v>
      </c>
      <c r="Q360" s="1">
        <v>50</v>
      </c>
      <c r="R360" s="1">
        <v>400000</v>
      </c>
      <c r="S360" s="1">
        <v>200000</v>
      </c>
    </row>
    <row r="361" spans="1:19" ht="12.5" x14ac:dyDescent="0.25">
      <c r="A361" s="1">
        <v>315</v>
      </c>
      <c r="B361" s="1" t="s">
        <v>1304</v>
      </c>
      <c r="C361" s="1" t="s">
        <v>35</v>
      </c>
      <c r="D361" s="1" t="s">
        <v>36</v>
      </c>
      <c r="E361" s="1">
        <v>316</v>
      </c>
      <c r="F361" s="1" t="s">
        <v>1305</v>
      </c>
      <c r="G361" s="1" t="s">
        <v>1306</v>
      </c>
      <c r="H361" s="1" t="s">
        <v>1307</v>
      </c>
      <c r="I361" s="1" t="s">
        <v>20</v>
      </c>
      <c r="J361" s="1" t="s">
        <v>1308</v>
      </c>
      <c r="K361" s="1" t="b">
        <v>0</v>
      </c>
      <c r="L361" s="1" t="s">
        <v>22</v>
      </c>
      <c r="M361" s="1" t="s">
        <v>16</v>
      </c>
      <c r="N361" s="1" t="s">
        <v>16</v>
      </c>
      <c r="O361" s="1" t="s">
        <v>9935</v>
      </c>
      <c r="P361" s="1" t="s">
        <v>16</v>
      </c>
      <c r="Q361" s="1">
        <v>50</v>
      </c>
      <c r="R361" s="1">
        <v>4900000</v>
      </c>
      <c r="S361" s="1">
        <v>2450000</v>
      </c>
    </row>
    <row r="362" spans="1:19" ht="12.5" x14ac:dyDescent="0.25">
      <c r="A362" s="1">
        <v>358</v>
      </c>
      <c r="B362" s="1" t="s">
        <v>1309</v>
      </c>
      <c r="C362" s="1" t="s">
        <v>35</v>
      </c>
      <c r="D362" s="1" t="s">
        <v>36</v>
      </c>
      <c r="E362" s="1">
        <v>316</v>
      </c>
      <c r="F362" s="1" t="s">
        <v>1305</v>
      </c>
      <c r="G362" s="1" t="s">
        <v>1306</v>
      </c>
      <c r="H362" s="1" t="s">
        <v>1307</v>
      </c>
      <c r="I362" s="1" t="s">
        <v>20</v>
      </c>
      <c r="J362" s="1" t="s">
        <v>1308</v>
      </c>
      <c r="K362" s="1" t="b">
        <v>0</v>
      </c>
      <c r="L362" s="1" t="s">
        <v>22</v>
      </c>
      <c r="M362" s="1" t="s">
        <v>16</v>
      </c>
      <c r="N362" s="1" t="s">
        <v>16</v>
      </c>
      <c r="O362" s="1" t="s">
        <v>9935</v>
      </c>
      <c r="P362" s="1" t="s">
        <v>16</v>
      </c>
      <c r="Q362" s="1">
        <v>50</v>
      </c>
      <c r="R362" s="1">
        <v>4900000</v>
      </c>
      <c r="S362" s="1">
        <v>2450000</v>
      </c>
    </row>
    <row r="363" spans="1:19" ht="12.5" x14ac:dyDescent="0.25">
      <c r="A363" s="1">
        <v>358</v>
      </c>
      <c r="B363" s="1" t="s">
        <v>1309</v>
      </c>
      <c r="C363" s="1" t="s">
        <v>35</v>
      </c>
      <c r="D363" s="1" t="s">
        <v>36</v>
      </c>
      <c r="E363" s="1">
        <v>316</v>
      </c>
      <c r="F363" s="1" t="s">
        <v>1305</v>
      </c>
      <c r="G363" s="1" t="s">
        <v>1306</v>
      </c>
      <c r="H363" s="1" t="s">
        <v>1307</v>
      </c>
      <c r="I363" s="1" t="s">
        <v>20</v>
      </c>
      <c r="J363" s="1" t="s">
        <v>1308</v>
      </c>
      <c r="K363" s="1" t="b">
        <v>0</v>
      </c>
      <c r="L363" s="1" t="s">
        <v>22</v>
      </c>
      <c r="M363" s="1" t="s">
        <v>16</v>
      </c>
      <c r="N363" s="1" t="s">
        <v>16</v>
      </c>
      <c r="O363" s="1" t="s">
        <v>9942</v>
      </c>
      <c r="P363" s="1" t="s">
        <v>16</v>
      </c>
      <c r="Q363" s="1">
        <v>50</v>
      </c>
      <c r="R363" s="1">
        <v>400000</v>
      </c>
      <c r="S363" s="1">
        <v>200000</v>
      </c>
    </row>
    <row r="364" spans="1:19" ht="12.5" x14ac:dyDescent="0.25">
      <c r="A364" s="1">
        <v>1264</v>
      </c>
      <c r="B364" s="1" t="s">
        <v>1310</v>
      </c>
      <c r="C364" s="1" t="s">
        <v>35</v>
      </c>
      <c r="D364" s="1" t="s">
        <v>152</v>
      </c>
      <c r="E364" s="1">
        <v>316</v>
      </c>
      <c r="F364" s="1" t="s">
        <v>1305</v>
      </c>
      <c r="G364" s="1" t="s">
        <v>1306</v>
      </c>
      <c r="H364" s="1" t="s">
        <v>1307</v>
      </c>
      <c r="I364" s="1" t="s">
        <v>20</v>
      </c>
      <c r="J364" s="1" t="s">
        <v>1308</v>
      </c>
      <c r="K364" s="1" t="b">
        <v>0</v>
      </c>
      <c r="L364" s="1" t="s">
        <v>22</v>
      </c>
      <c r="M364" s="1" t="s">
        <v>16</v>
      </c>
      <c r="N364" s="1" t="s">
        <v>16</v>
      </c>
      <c r="O364" s="1" t="s">
        <v>9935</v>
      </c>
      <c r="P364" s="1" t="s">
        <v>16</v>
      </c>
      <c r="Q364" s="1">
        <v>0</v>
      </c>
      <c r="R364" s="1">
        <v>4900000</v>
      </c>
      <c r="S364" s="1">
        <v>0</v>
      </c>
    </row>
    <row r="365" spans="1:19" ht="12.5" x14ac:dyDescent="0.25">
      <c r="A365" s="1">
        <v>1264</v>
      </c>
      <c r="B365" s="1" t="s">
        <v>1310</v>
      </c>
      <c r="C365" s="1" t="s">
        <v>35</v>
      </c>
      <c r="D365" s="1" t="s">
        <v>152</v>
      </c>
      <c r="E365" s="1">
        <v>316</v>
      </c>
      <c r="F365" s="1" t="s">
        <v>1305</v>
      </c>
      <c r="G365" s="1" t="s">
        <v>1306</v>
      </c>
      <c r="H365" s="1" t="s">
        <v>1307</v>
      </c>
      <c r="I365" s="1" t="s">
        <v>20</v>
      </c>
      <c r="J365" s="1" t="s">
        <v>1308</v>
      </c>
      <c r="K365" s="1" t="b">
        <v>0</v>
      </c>
      <c r="L365" s="1" t="s">
        <v>22</v>
      </c>
      <c r="M365" s="1" t="s">
        <v>16</v>
      </c>
      <c r="N365" s="1" t="s">
        <v>16</v>
      </c>
      <c r="O365" s="1" t="s">
        <v>9942</v>
      </c>
      <c r="P365" s="1" t="s">
        <v>16</v>
      </c>
      <c r="Q365" s="1">
        <v>0</v>
      </c>
      <c r="R365" s="1">
        <v>400000</v>
      </c>
      <c r="S365" s="1">
        <v>0</v>
      </c>
    </row>
    <row r="366" spans="1:19" ht="12.5" x14ac:dyDescent="0.25">
      <c r="A366" s="1">
        <v>316</v>
      </c>
      <c r="B366" s="1" t="s">
        <v>1311</v>
      </c>
      <c r="C366" s="1" t="s">
        <v>35</v>
      </c>
      <c r="D366" s="1" t="s">
        <v>36</v>
      </c>
      <c r="E366" s="1">
        <v>317</v>
      </c>
      <c r="F366" s="1" t="s">
        <v>1312</v>
      </c>
      <c r="G366" s="1" t="s">
        <v>1313</v>
      </c>
      <c r="H366" s="1" t="s">
        <v>1314</v>
      </c>
      <c r="I366" s="1" t="s">
        <v>29</v>
      </c>
      <c r="J366" s="1" t="s">
        <v>1315</v>
      </c>
      <c r="K366" s="1" t="b">
        <v>0</v>
      </c>
      <c r="L366" s="1" t="s">
        <v>22</v>
      </c>
      <c r="M366" s="1">
        <v>2022</v>
      </c>
      <c r="N366" s="1" t="s">
        <v>16</v>
      </c>
      <c r="O366" s="1" t="s">
        <v>9935</v>
      </c>
      <c r="P366" s="1" t="s">
        <v>16</v>
      </c>
      <c r="Q366" s="1">
        <v>100</v>
      </c>
      <c r="R366" s="1">
        <v>150000</v>
      </c>
      <c r="S366" s="1">
        <v>150000</v>
      </c>
    </row>
    <row r="367" spans="1:19" ht="12.5" x14ac:dyDescent="0.25">
      <c r="A367" s="1">
        <v>316</v>
      </c>
      <c r="B367" s="1" t="s">
        <v>1311</v>
      </c>
      <c r="C367" s="1" t="s">
        <v>35</v>
      </c>
      <c r="D367" s="1" t="s">
        <v>36</v>
      </c>
      <c r="E367" s="1">
        <v>317</v>
      </c>
      <c r="F367" s="1" t="s">
        <v>1312</v>
      </c>
      <c r="G367" s="1" t="s">
        <v>1313</v>
      </c>
      <c r="H367" s="1" t="s">
        <v>1314</v>
      </c>
      <c r="I367" s="1" t="s">
        <v>29</v>
      </c>
      <c r="J367" s="1" t="s">
        <v>1315</v>
      </c>
      <c r="K367" s="1" t="b">
        <v>0</v>
      </c>
      <c r="L367" s="1" t="s">
        <v>22</v>
      </c>
      <c r="M367" s="1" t="s">
        <v>16</v>
      </c>
      <c r="N367" s="1" t="s">
        <v>16</v>
      </c>
      <c r="O367" s="1" t="s">
        <v>9940</v>
      </c>
      <c r="P367" s="1" t="s">
        <v>16</v>
      </c>
      <c r="Q367" s="1">
        <v>100</v>
      </c>
      <c r="R367" s="1">
        <v>25000</v>
      </c>
      <c r="S367" s="1">
        <v>25000</v>
      </c>
    </row>
    <row r="368" spans="1:19" ht="12.5" x14ac:dyDescent="0.25">
      <c r="A368" s="1">
        <v>316</v>
      </c>
      <c r="B368" s="1" t="s">
        <v>1311</v>
      </c>
      <c r="C368" s="1" t="s">
        <v>35</v>
      </c>
      <c r="D368" s="1" t="s">
        <v>36</v>
      </c>
      <c r="E368" s="1">
        <v>317</v>
      </c>
      <c r="F368" s="1" t="s">
        <v>1312</v>
      </c>
      <c r="G368" s="1" t="s">
        <v>1313</v>
      </c>
      <c r="H368" s="1" t="s">
        <v>1314</v>
      </c>
      <c r="I368" s="1" t="s">
        <v>29</v>
      </c>
      <c r="J368" s="1" t="s">
        <v>1315</v>
      </c>
      <c r="K368" s="1" t="b">
        <v>0</v>
      </c>
      <c r="L368" s="1" t="s">
        <v>22</v>
      </c>
      <c r="M368" s="1" t="s">
        <v>16</v>
      </c>
      <c r="N368" s="1" t="s">
        <v>16</v>
      </c>
      <c r="O368" s="1" t="s">
        <v>9952</v>
      </c>
      <c r="P368" s="1" t="s">
        <v>16</v>
      </c>
      <c r="Q368" s="1">
        <v>100</v>
      </c>
      <c r="R368" s="1">
        <v>26250</v>
      </c>
      <c r="S368" s="1">
        <v>26250</v>
      </c>
    </row>
    <row r="369" spans="1:19" ht="12.5" x14ac:dyDescent="0.25">
      <c r="A369" s="1">
        <v>317</v>
      </c>
      <c r="B369" s="1" t="s">
        <v>1316</v>
      </c>
      <c r="C369" s="1" t="s">
        <v>35</v>
      </c>
      <c r="D369" s="1" t="s">
        <v>36</v>
      </c>
      <c r="E369" s="1">
        <v>318</v>
      </c>
      <c r="F369" s="1" t="s">
        <v>1317</v>
      </c>
      <c r="G369" s="1" t="s">
        <v>1318</v>
      </c>
      <c r="H369" s="1" t="s">
        <v>1319</v>
      </c>
      <c r="I369" s="1" t="s">
        <v>20</v>
      </c>
      <c r="J369" s="1" t="s">
        <v>16</v>
      </c>
      <c r="K369" s="1" t="b">
        <v>0</v>
      </c>
      <c r="L369" s="1" t="s">
        <v>22</v>
      </c>
      <c r="M369" s="1" t="s">
        <v>16</v>
      </c>
      <c r="N369" s="1" t="s">
        <v>16</v>
      </c>
      <c r="O369" s="1" t="s">
        <v>16</v>
      </c>
      <c r="P369" s="1" t="s">
        <v>16</v>
      </c>
      <c r="Q369" s="1">
        <v>100</v>
      </c>
    </row>
    <row r="370" spans="1:19" ht="12.5" x14ac:dyDescent="0.25">
      <c r="A370" s="1">
        <v>318</v>
      </c>
      <c r="B370" s="1" t="s">
        <v>1320</v>
      </c>
      <c r="C370" s="1" t="s">
        <v>35</v>
      </c>
      <c r="D370" s="1" t="s">
        <v>36</v>
      </c>
      <c r="E370" s="1">
        <v>319</v>
      </c>
      <c r="F370" s="1" t="s">
        <v>1321</v>
      </c>
      <c r="G370" s="1" t="s">
        <v>1322</v>
      </c>
      <c r="H370" s="1" t="s">
        <v>1323</v>
      </c>
      <c r="I370" s="1" t="s">
        <v>29</v>
      </c>
      <c r="J370" s="1" t="s">
        <v>16</v>
      </c>
      <c r="K370" s="1" t="b">
        <v>0</v>
      </c>
      <c r="L370" s="1" t="s">
        <v>22</v>
      </c>
      <c r="M370" s="1" t="s">
        <v>16</v>
      </c>
      <c r="N370" s="1" t="s">
        <v>16</v>
      </c>
      <c r="O370" s="1" t="s">
        <v>9952</v>
      </c>
      <c r="P370" s="1" t="s">
        <v>16</v>
      </c>
      <c r="Q370" s="1">
        <v>100</v>
      </c>
      <c r="R370" s="1">
        <v>97500</v>
      </c>
      <c r="S370" s="1">
        <v>97500</v>
      </c>
    </row>
    <row r="371" spans="1:19" ht="12.5" x14ac:dyDescent="0.25">
      <c r="A371" s="1">
        <v>318</v>
      </c>
      <c r="B371" s="1" t="s">
        <v>1320</v>
      </c>
      <c r="C371" s="1" t="s">
        <v>35</v>
      </c>
      <c r="D371" s="1" t="s">
        <v>36</v>
      </c>
      <c r="E371" s="1">
        <v>319</v>
      </c>
      <c r="F371" s="1" t="s">
        <v>1321</v>
      </c>
      <c r="G371" s="1" t="s">
        <v>1322</v>
      </c>
      <c r="H371" s="1" t="s">
        <v>1323</v>
      </c>
      <c r="I371" s="1" t="s">
        <v>29</v>
      </c>
      <c r="J371" s="1" t="s">
        <v>16</v>
      </c>
      <c r="K371" s="1" t="b">
        <v>0</v>
      </c>
      <c r="L371" s="1" t="s">
        <v>22</v>
      </c>
      <c r="M371" s="1">
        <v>2022</v>
      </c>
      <c r="N371" s="1" t="s">
        <v>16</v>
      </c>
      <c r="O371" s="1" t="s">
        <v>9942</v>
      </c>
      <c r="P371" s="1" t="s">
        <v>16</v>
      </c>
      <c r="Q371" s="1">
        <v>100</v>
      </c>
      <c r="R371" s="1">
        <v>150000</v>
      </c>
      <c r="S371" s="1">
        <v>150000</v>
      </c>
    </row>
    <row r="372" spans="1:19" ht="12.5" x14ac:dyDescent="0.25">
      <c r="A372" s="1">
        <v>318</v>
      </c>
      <c r="B372" s="1" t="s">
        <v>1320</v>
      </c>
      <c r="C372" s="1" t="s">
        <v>35</v>
      </c>
      <c r="D372" s="1" t="s">
        <v>36</v>
      </c>
      <c r="E372" s="1">
        <v>319</v>
      </c>
      <c r="F372" s="1" t="s">
        <v>1321</v>
      </c>
      <c r="G372" s="1" t="s">
        <v>1322</v>
      </c>
      <c r="H372" s="1" t="s">
        <v>1323</v>
      </c>
      <c r="I372" s="1" t="s">
        <v>29</v>
      </c>
      <c r="J372" s="1" t="s">
        <v>16</v>
      </c>
      <c r="K372" s="1" t="b">
        <v>0</v>
      </c>
      <c r="L372" s="1" t="s">
        <v>22</v>
      </c>
      <c r="M372" s="1">
        <v>2022</v>
      </c>
      <c r="N372" s="1" t="s">
        <v>16</v>
      </c>
      <c r="O372" s="1" t="s">
        <v>9935</v>
      </c>
      <c r="P372" s="1" t="s">
        <v>16</v>
      </c>
      <c r="Q372" s="1">
        <v>100</v>
      </c>
      <c r="R372" s="1">
        <v>350000</v>
      </c>
      <c r="S372" s="1">
        <v>350000</v>
      </c>
    </row>
    <row r="373" spans="1:19" ht="12.5" x14ac:dyDescent="0.25">
      <c r="A373" s="1">
        <v>318</v>
      </c>
      <c r="B373" s="1" t="s">
        <v>1320</v>
      </c>
      <c r="C373" s="1" t="s">
        <v>35</v>
      </c>
      <c r="D373" s="1" t="s">
        <v>36</v>
      </c>
      <c r="E373" s="1">
        <v>319</v>
      </c>
      <c r="F373" s="1" t="s">
        <v>1321</v>
      </c>
      <c r="G373" s="1" t="s">
        <v>1322</v>
      </c>
      <c r="H373" s="1" t="s">
        <v>1323</v>
      </c>
      <c r="I373" s="1" t="s">
        <v>29</v>
      </c>
      <c r="J373" s="1" t="s">
        <v>16</v>
      </c>
      <c r="K373" s="1" t="b">
        <v>0</v>
      </c>
      <c r="L373" s="1" t="s">
        <v>22</v>
      </c>
      <c r="M373" s="1" t="s">
        <v>16</v>
      </c>
      <c r="N373" s="1" t="s">
        <v>16</v>
      </c>
      <c r="O373" s="1" t="s">
        <v>9940</v>
      </c>
      <c r="P373" s="1" t="s">
        <v>16</v>
      </c>
      <c r="Q373" s="1">
        <v>100</v>
      </c>
      <c r="R373" s="1">
        <v>50000</v>
      </c>
      <c r="S373" s="1">
        <v>50000</v>
      </c>
    </row>
    <row r="374" spans="1:19" ht="12.5" x14ac:dyDescent="0.25">
      <c r="A374" s="1">
        <v>319</v>
      </c>
      <c r="B374" s="1" t="s">
        <v>1324</v>
      </c>
      <c r="C374" s="1" t="s">
        <v>35</v>
      </c>
      <c r="D374" s="1" t="s">
        <v>36</v>
      </c>
      <c r="E374" s="1">
        <v>320</v>
      </c>
      <c r="F374" s="1" t="s">
        <v>1325</v>
      </c>
      <c r="G374" s="1" t="s">
        <v>1326</v>
      </c>
      <c r="H374" s="1" t="s">
        <v>1327</v>
      </c>
      <c r="I374" s="1" t="s">
        <v>29</v>
      </c>
      <c r="J374" s="1" t="s">
        <v>16</v>
      </c>
      <c r="K374" s="1" t="b">
        <v>0</v>
      </c>
      <c r="L374" s="1" t="s">
        <v>22</v>
      </c>
      <c r="M374" s="1" t="s">
        <v>16</v>
      </c>
      <c r="N374" s="1" t="s">
        <v>16</v>
      </c>
      <c r="O374" s="1" t="s">
        <v>16</v>
      </c>
      <c r="P374" s="1" t="s">
        <v>16</v>
      </c>
      <c r="Q374" s="1">
        <v>100</v>
      </c>
    </row>
    <row r="375" spans="1:19" ht="12.5" x14ac:dyDescent="0.25">
      <c r="A375" s="1">
        <v>320</v>
      </c>
      <c r="B375" s="1" t="s">
        <v>1328</v>
      </c>
      <c r="C375" s="1" t="s">
        <v>35</v>
      </c>
      <c r="D375" s="1" t="s">
        <v>36</v>
      </c>
      <c r="E375" s="1">
        <v>321</v>
      </c>
      <c r="F375" s="1" t="s">
        <v>1329</v>
      </c>
      <c r="G375" s="1" t="s">
        <v>1330</v>
      </c>
      <c r="H375" s="1" t="s">
        <v>1331</v>
      </c>
      <c r="I375" s="1" t="s">
        <v>29</v>
      </c>
      <c r="J375" s="1" t="s">
        <v>1332</v>
      </c>
      <c r="K375" s="1" t="b">
        <v>0</v>
      </c>
      <c r="L375" s="1" t="s">
        <v>22</v>
      </c>
      <c r="M375" s="1">
        <v>2022</v>
      </c>
      <c r="N375" s="1" t="s">
        <v>45</v>
      </c>
      <c r="O375" s="1" t="s">
        <v>9956</v>
      </c>
      <c r="P375" s="1" t="s">
        <v>9957</v>
      </c>
      <c r="Q375" s="1">
        <v>100</v>
      </c>
      <c r="R375" s="1">
        <v>1000</v>
      </c>
      <c r="S375" s="1">
        <v>1000</v>
      </c>
    </row>
    <row r="376" spans="1:19" ht="12.5" x14ac:dyDescent="0.25">
      <c r="A376" s="1">
        <v>1262</v>
      </c>
      <c r="B376" s="1" t="s">
        <v>1333</v>
      </c>
      <c r="C376" s="1" t="s">
        <v>35</v>
      </c>
      <c r="D376" s="1" t="s">
        <v>152</v>
      </c>
      <c r="E376" s="1">
        <v>321</v>
      </c>
      <c r="F376" s="1" t="s">
        <v>1329</v>
      </c>
      <c r="G376" s="1" t="s">
        <v>1330</v>
      </c>
      <c r="H376" s="1" t="s">
        <v>1331</v>
      </c>
      <c r="I376" s="1" t="s">
        <v>29</v>
      </c>
      <c r="J376" s="1" t="s">
        <v>1332</v>
      </c>
      <c r="K376" s="1" t="b">
        <v>0</v>
      </c>
      <c r="L376" s="1" t="s">
        <v>22</v>
      </c>
      <c r="M376" s="1">
        <v>2022</v>
      </c>
      <c r="N376" s="1" t="s">
        <v>45</v>
      </c>
      <c r="O376" s="1" t="s">
        <v>9956</v>
      </c>
      <c r="P376" s="1" t="s">
        <v>9957</v>
      </c>
      <c r="Q376" s="1">
        <v>0</v>
      </c>
      <c r="R376" s="1">
        <v>1000</v>
      </c>
      <c r="S376" s="1">
        <v>0</v>
      </c>
    </row>
    <row r="377" spans="1:19" ht="12.5" x14ac:dyDescent="0.25">
      <c r="A377" s="1">
        <v>321</v>
      </c>
      <c r="B377" s="1" t="s">
        <v>1334</v>
      </c>
      <c r="C377" s="1" t="s">
        <v>35</v>
      </c>
      <c r="D377" s="1" t="s">
        <v>36</v>
      </c>
      <c r="E377" s="1">
        <v>322</v>
      </c>
      <c r="F377" s="1" t="s">
        <v>1335</v>
      </c>
      <c r="G377" s="1" t="s">
        <v>1336</v>
      </c>
      <c r="H377" s="1" t="s">
        <v>1337</v>
      </c>
      <c r="I377" s="1" t="s">
        <v>20</v>
      </c>
      <c r="J377" s="1" t="s">
        <v>16</v>
      </c>
      <c r="K377" s="1" t="b">
        <v>0</v>
      </c>
      <c r="L377" s="1" t="s">
        <v>22</v>
      </c>
      <c r="M377" s="1" t="s">
        <v>16</v>
      </c>
      <c r="N377" s="1" t="s">
        <v>16</v>
      </c>
      <c r="O377" s="1" t="s">
        <v>16</v>
      </c>
      <c r="P377" s="1" t="s">
        <v>16</v>
      </c>
      <c r="Q377" s="1">
        <v>100</v>
      </c>
    </row>
    <row r="378" spans="1:19" ht="12.5" x14ac:dyDescent="0.25">
      <c r="A378" s="1">
        <v>323</v>
      </c>
      <c r="B378" s="1" t="s">
        <v>1338</v>
      </c>
      <c r="C378" s="1" t="s">
        <v>35</v>
      </c>
      <c r="D378" s="1" t="s">
        <v>36</v>
      </c>
      <c r="E378" s="1">
        <v>323</v>
      </c>
      <c r="F378" s="1" t="s">
        <v>1339</v>
      </c>
      <c r="G378" s="1" t="s">
        <v>1340</v>
      </c>
      <c r="H378" s="1" t="s">
        <v>1341</v>
      </c>
      <c r="I378" s="1" t="s">
        <v>20</v>
      </c>
      <c r="J378" s="1" t="s">
        <v>16</v>
      </c>
      <c r="K378" s="1" t="b">
        <v>0</v>
      </c>
      <c r="L378" s="1" t="s">
        <v>22</v>
      </c>
      <c r="M378" s="1" t="s">
        <v>16</v>
      </c>
      <c r="N378" s="1" t="s">
        <v>16</v>
      </c>
      <c r="O378" s="1" t="s">
        <v>16</v>
      </c>
      <c r="P378" s="1" t="s">
        <v>16</v>
      </c>
      <c r="Q378" s="1">
        <v>100</v>
      </c>
    </row>
    <row r="379" spans="1:19" ht="12.5" x14ac:dyDescent="0.25">
      <c r="A379" s="1">
        <v>324</v>
      </c>
      <c r="B379" s="1" t="s">
        <v>1342</v>
      </c>
      <c r="C379" s="1" t="s">
        <v>35</v>
      </c>
      <c r="D379" s="1" t="s">
        <v>36</v>
      </c>
      <c r="E379" s="1">
        <v>324</v>
      </c>
      <c r="F379" s="1" t="s">
        <v>1343</v>
      </c>
      <c r="G379" s="1" t="s">
        <v>1344</v>
      </c>
      <c r="H379" s="1" t="s">
        <v>1345</v>
      </c>
      <c r="I379" s="1" t="s">
        <v>20</v>
      </c>
      <c r="J379" s="1" t="s">
        <v>16</v>
      </c>
      <c r="K379" s="1" t="b">
        <v>0</v>
      </c>
      <c r="L379" s="1" t="s">
        <v>22</v>
      </c>
      <c r="M379" s="1" t="s">
        <v>16</v>
      </c>
      <c r="N379" s="1" t="s">
        <v>16</v>
      </c>
      <c r="O379" s="1" t="s">
        <v>16</v>
      </c>
      <c r="P379" s="1" t="s">
        <v>16</v>
      </c>
      <c r="Q379" s="1">
        <v>100</v>
      </c>
    </row>
    <row r="380" spans="1:19" ht="12.5" x14ac:dyDescent="0.25">
      <c r="A380" s="1">
        <v>325</v>
      </c>
      <c r="B380" s="1" t="s">
        <v>1346</v>
      </c>
      <c r="C380" s="1" t="s">
        <v>35</v>
      </c>
      <c r="D380" s="1" t="s">
        <v>36</v>
      </c>
      <c r="E380" s="1">
        <v>325</v>
      </c>
      <c r="F380" s="1" t="s">
        <v>1347</v>
      </c>
      <c r="G380" s="1" t="s">
        <v>1348</v>
      </c>
      <c r="H380" s="1" t="s">
        <v>1349</v>
      </c>
      <c r="I380" s="1" t="s">
        <v>20</v>
      </c>
      <c r="J380" s="1" t="s">
        <v>16</v>
      </c>
      <c r="K380" s="1" t="b">
        <v>0</v>
      </c>
      <c r="L380" s="1" t="s">
        <v>22</v>
      </c>
      <c r="M380" s="1" t="s">
        <v>16</v>
      </c>
      <c r="N380" s="1" t="s">
        <v>16</v>
      </c>
      <c r="O380" s="1" t="s">
        <v>16</v>
      </c>
      <c r="P380" s="1" t="s">
        <v>16</v>
      </c>
      <c r="Q380" s="1">
        <v>100</v>
      </c>
    </row>
    <row r="381" spans="1:19" ht="12.5" x14ac:dyDescent="0.25">
      <c r="A381" s="1">
        <v>326</v>
      </c>
      <c r="B381" s="1" t="s">
        <v>1350</v>
      </c>
      <c r="C381" s="1" t="s">
        <v>35</v>
      </c>
      <c r="D381" s="1" t="s">
        <v>36</v>
      </c>
      <c r="E381" s="1">
        <v>326</v>
      </c>
      <c r="F381" s="1" t="s">
        <v>1351</v>
      </c>
      <c r="G381" s="1" t="s">
        <v>1352</v>
      </c>
      <c r="H381" s="1" t="s">
        <v>1353</v>
      </c>
      <c r="I381" s="1" t="s">
        <v>29</v>
      </c>
      <c r="J381" s="1" t="s">
        <v>16</v>
      </c>
      <c r="K381" s="1" t="b">
        <v>0</v>
      </c>
      <c r="L381" s="1" t="s">
        <v>22</v>
      </c>
      <c r="M381" s="1" t="s">
        <v>16</v>
      </c>
      <c r="N381" s="1" t="s">
        <v>16</v>
      </c>
      <c r="O381" s="1" t="s">
        <v>16</v>
      </c>
      <c r="P381" s="1" t="s">
        <v>16</v>
      </c>
      <c r="Q381" s="1">
        <v>100</v>
      </c>
    </row>
    <row r="382" spans="1:19" ht="12.5" x14ac:dyDescent="0.25">
      <c r="A382" s="1">
        <v>327</v>
      </c>
      <c r="B382" s="1" t="s">
        <v>1354</v>
      </c>
      <c r="C382" s="1" t="s">
        <v>35</v>
      </c>
      <c r="D382" s="1" t="s">
        <v>36</v>
      </c>
      <c r="E382" s="1">
        <v>327</v>
      </c>
      <c r="F382" s="1" t="s">
        <v>1355</v>
      </c>
      <c r="G382" s="1" t="s">
        <v>1356</v>
      </c>
      <c r="H382" s="1" t="s">
        <v>1357</v>
      </c>
      <c r="I382" s="1" t="s">
        <v>29</v>
      </c>
      <c r="J382" s="1" t="s">
        <v>1358</v>
      </c>
      <c r="K382" s="1" t="b">
        <v>1</v>
      </c>
      <c r="L382" s="1" t="s">
        <v>31</v>
      </c>
      <c r="M382" s="1">
        <v>2022</v>
      </c>
      <c r="N382" s="1" t="s">
        <v>32</v>
      </c>
      <c r="O382" s="1" t="s">
        <v>9942</v>
      </c>
      <c r="P382" s="1" t="s">
        <v>16</v>
      </c>
      <c r="Q382" s="1">
        <v>100</v>
      </c>
      <c r="R382" s="1">
        <v>300000</v>
      </c>
      <c r="S382" s="1">
        <v>300000</v>
      </c>
    </row>
    <row r="383" spans="1:19" ht="12.5" x14ac:dyDescent="0.25">
      <c r="A383" s="1">
        <v>327</v>
      </c>
      <c r="B383" s="1" t="s">
        <v>1354</v>
      </c>
      <c r="C383" s="1" t="s">
        <v>35</v>
      </c>
      <c r="D383" s="1" t="s">
        <v>36</v>
      </c>
      <c r="E383" s="1">
        <v>327</v>
      </c>
      <c r="F383" s="1" t="s">
        <v>1355</v>
      </c>
      <c r="G383" s="1" t="s">
        <v>1356</v>
      </c>
      <c r="H383" s="1" t="s">
        <v>1357</v>
      </c>
      <c r="I383" s="1" t="s">
        <v>29</v>
      </c>
      <c r="J383" s="1" t="s">
        <v>1358</v>
      </c>
      <c r="K383" s="1" t="b">
        <v>1</v>
      </c>
      <c r="L383" s="1" t="s">
        <v>31</v>
      </c>
      <c r="M383" s="1">
        <v>2022</v>
      </c>
      <c r="N383" s="1" t="s">
        <v>32</v>
      </c>
      <c r="O383" s="1" t="s">
        <v>9940</v>
      </c>
      <c r="P383" s="1" t="s">
        <v>16</v>
      </c>
      <c r="Q383" s="1">
        <v>100</v>
      </c>
      <c r="R383" s="1">
        <v>50000</v>
      </c>
      <c r="S383" s="1">
        <v>50000</v>
      </c>
    </row>
    <row r="384" spans="1:19" ht="12.5" x14ac:dyDescent="0.25">
      <c r="A384" s="1">
        <v>327</v>
      </c>
      <c r="B384" s="1" t="s">
        <v>1354</v>
      </c>
      <c r="C384" s="1" t="s">
        <v>35</v>
      </c>
      <c r="D384" s="1" t="s">
        <v>36</v>
      </c>
      <c r="E384" s="1">
        <v>327</v>
      </c>
      <c r="F384" s="1" t="s">
        <v>1355</v>
      </c>
      <c r="G384" s="1" t="s">
        <v>1356</v>
      </c>
      <c r="H384" s="1" t="s">
        <v>1357</v>
      </c>
      <c r="I384" s="1" t="s">
        <v>29</v>
      </c>
      <c r="J384" s="1" t="s">
        <v>1358</v>
      </c>
      <c r="K384" s="1" t="b">
        <v>1</v>
      </c>
      <c r="L384" s="1" t="s">
        <v>31</v>
      </c>
      <c r="M384" s="1">
        <v>2022</v>
      </c>
      <c r="N384" s="1" t="s">
        <v>32</v>
      </c>
      <c r="O384" s="1" t="s">
        <v>9935</v>
      </c>
      <c r="P384" s="1" t="s">
        <v>16</v>
      </c>
      <c r="Q384" s="1">
        <v>100</v>
      </c>
      <c r="R384" s="1">
        <v>200000</v>
      </c>
      <c r="S384" s="1">
        <v>200000</v>
      </c>
    </row>
    <row r="385" spans="1:19" ht="12.5" x14ac:dyDescent="0.25">
      <c r="A385" s="1">
        <v>327</v>
      </c>
      <c r="B385" s="1" t="s">
        <v>1354</v>
      </c>
      <c r="C385" s="1" t="s">
        <v>35</v>
      </c>
      <c r="D385" s="1" t="s">
        <v>36</v>
      </c>
      <c r="E385" s="1">
        <v>327</v>
      </c>
      <c r="F385" s="1" t="s">
        <v>1355</v>
      </c>
      <c r="G385" s="1" t="s">
        <v>1356</v>
      </c>
      <c r="H385" s="1" t="s">
        <v>1357</v>
      </c>
      <c r="I385" s="1" t="s">
        <v>29</v>
      </c>
      <c r="J385" s="1" t="s">
        <v>1358</v>
      </c>
      <c r="K385" s="1" t="b">
        <v>1</v>
      </c>
      <c r="L385" s="1" t="s">
        <v>31</v>
      </c>
      <c r="M385" s="1">
        <v>2022</v>
      </c>
      <c r="N385" s="1" t="s">
        <v>32</v>
      </c>
      <c r="O385" s="1" t="s">
        <v>9952</v>
      </c>
      <c r="P385" s="1" t="s">
        <v>16</v>
      </c>
      <c r="Q385" s="1">
        <v>100</v>
      </c>
      <c r="R385" s="1">
        <v>90000</v>
      </c>
      <c r="S385" s="1">
        <v>90000</v>
      </c>
    </row>
    <row r="386" spans="1:19" ht="12.5" x14ac:dyDescent="0.25">
      <c r="A386" s="1">
        <v>328</v>
      </c>
      <c r="B386" s="1" t="s">
        <v>1359</v>
      </c>
      <c r="C386" s="1" t="s">
        <v>35</v>
      </c>
      <c r="D386" s="1" t="s">
        <v>36</v>
      </c>
      <c r="E386" s="1">
        <v>328</v>
      </c>
      <c r="F386" s="1" t="s">
        <v>1360</v>
      </c>
      <c r="G386" s="1" t="s">
        <v>1361</v>
      </c>
      <c r="H386" s="1" t="s">
        <v>1362</v>
      </c>
      <c r="I386" s="1" t="s">
        <v>29</v>
      </c>
      <c r="J386" s="1" t="s">
        <v>16</v>
      </c>
      <c r="K386" s="1" t="b">
        <v>0</v>
      </c>
      <c r="L386" s="1" t="s">
        <v>22</v>
      </c>
      <c r="M386" s="1" t="s">
        <v>16</v>
      </c>
      <c r="N386" s="1" t="s">
        <v>16</v>
      </c>
      <c r="O386" s="1" t="s">
        <v>16</v>
      </c>
      <c r="P386" s="1" t="s">
        <v>16</v>
      </c>
      <c r="Q386" s="1">
        <v>100</v>
      </c>
    </row>
    <row r="387" spans="1:19" ht="12.5" x14ac:dyDescent="0.25">
      <c r="A387" s="1">
        <v>329</v>
      </c>
      <c r="B387" s="1" t="s">
        <v>1363</v>
      </c>
      <c r="C387" s="1" t="s">
        <v>35</v>
      </c>
      <c r="D387" s="1" t="s">
        <v>36</v>
      </c>
      <c r="E387" s="1">
        <v>329</v>
      </c>
      <c r="F387" s="1" t="s">
        <v>1364</v>
      </c>
      <c r="G387" s="1" t="s">
        <v>1365</v>
      </c>
      <c r="H387" s="1" t="s">
        <v>1161</v>
      </c>
      <c r="I387" s="1" t="s">
        <v>29</v>
      </c>
      <c r="J387" s="1" t="s">
        <v>16</v>
      </c>
      <c r="K387" s="1" t="b">
        <v>0</v>
      </c>
      <c r="L387" s="1" t="s">
        <v>22</v>
      </c>
      <c r="M387" s="1" t="s">
        <v>16</v>
      </c>
      <c r="N387" s="1" t="s">
        <v>16</v>
      </c>
      <c r="O387" s="1" t="s">
        <v>16</v>
      </c>
      <c r="P387" s="1" t="s">
        <v>16</v>
      </c>
      <c r="Q387" s="1">
        <v>100</v>
      </c>
    </row>
    <row r="388" spans="1:19" ht="12.5" x14ac:dyDescent="0.25">
      <c r="A388" s="1">
        <v>330</v>
      </c>
      <c r="B388" s="1" t="s">
        <v>1366</v>
      </c>
      <c r="C388" s="1" t="s">
        <v>35</v>
      </c>
      <c r="D388" s="1" t="s">
        <v>36</v>
      </c>
      <c r="E388" s="1">
        <v>330</v>
      </c>
      <c r="F388" s="1" t="s">
        <v>1367</v>
      </c>
      <c r="G388" s="1" t="s">
        <v>1164</v>
      </c>
      <c r="H388" s="1" t="s">
        <v>1368</v>
      </c>
      <c r="I388" s="1" t="s">
        <v>29</v>
      </c>
      <c r="J388" s="1" t="s">
        <v>16</v>
      </c>
      <c r="K388" s="1" t="b">
        <v>0</v>
      </c>
      <c r="L388" s="1" t="s">
        <v>22</v>
      </c>
      <c r="M388" s="1" t="s">
        <v>16</v>
      </c>
      <c r="N388" s="1" t="s">
        <v>16</v>
      </c>
      <c r="O388" s="1" t="s">
        <v>16</v>
      </c>
      <c r="P388" s="1" t="s">
        <v>16</v>
      </c>
      <c r="Q388" s="1">
        <v>100</v>
      </c>
    </row>
    <row r="389" spans="1:19" ht="12.5" x14ac:dyDescent="0.25">
      <c r="A389" s="1">
        <v>332</v>
      </c>
      <c r="B389" s="1" t="s">
        <v>1369</v>
      </c>
      <c r="C389" s="1" t="s">
        <v>35</v>
      </c>
      <c r="D389" s="1" t="s">
        <v>36</v>
      </c>
      <c r="E389" s="1">
        <v>331</v>
      </c>
      <c r="F389" s="1" t="s">
        <v>1370</v>
      </c>
      <c r="G389" s="1" t="s">
        <v>1371</v>
      </c>
      <c r="H389" s="1" t="s">
        <v>1372</v>
      </c>
      <c r="I389" s="1" t="s">
        <v>29</v>
      </c>
      <c r="J389" s="1" t="s">
        <v>16</v>
      </c>
      <c r="K389" s="1" t="b">
        <v>0</v>
      </c>
      <c r="L389" s="1" t="s">
        <v>22</v>
      </c>
      <c r="M389" s="1">
        <v>2022</v>
      </c>
      <c r="N389" s="1" t="s">
        <v>16</v>
      </c>
      <c r="O389" s="1" t="s">
        <v>9935</v>
      </c>
      <c r="P389" s="1" t="s">
        <v>16</v>
      </c>
      <c r="Q389" s="1">
        <v>100</v>
      </c>
      <c r="R389" s="1">
        <v>450000</v>
      </c>
      <c r="S389" s="1">
        <v>450000</v>
      </c>
    </row>
    <row r="390" spans="1:19" ht="12.5" x14ac:dyDescent="0.25">
      <c r="A390" s="1">
        <v>332</v>
      </c>
      <c r="B390" s="1" t="s">
        <v>1369</v>
      </c>
      <c r="C390" s="1" t="s">
        <v>35</v>
      </c>
      <c r="D390" s="1" t="s">
        <v>36</v>
      </c>
      <c r="E390" s="1">
        <v>331</v>
      </c>
      <c r="F390" s="1" t="s">
        <v>1370</v>
      </c>
      <c r="G390" s="1" t="s">
        <v>1371</v>
      </c>
      <c r="H390" s="1" t="s">
        <v>1372</v>
      </c>
      <c r="I390" s="1" t="s">
        <v>29</v>
      </c>
      <c r="J390" s="1" t="s">
        <v>16</v>
      </c>
      <c r="K390" s="1" t="b">
        <v>0</v>
      </c>
      <c r="L390" s="1" t="s">
        <v>22</v>
      </c>
      <c r="M390" s="1">
        <v>2022</v>
      </c>
      <c r="N390" s="1" t="s">
        <v>16</v>
      </c>
      <c r="O390" s="1" t="s">
        <v>9942</v>
      </c>
      <c r="P390" s="1" t="s">
        <v>16</v>
      </c>
      <c r="Q390" s="1">
        <v>100</v>
      </c>
      <c r="R390" s="1">
        <v>250000</v>
      </c>
      <c r="S390" s="1">
        <v>250000</v>
      </c>
    </row>
    <row r="391" spans="1:19" ht="12.5" x14ac:dyDescent="0.25">
      <c r="A391" s="1">
        <v>332</v>
      </c>
      <c r="B391" s="1" t="s">
        <v>1369</v>
      </c>
      <c r="C391" s="1" t="s">
        <v>35</v>
      </c>
      <c r="D391" s="1" t="s">
        <v>36</v>
      </c>
      <c r="E391" s="1">
        <v>331</v>
      </c>
      <c r="F391" s="1" t="s">
        <v>1370</v>
      </c>
      <c r="G391" s="1" t="s">
        <v>1371</v>
      </c>
      <c r="H391" s="1" t="s">
        <v>1372</v>
      </c>
      <c r="I391" s="1" t="s">
        <v>29</v>
      </c>
      <c r="J391" s="1" t="s">
        <v>16</v>
      </c>
      <c r="K391" s="1" t="b">
        <v>0</v>
      </c>
      <c r="L391" s="1" t="s">
        <v>22</v>
      </c>
      <c r="M391" s="1" t="s">
        <v>16</v>
      </c>
      <c r="N391" s="1" t="s">
        <v>16</v>
      </c>
      <c r="O391" s="1" t="s">
        <v>9952</v>
      </c>
      <c r="P391" s="1" t="s">
        <v>16</v>
      </c>
      <c r="Q391" s="1">
        <v>100</v>
      </c>
      <c r="R391" s="1">
        <v>112500</v>
      </c>
      <c r="S391" s="1">
        <v>112500</v>
      </c>
    </row>
    <row r="392" spans="1:19" ht="12.5" x14ac:dyDescent="0.25">
      <c r="A392" s="1">
        <v>332</v>
      </c>
      <c r="B392" s="1" t="s">
        <v>1369</v>
      </c>
      <c r="C392" s="1" t="s">
        <v>35</v>
      </c>
      <c r="D392" s="1" t="s">
        <v>36</v>
      </c>
      <c r="E392" s="1">
        <v>331</v>
      </c>
      <c r="F392" s="1" t="s">
        <v>1370</v>
      </c>
      <c r="G392" s="1" t="s">
        <v>1371</v>
      </c>
      <c r="H392" s="1" t="s">
        <v>1372</v>
      </c>
      <c r="I392" s="1" t="s">
        <v>29</v>
      </c>
      <c r="J392" s="1" t="s">
        <v>16</v>
      </c>
      <c r="K392" s="1" t="b">
        <v>0</v>
      </c>
      <c r="L392" s="1" t="s">
        <v>22</v>
      </c>
      <c r="M392" s="1" t="s">
        <v>16</v>
      </c>
      <c r="N392" s="1" t="s">
        <v>16</v>
      </c>
      <c r="O392" s="1" t="s">
        <v>9940</v>
      </c>
      <c r="P392" s="1" t="s">
        <v>16</v>
      </c>
      <c r="Q392" s="1">
        <v>100</v>
      </c>
      <c r="R392" s="1">
        <v>50000</v>
      </c>
      <c r="S392" s="1">
        <v>50000</v>
      </c>
    </row>
    <row r="393" spans="1:19" ht="12.5" x14ac:dyDescent="0.25">
      <c r="A393" s="1">
        <v>334</v>
      </c>
      <c r="B393" s="1" t="s">
        <v>1373</v>
      </c>
      <c r="C393" s="1" t="s">
        <v>35</v>
      </c>
      <c r="D393" s="1" t="s">
        <v>36</v>
      </c>
      <c r="E393" s="1">
        <v>332</v>
      </c>
      <c r="F393" s="1" t="s">
        <v>1374</v>
      </c>
      <c r="G393" s="1" t="s">
        <v>1375</v>
      </c>
      <c r="H393" s="1" t="s">
        <v>1376</v>
      </c>
      <c r="I393" s="1" t="s">
        <v>20</v>
      </c>
      <c r="J393" s="1" t="s">
        <v>16</v>
      </c>
      <c r="K393" s="1" t="b">
        <v>0</v>
      </c>
      <c r="L393" s="1" t="s">
        <v>22</v>
      </c>
      <c r="M393" s="1" t="s">
        <v>16</v>
      </c>
      <c r="N393" s="1" t="s">
        <v>16</v>
      </c>
      <c r="O393" s="1" t="s">
        <v>16</v>
      </c>
      <c r="P393" s="1" t="s">
        <v>16</v>
      </c>
      <c r="Q393" s="1">
        <v>100</v>
      </c>
    </row>
    <row r="394" spans="1:19" ht="12.5" x14ac:dyDescent="0.25">
      <c r="A394" s="1">
        <v>335</v>
      </c>
      <c r="B394" s="1" t="s">
        <v>1377</v>
      </c>
      <c r="C394" s="1" t="s">
        <v>35</v>
      </c>
      <c r="D394" s="1" t="s">
        <v>36</v>
      </c>
      <c r="E394" s="1">
        <v>333</v>
      </c>
      <c r="F394" s="1" t="s">
        <v>1378</v>
      </c>
      <c r="G394" s="1" t="s">
        <v>1379</v>
      </c>
      <c r="H394" s="1" t="s">
        <v>1380</v>
      </c>
      <c r="I394" s="1" t="s">
        <v>29</v>
      </c>
      <c r="J394" s="1" t="s">
        <v>1381</v>
      </c>
      <c r="K394" s="1" t="b">
        <v>0</v>
      </c>
      <c r="L394" s="1" t="s">
        <v>22</v>
      </c>
      <c r="M394" s="1">
        <v>2022</v>
      </c>
      <c r="N394" s="1" t="s">
        <v>16</v>
      </c>
      <c r="O394" s="1" t="s">
        <v>9935</v>
      </c>
      <c r="P394" s="1" t="s">
        <v>16</v>
      </c>
      <c r="Q394" s="1">
        <v>100</v>
      </c>
      <c r="R394" s="1">
        <v>25000</v>
      </c>
      <c r="S394" s="1">
        <v>25000</v>
      </c>
    </row>
    <row r="395" spans="1:19" ht="12.5" x14ac:dyDescent="0.25">
      <c r="A395" s="1">
        <v>336</v>
      </c>
      <c r="B395" s="1" t="s">
        <v>1382</v>
      </c>
      <c r="C395" s="1" t="s">
        <v>35</v>
      </c>
      <c r="D395" s="1" t="s">
        <v>36</v>
      </c>
      <c r="E395" s="1">
        <v>334</v>
      </c>
      <c r="F395" s="1" t="s">
        <v>1383</v>
      </c>
      <c r="G395" s="1" t="s">
        <v>1164</v>
      </c>
      <c r="H395" s="1" t="s">
        <v>1384</v>
      </c>
      <c r="I395" s="1" t="s">
        <v>29</v>
      </c>
      <c r="J395" s="1" t="s">
        <v>16</v>
      </c>
      <c r="K395" s="1" t="b">
        <v>0</v>
      </c>
      <c r="L395" s="1" t="s">
        <v>22</v>
      </c>
      <c r="M395" s="1" t="s">
        <v>16</v>
      </c>
      <c r="N395" s="1" t="s">
        <v>16</v>
      </c>
      <c r="O395" s="1" t="s">
        <v>16</v>
      </c>
      <c r="P395" s="1" t="s">
        <v>16</v>
      </c>
      <c r="Q395" s="1">
        <v>100</v>
      </c>
    </row>
    <row r="396" spans="1:19" ht="12.5" x14ac:dyDescent="0.25">
      <c r="A396" s="1">
        <v>337</v>
      </c>
      <c r="B396" s="1" t="s">
        <v>1385</v>
      </c>
      <c r="C396" s="1" t="s">
        <v>35</v>
      </c>
      <c r="D396" s="1" t="s">
        <v>36</v>
      </c>
      <c r="E396" s="1">
        <v>335</v>
      </c>
      <c r="F396" s="1" t="s">
        <v>1386</v>
      </c>
      <c r="G396" s="1" t="s">
        <v>1387</v>
      </c>
      <c r="H396" s="1" t="s">
        <v>16</v>
      </c>
      <c r="I396" s="1" t="s">
        <v>20</v>
      </c>
      <c r="J396" s="1" t="s">
        <v>16</v>
      </c>
      <c r="K396" s="1" t="b">
        <v>0</v>
      </c>
      <c r="L396" s="1" t="s">
        <v>22</v>
      </c>
      <c r="M396" s="1" t="s">
        <v>16</v>
      </c>
      <c r="N396" s="1" t="s">
        <v>16</v>
      </c>
      <c r="O396" s="1" t="s">
        <v>16</v>
      </c>
      <c r="P396" s="1" t="s">
        <v>16</v>
      </c>
      <c r="Q396" s="1">
        <v>100</v>
      </c>
    </row>
    <row r="397" spans="1:19" ht="12.5" x14ac:dyDescent="0.25">
      <c r="A397" s="1">
        <v>338</v>
      </c>
      <c r="B397" s="1" t="s">
        <v>1388</v>
      </c>
      <c r="C397" s="1" t="s">
        <v>35</v>
      </c>
      <c r="D397" s="1" t="s">
        <v>36</v>
      </c>
      <c r="E397" s="1">
        <v>336</v>
      </c>
      <c r="F397" s="1" t="s">
        <v>1389</v>
      </c>
      <c r="G397" s="1" t="s">
        <v>1390</v>
      </c>
      <c r="H397" s="1" t="s">
        <v>1391</v>
      </c>
      <c r="I397" s="1" t="s">
        <v>29</v>
      </c>
      <c r="J397" s="1" t="s">
        <v>1392</v>
      </c>
      <c r="K397" s="1" t="b">
        <v>0</v>
      </c>
      <c r="L397" s="1" t="s">
        <v>22</v>
      </c>
      <c r="M397" s="1">
        <v>2021</v>
      </c>
      <c r="N397" s="1" t="s">
        <v>16</v>
      </c>
      <c r="O397" s="1" t="s">
        <v>9935</v>
      </c>
      <c r="P397" s="1" t="s">
        <v>16</v>
      </c>
      <c r="Q397" s="1">
        <v>100</v>
      </c>
      <c r="R397" s="1">
        <v>200000</v>
      </c>
      <c r="S397" s="1">
        <v>200000</v>
      </c>
    </row>
    <row r="398" spans="1:19" ht="12.5" x14ac:dyDescent="0.25">
      <c r="A398" s="1">
        <v>338</v>
      </c>
      <c r="B398" s="1" t="s">
        <v>1388</v>
      </c>
      <c r="C398" s="1" t="s">
        <v>35</v>
      </c>
      <c r="D398" s="1" t="s">
        <v>36</v>
      </c>
      <c r="E398" s="1">
        <v>336</v>
      </c>
      <c r="F398" s="1" t="s">
        <v>1389</v>
      </c>
      <c r="G398" s="1" t="s">
        <v>1390</v>
      </c>
      <c r="H398" s="1" t="s">
        <v>1391</v>
      </c>
      <c r="I398" s="1" t="s">
        <v>29</v>
      </c>
      <c r="J398" s="1" t="s">
        <v>1392</v>
      </c>
      <c r="K398" s="1" t="b">
        <v>0</v>
      </c>
      <c r="L398" s="1" t="s">
        <v>22</v>
      </c>
      <c r="M398" s="1">
        <v>2021</v>
      </c>
      <c r="N398" s="1" t="s">
        <v>16</v>
      </c>
      <c r="O398" s="1" t="s">
        <v>9942</v>
      </c>
      <c r="P398" s="1" t="s">
        <v>16</v>
      </c>
      <c r="Q398" s="1">
        <v>100</v>
      </c>
      <c r="R398" s="1">
        <v>300000</v>
      </c>
      <c r="S398" s="1">
        <v>300000</v>
      </c>
    </row>
    <row r="399" spans="1:19" ht="12.5" x14ac:dyDescent="0.25">
      <c r="A399" s="1">
        <v>339</v>
      </c>
      <c r="B399" s="1" t="s">
        <v>1393</v>
      </c>
      <c r="C399" s="1" t="s">
        <v>35</v>
      </c>
      <c r="D399" s="1" t="s">
        <v>36</v>
      </c>
      <c r="E399" s="1">
        <v>337</v>
      </c>
      <c r="F399" s="1" t="s">
        <v>1394</v>
      </c>
      <c r="G399" s="1" t="s">
        <v>1395</v>
      </c>
      <c r="H399" s="1" t="s">
        <v>1396</v>
      </c>
      <c r="I399" s="1" t="s">
        <v>29</v>
      </c>
      <c r="J399" s="1" t="s">
        <v>16</v>
      </c>
      <c r="K399" s="1" t="b">
        <v>0</v>
      </c>
      <c r="L399" s="1" t="s">
        <v>22</v>
      </c>
      <c r="M399" s="1" t="s">
        <v>16</v>
      </c>
      <c r="N399" s="1" t="s">
        <v>16</v>
      </c>
      <c r="O399" s="1" t="s">
        <v>9952</v>
      </c>
      <c r="P399" s="1" t="s">
        <v>16</v>
      </c>
      <c r="Q399" s="1">
        <v>100</v>
      </c>
      <c r="R399" s="1">
        <v>30000</v>
      </c>
      <c r="S399" s="1">
        <v>30000</v>
      </c>
    </row>
    <row r="400" spans="1:19" ht="12.5" x14ac:dyDescent="0.25">
      <c r="A400" s="1">
        <v>339</v>
      </c>
      <c r="B400" s="1" t="s">
        <v>1393</v>
      </c>
      <c r="C400" s="1" t="s">
        <v>35</v>
      </c>
      <c r="D400" s="1" t="s">
        <v>36</v>
      </c>
      <c r="E400" s="1">
        <v>337</v>
      </c>
      <c r="F400" s="1" t="s">
        <v>1394</v>
      </c>
      <c r="G400" s="1" t="s">
        <v>1395</v>
      </c>
      <c r="H400" s="1" t="s">
        <v>1396</v>
      </c>
      <c r="I400" s="1" t="s">
        <v>29</v>
      </c>
      <c r="J400" s="1" t="s">
        <v>16</v>
      </c>
      <c r="K400" s="1" t="b">
        <v>0</v>
      </c>
      <c r="L400" s="1" t="s">
        <v>22</v>
      </c>
      <c r="M400" s="1">
        <v>2021</v>
      </c>
      <c r="N400" s="1" t="s">
        <v>16</v>
      </c>
      <c r="O400" s="1" t="s">
        <v>9942</v>
      </c>
      <c r="P400" s="1" t="s">
        <v>16</v>
      </c>
      <c r="Q400" s="1">
        <v>100</v>
      </c>
      <c r="R400" s="1">
        <v>200000</v>
      </c>
      <c r="S400" s="1">
        <v>200000</v>
      </c>
    </row>
    <row r="401" spans="1:19" ht="12.5" x14ac:dyDescent="0.25">
      <c r="A401" s="1">
        <v>340</v>
      </c>
      <c r="B401" s="1" t="s">
        <v>1397</v>
      </c>
      <c r="C401" s="1" t="s">
        <v>35</v>
      </c>
      <c r="D401" s="1" t="s">
        <v>36</v>
      </c>
      <c r="E401" s="1">
        <v>338</v>
      </c>
      <c r="F401" s="1" t="s">
        <v>1398</v>
      </c>
      <c r="G401" s="1" t="s">
        <v>1399</v>
      </c>
      <c r="H401" s="1" t="s">
        <v>1400</v>
      </c>
      <c r="I401" s="1" t="s">
        <v>29</v>
      </c>
      <c r="J401" s="1" t="s">
        <v>1401</v>
      </c>
      <c r="K401" s="1" t="b">
        <v>1</v>
      </c>
      <c r="L401" s="1" t="s">
        <v>31</v>
      </c>
      <c r="M401" s="1">
        <v>2022</v>
      </c>
      <c r="N401" s="1" t="s">
        <v>16</v>
      </c>
      <c r="O401" s="1" t="s">
        <v>9942</v>
      </c>
      <c r="P401" s="1" t="s">
        <v>16</v>
      </c>
      <c r="Q401" s="1">
        <v>100</v>
      </c>
      <c r="R401" s="1">
        <v>250000</v>
      </c>
      <c r="S401" s="1">
        <v>250000</v>
      </c>
    </row>
    <row r="402" spans="1:19" ht="12.5" x14ac:dyDescent="0.25">
      <c r="A402" s="1" t="s">
        <v>16</v>
      </c>
      <c r="B402" s="1" t="s">
        <v>16</v>
      </c>
      <c r="C402" s="1" t="s">
        <v>16</v>
      </c>
      <c r="D402" s="1" t="s">
        <v>16</v>
      </c>
      <c r="E402" s="1">
        <v>339</v>
      </c>
      <c r="F402" s="1" t="s">
        <v>1402</v>
      </c>
      <c r="G402" s="1" t="s">
        <v>1403</v>
      </c>
      <c r="H402" s="1" t="s">
        <v>1209</v>
      </c>
      <c r="I402" s="1" t="s">
        <v>29</v>
      </c>
      <c r="J402" s="1" t="s">
        <v>16</v>
      </c>
      <c r="K402" s="1" t="b">
        <v>0</v>
      </c>
      <c r="L402" s="1" t="s">
        <v>22</v>
      </c>
      <c r="M402" s="1">
        <v>2023</v>
      </c>
      <c r="N402" s="1" t="s">
        <v>16</v>
      </c>
      <c r="O402" s="1" t="s">
        <v>9942</v>
      </c>
      <c r="P402" s="1" t="s">
        <v>16</v>
      </c>
      <c r="R402" s="1">
        <v>250000</v>
      </c>
    </row>
    <row r="403" spans="1:19" ht="12.5" x14ac:dyDescent="0.25">
      <c r="A403" s="1" t="s">
        <v>16</v>
      </c>
      <c r="B403" s="1" t="s">
        <v>16</v>
      </c>
      <c r="C403" s="1" t="s">
        <v>16</v>
      </c>
      <c r="D403" s="1" t="s">
        <v>16</v>
      </c>
      <c r="E403" s="1">
        <v>339</v>
      </c>
      <c r="F403" s="1" t="s">
        <v>1402</v>
      </c>
      <c r="G403" s="1" t="s">
        <v>1403</v>
      </c>
      <c r="H403" s="1" t="s">
        <v>1209</v>
      </c>
      <c r="I403" s="1" t="s">
        <v>29</v>
      </c>
      <c r="J403" s="1" t="s">
        <v>16</v>
      </c>
      <c r="K403" s="1" t="b">
        <v>0</v>
      </c>
      <c r="L403" s="1" t="s">
        <v>22</v>
      </c>
      <c r="M403" s="1" t="s">
        <v>16</v>
      </c>
      <c r="N403" s="1" t="s">
        <v>16</v>
      </c>
      <c r="O403" s="1" t="s">
        <v>9940</v>
      </c>
      <c r="P403" s="1" t="s">
        <v>16</v>
      </c>
      <c r="R403" s="1">
        <v>50000</v>
      </c>
    </row>
    <row r="404" spans="1:19" ht="12.5" x14ac:dyDescent="0.25">
      <c r="A404" s="1">
        <v>73</v>
      </c>
      <c r="B404" s="1" t="s">
        <v>378</v>
      </c>
      <c r="C404" s="1" t="s">
        <v>15</v>
      </c>
      <c r="D404" s="1" t="s">
        <v>15</v>
      </c>
      <c r="E404" s="1">
        <v>340</v>
      </c>
      <c r="F404" s="1" t="s">
        <v>1404</v>
      </c>
      <c r="G404" s="1" t="s">
        <v>1405</v>
      </c>
      <c r="H404" s="1" t="s">
        <v>1406</v>
      </c>
      <c r="I404" s="1" t="s">
        <v>20</v>
      </c>
      <c r="J404" s="1" t="s">
        <v>1407</v>
      </c>
      <c r="K404" s="1" t="b">
        <v>0</v>
      </c>
      <c r="L404" s="1" t="s">
        <v>22</v>
      </c>
      <c r="M404" s="1">
        <v>2023</v>
      </c>
      <c r="N404" s="1" t="s">
        <v>16</v>
      </c>
      <c r="O404" s="1" t="s">
        <v>9956</v>
      </c>
      <c r="P404" s="1" t="s">
        <v>16</v>
      </c>
      <c r="Q404" s="1">
        <v>80</v>
      </c>
      <c r="R404" s="1">
        <v>3500000</v>
      </c>
      <c r="S404" s="1">
        <v>2800000</v>
      </c>
    </row>
    <row r="405" spans="1:19" ht="12.5" x14ac:dyDescent="0.25">
      <c r="A405" s="1">
        <v>73</v>
      </c>
      <c r="B405" s="1" t="s">
        <v>378</v>
      </c>
      <c r="C405" s="1" t="s">
        <v>15</v>
      </c>
      <c r="D405" s="1" t="s">
        <v>15</v>
      </c>
      <c r="E405" s="1">
        <v>340</v>
      </c>
      <c r="F405" s="1" t="s">
        <v>1404</v>
      </c>
      <c r="G405" s="1" t="s">
        <v>1405</v>
      </c>
      <c r="H405" s="1" t="s">
        <v>1406</v>
      </c>
      <c r="I405" s="1" t="s">
        <v>20</v>
      </c>
      <c r="J405" s="1" t="s">
        <v>1407</v>
      </c>
      <c r="K405" s="1" t="b">
        <v>0</v>
      </c>
      <c r="L405" s="1" t="s">
        <v>22</v>
      </c>
      <c r="M405" s="1">
        <v>2022</v>
      </c>
      <c r="N405" s="1" t="s">
        <v>16</v>
      </c>
      <c r="O405" s="1" t="s">
        <v>9956</v>
      </c>
      <c r="P405" s="1" t="s">
        <v>16</v>
      </c>
      <c r="Q405" s="1">
        <v>80</v>
      </c>
      <c r="R405" s="1">
        <v>500000</v>
      </c>
      <c r="S405" s="1">
        <v>400000</v>
      </c>
    </row>
    <row r="406" spans="1:19" ht="12.5" x14ac:dyDescent="0.25">
      <c r="A406" s="1">
        <v>344</v>
      </c>
      <c r="B406" s="1" t="s">
        <v>1408</v>
      </c>
      <c r="C406" s="1" t="s">
        <v>35</v>
      </c>
      <c r="D406" s="1" t="s">
        <v>36</v>
      </c>
      <c r="E406" s="1">
        <v>340</v>
      </c>
      <c r="F406" s="1" t="s">
        <v>1404</v>
      </c>
      <c r="G406" s="1" t="s">
        <v>1405</v>
      </c>
      <c r="H406" s="1" t="s">
        <v>1406</v>
      </c>
      <c r="I406" s="1" t="s">
        <v>20</v>
      </c>
      <c r="J406" s="1" t="s">
        <v>1407</v>
      </c>
      <c r="K406" s="1" t="b">
        <v>0</v>
      </c>
      <c r="L406" s="1" t="s">
        <v>22</v>
      </c>
      <c r="M406" s="1">
        <v>2022</v>
      </c>
      <c r="N406" s="1" t="s">
        <v>16</v>
      </c>
      <c r="O406" s="1" t="s">
        <v>9956</v>
      </c>
      <c r="P406" s="1" t="s">
        <v>16</v>
      </c>
      <c r="Q406" s="1">
        <v>15</v>
      </c>
      <c r="R406" s="1">
        <v>500000</v>
      </c>
      <c r="S406" s="1">
        <v>75000</v>
      </c>
    </row>
    <row r="407" spans="1:19" ht="12.5" x14ac:dyDescent="0.25">
      <c r="A407" s="1">
        <v>344</v>
      </c>
      <c r="B407" s="1" t="s">
        <v>1408</v>
      </c>
      <c r="C407" s="1" t="s">
        <v>35</v>
      </c>
      <c r="D407" s="1" t="s">
        <v>36</v>
      </c>
      <c r="E407" s="1">
        <v>340</v>
      </c>
      <c r="F407" s="1" t="s">
        <v>1404</v>
      </c>
      <c r="G407" s="1" t="s">
        <v>1405</v>
      </c>
      <c r="H407" s="1" t="s">
        <v>1406</v>
      </c>
      <c r="I407" s="1" t="s">
        <v>20</v>
      </c>
      <c r="J407" s="1" t="s">
        <v>1407</v>
      </c>
      <c r="K407" s="1" t="b">
        <v>0</v>
      </c>
      <c r="L407" s="1" t="s">
        <v>22</v>
      </c>
      <c r="M407" s="1">
        <v>2023</v>
      </c>
      <c r="N407" s="1" t="s">
        <v>16</v>
      </c>
      <c r="O407" s="1" t="s">
        <v>9956</v>
      </c>
      <c r="P407" s="1" t="s">
        <v>16</v>
      </c>
      <c r="Q407" s="1">
        <v>15</v>
      </c>
      <c r="R407" s="1">
        <v>3500000</v>
      </c>
      <c r="S407" s="1">
        <v>525000</v>
      </c>
    </row>
    <row r="408" spans="1:19" ht="12.5" x14ac:dyDescent="0.25">
      <c r="A408" s="1">
        <v>739</v>
      </c>
      <c r="B408" s="1" t="s">
        <v>1409</v>
      </c>
      <c r="C408" s="1" t="s">
        <v>35</v>
      </c>
      <c r="D408" s="1" t="s">
        <v>36</v>
      </c>
      <c r="E408" s="1">
        <v>340</v>
      </c>
      <c r="F408" s="1" t="s">
        <v>1404</v>
      </c>
      <c r="G408" s="1" t="s">
        <v>1405</v>
      </c>
      <c r="H408" s="1" t="s">
        <v>1406</v>
      </c>
      <c r="I408" s="1" t="s">
        <v>20</v>
      </c>
      <c r="J408" s="1" t="s">
        <v>1407</v>
      </c>
      <c r="K408" s="1" t="b">
        <v>0</v>
      </c>
      <c r="L408" s="1" t="s">
        <v>22</v>
      </c>
      <c r="M408" s="1">
        <v>2022</v>
      </c>
      <c r="N408" s="1" t="s">
        <v>16</v>
      </c>
      <c r="O408" s="1" t="s">
        <v>9956</v>
      </c>
      <c r="P408" s="1" t="s">
        <v>16</v>
      </c>
      <c r="Q408" s="1">
        <v>5</v>
      </c>
      <c r="R408" s="1">
        <v>500000</v>
      </c>
      <c r="S408" s="1">
        <v>25000</v>
      </c>
    </row>
    <row r="409" spans="1:19" ht="12.5" x14ac:dyDescent="0.25">
      <c r="A409" s="1">
        <v>739</v>
      </c>
      <c r="B409" s="1" t="s">
        <v>1409</v>
      </c>
      <c r="C409" s="1" t="s">
        <v>35</v>
      </c>
      <c r="D409" s="1" t="s">
        <v>36</v>
      </c>
      <c r="E409" s="1">
        <v>340</v>
      </c>
      <c r="F409" s="1" t="s">
        <v>1404</v>
      </c>
      <c r="G409" s="1" t="s">
        <v>1405</v>
      </c>
      <c r="H409" s="1" t="s">
        <v>1406</v>
      </c>
      <c r="I409" s="1" t="s">
        <v>20</v>
      </c>
      <c r="J409" s="1" t="s">
        <v>1407</v>
      </c>
      <c r="K409" s="1" t="b">
        <v>0</v>
      </c>
      <c r="L409" s="1" t="s">
        <v>22</v>
      </c>
      <c r="M409" s="1">
        <v>2023</v>
      </c>
      <c r="N409" s="1" t="s">
        <v>16</v>
      </c>
      <c r="O409" s="1" t="s">
        <v>9956</v>
      </c>
      <c r="P409" s="1" t="s">
        <v>16</v>
      </c>
      <c r="Q409" s="1">
        <v>5</v>
      </c>
      <c r="R409" s="1">
        <v>3500000</v>
      </c>
      <c r="S409" s="1">
        <v>175000</v>
      </c>
    </row>
    <row r="410" spans="1:19" ht="12.5" x14ac:dyDescent="0.25">
      <c r="A410" s="1" t="s">
        <v>16</v>
      </c>
      <c r="B410" s="1" t="s">
        <v>16</v>
      </c>
      <c r="C410" s="1" t="s">
        <v>16</v>
      </c>
      <c r="D410" s="1" t="s">
        <v>16</v>
      </c>
      <c r="E410" s="1">
        <v>341</v>
      </c>
      <c r="F410" s="1" t="s">
        <v>1410</v>
      </c>
      <c r="G410" s="1" t="s">
        <v>1411</v>
      </c>
      <c r="H410" s="1" t="s">
        <v>1209</v>
      </c>
      <c r="I410" s="1" t="s">
        <v>29</v>
      </c>
      <c r="J410" s="1" t="s">
        <v>16</v>
      </c>
      <c r="K410" s="1" t="b">
        <v>0</v>
      </c>
      <c r="L410" s="1" t="s">
        <v>22</v>
      </c>
      <c r="M410" s="1" t="s">
        <v>16</v>
      </c>
      <c r="N410" s="1" t="s">
        <v>16</v>
      </c>
      <c r="O410" s="1" t="s">
        <v>9940</v>
      </c>
      <c r="P410" s="1" t="s">
        <v>16</v>
      </c>
      <c r="R410" s="1">
        <v>50000</v>
      </c>
    </row>
    <row r="411" spans="1:19" ht="12.5" x14ac:dyDescent="0.25">
      <c r="A411" s="1" t="s">
        <v>16</v>
      </c>
      <c r="B411" s="1" t="s">
        <v>16</v>
      </c>
      <c r="C411" s="1" t="s">
        <v>16</v>
      </c>
      <c r="D411" s="1" t="s">
        <v>16</v>
      </c>
      <c r="E411" s="1">
        <v>341</v>
      </c>
      <c r="F411" s="1" t="s">
        <v>1410</v>
      </c>
      <c r="G411" s="1" t="s">
        <v>1411</v>
      </c>
      <c r="H411" s="1" t="s">
        <v>1209</v>
      </c>
      <c r="I411" s="1" t="s">
        <v>29</v>
      </c>
      <c r="J411" s="1" t="s">
        <v>16</v>
      </c>
      <c r="K411" s="1" t="b">
        <v>0</v>
      </c>
      <c r="L411" s="1" t="s">
        <v>22</v>
      </c>
      <c r="M411" s="1">
        <v>2022</v>
      </c>
      <c r="N411" s="1" t="s">
        <v>16</v>
      </c>
      <c r="O411" s="1" t="s">
        <v>9942</v>
      </c>
      <c r="P411" s="1" t="s">
        <v>16</v>
      </c>
      <c r="R411" s="1">
        <v>350000</v>
      </c>
    </row>
    <row r="412" spans="1:19" ht="12.5" x14ac:dyDescent="0.25">
      <c r="A412" s="1" t="s">
        <v>16</v>
      </c>
      <c r="B412" s="1" t="s">
        <v>16</v>
      </c>
      <c r="C412" s="1" t="s">
        <v>16</v>
      </c>
      <c r="D412" s="1" t="s">
        <v>16</v>
      </c>
      <c r="E412" s="1">
        <v>341</v>
      </c>
      <c r="F412" s="1" t="s">
        <v>1410</v>
      </c>
      <c r="G412" s="1" t="s">
        <v>1411</v>
      </c>
      <c r="H412" s="1" t="s">
        <v>1209</v>
      </c>
      <c r="I412" s="1" t="s">
        <v>29</v>
      </c>
      <c r="J412" s="1" t="s">
        <v>16</v>
      </c>
      <c r="K412" s="1" t="b">
        <v>0</v>
      </c>
      <c r="L412" s="1" t="s">
        <v>22</v>
      </c>
      <c r="M412" s="1">
        <v>2022</v>
      </c>
      <c r="N412" s="1" t="s">
        <v>16</v>
      </c>
      <c r="O412" s="1" t="s">
        <v>9935</v>
      </c>
      <c r="P412" s="1" t="s">
        <v>16</v>
      </c>
      <c r="R412" s="1">
        <v>1500000</v>
      </c>
    </row>
    <row r="413" spans="1:19" ht="12.5" x14ac:dyDescent="0.25">
      <c r="A413" s="1">
        <v>346</v>
      </c>
      <c r="B413" s="1" t="s">
        <v>1412</v>
      </c>
      <c r="C413" s="1" t="s">
        <v>35</v>
      </c>
      <c r="D413" s="1" t="s">
        <v>36</v>
      </c>
      <c r="E413" s="1">
        <v>342</v>
      </c>
      <c r="F413" s="1" t="s">
        <v>1413</v>
      </c>
      <c r="G413" s="1" t="s">
        <v>1414</v>
      </c>
      <c r="H413" s="1" t="s">
        <v>1415</v>
      </c>
      <c r="I413" s="1" t="s">
        <v>29</v>
      </c>
      <c r="J413" s="1" t="s">
        <v>1416</v>
      </c>
      <c r="K413" s="1" t="b">
        <v>0</v>
      </c>
      <c r="L413" s="1" t="s">
        <v>22</v>
      </c>
      <c r="M413" s="1">
        <v>2022</v>
      </c>
      <c r="N413" s="1" t="s">
        <v>16</v>
      </c>
      <c r="O413" s="1" t="s">
        <v>9942</v>
      </c>
      <c r="P413" s="1" t="s">
        <v>16</v>
      </c>
      <c r="Q413" s="1">
        <v>100</v>
      </c>
      <c r="R413" s="1">
        <v>50000</v>
      </c>
      <c r="S413" s="1">
        <v>50000</v>
      </c>
    </row>
    <row r="414" spans="1:19" ht="12.5" x14ac:dyDescent="0.25">
      <c r="A414" s="1">
        <v>347</v>
      </c>
      <c r="B414" s="1" t="s">
        <v>1417</v>
      </c>
      <c r="C414" s="1" t="s">
        <v>35</v>
      </c>
      <c r="D414" s="1" t="s">
        <v>36</v>
      </c>
      <c r="E414" s="1">
        <v>343</v>
      </c>
      <c r="F414" s="1" t="s">
        <v>1418</v>
      </c>
      <c r="G414" s="1" t="s">
        <v>1419</v>
      </c>
      <c r="H414" s="1" t="s">
        <v>1161</v>
      </c>
      <c r="I414" s="1" t="s">
        <v>29</v>
      </c>
      <c r="J414" s="1" t="s">
        <v>16</v>
      </c>
      <c r="K414" s="1" t="b">
        <v>0</v>
      </c>
      <c r="L414" s="1" t="s">
        <v>22</v>
      </c>
      <c r="M414" s="1" t="s">
        <v>16</v>
      </c>
      <c r="N414" s="1" t="s">
        <v>16</v>
      </c>
      <c r="O414" s="1" t="s">
        <v>16</v>
      </c>
      <c r="P414" s="1" t="s">
        <v>16</v>
      </c>
      <c r="Q414" s="1">
        <v>100</v>
      </c>
    </row>
    <row r="415" spans="1:19" ht="12.5" x14ac:dyDescent="0.25">
      <c r="A415" s="1">
        <v>348</v>
      </c>
      <c r="B415" s="1" t="s">
        <v>1420</v>
      </c>
      <c r="C415" s="1" t="s">
        <v>35</v>
      </c>
      <c r="D415" s="1" t="s">
        <v>36</v>
      </c>
      <c r="E415" s="1">
        <v>344</v>
      </c>
      <c r="F415" s="1" t="s">
        <v>1421</v>
      </c>
      <c r="G415" s="1" t="s">
        <v>1422</v>
      </c>
      <c r="H415" s="1" t="s">
        <v>1238</v>
      </c>
      <c r="I415" s="1" t="s">
        <v>29</v>
      </c>
      <c r="J415" s="1" t="s">
        <v>16</v>
      </c>
      <c r="K415" s="1" t="b">
        <v>0</v>
      </c>
      <c r="L415" s="1" t="s">
        <v>22</v>
      </c>
      <c r="M415" s="1" t="s">
        <v>16</v>
      </c>
      <c r="N415" s="1" t="s">
        <v>16</v>
      </c>
      <c r="O415" s="1" t="s">
        <v>16</v>
      </c>
      <c r="P415" s="1" t="s">
        <v>16</v>
      </c>
      <c r="Q415" s="1">
        <v>100</v>
      </c>
    </row>
    <row r="416" spans="1:19" ht="12.5" x14ac:dyDescent="0.25">
      <c r="A416" s="1">
        <v>349</v>
      </c>
      <c r="B416" s="1" t="s">
        <v>1423</v>
      </c>
      <c r="C416" s="1" t="s">
        <v>35</v>
      </c>
      <c r="D416" s="1" t="s">
        <v>36</v>
      </c>
      <c r="E416" s="1">
        <v>345</v>
      </c>
      <c r="F416" s="1" t="s">
        <v>1424</v>
      </c>
      <c r="G416" s="1" t="s">
        <v>1425</v>
      </c>
      <c r="H416" s="1" t="s">
        <v>1426</v>
      </c>
      <c r="I416" s="1" t="s">
        <v>29</v>
      </c>
      <c r="J416" s="1" t="s">
        <v>1427</v>
      </c>
      <c r="K416" s="1" t="b">
        <v>1</v>
      </c>
      <c r="L416" s="1" t="s">
        <v>31</v>
      </c>
      <c r="M416" s="1">
        <v>2022</v>
      </c>
      <c r="N416" s="1" t="s">
        <v>16</v>
      </c>
      <c r="O416" s="1" t="s">
        <v>9942</v>
      </c>
      <c r="P416" s="1" t="s">
        <v>16</v>
      </c>
      <c r="Q416" s="1">
        <v>100</v>
      </c>
      <c r="R416" s="1">
        <v>150000</v>
      </c>
      <c r="S416" s="1">
        <v>150000</v>
      </c>
    </row>
    <row r="417" spans="1:19" ht="12.5" x14ac:dyDescent="0.25">
      <c r="A417" s="1">
        <v>350</v>
      </c>
      <c r="B417" s="1" t="s">
        <v>1428</v>
      </c>
      <c r="C417" s="1" t="s">
        <v>35</v>
      </c>
      <c r="D417" s="1" t="s">
        <v>36</v>
      </c>
      <c r="E417" s="1">
        <v>346</v>
      </c>
      <c r="F417" s="1" t="s">
        <v>1429</v>
      </c>
      <c r="G417" s="1" t="s">
        <v>1430</v>
      </c>
      <c r="H417" s="1" t="s">
        <v>1255</v>
      </c>
      <c r="I417" s="1" t="s">
        <v>20</v>
      </c>
      <c r="J417" s="1" t="s">
        <v>16</v>
      </c>
      <c r="K417" s="1" t="b">
        <v>0</v>
      </c>
      <c r="L417" s="1" t="s">
        <v>22</v>
      </c>
      <c r="M417" s="1" t="s">
        <v>16</v>
      </c>
      <c r="N417" s="1" t="s">
        <v>16</v>
      </c>
      <c r="O417" s="1" t="s">
        <v>16</v>
      </c>
      <c r="P417" s="1" t="s">
        <v>16</v>
      </c>
      <c r="Q417" s="1">
        <v>100</v>
      </c>
    </row>
    <row r="418" spans="1:19" ht="12.5" x14ac:dyDescent="0.25">
      <c r="A418" s="1">
        <v>352</v>
      </c>
      <c r="B418" s="1" t="s">
        <v>1431</v>
      </c>
      <c r="C418" s="1" t="s">
        <v>35</v>
      </c>
      <c r="D418" s="1" t="s">
        <v>36</v>
      </c>
      <c r="E418" s="1">
        <v>347</v>
      </c>
      <c r="F418" s="1" t="s">
        <v>1432</v>
      </c>
      <c r="G418" s="1" t="s">
        <v>1433</v>
      </c>
      <c r="H418" s="1" t="s">
        <v>1434</v>
      </c>
      <c r="I418" s="1" t="s">
        <v>29</v>
      </c>
      <c r="J418" s="1" t="s">
        <v>16</v>
      </c>
      <c r="K418" s="1" t="b">
        <v>0</v>
      </c>
      <c r="L418" s="1" t="s">
        <v>22</v>
      </c>
      <c r="M418" s="1" t="s">
        <v>16</v>
      </c>
      <c r="N418" s="1" t="s">
        <v>16</v>
      </c>
      <c r="O418" s="1" t="s">
        <v>16</v>
      </c>
      <c r="P418" s="1" t="s">
        <v>16</v>
      </c>
      <c r="Q418" s="1">
        <v>100</v>
      </c>
    </row>
    <row r="419" spans="1:19" ht="12.5" x14ac:dyDescent="0.25">
      <c r="A419" s="1">
        <v>354</v>
      </c>
      <c r="B419" s="1" t="s">
        <v>1435</v>
      </c>
      <c r="C419" s="1" t="s">
        <v>35</v>
      </c>
      <c r="D419" s="1" t="s">
        <v>36</v>
      </c>
      <c r="E419" s="1">
        <v>348</v>
      </c>
      <c r="F419" s="1" t="s">
        <v>1436</v>
      </c>
      <c r="G419" s="1" t="s">
        <v>1437</v>
      </c>
      <c r="H419" s="1" t="s">
        <v>1209</v>
      </c>
      <c r="I419" s="1" t="s">
        <v>29</v>
      </c>
      <c r="J419" s="1" t="s">
        <v>16</v>
      </c>
      <c r="K419" s="1" t="b">
        <v>0</v>
      </c>
      <c r="L419" s="1" t="s">
        <v>22</v>
      </c>
      <c r="M419" s="1">
        <v>2022</v>
      </c>
      <c r="N419" s="1" t="s">
        <v>16</v>
      </c>
      <c r="O419" s="1" t="s">
        <v>9935</v>
      </c>
      <c r="P419" s="1" t="s">
        <v>16</v>
      </c>
      <c r="Q419" s="1">
        <v>100</v>
      </c>
      <c r="R419" s="1">
        <v>100000</v>
      </c>
      <c r="S419" s="1">
        <v>100000</v>
      </c>
    </row>
    <row r="420" spans="1:19" ht="12.5" x14ac:dyDescent="0.25">
      <c r="A420" s="1">
        <v>354</v>
      </c>
      <c r="B420" s="1" t="s">
        <v>1435</v>
      </c>
      <c r="C420" s="1" t="s">
        <v>35</v>
      </c>
      <c r="D420" s="1" t="s">
        <v>36</v>
      </c>
      <c r="E420" s="1">
        <v>348</v>
      </c>
      <c r="F420" s="1" t="s">
        <v>1436</v>
      </c>
      <c r="G420" s="1" t="s">
        <v>1437</v>
      </c>
      <c r="H420" s="1" t="s">
        <v>1209</v>
      </c>
      <c r="I420" s="1" t="s">
        <v>29</v>
      </c>
      <c r="J420" s="1" t="s">
        <v>16</v>
      </c>
      <c r="K420" s="1" t="b">
        <v>0</v>
      </c>
      <c r="L420" s="1" t="s">
        <v>22</v>
      </c>
      <c r="M420" s="1" t="s">
        <v>16</v>
      </c>
      <c r="N420" s="1" t="s">
        <v>16</v>
      </c>
      <c r="O420" s="1" t="s">
        <v>9952</v>
      </c>
      <c r="P420" s="1" t="s">
        <v>16</v>
      </c>
      <c r="Q420" s="1">
        <v>100</v>
      </c>
      <c r="R420" s="1">
        <v>45000</v>
      </c>
      <c r="S420" s="1">
        <v>45000</v>
      </c>
    </row>
    <row r="421" spans="1:19" ht="12.5" x14ac:dyDescent="0.25">
      <c r="A421" s="1">
        <v>354</v>
      </c>
      <c r="B421" s="1" t="s">
        <v>1435</v>
      </c>
      <c r="C421" s="1" t="s">
        <v>35</v>
      </c>
      <c r="D421" s="1" t="s">
        <v>36</v>
      </c>
      <c r="E421" s="1">
        <v>348</v>
      </c>
      <c r="F421" s="1" t="s">
        <v>1436</v>
      </c>
      <c r="G421" s="1" t="s">
        <v>1437</v>
      </c>
      <c r="H421" s="1" t="s">
        <v>1209</v>
      </c>
      <c r="I421" s="1" t="s">
        <v>29</v>
      </c>
      <c r="J421" s="1" t="s">
        <v>16</v>
      </c>
      <c r="K421" s="1" t="b">
        <v>0</v>
      </c>
      <c r="L421" s="1" t="s">
        <v>22</v>
      </c>
      <c r="M421" s="1">
        <v>2022</v>
      </c>
      <c r="N421" s="1" t="s">
        <v>16</v>
      </c>
      <c r="O421" s="1" t="s">
        <v>9942</v>
      </c>
      <c r="P421" s="1" t="s">
        <v>16</v>
      </c>
      <c r="Q421" s="1">
        <v>100</v>
      </c>
      <c r="R421" s="1">
        <v>200000</v>
      </c>
      <c r="S421" s="1">
        <v>200000</v>
      </c>
    </row>
    <row r="422" spans="1:19" ht="12.5" x14ac:dyDescent="0.25">
      <c r="A422" s="1">
        <v>355</v>
      </c>
      <c r="B422" s="1" t="s">
        <v>1438</v>
      </c>
      <c r="C422" s="1" t="s">
        <v>35</v>
      </c>
      <c r="D422" s="1" t="s">
        <v>36</v>
      </c>
      <c r="E422" s="1">
        <v>349</v>
      </c>
      <c r="F422" s="1" t="s">
        <v>1439</v>
      </c>
      <c r="G422" s="1" t="s">
        <v>1440</v>
      </c>
      <c r="H422" s="1" t="s">
        <v>1441</v>
      </c>
      <c r="I422" s="1" t="s">
        <v>20</v>
      </c>
      <c r="J422" s="1" t="s">
        <v>16</v>
      </c>
      <c r="K422" s="1" t="b">
        <v>0</v>
      </c>
      <c r="L422" s="1" t="s">
        <v>22</v>
      </c>
      <c r="M422" s="1" t="s">
        <v>16</v>
      </c>
      <c r="N422" s="1" t="s">
        <v>16</v>
      </c>
      <c r="O422" s="1" t="s">
        <v>16</v>
      </c>
      <c r="P422" s="1" t="s">
        <v>16</v>
      </c>
      <c r="Q422" s="1">
        <v>100</v>
      </c>
    </row>
    <row r="423" spans="1:19" ht="12.5" x14ac:dyDescent="0.25">
      <c r="A423" s="1">
        <v>356</v>
      </c>
      <c r="B423" s="1" t="s">
        <v>1442</v>
      </c>
      <c r="C423" s="1" t="s">
        <v>35</v>
      </c>
      <c r="D423" s="1" t="s">
        <v>36</v>
      </c>
      <c r="E423" s="1">
        <v>350</v>
      </c>
      <c r="F423" s="1" t="s">
        <v>1443</v>
      </c>
      <c r="G423" s="1" t="s">
        <v>1444</v>
      </c>
      <c r="H423" s="1" t="s">
        <v>1445</v>
      </c>
      <c r="I423" s="1" t="s">
        <v>20</v>
      </c>
      <c r="J423" s="1" t="s">
        <v>16</v>
      </c>
      <c r="K423" s="1" t="b">
        <v>0</v>
      </c>
      <c r="L423" s="1" t="s">
        <v>22</v>
      </c>
      <c r="M423" s="1" t="s">
        <v>16</v>
      </c>
      <c r="N423" s="1" t="s">
        <v>16</v>
      </c>
      <c r="O423" s="1" t="s">
        <v>16</v>
      </c>
      <c r="P423" s="1" t="s">
        <v>16</v>
      </c>
      <c r="Q423" s="1">
        <v>100</v>
      </c>
    </row>
    <row r="424" spans="1:19" ht="12.5" x14ac:dyDescent="0.25">
      <c r="A424" s="1">
        <v>357</v>
      </c>
      <c r="B424" s="1" t="s">
        <v>1446</v>
      </c>
      <c r="C424" s="1" t="s">
        <v>35</v>
      </c>
      <c r="D424" s="1" t="s">
        <v>36</v>
      </c>
      <c r="E424" s="1">
        <v>351</v>
      </c>
      <c r="F424" s="1" t="s">
        <v>1447</v>
      </c>
      <c r="G424" s="1" t="s">
        <v>1448</v>
      </c>
      <c r="H424" s="1" t="s">
        <v>1265</v>
      </c>
      <c r="I424" s="1" t="s">
        <v>29</v>
      </c>
      <c r="J424" s="1" t="s">
        <v>1449</v>
      </c>
      <c r="K424" s="1" t="b">
        <v>1</v>
      </c>
      <c r="L424" s="1" t="s">
        <v>31</v>
      </c>
      <c r="M424" s="1">
        <v>2021</v>
      </c>
      <c r="N424" s="1" t="s">
        <v>16</v>
      </c>
      <c r="O424" s="1" t="s">
        <v>9942</v>
      </c>
      <c r="P424" s="1" t="s">
        <v>16</v>
      </c>
      <c r="Q424" s="1">
        <v>100</v>
      </c>
      <c r="R424" s="1">
        <v>50000</v>
      </c>
      <c r="S424" s="1">
        <v>50000</v>
      </c>
    </row>
    <row r="425" spans="1:19" ht="12.5" x14ac:dyDescent="0.25">
      <c r="A425" s="1">
        <v>357</v>
      </c>
      <c r="B425" s="1" t="s">
        <v>1446</v>
      </c>
      <c r="C425" s="1" t="s">
        <v>35</v>
      </c>
      <c r="D425" s="1" t="s">
        <v>36</v>
      </c>
      <c r="E425" s="1">
        <v>352</v>
      </c>
      <c r="F425" s="1" t="s">
        <v>1450</v>
      </c>
      <c r="G425" s="1" t="s">
        <v>1451</v>
      </c>
      <c r="H425" s="1" t="s">
        <v>1452</v>
      </c>
      <c r="I425" s="1" t="s">
        <v>29</v>
      </c>
      <c r="J425" s="1" t="s">
        <v>16</v>
      </c>
      <c r="K425" s="1" t="b">
        <v>0</v>
      </c>
      <c r="L425" s="1" t="s">
        <v>22</v>
      </c>
      <c r="M425" s="1" t="s">
        <v>16</v>
      </c>
      <c r="N425" s="1" t="s">
        <v>16</v>
      </c>
      <c r="O425" s="1" t="s">
        <v>16</v>
      </c>
      <c r="P425" s="1" t="s">
        <v>16</v>
      </c>
      <c r="Q425" s="1">
        <v>100</v>
      </c>
    </row>
    <row r="426" spans="1:19" ht="12.5" x14ac:dyDescent="0.25">
      <c r="A426" s="1" t="s">
        <v>16</v>
      </c>
      <c r="B426" s="1" t="s">
        <v>16</v>
      </c>
      <c r="C426" s="1" t="s">
        <v>16</v>
      </c>
      <c r="D426" s="1" t="s">
        <v>16</v>
      </c>
      <c r="E426" s="1">
        <v>353</v>
      </c>
      <c r="F426" s="1" t="s">
        <v>1453</v>
      </c>
      <c r="G426" s="1" t="s">
        <v>1454</v>
      </c>
      <c r="H426" s="1" t="s">
        <v>1209</v>
      </c>
      <c r="I426" s="1" t="s">
        <v>29</v>
      </c>
      <c r="J426" s="1" t="s">
        <v>16</v>
      </c>
      <c r="K426" s="1" t="b">
        <v>0</v>
      </c>
      <c r="L426" s="1" t="s">
        <v>22</v>
      </c>
      <c r="M426" s="1">
        <v>2022</v>
      </c>
      <c r="N426" s="1" t="s">
        <v>16</v>
      </c>
      <c r="O426" s="1" t="s">
        <v>9942</v>
      </c>
      <c r="P426" s="1" t="s">
        <v>16</v>
      </c>
      <c r="R426" s="1">
        <v>350000</v>
      </c>
    </row>
    <row r="427" spans="1:19" ht="12.5" x14ac:dyDescent="0.25">
      <c r="A427" s="1" t="s">
        <v>16</v>
      </c>
      <c r="B427" s="1" t="s">
        <v>16</v>
      </c>
      <c r="C427" s="1" t="s">
        <v>16</v>
      </c>
      <c r="D427" s="1" t="s">
        <v>16</v>
      </c>
      <c r="E427" s="1">
        <v>353</v>
      </c>
      <c r="F427" s="1" t="s">
        <v>1453</v>
      </c>
      <c r="G427" s="1" t="s">
        <v>1454</v>
      </c>
      <c r="H427" s="1" t="s">
        <v>1209</v>
      </c>
      <c r="I427" s="1" t="s">
        <v>29</v>
      </c>
      <c r="J427" s="1" t="s">
        <v>16</v>
      </c>
      <c r="K427" s="1" t="b">
        <v>0</v>
      </c>
      <c r="L427" s="1" t="s">
        <v>22</v>
      </c>
      <c r="M427" s="1" t="s">
        <v>16</v>
      </c>
      <c r="N427" s="1" t="s">
        <v>16</v>
      </c>
      <c r="O427" s="1" t="s">
        <v>9940</v>
      </c>
      <c r="P427" s="1" t="s">
        <v>16</v>
      </c>
      <c r="R427" s="1">
        <v>50000</v>
      </c>
    </row>
    <row r="428" spans="1:19" ht="12.5" x14ac:dyDescent="0.25">
      <c r="A428" s="1" t="s">
        <v>16</v>
      </c>
      <c r="B428" s="1" t="s">
        <v>16</v>
      </c>
      <c r="C428" s="1" t="s">
        <v>16</v>
      </c>
      <c r="D428" s="1" t="s">
        <v>16</v>
      </c>
      <c r="E428" s="1">
        <v>354</v>
      </c>
      <c r="F428" s="1" t="s">
        <v>1455</v>
      </c>
      <c r="G428" s="1" t="s">
        <v>1456</v>
      </c>
      <c r="H428" s="1" t="s">
        <v>1457</v>
      </c>
      <c r="I428" s="1" t="s">
        <v>29</v>
      </c>
      <c r="J428" s="1" t="s">
        <v>1458</v>
      </c>
      <c r="K428" s="1" t="b">
        <v>0</v>
      </c>
      <c r="L428" s="1" t="s">
        <v>22</v>
      </c>
      <c r="M428" s="1">
        <v>2021</v>
      </c>
      <c r="N428" s="1" t="s">
        <v>16</v>
      </c>
      <c r="O428" s="1" t="s">
        <v>9942</v>
      </c>
      <c r="P428" s="1" t="s">
        <v>16</v>
      </c>
      <c r="R428" s="1">
        <v>50000</v>
      </c>
    </row>
    <row r="429" spans="1:19" ht="12.5" x14ac:dyDescent="0.25">
      <c r="A429" s="1" t="s">
        <v>16</v>
      </c>
      <c r="B429" s="1" t="s">
        <v>16</v>
      </c>
      <c r="C429" s="1" t="s">
        <v>16</v>
      </c>
      <c r="D429" s="1" t="s">
        <v>16</v>
      </c>
      <c r="E429" s="1">
        <v>354</v>
      </c>
      <c r="F429" s="1" t="s">
        <v>1455</v>
      </c>
      <c r="G429" s="1" t="s">
        <v>1456</v>
      </c>
      <c r="H429" s="1" t="s">
        <v>1457</v>
      </c>
      <c r="I429" s="1" t="s">
        <v>29</v>
      </c>
      <c r="J429" s="1" t="s">
        <v>1458</v>
      </c>
      <c r="K429" s="1" t="b">
        <v>0</v>
      </c>
      <c r="L429" s="1" t="s">
        <v>22</v>
      </c>
      <c r="M429" s="1" t="s">
        <v>16</v>
      </c>
      <c r="N429" s="1" t="s">
        <v>16</v>
      </c>
      <c r="O429" s="1" t="s">
        <v>9940</v>
      </c>
      <c r="P429" s="1" t="s">
        <v>16</v>
      </c>
      <c r="R429" s="1">
        <v>25000</v>
      </c>
    </row>
    <row r="430" spans="1:19" ht="12.5" x14ac:dyDescent="0.25">
      <c r="A430" s="1" t="s">
        <v>16</v>
      </c>
      <c r="B430" s="1" t="s">
        <v>16</v>
      </c>
      <c r="C430" s="1" t="s">
        <v>16</v>
      </c>
      <c r="D430" s="1" t="s">
        <v>16</v>
      </c>
      <c r="E430" s="1">
        <v>354</v>
      </c>
      <c r="F430" s="1" t="s">
        <v>1455</v>
      </c>
      <c r="G430" s="1" t="s">
        <v>1456</v>
      </c>
      <c r="H430" s="1" t="s">
        <v>1457</v>
      </c>
      <c r="I430" s="1" t="s">
        <v>29</v>
      </c>
      <c r="J430" s="1" t="s">
        <v>1458</v>
      </c>
      <c r="K430" s="1" t="b">
        <v>0</v>
      </c>
      <c r="L430" s="1" t="s">
        <v>22</v>
      </c>
      <c r="M430" s="1" t="s">
        <v>16</v>
      </c>
      <c r="N430" s="1" t="s">
        <v>16</v>
      </c>
      <c r="O430" s="1" t="s">
        <v>9952</v>
      </c>
      <c r="P430" s="1" t="s">
        <v>16</v>
      </c>
      <c r="R430" s="1">
        <v>18750</v>
      </c>
    </row>
    <row r="431" spans="1:19" ht="12.5" x14ac:dyDescent="0.25">
      <c r="A431" s="1" t="s">
        <v>16</v>
      </c>
      <c r="B431" s="1" t="s">
        <v>16</v>
      </c>
      <c r="C431" s="1" t="s">
        <v>16</v>
      </c>
      <c r="D431" s="1" t="s">
        <v>16</v>
      </c>
      <c r="E431" s="1">
        <v>354</v>
      </c>
      <c r="F431" s="1" t="s">
        <v>1455</v>
      </c>
      <c r="G431" s="1" t="s">
        <v>1456</v>
      </c>
      <c r="H431" s="1" t="s">
        <v>1457</v>
      </c>
      <c r="I431" s="1" t="s">
        <v>29</v>
      </c>
      <c r="J431" s="1" t="s">
        <v>1458</v>
      </c>
      <c r="K431" s="1" t="b">
        <v>0</v>
      </c>
      <c r="L431" s="1" t="s">
        <v>22</v>
      </c>
      <c r="M431" s="1">
        <v>2021</v>
      </c>
      <c r="N431" s="1" t="s">
        <v>16</v>
      </c>
      <c r="O431" s="1" t="s">
        <v>9935</v>
      </c>
      <c r="P431" s="1" t="s">
        <v>16</v>
      </c>
      <c r="R431" s="1">
        <v>50000</v>
      </c>
    </row>
    <row r="432" spans="1:19" ht="12.5" x14ac:dyDescent="0.25">
      <c r="A432" s="1">
        <v>360</v>
      </c>
      <c r="B432" s="1" t="s">
        <v>1459</v>
      </c>
      <c r="C432" s="1" t="s">
        <v>35</v>
      </c>
      <c r="D432" s="1" t="s">
        <v>36</v>
      </c>
      <c r="E432" s="1">
        <v>355</v>
      </c>
      <c r="F432" s="1" t="s">
        <v>1460</v>
      </c>
      <c r="G432" s="1" t="s">
        <v>1461</v>
      </c>
      <c r="H432" s="1" t="s">
        <v>1169</v>
      </c>
      <c r="I432" s="1" t="s">
        <v>20</v>
      </c>
      <c r="J432" s="1" t="s">
        <v>16</v>
      </c>
      <c r="K432" s="1" t="b">
        <v>0</v>
      </c>
      <c r="L432" s="1" t="s">
        <v>22</v>
      </c>
      <c r="M432" s="1" t="s">
        <v>16</v>
      </c>
      <c r="N432" s="1" t="s">
        <v>16</v>
      </c>
      <c r="O432" s="1" t="s">
        <v>16</v>
      </c>
      <c r="P432" s="1" t="s">
        <v>16</v>
      </c>
      <c r="Q432" s="1">
        <v>100</v>
      </c>
    </row>
    <row r="433" spans="1:19" ht="12.5" x14ac:dyDescent="0.25">
      <c r="A433" s="1">
        <v>361</v>
      </c>
      <c r="B433" s="1" t="s">
        <v>1462</v>
      </c>
      <c r="C433" s="1" t="s">
        <v>35</v>
      </c>
      <c r="D433" s="1" t="s">
        <v>36</v>
      </c>
      <c r="E433" s="1">
        <v>356</v>
      </c>
      <c r="F433" s="1" t="s">
        <v>1463</v>
      </c>
      <c r="G433" s="1" t="s">
        <v>1464</v>
      </c>
      <c r="H433" s="1" t="s">
        <v>1209</v>
      </c>
      <c r="I433" s="1" t="s">
        <v>29</v>
      </c>
      <c r="J433" s="1" t="s">
        <v>16</v>
      </c>
      <c r="K433" s="1" t="b">
        <v>0</v>
      </c>
      <c r="L433" s="1" t="s">
        <v>22</v>
      </c>
      <c r="M433" s="1">
        <v>2022</v>
      </c>
      <c r="N433" s="1" t="s">
        <v>16</v>
      </c>
      <c r="O433" s="1" t="s">
        <v>9942</v>
      </c>
      <c r="P433" s="1" t="s">
        <v>16</v>
      </c>
      <c r="Q433" s="1">
        <v>100</v>
      </c>
      <c r="R433" s="1">
        <v>50000</v>
      </c>
      <c r="S433" s="1">
        <v>50000</v>
      </c>
    </row>
    <row r="434" spans="1:19" ht="12.5" x14ac:dyDescent="0.25">
      <c r="A434" s="1">
        <v>361</v>
      </c>
      <c r="B434" s="1" t="s">
        <v>1462</v>
      </c>
      <c r="C434" s="1" t="s">
        <v>35</v>
      </c>
      <c r="D434" s="1" t="s">
        <v>36</v>
      </c>
      <c r="E434" s="1">
        <v>356</v>
      </c>
      <c r="F434" s="1" t="s">
        <v>1463</v>
      </c>
      <c r="G434" s="1" t="s">
        <v>1464</v>
      </c>
      <c r="H434" s="1" t="s">
        <v>1209</v>
      </c>
      <c r="I434" s="1" t="s">
        <v>29</v>
      </c>
      <c r="J434" s="1" t="s">
        <v>16</v>
      </c>
      <c r="K434" s="1" t="b">
        <v>0</v>
      </c>
      <c r="L434" s="1" t="s">
        <v>22</v>
      </c>
      <c r="M434" s="1" t="s">
        <v>16</v>
      </c>
      <c r="N434" s="1" t="s">
        <v>16</v>
      </c>
      <c r="O434" s="1" t="s">
        <v>9952</v>
      </c>
      <c r="P434" s="1" t="s">
        <v>16</v>
      </c>
      <c r="Q434" s="1">
        <v>100</v>
      </c>
      <c r="R434" s="1">
        <v>15000</v>
      </c>
      <c r="S434" s="1">
        <v>15000</v>
      </c>
    </row>
    <row r="435" spans="1:19" ht="12.5" x14ac:dyDescent="0.25">
      <c r="A435" s="1">
        <v>361</v>
      </c>
      <c r="B435" s="1" t="s">
        <v>1462</v>
      </c>
      <c r="C435" s="1" t="s">
        <v>35</v>
      </c>
      <c r="D435" s="1" t="s">
        <v>36</v>
      </c>
      <c r="E435" s="1">
        <v>356</v>
      </c>
      <c r="F435" s="1" t="s">
        <v>1463</v>
      </c>
      <c r="G435" s="1" t="s">
        <v>1464</v>
      </c>
      <c r="H435" s="1" t="s">
        <v>1209</v>
      </c>
      <c r="I435" s="1" t="s">
        <v>29</v>
      </c>
      <c r="J435" s="1" t="s">
        <v>16</v>
      </c>
      <c r="K435" s="1" t="b">
        <v>0</v>
      </c>
      <c r="L435" s="1" t="s">
        <v>22</v>
      </c>
      <c r="M435" s="1">
        <v>2022</v>
      </c>
      <c r="N435" s="1" t="s">
        <v>16</v>
      </c>
      <c r="O435" s="1" t="s">
        <v>9935</v>
      </c>
      <c r="P435" s="1" t="s">
        <v>16</v>
      </c>
      <c r="Q435" s="1">
        <v>100</v>
      </c>
      <c r="R435" s="1">
        <v>50000</v>
      </c>
      <c r="S435" s="1">
        <v>50000</v>
      </c>
    </row>
    <row r="436" spans="1:19" ht="12.5" x14ac:dyDescent="0.25">
      <c r="A436" s="1">
        <v>362</v>
      </c>
      <c r="B436" s="1" t="s">
        <v>1465</v>
      </c>
      <c r="C436" s="1" t="s">
        <v>35</v>
      </c>
      <c r="D436" s="1" t="s">
        <v>36</v>
      </c>
      <c r="E436" s="1">
        <v>357</v>
      </c>
      <c r="F436" s="1" t="s">
        <v>1466</v>
      </c>
      <c r="G436" s="1" t="s">
        <v>1467</v>
      </c>
      <c r="H436" s="1" t="s">
        <v>1468</v>
      </c>
      <c r="I436" s="1" t="s">
        <v>20</v>
      </c>
      <c r="J436" s="1" t="s">
        <v>16</v>
      </c>
      <c r="K436" s="1" t="b">
        <v>0</v>
      </c>
      <c r="L436" s="1" t="s">
        <v>22</v>
      </c>
      <c r="M436" s="1" t="s">
        <v>16</v>
      </c>
      <c r="N436" s="1" t="s">
        <v>16</v>
      </c>
      <c r="O436" s="1" t="s">
        <v>16</v>
      </c>
      <c r="P436" s="1" t="s">
        <v>16</v>
      </c>
      <c r="Q436" s="1">
        <v>100</v>
      </c>
    </row>
    <row r="437" spans="1:19" ht="12.5" x14ac:dyDescent="0.25">
      <c r="A437" s="1">
        <v>363</v>
      </c>
      <c r="B437" s="1" t="s">
        <v>1469</v>
      </c>
      <c r="C437" s="1" t="s">
        <v>35</v>
      </c>
      <c r="D437" s="1" t="s">
        <v>36</v>
      </c>
      <c r="E437" s="1">
        <v>358</v>
      </c>
      <c r="F437" s="1" t="s">
        <v>1470</v>
      </c>
      <c r="G437" s="1" t="s">
        <v>1471</v>
      </c>
      <c r="H437" s="1" t="s">
        <v>1472</v>
      </c>
      <c r="I437" s="1" t="s">
        <v>29</v>
      </c>
      <c r="J437" s="1" t="s">
        <v>1473</v>
      </c>
      <c r="K437" s="1" t="b">
        <v>1</v>
      </c>
      <c r="L437" s="1" t="s">
        <v>31</v>
      </c>
      <c r="M437" s="1">
        <v>2021</v>
      </c>
      <c r="N437" s="1" t="s">
        <v>16</v>
      </c>
      <c r="O437" s="1" t="s">
        <v>9942</v>
      </c>
      <c r="P437" s="1" t="s">
        <v>16</v>
      </c>
      <c r="Q437" s="1">
        <v>100</v>
      </c>
      <c r="R437" s="1">
        <v>300000</v>
      </c>
      <c r="S437" s="1">
        <v>300000</v>
      </c>
    </row>
    <row r="438" spans="1:19" ht="12.5" x14ac:dyDescent="0.25">
      <c r="A438" s="1">
        <v>363</v>
      </c>
      <c r="B438" s="1" t="s">
        <v>1469</v>
      </c>
      <c r="C438" s="1" t="s">
        <v>35</v>
      </c>
      <c r="D438" s="1" t="s">
        <v>36</v>
      </c>
      <c r="E438" s="1">
        <v>358</v>
      </c>
      <c r="F438" s="1" t="s">
        <v>1470</v>
      </c>
      <c r="G438" s="1" t="s">
        <v>1471</v>
      </c>
      <c r="H438" s="1" t="s">
        <v>1472</v>
      </c>
      <c r="I438" s="1" t="s">
        <v>29</v>
      </c>
      <c r="J438" s="1" t="s">
        <v>1473</v>
      </c>
      <c r="K438" s="1" t="b">
        <v>1</v>
      </c>
      <c r="L438" s="1" t="s">
        <v>31</v>
      </c>
      <c r="M438" s="1">
        <v>2021</v>
      </c>
      <c r="N438" s="1" t="s">
        <v>16</v>
      </c>
      <c r="O438" s="1" t="s">
        <v>9935</v>
      </c>
      <c r="P438" s="1" t="s">
        <v>16</v>
      </c>
      <c r="Q438" s="1">
        <v>100</v>
      </c>
      <c r="R438" s="1">
        <v>300000</v>
      </c>
      <c r="S438" s="1">
        <v>300000</v>
      </c>
    </row>
    <row r="439" spans="1:19" ht="12.5" x14ac:dyDescent="0.25">
      <c r="A439" s="1">
        <v>364</v>
      </c>
      <c r="B439" s="1" t="s">
        <v>1474</v>
      </c>
      <c r="C439" s="1" t="s">
        <v>35</v>
      </c>
      <c r="D439" s="1" t="s">
        <v>36</v>
      </c>
      <c r="E439" s="1">
        <v>359</v>
      </c>
      <c r="F439" s="1" t="s">
        <v>1475</v>
      </c>
      <c r="G439" s="1" t="s">
        <v>1476</v>
      </c>
      <c r="H439" s="1" t="s">
        <v>1477</v>
      </c>
      <c r="I439" s="1" t="s">
        <v>29</v>
      </c>
      <c r="J439" s="1" t="s">
        <v>16</v>
      </c>
      <c r="K439" s="1" t="b">
        <v>0</v>
      </c>
      <c r="L439" s="1" t="s">
        <v>22</v>
      </c>
      <c r="M439" s="1" t="s">
        <v>16</v>
      </c>
      <c r="N439" s="1" t="s">
        <v>16</v>
      </c>
      <c r="O439" s="1" t="s">
        <v>16</v>
      </c>
      <c r="P439" s="1" t="s">
        <v>16</v>
      </c>
      <c r="Q439" s="1">
        <v>100</v>
      </c>
    </row>
    <row r="440" spans="1:19" ht="12.5" x14ac:dyDescent="0.25">
      <c r="A440" s="1">
        <v>365</v>
      </c>
      <c r="B440" s="1" t="s">
        <v>1478</v>
      </c>
      <c r="C440" s="1" t="s">
        <v>35</v>
      </c>
      <c r="D440" s="1" t="s">
        <v>36</v>
      </c>
      <c r="E440" s="1">
        <v>360</v>
      </c>
      <c r="F440" s="1" t="s">
        <v>1479</v>
      </c>
      <c r="G440" s="1" t="s">
        <v>1480</v>
      </c>
      <c r="H440" s="1" t="s">
        <v>1481</v>
      </c>
      <c r="I440" s="1" t="s">
        <v>29</v>
      </c>
      <c r="J440" s="1" t="s">
        <v>1482</v>
      </c>
      <c r="K440" s="1" t="b">
        <v>0</v>
      </c>
      <c r="L440" s="1" t="s">
        <v>22</v>
      </c>
      <c r="M440" s="1" t="s">
        <v>16</v>
      </c>
      <c r="N440" s="1" t="s">
        <v>16</v>
      </c>
      <c r="O440" s="1" t="s">
        <v>9935</v>
      </c>
      <c r="P440" s="1" t="s">
        <v>16</v>
      </c>
      <c r="Q440" s="1">
        <v>100</v>
      </c>
      <c r="R440" s="1">
        <v>100000</v>
      </c>
      <c r="S440" s="1">
        <v>100000</v>
      </c>
    </row>
    <row r="441" spans="1:19" ht="12.5" x14ac:dyDescent="0.25">
      <c r="A441" s="1">
        <v>366</v>
      </c>
      <c r="B441" s="1" t="s">
        <v>1483</v>
      </c>
      <c r="C441" s="1" t="s">
        <v>35</v>
      </c>
      <c r="D441" s="1" t="s">
        <v>36</v>
      </c>
      <c r="E441" s="1">
        <v>361</v>
      </c>
      <c r="F441" s="1" t="s">
        <v>1484</v>
      </c>
      <c r="G441" s="1" t="s">
        <v>1485</v>
      </c>
      <c r="H441" s="1" t="s">
        <v>1486</v>
      </c>
      <c r="I441" s="1" t="s">
        <v>29</v>
      </c>
      <c r="J441" s="1" t="s">
        <v>16</v>
      </c>
      <c r="K441" s="1" t="b">
        <v>0</v>
      </c>
      <c r="L441" s="1" t="s">
        <v>22</v>
      </c>
      <c r="M441" s="1">
        <v>2023</v>
      </c>
      <c r="N441" s="1" t="s">
        <v>16</v>
      </c>
      <c r="O441" s="1" t="s">
        <v>9935</v>
      </c>
      <c r="P441" s="1" t="s">
        <v>16</v>
      </c>
      <c r="Q441" s="1">
        <v>100</v>
      </c>
      <c r="R441" s="1">
        <v>600000</v>
      </c>
      <c r="S441" s="1">
        <v>600000</v>
      </c>
    </row>
    <row r="442" spans="1:19" ht="12.5" x14ac:dyDescent="0.25">
      <c r="A442" s="1">
        <v>366</v>
      </c>
      <c r="B442" s="1" t="s">
        <v>1483</v>
      </c>
      <c r="C442" s="1" t="s">
        <v>35</v>
      </c>
      <c r="D442" s="1" t="s">
        <v>36</v>
      </c>
      <c r="E442" s="1">
        <v>362</v>
      </c>
      <c r="F442" s="1" t="s">
        <v>1487</v>
      </c>
      <c r="G442" s="1" t="s">
        <v>1488</v>
      </c>
      <c r="H442" s="1" t="s">
        <v>1489</v>
      </c>
      <c r="I442" s="1" t="s">
        <v>20</v>
      </c>
      <c r="J442" s="1" t="s">
        <v>16</v>
      </c>
      <c r="K442" s="1" t="b">
        <v>0</v>
      </c>
      <c r="L442" s="1" t="s">
        <v>22</v>
      </c>
      <c r="M442" s="1" t="s">
        <v>16</v>
      </c>
      <c r="N442" s="1" t="s">
        <v>16</v>
      </c>
      <c r="O442" s="1" t="s">
        <v>16</v>
      </c>
      <c r="P442" s="1" t="s">
        <v>16</v>
      </c>
      <c r="Q442" s="1">
        <v>100</v>
      </c>
    </row>
    <row r="443" spans="1:19" ht="12.5" x14ac:dyDescent="0.25">
      <c r="A443" s="1">
        <v>367</v>
      </c>
      <c r="B443" s="1" t="s">
        <v>1490</v>
      </c>
      <c r="C443" s="1" t="s">
        <v>35</v>
      </c>
      <c r="D443" s="1" t="s">
        <v>36</v>
      </c>
      <c r="E443" s="1">
        <v>363</v>
      </c>
      <c r="F443" s="1" t="s">
        <v>1491</v>
      </c>
      <c r="G443" s="1" t="s">
        <v>1492</v>
      </c>
      <c r="H443" s="1" t="s">
        <v>1493</v>
      </c>
      <c r="I443" s="1" t="s">
        <v>20</v>
      </c>
      <c r="J443" s="1" t="s">
        <v>1494</v>
      </c>
      <c r="K443" s="1" t="b">
        <v>0</v>
      </c>
      <c r="L443" s="1" t="s">
        <v>22</v>
      </c>
      <c r="M443" s="1" t="s">
        <v>16</v>
      </c>
      <c r="N443" s="1" t="s">
        <v>16</v>
      </c>
      <c r="O443" s="1" t="s">
        <v>16</v>
      </c>
      <c r="P443" s="1" t="s">
        <v>16</v>
      </c>
      <c r="Q443" s="1">
        <v>100</v>
      </c>
    </row>
    <row r="444" spans="1:19" ht="12.5" x14ac:dyDescent="0.25">
      <c r="A444" s="1">
        <v>368</v>
      </c>
      <c r="B444" s="1" t="s">
        <v>1495</v>
      </c>
      <c r="C444" s="1" t="s">
        <v>35</v>
      </c>
      <c r="D444" s="1" t="s">
        <v>36</v>
      </c>
      <c r="E444" s="1">
        <v>364</v>
      </c>
      <c r="F444" s="1" t="s">
        <v>1496</v>
      </c>
      <c r="G444" s="1" t="s">
        <v>1497</v>
      </c>
      <c r="H444" s="1" t="s">
        <v>1498</v>
      </c>
      <c r="I444" s="1" t="s">
        <v>29</v>
      </c>
      <c r="J444" s="1" t="s">
        <v>1499</v>
      </c>
      <c r="K444" s="1" t="b">
        <v>0</v>
      </c>
      <c r="L444" s="1" t="s">
        <v>22</v>
      </c>
      <c r="M444" s="1">
        <v>2021</v>
      </c>
      <c r="N444" s="1" t="s">
        <v>52</v>
      </c>
      <c r="O444" s="1" t="s">
        <v>9935</v>
      </c>
      <c r="P444" s="1" t="s">
        <v>16</v>
      </c>
      <c r="Q444" s="1">
        <v>100</v>
      </c>
      <c r="R444" s="1">
        <v>220000</v>
      </c>
      <c r="S444" s="1">
        <v>220000</v>
      </c>
    </row>
    <row r="445" spans="1:19" ht="12.5" x14ac:dyDescent="0.25">
      <c r="A445" s="1">
        <v>368</v>
      </c>
      <c r="B445" s="1" t="s">
        <v>1495</v>
      </c>
      <c r="C445" s="1" t="s">
        <v>35</v>
      </c>
      <c r="D445" s="1" t="s">
        <v>36</v>
      </c>
      <c r="E445" s="1">
        <v>364</v>
      </c>
      <c r="F445" s="1" t="s">
        <v>1496</v>
      </c>
      <c r="G445" s="1" t="s">
        <v>1497</v>
      </c>
      <c r="H445" s="1" t="s">
        <v>1498</v>
      </c>
      <c r="I445" s="1" t="s">
        <v>29</v>
      </c>
      <c r="J445" s="1" t="s">
        <v>1499</v>
      </c>
      <c r="K445" s="1" t="b">
        <v>0</v>
      </c>
      <c r="L445" s="1" t="s">
        <v>22</v>
      </c>
      <c r="M445" s="1">
        <v>2021</v>
      </c>
      <c r="N445" s="1" t="s">
        <v>52</v>
      </c>
      <c r="O445" s="1" t="s">
        <v>9942</v>
      </c>
      <c r="P445" s="1" t="s">
        <v>16</v>
      </c>
      <c r="Q445" s="1">
        <v>100</v>
      </c>
      <c r="R445" s="1">
        <v>230200</v>
      </c>
      <c r="S445" s="1">
        <v>230200</v>
      </c>
    </row>
    <row r="446" spans="1:19" ht="12.5" x14ac:dyDescent="0.25">
      <c r="A446" s="1" t="s">
        <v>16</v>
      </c>
      <c r="B446" s="1" t="s">
        <v>16</v>
      </c>
      <c r="C446" s="1" t="s">
        <v>16</v>
      </c>
      <c r="D446" s="1" t="s">
        <v>16</v>
      </c>
      <c r="E446" s="1">
        <v>365</v>
      </c>
      <c r="F446" s="1" t="s">
        <v>1500</v>
      </c>
      <c r="G446" s="1" t="s">
        <v>1501</v>
      </c>
      <c r="H446" s="1" t="s">
        <v>1502</v>
      </c>
      <c r="I446" s="1" t="s">
        <v>29</v>
      </c>
      <c r="J446" s="1" t="s">
        <v>16</v>
      </c>
      <c r="K446" s="1" t="b">
        <v>0</v>
      </c>
      <c r="L446" s="1" t="s">
        <v>22</v>
      </c>
      <c r="M446" s="1" t="s">
        <v>16</v>
      </c>
      <c r="N446" s="1" t="s">
        <v>16</v>
      </c>
      <c r="O446" s="1" t="s">
        <v>16</v>
      </c>
      <c r="P446" s="1" t="s">
        <v>16</v>
      </c>
    </row>
    <row r="447" spans="1:19" ht="12.5" x14ac:dyDescent="0.25">
      <c r="A447" s="1">
        <v>369</v>
      </c>
      <c r="B447" s="1" t="s">
        <v>1503</v>
      </c>
      <c r="C447" s="1" t="s">
        <v>35</v>
      </c>
      <c r="D447" s="1" t="s">
        <v>36</v>
      </c>
      <c r="E447" s="1">
        <v>366</v>
      </c>
      <c r="F447" s="1" t="s">
        <v>1504</v>
      </c>
      <c r="G447" s="1" t="s">
        <v>1505</v>
      </c>
      <c r="H447" s="1" t="s">
        <v>1506</v>
      </c>
      <c r="I447" s="1" t="s">
        <v>20</v>
      </c>
      <c r="J447" s="1" t="s">
        <v>16</v>
      </c>
      <c r="K447" s="1" t="b">
        <v>0</v>
      </c>
      <c r="L447" s="1" t="s">
        <v>22</v>
      </c>
      <c r="M447" s="1" t="s">
        <v>16</v>
      </c>
      <c r="N447" s="1" t="s">
        <v>16</v>
      </c>
      <c r="O447" s="1" t="s">
        <v>16</v>
      </c>
      <c r="P447" s="1" t="s">
        <v>16</v>
      </c>
      <c r="Q447" s="1">
        <v>100</v>
      </c>
    </row>
    <row r="448" spans="1:19" ht="12.5" x14ac:dyDescent="0.25">
      <c r="A448" s="1">
        <v>370</v>
      </c>
      <c r="B448" s="1" t="s">
        <v>1507</v>
      </c>
      <c r="C448" s="1" t="s">
        <v>35</v>
      </c>
      <c r="D448" s="1" t="s">
        <v>36</v>
      </c>
      <c r="E448" s="1">
        <v>367</v>
      </c>
      <c r="F448" s="1" t="s">
        <v>1508</v>
      </c>
      <c r="G448" s="1" t="s">
        <v>1509</v>
      </c>
      <c r="H448" s="1" t="s">
        <v>1510</v>
      </c>
      <c r="I448" s="1" t="s">
        <v>29</v>
      </c>
      <c r="J448" s="1" t="s">
        <v>16</v>
      </c>
      <c r="K448" s="1" t="b">
        <v>0</v>
      </c>
      <c r="L448" s="1" t="s">
        <v>22</v>
      </c>
      <c r="M448" s="1" t="s">
        <v>16</v>
      </c>
      <c r="N448" s="1" t="s">
        <v>16</v>
      </c>
      <c r="O448" s="1" t="s">
        <v>16</v>
      </c>
      <c r="P448" s="1" t="s">
        <v>16</v>
      </c>
      <c r="Q448" s="1">
        <v>100</v>
      </c>
    </row>
    <row r="449" spans="1:19" ht="12.5" x14ac:dyDescent="0.25">
      <c r="A449" s="1">
        <v>371</v>
      </c>
      <c r="B449" s="1" t="s">
        <v>1511</v>
      </c>
      <c r="C449" s="1" t="s">
        <v>35</v>
      </c>
      <c r="D449" s="1" t="s">
        <v>36</v>
      </c>
      <c r="E449" s="1">
        <v>368</v>
      </c>
      <c r="F449" s="1" t="s">
        <v>1512</v>
      </c>
      <c r="G449" s="1" t="s">
        <v>1513</v>
      </c>
      <c r="H449" s="1" t="s">
        <v>1514</v>
      </c>
      <c r="I449" s="1" t="s">
        <v>20</v>
      </c>
      <c r="J449" s="1" t="s">
        <v>16</v>
      </c>
      <c r="K449" s="1" t="b">
        <v>0</v>
      </c>
      <c r="L449" s="1" t="s">
        <v>22</v>
      </c>
      <c r="M449" s="1" t="s">
        <v>16</v>
      </c>
      <c r="N449" s="1" t="s">
        <v>16</v>
      </c>
      <c r="O449" s="1" t="s">
        <v>16</v>
      </c>
      <c r="P449" s="1" t="s">
        <v>16</v>
      </c>
      <c r="Q449" s="1">
        <v>100</v>
      </c>
    </row>
    <row r="450" spans="1:19" ht="12.5" x14ac:dyDescent="0.25">
      <c r="A450" s="1">
        <v>372</v>
      </c>
      <c r="B450" s="1" t="s">
        <v>1515</v>
      </c>
      <c r="C450" s="1" t="s">
        <v>35</v>
      </c>
      <c r="D450" s="1" t="s">
        <v>36</v>
      </c>
      <c r="E450" s="1">
        <v>369</v>
      </c>
      <c r="F450" s="1" t="s">
        <v>1516</v>
      </c>
      <c r="G450" s="1" t="s">
        <v>1517</v>
      </c>
      <c r="H450" s="1" t="s">
        <v>1209</v>
      </c>
      <c r="I450" s="1" t="s">
        <v>29</v>
      </c>
      <c r="J450" s="1" t="s">
        <v>16</v>
      </c>
      <c r="K450" s="1" t="b">
        <v>0</v>
      </c>
      <c r="L450" s="1" t="s">
        <v>22</v>
      </c>
      <c r="M450" s="1">
        <v>2023</v>
      </c>
      <c r="N450" s="1" t="s">
        <v>52</v>
      </c>
      <c r="O450" s="1" t="s">
        <v>9935</v>
      </c>
      <c r="P450" s="1" t="s">
        <v>16</v>
      </c>
      <c r="Q450" s="1">
        <v>100</v>
      </c>
      <c r="R450" s="1">
        <v>350000</v>
      </c>
      <c r="S450" s="1">
        <v>350000</v>
      </c>
    </row>
    <row r="451" spans="1:19" ht="12.5" x14ac:dyDescent="0.25">
      <c r="A451" s="1">
        <v>372</v>
      </c>
      <c r="B451" s="1" t="s">
        <v>1515</v>
      </c>
      <c r="C451" s="1" t="s">
        <v>35</v>
      </c>
      <c r="D451" s="1" t="s">
        <v>36</v>
      </c>
      <c r="E451" s="1">
        <v>369</v>
      </c>
      <c r="F451" s="1" t="s">
        <v>1516</v>
      </c>
      <c r="G451" s="1" t="s">
        <v>1517</v>
      </c>
      <c r="H451" s="1" t="s">
        <v>1209</v>
      </c>
      <c r="I451" s="1" t="s">
        <v>29</v>
      </c>
      <c r="J451" s="1" t="s">
        <v>16</v>
      </c>
      <c r="K451" s="1" t="b">
        <v>0</v>
      </c>
      <c r="L451" s="1" t="s">
        <v>22</v>
      </c>
      <c r="M451" s="1">
        <v>2023</v>
      </c>
      <c r="N451" s="1" t="s">
        <v>52</v>
      </c>
      <c r="O451" s="1" t="s">
        <v>9952</v>
      </c>
      <c r="P451" s="1" t="s">
        <v>16</v>
      </c>
      <c r="Q451" s="1">
        <v>100</v>
      </c>
      <c r="R451" s="1">
        <v>60000</v>
      </c>
      <c r="S451" s="1">
        <v>60000</v>
      </c>
    </row>
    <row r="452" spans="1:19" ht="12.5" x14ac:dyDescent="0.25">
      <c r="A452" s="1">
        <v>373</v>
      </c>
      <c r="B452" s="1" t="s">
        <v>1518</v>
      </c>
      <c r="C452" s="1" t="s">
        <v>35</v>
      </c>
      <c r="D452" s="1" t="s">
        <v>36</v>
      </c>
      <c r="E452" s="1">
        <v>370</v>
      </c>
      <c r="F452" s="1" t="s">
        <v>1519</v>
      </c>
      <c r="G452" s="1" t="s">
        <v>1520</v>
      </c>
      <c r="H452" s="1" t="s">
        <v>1209</v>
      </c>
      <c r="I452" s="1" t="s">
        <v>29</v>
      </c>
      <c r="J452" s="1" t="s">
        <v>16</v>
      </c>
      <c r="K452" s="1" t="b">
        <v>0</v>
      </c>
      <c r="L452" s="1" t="s">
        <v>22</v>
      </c>
      <c r="M452" s="1" t="s">
        <v>16</v>
      </c>
      <c r="N452" s="1" t="s">
        <v>16</v>
      </c>
      <c r="O452" s="1" t="s">
        <v>9952</v>
      </c>
      <c r="P452" s="1" t="s">
        <v>16</v>
      </c>
      <c r="Q452" s="1">
        <v>100</v>
      </c>
      <c r="R452" s="1">
        <v>60000</v>
      </c>
      <c r="S452" s="1">
        <v>60000</v>
      </c>
    </row>
    <row r="453" spans="1:19" ht="12.5" x14ac:dyDescent="0.25">
      <c r="A453" s="1">
        <v>373</v>
      </c>
      <c r="B453" s="1" t="s">
        <v>1518</v>
      </c>
      <c r="C453" s="1" t="s">
        <v>35</v>
      </c>
      <c r="D453" s="1" t="s">
        <v>36</v>
      </c>
      <c r="E453" s="1">
        <v>370</v>
      </c>
      <c r="F453" s="1" t="s">
        <v>1519</v>
      </c>
      <c r="G453" s="1" t="s">
        <v>1520</v>
      </c>
      <c r="H453" s="1" t="s">
        <v>1209</v>
      </c>
      <c r="I453" s="1" t="s">
        <v>29</v>
      </c>
      <c r="J453" s="1" t="s">
        <v>16</v>
      </c>
      <c r="K453" s="1" t="b">
        <v>0</v>
      </c>
      <c r="L453" s="1" t="s">
        <v>22</v>
      </c>
      <c r="M453" s="1" t="s">
        <v>16</v>
      </c>
      <c r="N453" s="1" t="s">
        <v>16</v>
      </c>
      <c r="O453" s="1" t="s">
        <v>9940</v>
      </c>
      <c r="P453" s="1" t="s">
        <v>16</v>
      </c>
      <c r="Q453" s="1">
        <v>100</v>
      </c>
      <c r="R453" s="1">
        <v>50000</v>
      </c>
      <c r="S453" s="1">
        <v>50000</v>
      </c>
    </row>
    <row r="454" spans="1:19" ht="12.5" x14ac:dyDescent="0.25">
      <c r="A454" s="1">
        <v>373</v>
      </c>
      <c r="B454" s="1" t="s">
        <v>1518</v>
      </c>
      <c r="C454" s="1" t="s">
        <v>35</v>
      </c>
      <c r="D454" s="1" t="s">
        <v>36</v>
      </c>
      <c r="E454" s="1">
        <v>370</v>
      </c>
      <c r="F454" s="1" t="s">
        <v>1519</v>
      </c>
      <c r="G454" s="1" t="s">
        <v>1520</v>
      </c>
      <c r="H454" s="1" t="s">
        <v>1209</v>
      </c>
      <c r="I454" s="1" t="s">
        <v>29</v>
      </c>
      <c r="J454" s="1" t="s">
        <v>16</v>
      </c>
      <c r="K454" s="1" t="b">
        <v>0</v>
      </c>
      <c r="L454" s="1" t="s">
        <v>22</v>
      </c>
      <c r="M454" s="1">
        <v>2022</v>
      </c>
      <c r="N454" s="1" t="s">
        <v>16</v>
      </c>
      <c r="O454" s="1" t="s">
        <v>9942</v>
      </c>
      <c r="P454" s="1" t="s">
        <v>16</v>
      </c>
      <c r="Q454" s="1">
        <v>100</v>
      </c>
      <c r="R454" s="1">
        <v>200000</v>
      </c>
      <c r="S454" s="1">
        <v>200000</v>
      </c>
    </row>
    <row r="455" spans="1:19" ht="12.5" x14ac:dyDescent="0.25">
      <c r="A455" s="1">
        <v>373</v>
      </c>
      <c r="B455" s="1" t="s">
        <v>1518</v>
      </c>
      <c r="C455" s="1" t="s">
        <v>35</v>
      </c>
      <c r="D455" s="1" t="s">
        <v>36</v>
      </c>
      <c r="E455" s="1">
        <v>370</v>
      </c>
      <c r="F455" s="1" t="s">
        <v>1519</v>
      </c>
      <c r="G455" s="1" t="s">
        <v>1520</v>
      </c>
      <c r="H455" s="1" t="s">
        <v>1209</v>
      </c>
      <c r="I455" s="1" t="s">
        <v>29</v>
      </c>
      <c r="J455" s="1" t="s">
        <v>16</v>
      </c>
      <c r="K455" s="1" t="b">
        <v>0</v>
      </c>
      <c r="L455" s="1" t="s">
        <v>22</v>
      </c>
      <c r="M455" s="1">
        <v>2022</v>
      </c>
      <c r="N455" s="1" t="s">
        <v>16</v>
      </c>
      <c r="O455" s="1" t="s">
        <v>9935</v>
      </c>
      <c r="P455" s="1" t="s">
        <v>16</v>
      </c>
      <c r="Q455" s="1">
        <v>100</v>
      </c>
      <c r="R455" s="1">
        <v>150000</v>
      </c>
      <c r="S455" s="1">
        <v>150000</v>
      </c>
    </row>
    <row r="456" spans="1:19" ht="12.5" x14ac:dyDescent="0.25">
      <c r="A456" s="1">
        <v>374</v>
      </c>
      <c r="B456" s="1" t="s">
        <v>1521</v>
      </c>
      <c r="C456" s="1" t="s">
        <v>35</v>
      </c>
      <c r="D456" s="1" t="s">
        <v>36</v>
      </c>
      <c r="E456" s="1">
        <v>371</v>
      </c>
      <c r="F456" s="1" t="s">
        <v>1522</v>
      </c>
      <c r="G456" s="1" t="s">
        <v>1523</v>
      </c>
      <c r="H456" s="1" t="s">
        <v>1209</v>
      </c>
      <c r="I456" s="1" t="s">
        <v>29</v>
      </c>
      <c r="J456" s="1" t="s">
        <v>16</v>
      </c>
      <c r="K456" s="1" t="b">
        <v>0</v>
      </c>
      <c r="L456" s="1" t="s">
        <v>22</v>
      </c>
      <c r="M456" s="1" t="s">
        <v>16</v>
      </c>
      <c r="N456" s="1" t="s">
        <v>16</v>
      </c>
      <c r="O456" s="1" t="s">
        <v>9940</v>
      </c>
      <c r="P456" s="1" t="s">
        <v>16</v>
      </c>
      <c r="Q456" s="1">
        <v>100</v>
      </c>
      <c r="R456" s="1">
        <v>100000</v>
      </c>
      <c r="S456" s="1">
        <v>100000</v>
      </c>
    </row>
    <row r="457" spans="1:19" ht="12.5" x14ac:dyDescent="0.25">
      <c r="A457" s="1">
        <v>374</v>
      </c>
      <c r="B457" s="1" t="s">
        <v>1521</v>
      </c>
      <c r="C457" s="1" t="s">
        <v>35</v>
      </c>
      <c r="D457" s="1" t="s">
        <v>36</v>
      </c>
      <c r="E457" s="1">
        <v>371</v>
      </c>
      <c r="F457" s="1" t="s">
        <v>1522</v>
      </c>
      <c r="G457" s="1" t="s">
        <v>1523</v>
      </c>
      <c r="H457" s="1" t="s">
        <v>1209</v>
      </c>
      <c r="I457" s="1" t="s">
        <v>29</v>
      </c>
      <c r="J457" s="1" t="s">
        <v>16</v>
      </c>
      <c r="K457" s="1" t="b">
        <v>0</v>
      </c>
      <c r="L457" s="1" t="s">
        <v>22</v>
      </c>
      <c r="M457" s="1">
        <v>2022</v>
      </c>
      <c r="N457" s="1" t="s">
        <v>16</v>
      </c>
      <c r="O457" s="1" t="s">
        <v>9935</v>
      </c>
      <c r="P457" s="1" t="s">
        <v>16</v>
      </c>
      <c r="Q457" s="1">
        <v>100</v>
      </c>
      <c r="R457" s="1">
        <v>2150000</v>
      </c>
      <c r="S457" s="1">
        <v>2150000</v>
      </c>
    </row>
    <row r="458" spans="1:19" ht="12.5" x14ac:dyDescent="0.25">
      <c r="A458" s="1">
        <v>374</v>
      </c>
      <c r="B458" s="1" t="s">
        <v>1521</v>
      </c>
      <c r="C458" s="1" t="s">
        <v>35</v>
      </c>
      <c r="D458" s="1" t="s">
        <v>36</v>
      </c>
      <c r="E458" s="1">
        <v>371</v>
      </c>
      <c r="F458" s="1" t="s">
        <v>1522</v>
      </c>
      <c r="G458" s="1" t="s">
        <v>1523</v>
      </c>
      <c r="H458" s="1" t="s">
        <v>1209</v>
      </c>
      <c r="I458" s="1" t="s">
        <v>29</v>
      </c>
      <c r="J458" s="1" t="s">
        <v>16</v>
      </c>
      <c r="K458" s="1" t="b">
        <v>0</v>
      </c>
      <c r="L458" s="1" t="s">
        <v>22</v>
      </c>
      <c r="M458" s="1">
        <v>2022</v>
      </c>
      <c r="N458" s="1" t="s">
        <v>16</v>
      </c>
      <c r="O458" s="1" t="s">
        <v>9942</v>
      </c>
      <c r="P458" s="1" t="s">
        <v>16</v>
      </c>
      <c r="Q458" s="1">
        <v>100</v>
      </c>
      <c r="R458" s="1">
        <v>250000</v>
      </c>
      <c r="S458" s="1">
        <v>250000</v>
      </c>
    </row>
    <row r="459" spans="1:19" ht="12.5" x14ac:dyDescent="0.25">
      <c r="A459" s="1">
        <v>374</v>
      </c>
      <c r="B459" s="1" t="s">
        <v>1521</v>
      </c>
      <c r="C459" s="1" t="s">
        <v>35</v>
      </c>
      <c r="D459" s="1" t="s">
        <v>36</v>
      </c>
      <c r="E459" s="1">
        <v>371</v>
      </c>
      <c r="F459" s="1" t="s">
        <v>1522</v>
      </c>
      <c r="G459" s="1" t="s">
        <v>1523</v>
      </c>
      <c r="H459" s="1" t="s">
        <v>1209</v>
      </c>
      <c r="I459" s="1" t="s">
        <v>29</v>
      </c>
      <c r="J459" s="1" t="s">
        <v>16</v>
      </c>
      <c r="K459" s="1" t="b">
        <v>0</v>
      </c>
      <c r="L459" s="1" t="s">
        <v>22</v>
      </c>
      <c r="M459" s="1" t="s">
        <v>16</v>
      </c>
      <c r="N459" s="1" t="s">
        <v>16</v>
      </c>
      <c r="O459" s="1" t="s">
        <v>9952</v>
      </c>
      <c r="P459" s="1" t="s">
        <v>16</v>
      </c>
      <c r="Q459" s="1">
        <v>100</v>
      </c>
      <c r="R459" s="1">
        <v>375000</v>
      </c>
      <c r="S459" s="1">
        <v>375000</v>
      </c>
    </row>
    <row r="460" spans="1:19" ht="12.5" x14ac:dyDescent="0.25">
      <c r="A460" s="1">
        <v>375</v>
      </c>
      <c r="B460" s="1" t="s">
        <v>1524</v>
      </c>
      <c r="C460" s="1" t="s">
        <v>35</v>
      </c>
      <c r="D460" s="1" t="s">
        <v>36</v>
      </c>
      <c r="E460" s="1">
        <v>372</v>
      </c>
      <c r="F460" s="1" t="s">
        <v>1525</v>
      </c>
      <c r="G460" s="1" t="s">
        <v>1526</v>
      </c>
      <c r="H460" s="1" t="s">
        <v>1527</v>
      </c>
      <c r="I460" s="1" t="s">
        <v>29</v>
      </c>
      <c r="J460" s="1" t="s">
        <v>16</v>
      </c>
      <c r="K460" s="1" t="b">
        <v>0</v>
      </c>
      <c r="L460" s="1" t="s">
        <v>22</v>
      </c>
      <c r="M460" s="1" t="s">
        <v>16</v>
      </c>
      <c r="N460" s="1" t="s">
        <v>16</v>
      </c>
      <c r="O460" s="1" t="s">
        <v>16</v>
      </c>
      <c r="P460" s="1" t="s">
        <v>16</v>
      </c>
      <c r="Q460" s="1">
        <v>100</v>
      </c>
    </row>
    <row r="461" spans="1:19" ht="12.5" x14ac:dyDescent="0.25">
      <c r="A461" s="1">
        <v>376</v>
      </c>
      <c r="B461" s="1" t="s">
        <v>1528</v>
      </c>
      <c r="C461" s="1" t="s">
        <v>35</v>
      </c>
      <c r="D461" s="1" t="s">
        <v>36</v>
      </c>
      <c r="E461" s="1">
        <v>373</v>
      </c>
      <c r="F461" s="1" t="s">
        <v>1529</v>
      </c>
      <c r="G461" s="1" t="s">
        <v>1530</v>
      </c>
      <c r="H461" s="1"/>
      <c r="I461" s="1" t="s">
        <v>29</v>
      </c>
      <c r="J461" s="1" t="s">
        <v>1531</v>
      </c>
      <c r="K461" s="1" t="b">
        <v>1</v>
      </c>
      <c r="L461" s="1" t="s">
        <v>31</v>
      </c>
      <c r="M461" s="1">
        <v>2022</v>
      </c>
      <c r="N461" s="1" t="s">
        <v>16</v>
      </c>
      <c r="O461" s="1" t="s">
        <v>9935</v>
      </c>
      <c r="P461" s="1" t="s">
        <v>16</v>
      </c>
      <c r="Q461" s="1">
        <v>100</v>
      </c>
      <c r="R461" s="1">
        <v>30000</v>
      </c>
      <c r="S461" s="1">
        <v>30000</v>
      </c>
    </row>
    <row r="462" spans="1:19" ht="12.5" x14ac:dyDescent="0.25">
      <c r="A462" s="1">
        <v>377</v>
      </c>
      <c r="B462" s="1" t="s">
        <v>1532</v>
      </c>
      <c r="C462" s="1" t="s">
        <v>35</v>
      </c>
      <c r="D462" s="1" t="s">
        <v>36</v>
      </c>
      <c r="E462" s="1">
        <v>374</v>
      </c>
      <c r="F462" s="1" t="s">
        <v>1533</v>
      </c>
      <c r="G462" s="1" t="s">
        <v>1534</v>
      </c>
      <c r="H462" s="1" t="s">
        <v>1396</v>
      </c>
      <c r="I462" s="1" t="s">
        <v>29</v>
      </c>
      <c r="J462" s="1" t="s">
        <v>1535</v>
      </c>
      <c r="K462" s="1" t="b">
        <v>1</v>
      </c>
      <c r="L462" s="1" t="s">
        <v>31</v>
      </c>
      <c r="M462" s="1">
        <v>2021</v>
      </c>
      <c r="N462" s="1" t="s">
        <v>52</v>
      </c>
      <c r="O462" s="1" t="s">
        <v>9942</v>
      </c>
      <c r="P462" s="1" t="s">
        <v>9958</v>
      </c>
      <c r="Q462" s="1">
        <v>100</v>
      </c>
      <c r="R462" s="1">
        <v>150000</v>
      </c>
      <c r="S462" s="1">
        <v>150000</v>
      </c>
    </row>
    <row r="463" spans="1:19" ht="12.5" x14ac:dyDescent="0.25">
      <c r="A463" s="1">
        <v>378</v>
      </c>
      <c r="B463" s="1" t="s">
        <v>1536</v>
      </c>
      <c r="C463" s="1" t="s">
        <v>35</v>
      </c>
      <c r="D463" s="1" t="s">
        <v>36</v>
      </c>
      <c r="E463" s="1">
        <v>375</v>
      </c>
      <c r="F463" s="1" t="s">
        <v>1537</v>
      </c>
      <c r="G463" s="1" t="s">
        <v>1538</v>
      </c>
      <c r="H463" s="1" t="s">
        <v>1539</v>
      </c>
      <c r="I463" s="1" t="s">
        <v>29</v>
      </c>
      <c r="J463" s="1" t="s">
        <v>16</v>
      </c>
      <c r="K463" s="1" t="b">
        <v>0</v>
      </c>
      <c r="L463" s="1" t="s">
        <v>22</v>
      </c>
      <c r="M463" s="1" t="s">
        <v>16</v>
      </c>
      <c r="N463" s="1" t="s">
        <v>16</v>
      </c>
      <c r="O463" s="1" t="s">
        <v>16</v>
      </c>
      <c r="P463" s="1" t="s">
        <v>16</v>
      </c>
      <c r="Q463" s="1">
        <v>100</v>
      </c>
    </row>
    <row r="464" spans="1:19" ht="12.5" x14ac:dyDescent="0.25">
      <c r="A464" s="1">
        <v>379</v>
      </c>
      <c r="B464" s="1" t="s">
        <v>727</v>
      </c>
      <c r="C464" s="1" t="s">
        <v>35</v>
      </c>
      <c r="D464" s="1" t="s">
        <v>36</v>
      </c>
      <c r="E464" s="1">
        <v>376</v>
      </c>
      <c r="F464" s="1" t="s">
        <v>1540</v>
      </c>
      <c r="G464" s="1" t="s">
        <v>1541</v>
      </c>
      <c r="H464" s="1" t="s">
        <v>1542</v>
      </c>
      <c r="I464" s="1" t="s">
        <v>29</v>
      </c>
      <c r="J464" s="1" t="s">
        <v>1543</v>
      </c>
      <c r="K464" s="1" t="b">
        <v>0</v>
      </c>
      <c r="L464" s="1" t="s">
        <v>22</v>
      </c>
      <c r="M464" s="1">
        <v>2022</v>
      </c>
      <c r="N464" s="1" t="s">
        <v>23</v>
      </c>
      <c r="O464" s="1" t="s">
        <v>9942</v>
      </c>
      <c r="P464" s="1" t="s">
        <v>16</v>
      </c>
      <c r="Q464" s="1">
        <v>100</v>
      </c>
      <c r="R464" s="1">
        <v>200000</v>
      </c>
      <c r="S464" s="1">
        <v>200000</v>
      </c>
    </row>
    <row r="465" spans="1:19" ht="12.5" x14ac:dyDescent="0.25">
      <c r="A465" s="1">
        <v>379</v>
      </c>
      <c r="B465" s="1" t="s">
        <v>727</v>
      </c>
      <c r="C465" s="1" t="s">
        <v>35</v>
      </c>
      <c r="D465" s="1" t="s">
        <v>36</v>
      </c>
      <c r="E465" s="1">
        <v>376</v>
      </c>
      <c r="F465" s="1" t="s">
        <v>1540</v>
      </c>
      <c r="G465" s="1" t="s">
        <v>1541</v>
      </c>
      <c r="H465" s="1" t="s">
        <v>1542</v>
      </c>
      <c r="I465" s="1" t="s">
        <v>29</v>
      </c>
      <c r="J465" s="1" t="s">
        <v>1543</v>
      </c>
      <c r="K465" s="1" t="b">
        <v>0</v>
      </c>
      <c r="L465" s="1" t="s">
        <v>22</v>
      </c>
      <c r="M465" s="1">
        <v>2022</v>
      </c>
      <c r="N465" s="1" t="s">
        <v>23</v>
      </c>
      <c r="O465" s="1" t="s">
        <v>9935</v>
      </c>
      <c r="P465" s="1" t="s">
        <v>16</v>
      </c>
      <c r="Q465" s="1">
        <v>100</v>
      </c>
      <c r="R465" s="1">
        <v>150000</v>
      </c>
      <c r="S465" s="1">
        <v>150000</v>
      </c>
    </row>
    <row r="466" spans="1:19" ht="12.5" x14ac:dyDescent="0.25">
      <c r="A466" s="1">
        <v>379</v>
      </c>
      <c r="B466" s="1" t="s">
        <v>727</v>
      </c>
      <c r="C466" s="1" t="s">
        <v>35</v>
      </c>
      <c r="D466" s="1" t="s">
        <v>36</v>
      </c>
      <c r="E466" s="1">
        <v>376</v>
      </c>
      <c r="F466" s="1" t="s">
        <v>1540</v>
      </c>
      <c r="G466" s="1" t="s">
        <v>1541</v>
      </c>
      <c r="H466" s="1" t="s">
        <v>1542</v>
      </c>
      <c r="I466" s="1" t="s">
        <v>29</v>
      </c>
      <c r="J466" s="1" t="s">
        <v>1543</v>
      </c>
      <c r="K466" s="1" t="b">
        <v>0</v>
      </c>
      <c r="L466" s="1" t="s">
        <v>22</v>
      </c>
      <c r="M466" s="1">
        <v>2022</v>
      </c>
      <c r="N466" s="1" t="s">
        <v>23</v>
      </c>
      <c r="O466" s="1" t="s">
        <v>9952</v>
      </c>
      <c r="P466" s="1" t="s">
        <v>16</v>
      </c>
      <c r="Q466" s="1">
        <v>100</v>
      </c>
      <c r="R466" s="1">
        <v>52500</v>
      </c>
      <c r="S466" s="1">
        <v>52500</v>
      </c>
    </row>
    <row r="467" spans="1:19" ht="12.5" x14ac:dyDescent="0.25">
      <c r="A467" s="1">
        <v>380</v>
      </c>
      <c r="B467" s="1" t="s">
        <v>1544</v>
      </c>
      <c r="C467" s="1" t="s">
        <v>35</v>
      </c>
      <c r="D467" s="1" t="s">
        <v>36</v>
      </c>
      <c r="E467" s="1">
        <v>377</v>
      </c>
      <c r="F467" s="1" t="s">
        <v>1545</v>
      </c>
      <c r="G467" s="1" t="s">
        <v>1546</v>
      </c>
      <c r="H467" s="1" t="s">
        <v>1209</v>
      </c>
      <c r="I467" s="1" t="s">
        <v>29</v>
      </c>
      <c r="J467" s="1" t="s">
        <v>16</v>
      </c>
      <c r="K467" s="1" t="b">
        <v>0</v>
      </c>
      <c r="L467" s="1" t="s">
        <v>22</v>
      </c>
      <c r="M467" s="1">
        <v>2022</v>
      </c>
      <c r="N467" s="1" t="s">
        <v>23</v>
      </c>
      <c r="O467" s="1" t="s">
        <v>9942</v>
      </c>
      <c r="P467" s="1" t="s">
        <v>9959</v>
      </c>
      <c r="Q467" s="1">
        <v>100</v>
      </c>
      <c r="R467" s="1">
        <v>20000</v>
      </c>
      <c r="S467" s="1">
        <v>20000</v>
      </c>
    </row>
    <row r="468" spans="1:19" ht="12.5" x14ac:dyDescent="0.25">
      <c r="A468" s="1">
        <v>380</v>
      </c>
      <c r="B468" s="1" t="s">
        <v>1544</v>
      </c>
      <c r="C468" s="1" t="s">
        <v>35</v>
      </c>
      <c r="D468" s="1" t="s">
        <v>36</v>
      </c>
      <c r="E468" s="1">
        <v>377</v>
      </c>
      <c r="F468" s="1" t="s">
        <v>1545</v>
      </c>
      <c r="G468" s="1" t="s">
        <v>1546</v>
      </c>
      <c r="H468" s="1" t="s">
        <v>1209</v>
      </c>
      <c r="I468" s="1" t="s">
        <v>29</v>
      </c>
      <c r="J468" s="1" t="s">
        <v>16</v>
      </c>
      <c r="K468" s="1" t="b">
        <v>0</v>
      </c>
      <c r="L468" s="1" t="s">
        <v>22</v>
      </c>
      <c r="M468" s="1">
        <v>2022</v>
      </c>
      <c r="N468" s="1" t="s">
        <v>23</v>
      </c>
      <c r="O468" s="1" t="s">
        <v>9942</v>
      </c>
      <c r="P468" s="1" t="s">
        <v>9960</v>
      </c>
      <c r="Q468" s="1">
        <v>100</v>
      </c>
      <c r="R468" s="1">
        <v>150000</v>
      </c>
      <c r="S468" s="1">
        <v>150000</v>
      </c>
    </row>
    <row r="469" spans="1:19" ht="12.5" x14ac:dyDescent="0.25">
      <c r="A469" s="1">
        <v>380</v>
      </c>
      <c r="B469" s="1" t="s">
        <v>1544</v>
      </c>
      <c r="C469" s="1" t="s">
        <v>35</v>
      </c>
      <c r="D469" s="1" t="s">
        <v>36</v>
      </c>
      <c r="E469" s="1">
        <v>377</v>
      </c>
      <c r="F469" s="1" t="s">
        <v>1545</v>
      </c>
      <c r="G469" s="1" t="s">
        <v>1546</v>
      </c>
      <c r="H469" s="1" t="s">
        <v>1209</v>
      </c>
      <c r="I469" s="1" t="s">
        <v>29</v>
      </c>
      <c r="J469" s="1" t="s">
        <v>16</v>
      </c>
      <c r="K469" s="1" t="b">
        <v>0</v>
      </c>
      <c r="L469" s="1" t="s">
        <v>22</v>
      </c>
      <c r="M469" s="1">
        <v>2022</v>
      </c>
      <c r="N469" s="1" t="s">
        <v>23</v>
      </c>
      <c r="O469" s="1" t="s">
        <v>9935</v>
      </c>
      <c r="P469" s="1" t="s">
        <v>16</v>
      </c>
      <c r="Q469" s="1">
        <v>100</v>
      </c>
      <c r="R469" s="1">
        <v>600000</v>
      </c>
      <c r="S469" s="1">
        <v>600000</v>
      </c>
    </row>
    <row r="470" spans="1:19" ht="12.5" x14ac:dyDescent="0.25">
      <c r="A470" s="1" t="s">
        <v>16</v>
      </c>
      <c r="B470" s="1" t="s">
        <v>16</v>
      </c>
      <c r="C470" s="1" t="s">
        <v>16</v>
      </c>
      <c r="D470" s="1" t="s">
        <v>16</v>
      </c>
      <c r="E470" s="1">
        <v>378</v>
      </c>
      <c r="F470" s="1" t="s">
        <v>1547</v>
      </c>
      <c r="G470" s="1" t="s">
        <v>1548</v>
      </c>
      <c r="H470" s="1" t="s">
        <v>1549</v>
      </c>
      <c r="I470" s="1" t="s">
        <v>20</v>
      </c>
      <c r="J470" s="1" t="s">
        <v>16</v>
      </c>
      <c r="K470" s="1" t="b">
        <v>0</v>
      </c>
      <c r="L470" s="1" t="s">
        <v>22</v>
      </c>
      <c r="M470" s="1" t="s">
        <v>16</v>
      </c>
      <c r="N470" s="1" t="s">
        <v>16</v>
      </c>
      <c r="O470" s="1" t="s">
        <v>16</v>
      </c>
      <c r="P470" s="1" t="s">
        <v>16</v>
      </c>
    </row>
    <row r="471" spans="1:19" ht="12.5" x14ac:dyDescent="0.25">
      <c r="A471" s="1">
        <v>381</v>
      </c>
      <c r="B471" s="1" t="s">
        <v>1550</v>
      </c>
      <c r="C471" s="1" t="s">
        <v>35</v>
      </c>
      <c r="D471" s="1" t="s">
        <v>36</v>
      </c>
      <c r="E471" s="1">
        <v>379</v>
      </c>
      <c r="F471" s="1" t="s">
        <v>1551</v>
      </c>
      <c r="G471" s="1" t="s">
        <v>1552</v>
      </c>
      <c r="H471" s="1" t="s">
        <v>1084</v>
      </c>
      <c r="I471" s="1" t="s">
        <v>29</v>
      </c>
      <c r="J471" s="1" t="s">
        <v>1553</v>
      </c>
      <c r="K471" s="1" t="b">
        <v>0</v>
      </c>
      <c r="L471" s="1" t="s">
        <v>22</v>
      </c>
      <c r="M471" s="1">
        <v>2022</v>
      </c>
      <c r="N471" s="1" t="s">
        <v>16</v>
      </c>
      <c r="O471" s="1" t="s">
        <v>9942</v>
      </c>
      <c r="P471" s="1" t="s">
        <v>16</v>
      </c>
      <c r="Q471" s="1">
        <v>100</v>
      </c>
      <c r="R471" s="1">
        <v>200000</v>
      </c>
      <c r="S471" s="1">
        <v>200000</v>
      </c>
    </row>
    <row r="472" spans="1:19" ht="12.5" x14ac:dyDescent="0.25">
      <c r="A472" s="1">
        <v>382</v>
      </c>
      <c r="B472" s="1" t="s">
        <v>1554</v>
      </c>
      <c r="C472" s="1" t="s">
        <v>35</v>
      </c>
      <c r="D472" s="1" t="s">
        <v>36</v>
      </c>
      <c r="E472" s="1">
        <v>380</v>
      </c>
      <c r="F472" s="1" t="s">
        <v>1555</v>
      </c>
      <c r="G472" s="1" t="s">
        <v>1556</v>
      </c>
      <c r="H472" s="1" t="s">
        <v>1557</v>
      </c>
      <c r="I472" s="1" t="s">
        <v>29</v>
      </c>
      <c r="J472" s="1" t="s">
        <v>16</v>
      </c>
      <c r="K472" s="1" t="b">
        <v>0</v>
      </c>
      <c r="L472" s="1" t="s">
        <v>22</v>
      </c>
      <c r="M472" s="1">
        <v>2022</v>
      </c>
      <c r="N472" s="1" t="s">
        <v>16</v>
      </c>
      <c r="O472" s="1" t="s">
        <v>9935</v>
      </c>
      <c r="P472" s="1" t="s">
        <v>16</v>
      </c>
      <c r="Q472" s="1">
        <v>100</v>
      </c>
      <c r="R472" s="1">
        <v>150000</v>
      </c>
      <c r="S472" s="1">
        <v>150000</v>
      </c>
    </row>
    <row r="473" spans="1:19" ht="12.5" x14ac:dyDescent="0.25">
      <c r="A473" s="1">
        <v>382</v>
      </c>
      <c r="B473" s="1" t="s">
        <v>1554</v>
      </c>
      <c r="C473" s="1" t="s">
        <v>35</v>
      </c>
      <c r="D473" s="1" t="s">
        <v>36</v>
      </c>
      <c r="E473" s="1">
        <v>380</v>
      </c>
      <c r="F473" s="1" t="s">
        <v>1555</v>
      </c>
      <c r="G473" s="1" t="s">
        <v>1556</v>
      </c>
      <c r="H473" s="1" t="s">
        <v>1557</v>
      </c>
      <c r="I473" s="1" t="s">
        <v>29</v>
      </c>
      <c r="J473" s="1" t="s">
        <v>16</v>
      </c>
      <c r="K473" s="1" t="b">
        <v>0</v>
      </c>
      <c r="L473" s="1" t="s">
        <v>22</v>
      </c>
      <c r="M473" s="1" t="s">
        <v>16</v>
      </c>
      <c r="N473" s="1" t="s">
        <v>16</v>
      </c>
      <c r="O473" s="1" t="s">
        <v>9952</v>
      </c>
      <c r="P473" s="1" t="s">
        <v>16</v>
      </c>
      <c r="Q473" s="1">
        <v>100</v>
      </c>
      <c r="R473" s="1">
        <v>26250</v>
      </c>
      <c r="S473" s="1">
        <v>26250</v>
      </c>
    </row>
    <row r="474" spans="1:19" ht="12.5" x14ac:dyDescent="0.25">
      <c r="A474" s="1">
        <v>382</v>
      </c>
      <c r="B474" s="1" t="s">
        <v>1554</v>
      </c>
      <c r="C474" s="1" t="s">
        <v>35</v>
      </c>
      <c r="D474" s="1" t="s">
        <v>36</v>
      </c>
      <c r="E474" s="1">
        <v>380</v>
      </c>
      <c r="F474" s="1" t="s">
        <v>1555</v>
      </c>
      <c r="G474" s="1" t="s">
        <v>1556</v>
      </c>
      <c r="H474" s="1" t="s">
        <v>1557</v>
      </c>
      <c r="I474" s="1" t="s">
        <v>29</v>
      </c>
      <c r="J474" s="1" t="s">
        <v>16</v>
      </c>
      <c r="K474" s="1" t="b">
        <v>0</v>
      </c>
      <c r="L474" s="1" t="s">
        <v>22</v>
      </c>
      <c r="M474" s="1" t="s">
        <v>16</v>
      </c>
      <c r="N474" s="1" t="s">
        <v>16</v>
      </c>
      <c r="O474" s="1" t="s">
        <v>9940</v>
      </c>
      <c r="P474" s="1" t="s">
        <v>16</v>
      </c>
      <c r="Q474" s="1">
        <v>100</v>
      </c>
      <c r="R474" s="1">
        <v>25000</v>
      </c>
      <c r="S474" s="1">
        <v>25000</v>
      </c>
    </row>
    <row r="475" spans="1:19" ht="12.5" x14ac:dyDescent="0.25">
      <c r="A475" s="1">
        <v>1336</v>
      </c>
      <c r="B475" s="1" t="s">
        <v>1558</v>
      </c>
      <c r="C475" s="1" t="s">
        <v>35</v>
      </c>
      <c r="D475" s="1" t="s">
        <v>152</v>
      </c>
      <c r="E475" s="1">
        <v>380</v>
      </c>
      <c r="F475" s="1" t="s">
        <v>1555</v>
      </c>
      <c r="G475" s="1" t="s">
        <v>1556</v>
      </c>
      <c r="H475" s="1" t="s">
        <v>1557</v>
      </c>
      <c r="I475" s="1" t="s">
        <v>29</v>
      </c>
      <c r="J475" s="1" t="s">
        <v>16</v>
      </c>
      <c r="K475" s="1" t="b">
        <v>0</v>
      </c>
      <c r="L475" s="1" t="s">
        <v>22</v>
      </c>
      <c r="M475" s="1">
        <v>2022</v>
      </c>
      <c r="N475" s="1" t="s">
        <v>16</v>
      </c>
      <c r="O475" s="1" t="s">
        <v>9935</v>
      </c>
      <c r="P475" s="1" t="s">
        <v>16</v>
      </c>
      <c r="Q475" s="1">
        <v>0</v>
      </c>
      <c r="R475" s="1">
        <v>150000</v>
      </c>
      <c r="S475" s="1">
        <v>0</v>
      </c>
    </row>
    <row r="476" spans="1:19" ht="12.5" x14ac:dyDescent="0.25">
      <c r="A476" s="1">
        <v>1336</v>
      </c>
      <c r="B476" s="1" t="s">
        <v>1558</v>
      </c>
      <c r="C476" s="1" t="s">
        <v>35</v>
      </c>
      <c r="D476" s="1" t="s">
        <v>152</v>
      </c>
      <c r="E476" s="1">
        <v>380</v>
      </c>
      <c r="F476" s="1" t="s">
        <v>1555</v>
      </c>
      <c r="G476" s="1" t="s">
        <v>1556</v>
      </c>
      <c r="H476" s="1" t="s">
        <v>1557</v>
      </c>
      <c r="I476" s="1" t="s">
        <v>29</v>
      </c>
      <c r="J476" s="1" t="s">
        <v>16</v>
      </c>
      <c r="K476" s="1" t="b">
        <v>0</v>
      </c>
      <c r="L476" s="1" t="s">
        <v>22</v>
      </c>
      <c r="M476" s="1" t="s">
        <v>16</v>
      </c>
      <c r="N476" s="1" t="s">
        <v>16</v>
      </c>
      <c r="O476" s="1" t="s">
        <v>9952</v>
      </c>
      <c r="P476" s="1" t="s">
        <v>16</v>
      </c>
      <c r="Q476" s="1">
        <v>0</v>
      </c>
      <c r="R476" s="1">
        <v>26250</v>
      </c>
      <c r="S476" s="1">
        <v>0</v>
      </c>
    </row>
    <row r="477" spans="1:19" ht="12.5" x14ac:dyDescent="0.25">
      <c r="A477" s="1">
        <v>1336</v>
      </c>
      <c r="B477" s="1" t="s">
        <v>1558</v>
      </c>
      <c r="C477" s="1" t="s">
        <v>35</v>
      </c>
      <c r="D477" s="1" t="s">
        <v>152</v>
      </c>
      <c r="E477" s="1">
        <v>380</v>
      </c>
      <c r="F477" s="1" t="s">
        <v>1555</v>
      </c>
      <c r="G477" s="1" t="s">
        <v>1556</v>
      </c>
      <c r="H477" s="1" t="s">
        <v>1557</v>
      </c>
      <c r="I477" s="1" t="s">
        <v>29</v>
      </c>
      <c r="J477" s="1" t="s">
        <v>16</v>
      </c>
      <c r="K477" s="1" t="b">
        <v>0</v>
      </c>
      <c r="L477" s="1" t="s">
        <v>22</v>
      </c>
      <c r="M477" s="1" t="s">
        <v>16</v>
      </c>
      <c r="N477" s="1" t="s">
        <v>16</v>
      </c>
      <c r="O477" s="1" t="s">
        <v>9940</v>
      </c>
      <c r="P477" s="1" t="s">
        <v>16</v>
      </c>
      <c r="Q477" s="1">
        <v>0</v>
      </c>
      <c r="R477" s="1">
        <v>25000</v>
      </c>
      <c r="S477" s="1">
        <v>0</v>
      </c>
    </row>
    <row r="478" spans="1:19" ht="12.5" x14ac:dyDescent="0.25">
      <c r="A478" s="1">
        <v>383</v>
      </c>
      <c r="B478" s="1" t="s">
        <v>1560</v>
      </c>
      <c r="C478" s="1" t="s">
        <v>35</v>
      </c>
      <c r="D478" s="1" t="s">
        <v>36</v>
      </c>
      <c r="E478" s="1">
        <v>381</v>
      </c>
      <c r="F478" s="1" t="s">
        <v>1561</v>
      </c>
      <c r="G478" s="1" t="s">
        <v>1562</v>
      </c>
      <c r="H478" s="1" t="s">
        <v>1161</v>
      </c>
      <c r="I478" s="1" t="s">
        <v>29</v>
      </c>
      <c r="J478" s="1" t="s">
        <v>16</v>
      </c>
      <c r="K478" s="1" t="b">
        <v>0</v>
      </c>
      <c r="L478" s="1" t="s">
        <v>22</v>
      </c>
      <c r="M478" s="1" t="s">
        <v>16</v>
      </c>
      <c r="N478" s="1" t="s">
        <v>16</v>
      </c>
      <c r="O478" s="1" t="s">
        <v>16</v>
      </c>
      <c r="P478" s="1" t="s">
        <v>16</v>
      </c>
      <c r="Q478" s="1">
        <v>100</v>
      </c>
    </row>
    <row r="479" spans="1:19" ht="12.5" x14ac:dyDescent="0.25">
      <c r="A479" s="1">
        <v>384</v>
      </c>
      <c r="B479" s="1" t="s">
        <v>1563</v>
      </c>
      <c r="C479" s="1" t="s">
        <v>35</v>
      </c>
      <c r="D479" s="1" t="s">
        <v>36</v>
      </c>
      <c r="E479" s="1">
        <v>382</v>
      </c>
      <c r="F479" s="1" t="s">
        <v>1564</v>
      </c>
      <c r="G479" s="1" t="s">
        <v>1565</v>
      </c>
      <c r="H479" s="1" t="s">
        <v>1396</v>
      </c>
      <c r="I479" s="1" t="s">
        <v>29</v>
      </c>
      <c r="J479" s="1" t="s">
        <v>16</v>
      </c>
      <c r="K479" s="1" t="b">
        <v>0</v>
      </c>
      <c r="L479" s="1" t="s">
        <v>22</v>
      </c>
      <c r="M479" s="1" t="s">
        <v>16</v>
      </c>
      <c r="N479" s="1" t="s">
        <v>16</v>
      </c>
      <c r="O479" s="1" t="s">
        <v>16</v>
      </c>
      <c r="P479" s="1" t="s">
        <v>16</v>
      </c>
      <c r="Q479" s="1">
        <v>100</v>
      </c>
    </row>
    <row r="480" spans="1:19" ht="12.5" x14ac:dyDescent="0.25">
      <c r="A480" s="1">
        <v>385</v>
      </c>
      <c r="B480" s="1" t="s">
        <v>1566</v>
      </c>
      <c r="C480" s="1" t="s">
        <v>35</v>
      </c>
      <c r="D480" s="1" t="s">
        <v>36</v>
      </c>
      <c r="E480" s="1">
        <v>383</v>
      </c>
      <c r="F480" s="1" t="s">
        <v>1567</v>
      </c>
      <c r="G480" s="1" t="s">
        <v>1568</v>
      </c>
      <c r="H480" s="1" t="s">
        <v>1569</v>
      </c>
      <c r="I480" s="1" t="s">
        <v>29</v>
      </c>
      <c r="J480" s="1" t="s">
        <v>16</v>
      </c>
      <c r="K480" s="1" t="b">
        <v>0</v>
      </c>
      <c r="L480" s="1" t="s">
        <v>22</v>
      </c>
      <c r="M480" s="1" t="s">
        <v>16</v>
      </c>
      <c r="N480" s="1" t="s">
        <v>16</v>
      </c>
      <c r="O480" s="1" t="s">
        <v>9940</v>
      </c>
      <c r="P480" s="1" t="s">
        <v>16</v>
      </c>
      <c r="Q480" s="1">
        <v>100</v>
      </c>
      <c r="R480" s="1">
        <v>50000</v>
      </c>
      <c r="S480" s="1">
        <v>50000</v>
      </c>
    </row>
    <row r="481" spans="1:19" ht="12.5" x14ac:dyDescent="0.25">
      <c r="A481" s="1">
        <v>385</v>
      </c>
      <c r="B481" s="1" t="s">
        <v>1566</v>
      </c>
      <c r="C481" s="1" t="s">
        <v>35</v>
      </c>
      <c r="D481" s="1" t="s">
        <v>36</v>
      </c>
      <c r="E481" s="1">
        <v>383</v>
      </c>
      <c r="F481" s="1" t="s">
        <v>1567</v>
      </c>
      <c r="G481" s="1" t="s">
        <v>1568</v>
      </c>
      <c r="H481" s="1" t="s">
        <v>1569</v>
      </c>
      <c r="I481" s="1" t="s">
        <v>29</v>
      </c>
      <c r="J481" s="1" t="s">
        <v>16</v>
      </c>
      <c r="K481" s="1" t="b">
        <v>0</v>
      </c>
      <c r="L481" s="1" t="s">
        <v>22</v>
      </c>
      <c r="M481" s="1">
        <v>2023</v>
      </c>
      <c r="N481" s="1" t="s">
        <v>16</v>
      </c>
      <c r="O481" s="1" t="s">
        <v>9942</v>
      </c>
      <c r="P481" s="1" t="s">
        <v>16</v>
      </c>
      <c r="Q481" s="1">
        <v>100</v>
      </c>
      <c r="R481" s="1">
        <v>250000</v>
      </c>
      <c r="S481" s="1">
        <v>250000</v>
      </c>
    </row>
    <row r="482" spans="1:19" ht="12.5" x14ac:dyDescent="0.25">
      <c r="A482" s="1">
        <v>386</v>
      </c>
      <c r="B482" s="1" t="s">
        <v>1570</v>
      </c>
      <c r="C482" s="1" t="s">
        <v>35</v>
      </c>
      <c r="D482" s="1" t="s">
        <v>36</v>
      </c>
      <c r="E482" s="1">
        <v>384</v>
      </c>
      <c r="F482" s="1" t="s">
        <v>1571</v>
      </c>
      <c r="G482" s="1" t="s">
        <v>1572</v>
      </c>
      <c r="H482" s="1" t="s">
        <v>1238</v>
      </c>
      <c r="I482" s="1" t="s">
        <v>29</v>
      </c>
      <c r="J482" s="1" t="s">
        <v>1573</v>
      </c>
      <c r="K482" s="1" t="b">
        <v>1</v>
      </c>
      <c r="L482" s="1" t="s">
        <v>31</v>
      </c>
      <c r="M482" s="1" t="s">
        <v>16</v>
      </c>
      <c r="N482" s="1" t="s">
        <v>16</v>
      </c>
      <c r="O482" s="1" t="s">
        <v>9935</v>
      </c>
      <c r="P482" s="1" t="s">
        <v>16</v>
      </c>
      <c r="Q482" s="1">
        <v>100</v>
      </c>
      <c r="R482" s="1">
        <v>300000</v>
      </c>
      <c r="S482" s="1">
        <v>300000</v>
      </c>
    </row>
    <row r="483" spans="1:19" ht="12.5" x14ac:dyDescent="0.25">
      <c r="A483" s="1">
        <v>386</v>
      </c>
      <c r="B483" s="1" t="s">
        <v>1570</v>
      </c>
      <c r="C483" s="1" t="s">
        <v>35</v>
      </c>
      <c r="D483" s="1" t="s">
        <v>36</v>
      </c>
      <c r="E483" s="1">
        <v>384</v>
      </c>
      <c r="F483" s="1" t="s">
        <v>1571</v>
      </c>
      <c r="G483" s="1" t="s">
        <v>1572</v>
      </c>
      <c r="H483" s="1" t="s">
        <v>1238</v>
      </c>
      <c r="I483" s="1" t="s">
        <v>29</v>
      </c>
      <c r="J483" s="1" t="s">
        <v>1573</v>
      </c>
      <c r="K483" s="1" t="b">
        <v>1</v>
      </c>
      <c r="L483" s="1" t="s">
        <v>31</v>
      </c>
      <c r="M483" s="1" t="s">
        <v>16</v>
      </c>
      <c r="N483" s="1" t="s">
        <v>16</v>
      </c>
      <c r="O483" s="1" t="s">
        <v>9952</v>
      </c>
      <c r="P483" s="1" t="s">
        <v>16</v>
      </c>
      <c r="Q483" s="1">
        <v>100</v>
      </c>
      <c r="R483" s="1">
        <v>100000</v>
      </c>
      <c r="S483" s="1">
        <v>100000</v>
      </c>
    </row>
    <row r="484" spans="1:19" ht="12.5" x14ac:dyDescent="0.25">
      <c r="A484" s="1">
        <v>387</v>
      </c>
      <c r="B484" s="1" t="s">
        <v>1574</v>
      </c>
      <c r="C484" s="1" t="s">
        <v>35</v>
      </c>
      <c r="D484" s="1" t="s">
        <v>36</v>
      </c>
      <c r="E484" s="1">
        <v>385</v>
      </c>
      <c r="F484" s="1" t="s">
        <v>1575</v>
      </c>
      <c r="G484" s="1" t="s">
        <v>1576</v>
      </c>
      <c r="H484" s="1" t="s">
        <v>1577</v>
      </c>
      <c r="I484" s="1" t="s">
        <v>20</v>
      </c>
      <c r="J484" s="1" t="s">
        <v>1578</v>
      </c>
      <c r="K484" s="1" t="b">
        <v>0</v>
      </c>
      <c r="L484" s="1" t="s">
        <v>22</v>
      </c>
      <c r="M484" s="1" t="s">
        <v>16</v>
      </c>
      <c r="N484" s="1" t="s">
        <v>16</v>
      </c>
      <c r="O484" s="1" t="s">
        <v>9942</v>
      </c>
      <c r="P484" s="1" t="s">
        <v>16</v>
      </c>
      <c r="Q484" s="1">
        <v>100</v>
      </c>
      <c r="R484" s="1">
        <v>200000</v>
      </c>
      <c r="S484" s="1">
        <v>200000</v>
      </c>
    </row>
    <row r="485" spans="1:19" ht="12.5" x14ac:dyDescent="0.25">
      <c r="A485" s="1">
        <v>387</v>
      </c>
      <c r="B485" s="1" t="s">
        <v>1574</v>
      </c>
      <c r="C485" s="1" t="s">
        <v>35</v>
      </c>
      <c r="D485" s="1" t="s">
        <v>36</v>
      </c>
      <c r="E485" s="1">
        <v>385</v>
      </c>
      <c r="F485" s="1" t="s">
        <v>1575</v>
      </c>
      <c r="G485" s="1" t="s">
        <v>1576</v>
      </c>
      <c r="H485" s="1" t="s">
        <v>1577</v>
      </c>
      <c r="I485" s="1" t="s">
        <v>20</v>
      </c>
      <c r="J485" s="1" t="s">
        <v>1578</v>
      </c>
      <c r="K485" s="1" t="b">
        <v>0</v>
      </c>
      <c r="L485" s="1" t="s">
        <v>22</v>
      </c>
      <c r="M485" s="1" t="s">
        <v>16</v>
      </c>
      <c r="N485" s="1" t="s">
        <v>16</v>
      </c>
      <c r="O485" s="1" t="s">
        <v>9935</v>
      </c>
      <c r="P485" s="1" t="s">
        <v>16</v>
      </c>
      <c r="Q485" s="1">
        <v>100</v>
      </c>
      <c r="R485" s="1">
        <v>380000</v>
      </c>
      <c r="S485" s="1">
        <v>380000</v>
      </c>
    </row>
    <row r="486" spans="1:19" ht="12.5" x14ac:dyDescent="0.25">
      <c r="A486" s="1">
        <v>390</v>
      </c>
      <c r="B486" s="1" t="s">
        <v>1579</v>
      </c>
      <c r="C486" s="1" t="s">
        <v>35</v>
      </c>
      <c r="D486" s="1" t="s">
        <v>36</v>
      </c>
      <c r="E486" s="1">
        <v>386</v>
      </c>
      <c r="F486" s="1" t="s">
        <v>1580</v>
      </c>
      <c r="G486" s="1" t="s">
        <v>1581</v>
      </c>
      <c r="H486" s="1" t="s">
        <v>1396</v>
      </c>
      <c r="I486" s="1" t="s">
        <v>29</v>
      </c>
      <c r="J486" s="1" t="s">
        <v>1582</v>
      </c>
      <c r="K486" s="1" t="b">
        <v>0</v>
      </c>
      <c r="L486" s="1" t="s">
        <v>22</v>
      </c>
      <c r="M486" s="1" t="s">
        <v>16</v>
      </c>
      <c r="N486" s="1" t="s">
        <v>16</v>
      </c>
      <c r="O486" s="1" t="s">
        <v>9942</v>
      </c>
      <c r="P486" s="1" t="s">
        <v>16</v>
      </c>
      <c r="Q486" s="1">
        <v>100</v>
      </c>
      <c r="R486" s="1">
        <v>150000</v>
      </c>
      <c r="S486" s="1">
        <v>150000</v>
      </c>
    </row>
    <row r="487" spans="1:19" ht="12.5" x14ac:dyDescent="0.25">
      <c r="A487" s="1">
        <v>390</v>
      </c>
      <c r="B487" s="1" t="s">
        <v>1579</v>
      </c>
      <c r="C487" s="1" t="s">
        <v>35</v>
      </c>
      <c r="D487" s="1" t="s">
        <v>36</v>
      </c>
      <c r="E487" s="1">
        <v>386</v>
      </c>
      <c r="F487" s="1" t="s">
        <v>1580</v>
      </c>
      <c r="G487" s="1" t="s">
        <v>1581</v>
      </c>
      <c r="H487" s="1" t="s">
        <v>1396</v>
      </c>
      <c r="I487" s="1" t="s">
        <v>29</v>
      </c>
      <c r="J487" s="1" t="s">
        <v>1582</v>
      </c>
      <c r="K487" s="1" t="b">
        <v>0</v>
      </c>
      <c r="L487" s="1" t="s">
        <v>22</v>
      </c>
      <c r="M487" s="1">
        <v>2022</v>
      </c>
      <c r="N487" s="1" t="s">
        <v>16</v>
      </c>
      <c r="O487" s="1" t="s">
        <v>9935</v>
      </c>
      <c r="P487" s="1" t="s">
        <v>16</v>
      </c>
      <c r="Q487" s="1">
        <v>100</v>
      </c>
      <c r="R487" s="1">
        <v>150000</v>
      </c>
      <c r="S487" s="1">
        <v>150000</v>
      </c>
    </row>
    <row r="488" spans="1:19" ht="12.5" x14ac:dyDescent="0.25">
      <c r="A488" s="1">
        <v>391</v>
      </c>
      <c r="B488" s="1" t="s">
        <v>1583</v>
      </c>
      <c r="C488" s="1" t="s">
        <v>35</v>
      </c>
      <c r="D488" s="1" t="s">
        <v>36</v>
      </c>
      <c r="E488" s="1">
        <v>387</v>
      </c>
      <c r="F488" s="1" t="s">
        <v>1584</v>
      </c>
      <c r="G488" s="1" t="s">
        <v>1585</v>
      </c>
      <c r="H488" s="1" t="s">
        <v>1586</v>
      </c>
      <c r="I488" s="1" t="s">
        <v>29</v>
      </c>
      <c r="J488" s="1" t="s">
        <v>1587</v>
      </c>
      <c r="K488" s="1" t="b">
        <v>0</v>
      </c>
      <c r="L488" s="1" t="s">
        <v>22</v>
      </c>
      <c r="M488" s="1">
        <v>2021</v>
      </c>
      <c r="N488" s="1" t="s">
        <v>16</v>
      </c>
      <c r="O488" s="1" t="s">
        <v>9935</v>
      </c>
      <c r="P488" s="1" t="s">
        <v>16</v>
      </c>
      <c r="Q488" s="1">
        <v>100</v>
      </c>
      <c r="R488" s="1">
        <v>100000</v>
      </c>
      <c r="S488" s="1">
        <v>100000</v>
      </c>
    </row>
    <row r="489" spans="1:19" ht="12.5" x14ac:dyDescent="0.25">
      <c r="A489" s="1">
        <v>391</v>
      </c>
      <c r="B489" s="1" t="s">
        <v>1583</v>
      </c>
      <c r="C489" s="1" t="s">
        <v>35</v>
      </c>
      <c r="D489" s="1" t="s">
        <v>36</v>
      </c>
      <c r="E489" s="1">
        <v>387</v>
      </c>
      <c r="F489" s="1" t="s">
        <v>1584</v>
      </c>
      <c r="G489" s="1" t="s">
        <v>1585</v>
      </c>
      <c r="H489" s="1" t="s">
        <v>1586</v>
      </c>
      <c r="I489" s="1" t="s">
        <v>29</v>
      </c>
      <c r="J489" s="1" t="s">
        <v>1587</v>
      </c>
      <c r="K489" s="1" t="b">
        <v>0</v>
      </c>
      <c r="L489" s="1" t="s">
        <v>22</v>
      </c>
      <c r="M489" s="1" t="s">
        <v>16</v>
      </c>
      <c r="N489" s="1" t="s">
        <v>16</v>
      </c>
      <c r="O489" s="1" t="s">
        <v>9952</v>
      </c>
      <c r="P489" s="1" t="s">
        <v>16</v>
      </c>
      <c r="Q489" s="1">
        <v>100</v>
      </c>
      <c r="R489" s="1">
        <v>20000</v>
      </c>
      <c r="S489" s="1">
        <v>20000</v>
      </c>
    </row>
    <row r="490" spans="1:19" ht="12.5" x14ac:dyDescent="0.25">
      <c r="A490" s="1">
        <v>392</v>
      </c>
      <c r="B490" s="1" t="s">
        <v>1588</v>
      </c>
      <c r="C490" s="1" t="s">
        <v>35</v>
      </c>
      <c r="D490" s="1" t="s">
        <v>36</v>
      </c>
      <c r="E490" s="1">
        <v>388</v>
      </c>
      <c r="F490" s="1" t="s">
        <v>1589</v>
      </c>
      <c r="G490" s="1" t="s">
        <v>1590</v>
      </c>
      <c r="H490" s="1" t="s">
        <v>1591</v>
      </c>
      <c r="I490" s="1" t="s">
        <v>29</v>
      </c>
      <c r="J490" s="1" t="s">
        <v>1592</v>
      </c>
      <c r="K490" s="1" t="b">
        <v>0</v>
      </c>
      <c r="L490" s="1" t="s">
        <v>22</v>
      </c>
      <c r="M490" s="1">
        <v>2021</v>
      </c>
      <c r="N490" s="1" t="s">
        <v>32</v>
      </c>
      <c r="O490" s="1" t="s">
        <v>9935</v>
      </c>
      <c r="P490" s="1" t="s">
        <v>16</v>
      </c>
      <c r="Q490" s="1">
        <v>100</v>
      </c>
      <c r="R490" s="1">
        <v>1</v>
      </c>
      <c r="S490" s="1">
        <v>1</v>
      </c>
    </row>
    <row r="491" spans="1:19" ht="12.5" x14ac:dyDescent="0.25">
      <c r="A491" s="1">
        <v>393</v>
      </c>
      <c r="B491" s="1" t="s">
        <v>1593</v>
      </c>
      <c r="C491" s="1" t="s">
        <v>35</v>
      </c>
      <c r="D491" s="1" t="s">
        <v>36</v>
      </c>
      <c r="E491" s="1">
        <v>389</v>
      </c>
      <c r="F491" s="1" t="s">
        <v>1594</v>
      </c>
      <c r="G491" s="1" t="s">
        <v>1595</v>
      </c>
      <c r="H491" s="1" t="s">
        <v>1596</v>
      </c>
      <c r="I491" s="1" t="s">
        <v>29</v>
      </c>
      <c r="J491" s="1" t="s">
        <v>1597</v>
      </c>
      <c r="K491" s="1" t="b">
        <v>1</v>
      </c>
      <c r="L491" s="1" t="s">
        <v>31</v>
      </c>
      <c r="M491" s="1">
        <v>2022</v>
      </c>
      <c r="N491" s="1" t="s">
        <v>52</v>
      </c>
      <c r="O491" s="1" t="s">
        <v>9942</v>
      </c>
      <c r="P491" s="1" t="s">
        <v>16</v>
      </c>
      <c r="Q491" s="1">
        <v>100</v>
      </c>
      <c r="R491" s="1">
        <v>200000</v>
      </c>
      <c r="S491" s="1">
        <v>200000</v>
      </c>
    </row>
    <row r="492" spans="1:19" ht="12.5" x14ac:dyDescent="0.25">
      <c r="A492" s="1">
        <v>393</v>
      </c>
      <c r="B492" s="1" t="s">
        <v>1593</v>
      </c>
      <c r="C492" s="1" t="s">
        <v>35</v>
      </c>
      <c r="D492" s="1" t="s">
        <v>36</v>
      </c>
      <c r="E492" s="1">
        <v>389</v>
      </c>
      <c r="F492" s="1" t="s">
        <v>1594</v>
      </c>
      <c r="G492" s="1" t="s">
        <v>1595</v>
      </c>
      <c r="H492" s="1" t="s">
        <v>1596</v>
      </c>
      <c r="I492" s="1" t="s">
        <v>29</v>
      </c>
      <c r="J492" s="1" t="s">
        <v>1597</v>
      </c>
      <c r="K492" s="1" t="b">
        <v>1</v>
      </c>
      <c r="L492" s="1" t="s">
        <v>31</v>
      </c>
      <c r="M492" s="1">
        <v>2022</v>
      </c>
      <c r="N492" s="1" t="s">
        <v>52</v>
      </c>
      <c r="O492" s="1" t="s">
        <v>9935</v>
      </c>
      <c r="P492" s="1" t="s">
        <v>16</v>
      </c>
      <c r="Q492" s="1">
        <v>100</v>
      </c>
      <c r="R492" s="1">
        <v>600000</v>
      </c>
      <c r="S492" s="1">
        <v>600000</v>
      </c>
    </row>
    <row r="493" spans="1:19" ht="12.5" x14ac:dyDescent="0.25">
      <c r="A493" s="1">
        <v>393</v>
      </c>
      <c r="B493" s="1" t="s">
        <v>1593</v>
      </c>
      <c r="C493" s="1" t="s">
        <v>35</v>
      </c>
      <c r="D493" s="1" t="s">
        <v>36</v>
      </c>
      <c r="E493" s="1">
        <v>389</v>
      </c>
      <c r="F493" s="1" t="s">
        <v>1594</v>
      </c>
      <c r="G493" s="1" t="s">
        <v>1595</v>
      </c>
      <c r="H493" s="1" t="s">
        <v>1596</v>
      </c>
      <c r="I493" s="1" t="s">
        <v>29</v>
      </c>
      <c r="J493" s="1" t="s">
        <v>1597</v>
      </c>
      <c r="K493" s="1" t="b">
        <v>1</v>
      </c>
      <c r="L493" s="1" t="s">
        <v>31</v>
      </c>
      <c r="M493" s="1">
        <v>2022</v>
      </c>
      <c r="N493" s="1" t="s">
        <v>23</v>
      </c>
      <c r="O493" s="1" t="s">
        <v>9952</v>
      </c>
      <c r="P493" s="1" t="s">
        <v>16</v>
      </c>
      <c r="Q493" s="1">
        <v>100</v>
      </c>
      <c r="R493" s="1">
        <v>85000</v>
      </c>
      <c r="S493" s="1">
        <v>85000</v>
      </c>
    </row>
    <row r="494" spans="1:19" ht="12.5" x14ac:dyDescent="0.25">
      <c r="A494" s="1">
        <v>394</v>
      </c>
      <c r="B494" s="1" t="s">
        <v>1598</v>
      </c>
      <c r="C494" s="1" t="s">
        <v>35</v>
      </c>
      <c r="D494" s="1" t="s">
        <v>36</v>
      </c>
      <c r="E494" s="1">
        <v>390</v>
      </c>
      <c r="F494" s="1" t="s">
        <v>1599</v>
      </c>
      <c r="G494" s="1" t="s">
        <v>1600</v>
      </c>
      <c r="H494" s="1" t="s">
        <v>1601</v>
      </c>
      <c r="I494" s="1" t="s">
        <v>20</v>
      </c>
      <c r="J494" s="1" t="s">
        <v>16</v>
      </c>
      <c r="K494" s="1" t="b">
        <v>0</v>
      </c>
      <c r="L494" s="1" t="s">
        <v>22</v>
      </c>
      <c r="M494" s="1" t="s">
        <v>16</v>
      </c>
      <c r="N494" s="1" t="s">
        <v>16</v>
      </c>
      <c r="O494" s="1" t="s">
        <v>16</v>
      </c>
      <c r="P494" s="1" t="s">
        <v>16</v>
      </c>
      <c r="Q494" s="1">
        <v>100</v>
      </c>
    </row>
    <row r="495" spans="1:19" ht="12.5" x14ac:dyDescent="0.25">
      <c r="A495" s="1">
        <v>395</v>
      </c>
      <c r="B495" s="1" t="s">
        <v>1602</v>
      </c>
      <c r="C495" s="1" t="s">
        <v>35</v>
      </c>
      <c r="D495" s="1" t="s">
        <v>36</v>
      </c>
      <c r="E495" s="1">
        <v>391</v>
      </c>
      <c r="F495" s="1" t="s">
        <v>1603</v>
      </c>
      <c r="G495" s="1" t="s">
        <v>1604</v>
      </c>
      <c r="H495" s="1" t="s">
        <v>1605</v>
      </c>
      <c r="I495" s="1" t="s">
        <v>20</v>
      </c>
      <c r="J495" s="1" t="s">
        <v>1606</v>
      </c>
      <c r="K495" s="1" t="b">
        <v>0</v>
      </c>
      <c r="L495" s="1" t="s">
        <v>22</v>
      </c>
      <c r="M495" s="1">
        <v>2023</v>
      </c>
      <c r="N495" s="1" t="s">
        <v>16</v>
      </c>
      <c r="O495" s="1" t="s">
        <v>9956</v>
      </c>
      <c r="P495" s="1" t="s">
        <v>16</v>
      </c>
      <c r="Q495" s="1">
        <v>50</v>
      </c>
      <c r="R495" s="1">
        <v>2000000</v>
      </c>
      <c r="S495" s="1">
        <v>1000000</v>
      </c>
    </row>
    <row r="496" spans="1:19" ht="12.5" x14ac:dyDescent="0.25">
      <c r="A496" s="1">
        <v>409</v>
      </c>
      <c r="B496" s="1" t="s">
        <v>1607</v>
      </c>
      <c r="C496" s="1" t="s">
        <v>35</v>
      </c>
      <c r="D496" s="1" t="s">
        <v>36</v>
      </c>
      <c r="E496" s="1">
        <v>391</v>
      </c>
      <c r="F496" s="1" t="s">
        <v>1603</v>
      </c>
      <c r="G496" s="1" t="s">
        <v>1604</v>
      </c>
      <c r="H496" s="1" t="s">
        <v>1605</v>
      </c>
      <c r="I496" s="1" t="s">
        <v>20</v>
      </c>
      <c r="J496" s="1" t="s">
        <v>1606</v>
      </c>
      <c r="K496" s="1" t="b">
        <v>0</v>
      </c>
      <c r="L496" s="1" t="s">
        <v>22</v>
      </c>
      <c r="M496" s="1">
        <v>2023</v>
      </c>
      <c r="N496" s="1" t="s">
        <v>16</v>
      </c>
      <c r="O496" s="1" t="s">
        <v>9956</v>
      </c>
      <c r="P496" s="1" t="s">
        <v>16</v>
      </c>
      <c r="Q496" s="1">
        <v>50</v>
      </c>
      <c r="R496" s="1">
        <v>2000000</v>
      </c>
      <c r="S496" s="1">
        <v>1000000</v>
      </c>
    </row>
    <row r="497" spans="1:19" ht="12.5" x14ac:dyDescent="0.25">
      <c r="A497" s="1">
        <v>396</v>
      </c>
      <c r="B497" s="1" t="s">
        <v>1608</v>
      </c>
      <c r="C497" s="1" t="s">
        <v>35</v>
      </c>
      <c r="D497" s="1" t="s">
        <v>36</v>
      </c>
      <c r="E497" s="1">
        <v>392</v>
      </c>
      <c r="F497" s="1" t="s">
        <v>1609</v>
      </c>
      <c r="G497" s="1" t="s">
        <v>1610</v>
      </c>
      <c r="H497" s="1" t="s">
        <v>1611</v>
      </c>
      <c r="I497" s="1" t="s">
        <v>29</v>
      </c>
      <c r="J497" s="1" t="s">
        <v>1612</v>
      </c>
      <c r="K497" s="1" t="b">
        <v>0</v>
      </c>
      <c r="L497" s="1" t="s">
        <v>22</v>
      </c>
      <c r="M497" s="1">
        <v>2021</v>
      </c>
      <c r="N497" s="1" t="s">
        <v>23</v>
      </c>
      <c r="O497" s="1" t="s">
        <v>9935</v>
      </c>
      <c r="P497" s="1" t="s">
        <v>9961</v>
      </c>
      <c r="Q497" s="1">
        <v>100</v>
      </c>
      <c r="R497" s="1">
        <v>120000</v>
      </c>
      <c r="S497" s="1">
        <v>120000</v>
      </c>
    </row>
    <row r="498" spans="1:19" ht="12.5" x14ac:dyDescent="0.25">
      <c r="A498" s="1">
        <v>396</v>
      </c>
      <c r="B498" s="1" t="s">
        <v>1608</v>
      </c>
      <c r="C498" s="1" t="s">
        <v>35</v>
      </c>
      <c r="D498" s="1" t="s">
        <v>36</v>
      </c>
      <c r="E498" s="1">
        <v>392</v>
      </c>
      <c r="F498" s="1" t="s">
        <v>1609</v>
      </c>
      <c r="G498" s="1" t="s">
        <v>1610</v>
      </c>
      <c r="H498" s="1" t="s">
        <v>1611</v>
      </c>
      <c r="I498" s="1" t="s">
        <v>29</v>
      </c>
      <c r="J498" s="1" t="s">
        <v>1612</v>
      </c>
      <c r="K498" s="1" t="b">
        <v>0</v>
      </c>
      <c r="L498" s="1" t="s">
        <v>22</v>
      </c>
      <c r="M498" s="1">
        <v>2021</v>
      </c>
      <c r="N498" s="1" t="s">
        <v>23</v>
      </c>
      <c r="O498" s="1" t="s">
        <v>9942</v>
      </c>
      <c r="P498" s="1" t="s">
        <v>9962</v>
      </c>
      <c r="Q498" s="1">
        <v>100</v>
      </c>
      <c r="R498" s="1">
        <v>50000</v>
      </c>
      <c r="S498" s="1">
        <v>50000</v>
      </c>
    </row>
    <row r="499" spans="1:19" ht="12.5" x14ac:dyDescent="0.25">
      <c r="A499" s="1">
        <v>397</v>
      </c>
      <c r="B499" s="1" t="s">
        <v>1613</v>
      </c>
      <c r="C499" s="1" t="s">
        <v>35</v>
      </c>
      <c r="D499" s="1" t="s">
        <v>36</v>
      </c>
      <c r="E499" s="1">
        <v>393</v>
      </c>
      <c r="F499" s="1" t="s">
        <v>1614</v>
      </c>
      <c r="G499" s="1" t="s">
        <v>1615</v>
      </c>
      <c r="H499" s="1" t="s">
        <v>1616</v>
      </c>
      <c r="I499" s="1" t="s">
        <v>29</v>
      </c>
      <c r="J499" s="1" t="s">
        <v>1617</v>
      </c>
      <c r="K499" s="1" t="b">
        <v>1</v>
      </c>
      <c r="L499" s="1" t="s">
        <v>31</v>
      </c>
      <c r="M499" s="1">
        <v>2023</v>
      </c>
      <c r="N499" s="1" t="s">
        <v>32</v>
      </c>
      <c r="O499" s="1" t="s">
        <v>9935</v>
      </c>
      <c r="P499" s="1" t="s">
        <v>9963</v>
      </c>
      <c r="Q499" s="1">
        <v>100</v>
      </c>
      <c r="R499" s="1">
        <v>375000</v>
      </c>
      <c r="S499" s="1">
        <v>375000</v>
      </c>
    </row>
    <row r="500" spans="1:19" ht="12.5" x14ac:dyDescent="0.25">
      <c r="A500" s="1">
        <v>397</v>
      </c>
      <c r="B500" s="1" t="s">
        <v>1613</v>
      </c>
      <c r="C500" s="1" t="s">
        <v>35</v>
      </c>
      <c r="D500" s="1" t="s">
        <v>36</v>
      </c>
      <c r="E500" s="1">
        <v>393</v>
      </c>
      <c r="F500" s="1" t="s">
        <v>1614</v>
      </c>
      <c r="G500" s="1" t="s">
        <v>1615</v>
      </c>
      <c r="H500" s="1" t="s">
        <v>1616</v>
      </c>
      <c r="I500" s="1" t="s">
        <v>29</v>
      </c>
      <c r="J500" s="1" t="s">
        <v>1617</v>
      </c>
      <c r="K500" s="1" t="b">
        <v>1</v>
      </c>
      <c r="L500" s="1" t="s">
        <v>31</v>
      </c>
      <c r="M500" s="1">
        <v>2022</v>
      </c>
      <c r="N500" s="1" t="s">
        <v>52</v>
      </c>
      <c r="O500" s="1" t="s">
        <v>9942</v>
      </c>
      <c r="P500" s="1" t="s">
        <v>16</v>
      </c>
      <c r="Q500" s="1">
        <v>100</v>
      </c>
      <c r="R500" s="1">
        <v>150000</v>
      </c>
      <c r="S500" s="1">
        <v>150000</v>
      </c>
    </row>
    <row r="501" spans="1:19" ht="12.5" x14ac:dyDescent="0.25">
      <c r="A501" s="1" t="s">
        <v>16</v>
      </c>
      <c r="B501" s="1" t="s">
        <v>16</v>
      </c>
      <c r="C501" s="1" t="s">
        <v>16</v>
      </c>
      <c r="D501" s="1" t="s">
        <v>16</v>
      </c>
      <c r="E501" s="1">
        <v>394</v>
      </c>
      <c r="F501" s="1" t="s">
        <v>1618</v>
      </c>
      <c r="G501" s="1" t="s">
        <v>1615</v>
      </c>
      <c r="H501" s="1" t="s">
        <v>1616</v>
      </c>
      <c r="I501" s="1" t="s">
        <v>29</v>
      </c>
      <c r="J501" s="1" t="s">
        <v>16</v>
      </c>
      <c r="K501" s="1" t="b">
        <v>0</v>
      </c>
      <c r="L501" s="1" t="s">
        <v>22</v>
      </c>
      <c r="M501" s="1" t="s">
        <v>16</v>
      </c>
      <c r="N501" s="1" t="s">
        <v>16</v>
      </c>
      <c r="O501" s="1" t="s">
        <v>16</v>
      </c>
      <c r="P501" s="1" t="s">
        <v>16</v>
      </c>
    </row>
    <row r="502" spans="1:19" ht="12.5" x14ac:dyDescent="0.25">
      <c r="A502" s="1">
        <v>399</v>
      </c>
      <c r="B502" s="1" t="s">
        <v>1619</v>
      </c>
      <c r="C502" s="1" t="s">
        <v>35</v>
      </c>
      <c r="D502" s="1" t="s">
        <v>36</v>
      </c>
      <c r="E502" s="1">
        <v>395</v>
      </c>
      <c r="F502" s="1" t="s">
        <v>1620</v>
      </c>
      <c r="G502" s="1" t="s">
        <v>1621</v>
      </c>
      <c r="H502" s="1" t="s">
        <v>1622</v>
      </c>
      <c r="I502" s="1" t="s">
        <v>20</v>
      </c>
      <c r="J502" s="1" t="s">
        <v>16</v>
      </c>
      <c r="K502" s="1" t="b">
        <v>0</v>
      </c>
      <c r="L502" s="1" t="s">
        <v>22</v>
      </c>
      <c r="M502" s="1" t="s">
        <v>16</v>
      </c>
      <c r="N502" s="1" t="s">
        <v>16</v>
      </c>
      <c r="O502" s="1" t="s">
        <v>16</v>
      </c>
      <c r="P502" s="1" t="s">
        <v>16</v>
      </c>
      <c r="Q502" s="1">
        <v>100</v>
      </c>
    </row>
    <row r="503" spans="1:19" ht="12.5" x14ac:dyDescent="0.25">
      <c r="A503" s="1">
        <v>400</v>
      </c>
      <c r="B503" s="1" t="s">
        <v>1623</v>
      </c>
      <c r="C503" s="1" t="s">
        <v>35</v>
      </c>
      <c r="D503" s="1" t="s">
        <v>36</v>
      </c>
      <c r="E503" s="1">
        <v>396</v>
      </c>
      <c r="F503" s="1" t="s">
        <v>1624</v>
      </c>
      <c r="G503" s="1" t="s">
        <v>1625</v>
      </c>
      <c r="H503" s="1" t="s">
        <v>1626</v>
      </c>
      <c r="I503" s="1" t="s">
        <v>29</v>
      </c>
      <c r="J503" s="1" t="s">
        <v>16</v>
      </c>
      <c r="K503" s="1" t="b">
        <v>0</v>
      </c>
      <c r="L503" s="1" t="s">
        <v>22</v>
      </c>
      <c r="M503" s="1" t="s">
        <v>16</v>
      </c>
      <c r="N503" s="1" t="s">
        <v>16</v>
      </c>
      <c r="O503" s="1" t="s">
        <v>16</v>
      </c>
      <c r="P503" s="1" t="s">
        <v>16</v>
      </c>
      <c r="Q503" s="1">
        <v>100</v>
      </c>
    </row>
    <row r="504" spans="1:19" ht="12.5" x14ac:dyDescent="0.25">
      <c r="A504" s="1">
        <v>401</v>
      </c>
      <c r="B504" s="1" t="s">
        <v>1627</v>
      </c>
      <c r="C504" s="1" t="s">
        <v>35</v>
      </c>
      <c r="D504" s="1" t="s">
        <v>36</v>
      </c>
      <c r="E504" s="1">
        <v>397</v>
      </c>
      <c r="F504" s="1" t="s">
        <v>1628</v>
      </c>
      <c r="G504" s="1" t="s">
        <v>1629</v>
      </c>
      <c r="H504" s="1" t="s">
        <v>1630</v>
      </c>
      <c r="I504" s="1" t="s">
        <v>29</v>
      </c>
      <c r="J504" s="1" t="s">
        <v>1631</v>
      </c>
      <c r="K504" s="1" t="b">
        <v>0</v>
      </c>
      <c r="L504" s="1" t="s">
        <v>22</v>
      </c>
      <c r="M504" s="1" t="s">
        <v>16</v>
      </c>
      <c r="N504" s="1" t="s">
        <v>16</v>
      </c>
      <c r="O504" s="1" t="s">
        <v>9942</v>
      </c>
      <c r="P504" s="1" t="s">
        <v>16</v>
      </c>
      <c r="Q504" s="1">
        <v>100</v>
      </c>
      <c r="R504" s="1">
        <v>1</v>
      </c>
      <c r="S504" s="1">
        <v>1</v>
      </c>
    </row>
    <row r="505" spans="1:19" ht="12.5" x14ac:dyDescent="0.25">
      <c r="A505" s="1">
        <v>401</v>
      </c>
      <c r="B505" s="1" t="s">
        <v>1627</v>
      </c>
      <c r="C505" s="1" t="s">
        <v>35</v>
      </c>
      <c r="D505" s="1" t="s">
        <v>36</v>
      </c>
      <c r="E505" s="1">
        <v>398</v>
      </c>
      <c r="F505" s="1" t="s">
        <v>1632</v>
      </c>
      <c r="G505" s="1" t="s">
        <v>1629</v>
      </c>
      <c r="H505" s="1" t="s">
        <v>1633</v>
      </c>
      <c r="I505" s="1" t="s">
        <v>20</v>
      </c>
      <c r="J505" s="1" t="s">
        <v>1634</v>
      </c>
      <c r="K505" s="1" t="b">
        <v>0</v>
      </c>
      <c r="L505" s="1" t="s">
        <v>22</v>
      </c>
      <c r="M505" s="1">
        <v>2024</v>
      </c>
      <c r="N505" s="1" t="s">
        <v>16</v>
      </c>
      <c r="O505" s="1" t="s">
        <v>9956</v>
      </c>
      <c r="P505" s="1" t="s">
        <v>16</v>
      </c>
      <c r="Q505" s="1">
        <v>100</v>
      </c>
      <c r="R505" s="1">
        <v>6500000</v>
      </c>
      <c r="S505" s="1">
        <v>6500000</v>
      </c>
    </row>
    <row r="506" spans="1:19" ht="12.5" x14ac:dyDescent="0.25">
      <c r="A506" s="1">
        <v>402</v>
      </c>
      <c r="B506" s="1" t="s">
        <v>1635</v>
      </c>
      <c r="C506" s="1" t="s">
        <v>35</v>
      </c>
      <c r="D506" s="1" t="s">
        <v>36</v>
      </c>
      <c r="E506" s="1">
        <v>399</v>
      </c>
      <c r="F506" s="1" t="s">
        <v>1636</v>
      </c>
      <c r="G506" s="1" t="s">
        <v>1637</v>
      </c>
      <c r="H506" s="1" t="s">
        <v>1638</v>
      </c>
      <c r="I506" s="1" t="s">
        <v>29</v>
      </c>
      <c r="J506" s="1" t="s">
        <v>1639</v>
      </c>
      <c r="K506" s="1" t="b">
        <v>1</v>
      </c>
      <c r="L506" s="1" t="s">
        <v>31</v>
      </c>
      <c r="M506" s="1">
        <v>2022</v>
      </c>
      <c r="N506" s="1" t="s">
        <v>23</v>
      </c>
      <c r="O506" s="1" t="s">
        <v>9942</v>
      </c>
      <c r="P506" s="1" t="s">
        <v>9964</v>
      </c>
      <c r="Q506" s="1">
        <v>100</v>
      </c>
      <c r="R506" s="1">
        <v>200000</v>
      </c>
      <c r="S506" s="1">
        <v>200000</v>
      </c>
    </row>
    <row r="507" spans="1:19" ht="12.5" x14ac:dyDescent="0.25">
      <c r="A507" s="1">
        <v>402</v>
      </c>
      <c r="B507" s="1" t="s">
        <v>1635</v>
      </c>
      <c r="C507" s="1" t="s">
        <v>35</v>
      </c>
      <c r="D507" s="1" t="s">
        <v>36</v>
      </c>
      <c r="E507" s="1">
        <v>399</v>
      </c>
      <c r="F507" s="1" t="s">
        <v>1636</v>
      </c>
      <c r="G507" s="1" t="s">
        <v>1637</v>
      </c>
      <c r="H507" s="1" t="s">
        <v>1638</v>
      </c>
      <c r="I507" s="1" t="s">
        <v>29</v>
      </c>
      <c r="J507" s="1" t="s">
        <v>1639</v>
      </c>
      <c r="K507" s="1" t="b">
        <v>1</v>
      </c>
      <c r="L507" s="1" t="s">
        <v>31</v>
      </c>
      <c r="M507" s="1">
        <v>2022</v>
      </c>
      <c r="N507" s="1" t="s">
        <v>23</v>
      </c>
      <c r="O507" s="1" t="s">
        <v>9935</v>
      </c>
      <c r="P507" s="1" t="s">
        <v>9964</v>
      </c>
      <c r="Q507" s="1">
        <v>100</v>
      </c>
      <c r="R507" s="1">
        <v>130000</v>
      </c>
      <c r="S507" s="1">
        <v>130000</v>
      </c>
    </row>
    <row r="508" spans="1:19" ht="12.5" x14ac:dyDescent="0.25">
      <c r="A508" s="1">
        <v>403</v>
      </c>
      <c r="B508" s="1" t="s">
        <v>1640</v>
      </c>
      <c r="C508" s="1" t="s">
        <v>35</v>
      </c>
      <c r="D508" s="1" t="s">
        <v>36</v>
      </c>
      <c r="E508" s="1">
        <v>400</v>
      </c>
      <c r="F508" s="1" t="s">
        <v>1641</v>
      </c>
      <c r="G508" s="1" t="s">
        <v>1642</v>
      </c>
      <c r="H508" s="1" t="s">
        <v>1396</v>
      </c>
      <c r="I508" s="1" t="s">
        <v>29</v>
      </c>
      <c r="J508" s="1" t="s">
        <v>16</v>
      </c>
      <c r="K508" s="1" t="b">
        <v>0</v>
      </c>
      <c r="L508" s="1" t="s">
        <v>22</v>
      </c>
      <c r="M508" s="1">
        <v>2021</v>
      </c>
      <c r="N508" s="1" t="s">
        <v>32</v>
      </c>
      <c r="O508" s="1" t="s">
        <v>9942</v>
      </c>
      <c r="P508" s="1" t="s">
        <v>9965</v>
      </c>
      <c r="Q508" s="1">
        <v>100</v>
      </c>
      <c r="R508" s="1">
        <v>50000</v>
      </c>
      <c r="S508" s="1">
        <v>50000</v>
      </c>
    </row>
    <row r="509" spans="1:19" ht="12.5" x14ac:dyDescent="0.25">
      <c r="A509" s="1">
        <v>403</v>
      </c>
      <c r="B509" s="1" t="s">
        <v>1640</v>
      </c>
      <c r="C509" s="1" t="s">
        <v>35</v>
      </c>
      <c r="D509" s="1" t="s">
        <v>36</v>
      </c>
      <c r="E509" s="1">
        <v>401</v>
      </c>
      <c r="F509" s="1" t="s">
        <v>1643</v>
      </c>
      <c r="G509" s="1" t="s">
        <v>1642</v>
      </c>
      <c r="H509" s="1" t="s">
        <v>1644</v>
      </c>
      <c r="I509" s="1" t="s">
        <v>29</v>
      </c>
      <c r="J509" s="1" t="s">
        <v>16</v>
      </c>
      <c r="K509" s="1" t="b">
        <v>0</v>
      </c>
      <c r="L509" s="1" t="s">
        <v>22</v>
      </c>
      <c r="M509" s="1" t="s">
        <v>16</v>
      </c>
      <c r="N509" s="1" t="s">
        <v>16</v>
      </c>
      <c r="O509" s="1" t="s">
        <v>16</v>
      </c>
      <c r="P509" s="1" t="s">
        <v>16</v>
      </c>
      <c r="Q509" s="1">
        <v>100</v>
      </c>
    </row>
    <row r="510" spans="1:19" ht="12.5" x14ac:dyDescent="0.25">
      <c r="A510" s="1">
        <v>404</v>
      </c>
      <c r="B510" s="1" t="s">
        <v>1645</v>
      </c>
      <c r="C510" s="1" t="s">
        <v>35</v>
      </c>
      <c r="D510" s="1" t="s">
        <v>36</v>
      </c>
      <c r="E510" s="1">
        <v>402</v>
      </c>
      <c r="F510" s="1" t="s">
        <v>1646</v>
      </c>
      <c r="G510" s="1" t="s">
        <v>1647</v>
      </c>
      <c r="H510" s="1" t="s">
        <v>1648</v>
      </c>
      <c r="I510" s="1" t="s">
        <v>29</v>
      </c>
      <c r="J510" s="1" t="s">
        <v>16</v>
      </c>
      <c r="K510" s="1" t="b">
        <v>0</v>
      </c>
      <c r="L510" s="1" t="s">
        <v>22</v>
      </c>
      <c r="M510" s="1">
        <v>2021</v>
      </c>
      <c r="N510" s="1" t="s">
        <v>45</v>
      </c>
      <c r="O510" s="1" t="s">
        <v>9935</v>
      </c>
      <c r="P510" s="1" t="s">
        <v>16</v>
      </c>
      <c r="Q510" s="1">
        <v>100</v>
      </c>
      <c r="R510" s="1">
        <v>2732</v>
      </c>
      <c r="S510" s="1">
        <v>2732</v>
      </c>
    </row>
    <row r="511" spans="1:19" ht="12.5" x14ac:dyDescent="0.25">
      <c r="A511" s="1" t="s">
        <v>16</v>
      </c>
      <c r="B511" s="1" t="s">
        <v>16</v>
      </c>
      <c r="C511" s="1" t="s">
        <v>16</v>
      </c>
      <c r="D511" s="1" t="s">
        <v>16</v>
      </c>
      <c r="E511" s="1">
        <v>403</v>
      </c>
      <c r="F511" s="1" t="s">
        <v>1649</v>
      </c>
      <c r="G511" s="1" t="s">
        <v>1647</v>
      </c>
      <c r="H511" s="1" t="s">
        <v>1650</v>
      </c>
      <c r="I511" s="1" t="s">
        <v>29</v>
      </c>
      <c r="J511" s="1" t="s">
        <v>16</v>
      </c>
      <c r="K511" s="1" t="b">
        <v>0</v>
      </c>
      <c r="L511" s="1" t="s">
        <v>22</v>
      </c>
      <c r="M511" s="1" t="s">
        <v>16</v>
      </c>
      <c r="N511" s="1" t="s">
        <v>16</v>
      </c>
      <c r="O511" s="1" t="s">
        <v>16</v>
      </c>
      <c r="P511" s="1" t="s">
        <v>16</v>
      </c>
    </row>
    <row r="512" spans="1:19" ht="12.5" x14ac:dyDescent="0.25">
      <c r="A512" s="1">
        <v>405</v>
      </c>
      <c r="B512" s="1" t="s">
        <v>1651</v>
      </c>
      <c r="C512" s="1" t="s">
        <v>35</v>
      </c>
      <c r="D512" s="1" t="s">
        <v>36</v>
      </c>
      <c r="E512" s="1">
        <v>404</v>
      </c>
      <c r="F512" s="1" t="s">
        <v>1652</v>
      </c>
      <c r="G512" s="1" t="s">
        <v>1653</v>
      </c>
      <c r="H512" s="1" t="s">
        <v>1654</v>
      </c>
      <c r="I512" s="1" t="s">
        <v>29</v>
      </c>
      <c r="J512" s="1" t="s">
        <v>16</v>
      </c>
      <c r="K512" s="1" t="b">
        <v>0</v>
      </c>
      <c r="L512" s="1" t="s">
        <v>22</v>
      </c>
      <c r="M512" s="1">
        <v>2021</v>
      </c>
      <c r="N512" s="1" t="s">
        <v>32</v>
      </c>
      <c r="O512" s="1" t="s">
        <v>9935</v>
      </c>
      <c r="P512" s="1" t="s">
        <v>9966</v>
      </c>
      <c r="Q512" s="1">
        <v>100</v>
      </c>
      <c r="R512" s="1">
        <v>1000</v>
      </c>
      <c r="S512" s="1">
        <v>1000</v>
      </c>
    </row>
    <row r="513" spans="1:19" ht="12.5" x14ac:dyDescent="0.25">
      <c r="A513" s="1">
        <v>406</v>
      </c>
      <c r="B513" s="1" t="s">
        <v>1655</v>
      </c>
      <c r="C513" s="1" t="s">
        <v>35</v>
      </c>
      <c r="D513" s="1" t="s">
        <v>36</v>
      </c>
      <c r="E513" s="1">
        <v>405</v>
      </c>
      <c r="F513" s="1" t="s">
        <v>1656</v>
      </c>
      <c r="G513" s="1" t="s">
        <v>1657</v>
      </c>
      <c r="H513" s="1" t="s">
        <v>1658</v>
      </c>
      <c r="I513" s="1" t="s">
        <v>29</v>
      </c>
      <c r="J513" s="1" t="s">
        <v>1659</v>
      </c>
      <c r="K513" s="1" t="b">
        <v>1</v>
      </c>
      <c r="L513" s="1" t="s">
        <v>31</v>
      </c>
      <c r="M513" s="1">
        <v>2022</v>
      </c>
      <c r="N513" s="1" t="s">
        <v>16</v>
      </c>
      <c r="O513" s="1" t="s">
        <v>9935</v>
      </c>
      <c r="P513" s="1" t="s">
        <v>16</v>
      </c>
      <c r="Q513" s="1">
        <v>100</v>
      </c>
      <c r="R513" s="1">
        <v>5000</v>
      </c>
      <c r="S513" s="1">
        <v>5000</v>
      </c>
    </row>
    <row r="514" spans="1:19" ht="12.5" x14ac:dyDescent="0.25">
      <c r="A514" s="1">
        <v>406</v>
      </c>
      <c r="B514" s="1" t="s">
        <v>1655</v>
      </c>
      <c r="C514" s="1" t="s">
        <v>35</v>
      </c>
      <c r="D514" s="1" t="s">
        <v>36</v>
      </c>
      <c r="E514" s="1">
        <v>405</v>
      </c>
      <c r="F514" s="1" t="s">
        <v>1656</v>
      </c>
      <c r="G514" s="1" t="s">
        <v>1657</v>
      </c>
      <c r="H514" s="1" t="s">
        <v>1658</v>
      </c>
      <c r="I514" s="1" t="s">
        <v>29</v>
      </c>
      <c r="J514" s="1" t="s">
        <v>1659</v>
      </c>
      <c r="K514" s="1" t="b">
        <v>1</v>
      </c>
      <c r="L514" s="1" t="s">
        <v>31</v>
      </c>
      <c r="M514" s="1">
        <v>2022</v>
      </c>
      <c r="N514" s="1" t="s">
        <v>16</v>
      </c>
      <c r="O514" s="1" t="s">
        <v>9942</v>
      </c>
      <c r="P514" s="1" t="s">
        <v>16</v>
      </c>
      <c r="Q514" s="1">
        <v>100</v>
      </c>
      <c r="R514" s="1">
        <v>10000</v>
      </c>
      <c r="S514" s="1">
        <v>10000</v>
      </c>
    </row>
    <row r="515" spans="1:19" ht="12.5" x14ac:dyDescent="0.25">
      <c r="A515" s="1">
        <v>406</v>
      </c>
      <c r="B515" s="1" t="s">
        <v>1655</v>
      </c>
      <c r="C515" s="1" t="s">
        <v>35</v>
      </c>
      <c r="D515" s="1" t="s">
        <v>36</v>
      </c>
      <c r="E515" s="1">
        <v>406</v>
      </c>
      <c r="F515" s="1" t="s">
        <v>1660</v>
      </c>
      <c r="G515" s="1" t="s">
        <v>1657</v>
      </c>
      <c r="H515" s="1" t="s">
        <v>1661</v>
      </c>
      <c r="I515" s="1" t="s">
        <v>29</v>
      </c>
      <c r="J515" s="1" t="s">
        <v>16</v>
      </c>
      <c r="K515" s="1" t="b">
        <v>0</v>
      </c>
      <c r="L515" s="1" t="s">
        <v>22</v>
      </c>
      <c r="M515" s="1" t="s">
        <v>16</v>
      </c>
      <c r="N515" s="1" t="s">
        <v>16</v>
      </c>
      <c r="O515" s="1" t="s">
        <v>16</v>
      </c>
      <c r="P515" s="1" t="s">
        <v>16</v>
      </c>
      <c r="Q515" s="1">
        <v>100</v>
      </c>
    </row>
    <row r="516" spans="1:19" ht="12.5" x14ac:dyDescent="0.25">
      <c r="A516" s="1">
        <v>407</v>
      </c>
      <c r="B516" s="1" t="s">
        <v>1662</v>
      </c>
      <c r="C516" s="1" t="s">
        <v>35</v>
      </c>
      <c r="D516" s="1" t="s">
        <v>36</v>
      </c>
      <c r="E516" s="1">
        <v>407</v>
      </c>
      <c r="F516" s="1" t="s">
        <v>1663</v>
      </c>
      <c r="G516" s="1" t="s">
        <v>1664</v>
      </c>
      <c r="H516" s="1" t="s">
        <v>1161</v>
      </c>
      <c r="I516" s="1" t="s">
        <v>29</v>
      </c>
      <c r="J516" s="1" t="s">
        <v>16</v>
      </c>
      <c r="K516" s="1" t="b">
        <v>0</v>
      </c>
      <c r="L516" s="1" t="s">
        <v>22</v>
      </c>
      <c r="M516" s="1" t="s">
        <v>16</v>
      </c>
      <c r="N516" s="1" t="s">
        <v>16</v>
      </c>
      <c r="O516" s="1" t="s">
        <v>16</v>
      </c>
      <c r="P516" s="1" t="s">
        <v>16</v>
      </c>
      <c r="Q516" s="1">
        <v>100</v>
      </c>
    </row>
    <row r="517" spans="1:19" ht="12.5" x14ac:dyDescent="0.25">
      <c r="A517" s="1">
        <v>408</v>
      </c>
      <c r="B517" s="1" t="s">
        <v>1665</v>
      </c>
      <c r="C517" s="1" t="s">
        <v>35</v>
      </c>
      <c r="D517" s="1" t="s">
        <v>36</v>
      </c>
      <c r="E517" s="1">
        <v>408</v>
      </c>
      <c r="F517" s="1" t="s">
        <v>1666</v>
      </c>
      <c r="G517" s="1" t="s">
        <v>1667</v>
      </c>
      <c r="H517" s="1" t="s">
        <v>1668</v>
      </c>
      <c r="I517" s="1" t="s">
        <v>29</v>
      </c>
      <c r="J517" s="1" t="s">
        <v>16</v>
      </c>
      <c r="K517" s="1" t="b">
        <v>0</v>
      </c>
      <c r="L517" s="1" t="s">
        <v>22</v>
      </c>
      <c r="M517" s="1" t="s">
        <v>16</v>
      </c>
      <c r="N517" s="1" t="s">
        <v>16</v>
      </c>
      <c r="O517" s="1" t="s">
        <v>16</v>
      </c>
      <c r="P517" s="1" t="s">
        <v>16</v>
      </c>
      <c r="Q517" s="1">
        <v>100</v>
      </c>
    </row>
    <row r="518" spans="1:19" ht="12.5" x14ac:dyDescent="0.25">
      <c r="A518" s="1">
        <v>409</v>
      </c>
      <c r="B518" s="1" t="s">
        <v>1607</v>
      </c>
      <c r="C518" s="1" t="s">
        <v>35</v>
      </c>
      <c r="D518" s="1" t="s">
        <v>36</v>
      </c>
      <c r="E518" s="1">
        <v>409</v>
      </c>
      <c r="F518" s="1" t="s">
        <v>1669</v>
      </c>
      <c r="G518" s="1" t="s">
        <v>1670</v>
      </c>
      <c r="H518" s="1" t="s">
        <v>1671</v>
      </c>
      <c r="I518" s="1" t="s">
        <v>29</v>
      </c>
      <c r="J518" s="1" t="s">
        <v>1672</v>
      </c>
      <c r="K518" s="1" t="b">
        <v>0</v>
      </c>
      <c r="L518" s="1" t="s">
        <v>22</v>
      </c>
      <c r="M518" s="1" t="s">
        <v>16</v>
      </c>
      <c r="N518" s="1" t="s">
        <v>16</v>
      </c>
      <c r="O518" s="1" t="s">
        <v>9956</v>
      </c>
      <c r="P518" s="1" t="s">
        <v>16</v>
      </c>
      <c r="Q518" s="1">
        <v>100</v>
      </c>
      <c r="R518" s="1">
        <v>10000</v>
      </c>
      <c r="S518" s="1">
        <v>10000</v>
      </c>
    </row>
    <row r="519" spans="1:19" ht="12.5" x14ac:dyDescent="0.25">
      <c r="A519" s="1" t="s">
        <v>16</v>
      </c>
      <c r="B519" s="1" t="s">
        <v>16</v>
      </c>
      <c r="C519" s="1" t="s">
        <v>16</v>
      </c>
      <c r="D519" s="1" t="s">
        <v>16</v>
      </c>
      <c r="E519" s="1">
        <v>410</v>
      </c>
      <c r="F519" s="1" t="s">
        <v>1673</v>
      </c>
      <c r="G519" s="1" t="s">
        <v>1670</v>
      </c>
      <c r="H519" s="1" t="s">
        <v>1674</v>
      </c>
      <c r="I519" s="1" t="s">
        <v>29</v>
      </c>
      <c r="J519" s="1" t="s">
        <v>16</v>
      </c>
      <c r="K519" s="1" t="b">
        <v>0</v>
      </c>
      <c r="L519" s="1" t="s">
        <v>22</v>
      </c>
      <c r="M519" s="1">
        <v>2023</v>
      </c>
      <c r="N519" s="1" t="s">
        <v>32</v>
      </c>
      <c r="O519" s="1" t="s">
        <v>9935</v>
      </c>
      <c r="P519" s="1" t="s">
        <v>16</v>
      </c>
      <c r="R519" s="1">
        <v>2000000</v>
      </c>
    </row>
    <row r="520" spans="1:19" ht="12.5" x14ac:dyDescent="0.25">
      <c r="A520" s="1" t="s">
        <v>16</v>
      </c>
      <c r="B520" s="1" t="s">
        <v>16</v>
      </c>
      <c r="C520" s="1" t="s">
        <v>16</v>
      </c>
      <c r="D520" s="1" t="s">
        <v>16</v>
      </c>
      <c r="E520" s="1">
        <v>410</v>
      </c>
      <c r="F520" s="1" t="s">
        <v>1673</v>
      </c>
      <c r="G520" s="1" t="s">
        <v>1670</v>
      </c>
      <c r="H520" s="1" t="s">
        <v>1674</v>
      </c>
      <c r="I520" s="1" t="s">
        <v>29</v>
      </c>
      <c r="J520" s="1" t="s">
        <v>16</v>
      </c>
      <c r="K520" s="1" t="b">
        <v>0</v>
      </c>
      <c r="L520" s="1" t="s">
        <v>22</v>
      </c>
      <c r="M520" s="1">
        <v>2023</v>
      </c>
      <c r="N520" s="1" t="s">
        <v>32</v>
      </c>
      <c r="O520" s="1" t="s">
        <v>9942</v>
      </c>
      <c r="P520" s="1" t="s">
        <v>9967</v>
      </c>
      <c r="R520" s="1">
        <v>175000</v>
      </c>
    </row>
    <row r="521" spans="1:19" ht="12.5" x14ac:dyDescent="0.25">
      <c r="A521" s="1">
        <v>410</v>
      </c>
      <c r="B521" s="1" t="s">
        <v>1675</v>
      </c>
      <c r="C521" s="1" t="s">
        <v>35</v>
      </c>
      <c r="D521" s="1" t="s">
        <v>36</v>
      </c>
      <c r="E521" s="1">
        <v>411</v>
      </c>
      <c r="F521" s="1" t="s">
        <v>1676</v>
      </c>
      <c r="G521" s="1" t="s">
        <v>1677</v>
      </c>
      <c r="H521" s="1" t="s">
        <v>1622</v>
      </c>
      <c r="I521" s="1" t="s">
        <v>29</v>
      </c>
      <c r="J521" s="1" t="s">
        <v>16</v>
      </c>
      <c r="K521" s="1" t="b">
        <v>0</v>
      </c>
      <c r="L521" s="1" t="s">
        <v>22</v>
      </c>
      <c r="M521" s="1">
        <v>2024</v>
      </c>
      <c r="N521" s="1" t="s">
        <v>16</v>
      </c>
      <c r="O521" s="1" t="s">
        <v>9956</v>
      </c>
      <c r="P521" s="1" t="s">
        <v>16</v>
      </c>
      <c r="Q521" s="1">
        <v>100</v>
      </c>
      <c r="R521" s="1">
        <v>5000000</v>
      </c>
      <c r="S521" s="1">
        <v>5000000</v>
      </c>
    </row>
    <row r="522" spans="1:19" ht="12.5" x14ac:dyDescent="0.25">
      <c r="A522" s="1">
        <v>411</v>
      </c>
      <c r="B522" s="1" t="s">
        <v>1678</v>
      </c>
      <c r="C522" s="1" t="s">
        <v>35</v>
      </c>
      <c r="D522" s="1" t="s">
        <v>36</v>
      </c>
      <c r="E522" s="1">
        <v>412</v>
      </c>
      <c r="F522" s="1" t="s">
        <v>1679</v>
      </c>
      <c r="G522" s="1" t="s">
        <v>1680</v>
      </c>
      <c r="H522" s="1" t="s">
        <v>1681</v>
      </c>
      <c r="I522" s="1" t="s">
        <v>29</v>
      </c>
      <c r="J522" s="1" t="s">
        <v>16</v>
      </c>
      <c r="K522" s="1" t="b">
        <v>0</v>
      </c>
      <c r="L522" s="1" t="s">
        <v>22</v>
      </c>
      <c r="M522" s="1">
        <v>2019</v>
      </c>
      <c r="N522" s="1" t="s">
        <v>52</v>
      </c>
      <c r="O522" s="1" t="s">
        <v>9942</v>
      </c>
      <c r="P522" s="1" t="s">
        <v>9968</v>
      </c>
      <c r="Q522" s="1">
        <v>100</v>
      </c>
      <c r="R522" s="1">
        <v>70000</v>
      </c>
      <c r="S522" s="1">
        <v>70000</v>
      </c>
    </row>
    <row r="523" spans="1:19" ht="12.5" x14ac:dyDescent="0.25">
      <c r="A523" s="1">
        <v>412</v>
      </c>
      <c r="B523" s="1" t="s">
        <v>1682</v>
      </c>
      <c r="C523" s="1" t="s">
        <v>35</v>
      </c>
      <c r="D523" s="1" t="s">
        <v>36</v>
      </c>
      <c r="E523" s="1">
        <v>413</v>
      </c>
      <c r="F523" s="1" t="s">
        <v>1683</v>
      </c>
      <c r="G523" s="1" t="s">
        <v>1684</v>
      </c>
      <c r="H523" s="1" t="s">
        <v>1633</v>
      </c>
      <c r="I523" s="1" t="s">
        <v>29</v>
      </c>
      <c r="J523" s="1" t="s">
        <v>16</v>
      </c>
      <c r="K523" s="1" t="b">
        <v>0</v>
      </c>
      <c r="L523" s="1" t="s">
        <v>22</v>
      </c>
      <c r="M523" s="1">
        <v>2024</v>
      </c>
      <c r="N523" s="1" t="s">
        <v>16</v>
      </c>
      <c r="O523" s="1" t="s">
        <v>9956</v>
      </c>
      <c r="P523" s="1" t="s">
        <v>16</v>
      </c>
      <c r="Q523" s="1">
        <v>100</v>
      </c>
      <c r="R523" s="1">
        <v>3350000</v>
      </c>
      <c r="S523" s="1">
        <v>3350000</v>
      </c>
    </row>
    <row r="524" spans="1:19" ht="12.5" x14ac:dyDescent="0.25">
      <c r="A524" s="1">
        <v>414</v>
      </c>
      <c r="B524" s="1" t="s">
        <v>1685</v>
      </c>
      <c r="C524" s="1" t="s">
        <v>35</v>
      </c>
      <c r="D524" s="1" t="s">
        <v>36</v>
      </c>
      <c r="E524" s="1">
        <v>414</v>
      </c>
      <c r="F524" s="1" t="s">
        <v>1686</v>
      </c>
      <c r="G524" s="1" t="s">
        <v>1687</v>
      </c>
      <c r="H524" s="1" t="s">
        <v>1688</v>
      </c>
      <c r="I524" s="1" t="s">
        <v>29</v>
      </c>
      <c r="J524" s="1" t="s">
        <v>16</v>
      </c>
      <c r="K524" s="1" t="b">
        <v>0</v>
      </c>
      <c r="L524" s="1" t="s">
        <v>22</v>
      </c>
      <c r="M524" s="1" t="s">
        <v>16</v>
      </c>
      <c r="N524" s="1" t="s">
        <v>16</v>
      </c>
      <c r="O524" s="1" t="s">
        <v>16</v>
      </c>
      <c r="P524" s="1" t="s">
        <v>16</v>
      </c>
      <c r="Q524" s="1">
        <v>100</v>
      </c>
    </row>
    <row r="525" spans="1:19" ht="12.5" x14ac:dyDescent="0.25">
      <c r="A525" s="1">
        <v>415</v>
      </c>
      <c r="B525" s="1" t="s">
        <v>1689</v>
      </c>
      <c r="C525" s="1" t="s">
        <v>35</v>
      </c>
      <c r="D525" s="1" t="s">
        <v>36</v>
      </c>
      <c r="E525" s="1">
        <v>415</v>
      </c>
      <c r="F525" s="1" t="s">
        <v>1690</v>
      </c>
      <c r="G525" s="1" t="s">
        <v>1691</v>
      </c>
      <c r="H525" s="1" t="s">
        <v>1692</v>
      </c>
      <c r="I525" s="1" t="s">
        <v>29</v>
      </c>
      <c r="J525" s="1" t="s">
        <v>16</v>
      </c>
      <c r="K525" s="1" t="b">
        <v>0</v>
      </c>
      <c r="L525" s="1" t="s">
        <v>22</v>
      </c>
      <c r="M525" s="1" t="s">
        <v>16</v>
      </c>
      <c r="N525" s="1" t="s">
        <v>16</v>
      </c>
      <c r="O525" s="1" t="s">
        <v>16</v>
      </c>
      <c r="P525" s="1" t="s">
        <v>16</v>
      </c>
      <c r="Q525" s="1">
        <v>100</v>
      </c>
    </row>
    <row r="526" spans="1:19" ht="12.5" x14ac:dyDescent="0.25">
      <c r="A526" s="1">
        <v>415</v>
      </c>
      <c r="B526" s="1" t="s">
        <v>1689</v>
      </c>
      <c r="C526" s="1" t="s">
        <v>35</v>
      </c>
      <c r="D526" s="1" t="s">
        <v>36</v>
      </c>
      <c r="E526" s="1">
        <v>416</v>
      </c>
      <c r="F526" s="1" t="s">
        <v>1693</v>
      </c>
      <c r="G526" s="1" t="s">
        <v>1691</v>
      </c>
      <c r="H526" s="1" t="s">
        <v>1694</v>
      </c>
      <c r="I526" s="1" t="s">
        <v>20</v>
      </c>
      <c r="J526" s="1" t="s">
        <v>1695</v>
      </c>
      <c r="K526" s="1" t="b">
        <v>0</v>
      </c>
      <c r="L526" s="1" t="s">
        <v>22</v>
      </c>
      <c r="M526" s="1">
        <v>2025</v>
      </c>
      <c r="N526" s="1" t="s">
        <v>16</v>
      </c>
      <c r="O526" s="1" t="s">
        <v>9956</v>
      </c>
      <c r="P526" s="1" t="s">
        <v>16</v>
      </c>
      <c r="Q526" s="1">
        <v>100</v>
      </c>
      <c r="R526" s="1">
        <v>35000000</v>
      </c>
      <c r="S526" s="1">
        <v>35000000</v>
      </c>
    </row>
    <row r="527" spans="1:19" ht="12.5" x14ac:dyDescent="0.25">
      <c r="A527" s="1">
        <v>416</v>
      </c>
      <c r="B527" s="1" t="s">
        <v>1696</v>
      </c>
      <c r="C527" s="1" t="s">
        <v>35</v>
      </c>
      <c r="D527" s="1" t="s">
        <v>36</v>
      </c>
      <c r="E527" s="1">
        <v>417</v>
      </c>
      <c r="F527" s="1" t="s">
        <v>1697</v>
      </c>
      <c r="G527" s="1" t="s">
        <v>1698</v>
      </c>
      <c r="H527" s="1" t="s">
        <v>1699</v>
      </c>
      <c r="I527" s="1" t="s">
        <v>20</v>
      </c>
      <c r="J527" s="1" t="s">
        <v>16</v>
      </c>
      <c r="K527" s="1" t="b">
        <v>0</v>
      </c>
      <c r="L527" s="1" t="s">
        <v>22</v>
      </c>
      <c r="M527" s="1" t="s">
        <v>16</v>
      </c>
      <c r="N527" s="1" t="s">
        <v>16</v>
      </c>
      <c r="O527" s="1" t="s">
        <v>16</v>
      </c>
      <c r="P527" s="1" t="s">
        <v>16</v>
      </c>
      <c r="Q527" s="1">
        <v>100</v>
      </c>
    </row>
    <row r="528" spans="1:19" ht="12.5" x14ac:dyDescent="0.25">
      <c r="A528" s="1">
        <v>416</v>
      </c>
      <c r="B528" s="1" t="s">
        <v>1696</v>
      </c>
      <c r="C528" s="1" t="s">
        <v>35</v>
      </c>
      <c r="D528" s="1" t="s">
        <v>36</v>
      </c>
      <c r="E528" s="1">
        <v>418</v>
      </c>
      <c r="F528" s="1" t="s">
        <v>1700</v>
      </c>
      <c r="G528" s="1" t="s">
        <v>1701</v>
      </c>
      <c r="H528" s="1" t="s">
        <v>1699</v>
      </c>
      <c r="I528" s="1" t="s">
        <v>20</v>
      </c>
      <c r="J528" s="1" t="s">
        <v>1702</v>
      </c>
      <c r="K528" s="1" t="b">
        <v>0</v>
      </c>
      <c r="L528" s="1" t="s">
        <v>22</v>
      </c>
      <c r="M528" s="1" t="s">
        <v>16</v>
      </c>
      <c r="N528" s="1" t="s">
        <v>16</v>
      </c>
      <c r="O528" s="1" t="s">
        <v>16</v>
      </c>
      <c r="P528" s="1" t="s">
        <v>16</v>
      </c>
      <c r="Q528" s="1">
        <v>20</v>
      </c>
    </row>
    <row r="529" spans="1:19" ht="12.5" x14ac:dyDescent="0.25">
      <c r="A529" s="1">
        <v>417</v>
      </c>
      <c r="B529" s="1" t="s">
        <v>1703</v>
      </c>
      <c r="C529" s="1" t="s">
        <v>35</v>
      </c>
      <c r="D529" s="1" t="s">
        <v>36</v>
      </c>
      <c r="E529" s="1">
        <v>418</v>
      </c>
      <c r="F529" s="1" t="s">
        <v>1700</v>
      </c>
      <c r="G529" s="1" t="s">
        <v>1701</v>
      </c>
      <c r="H529" s="1" t="s">
        <v>1699</v>
      </c>
      <c r="I529" s="1" t="s">
        <v>20</v>
      </c>
      <c r="J529" s="1" t="s">
        <v>1702</v>
      </c>
      <c r="K529" s="1" t="b">
        <v>0</v>
      </c>
      <c r="L529" s="1" t="s">
        <v>22</v>
      </c>
      <c r="M529" s="1" t="s">
        <v>16</v>
      </c>
      <c r="N529" s="1" t="s">
        <v>16</v>
      </c>
      <c r="O529" s="1" t="s">
        <v>16</v>
      </c>
      <c r="P529" s="1" t="s">
        <v>16</v>
      </c>
      <c r="Q529" s="1">
        <v>80</v>
      </c>
    </row>
    <row r="530" spans="1:19" ht="12.5" x14ac:dyDescent="0.25">
      <c r="A530" s="1">
        <v>418</v>
      </c>
      <c r="B530" s="1" t="s">
        <v>1704</v>
      </c>
      <c r="C530" s="1" t="s">
        <v>35</v>
      </c>
      <c r="D530" s="1" t="s">
        <v>36</v>
      </c>
      <c r="E530" s="1">
        <v>419</v>
      </c>
      <c r="F530" s="1" t="s">
        <v>1705</v>
      </c>
      <c r="G530" s="1" t="s">
        <v>1706</v>
      </c>
      <c r="H530" s="1" t="s">
        <v>1161</v>
      </c>
      <c r="I530" s="1" t="s">
        <v>29</v>
      </c>
      <c r="J530" s="1" t="s">
        <v>16</v>
      </c>
      <c r="K530" s="1" t="b">
        <v>0</v>
      </c>
      <c r="L530" s="1" t="s">
        <v>22</v>
      </c>
      <c r="M530" s="1" t="s">
        <v>16</v>
      </c>
      <c r="N530" s="1" t="s">
        <v>16</v>
      </c>
      <c r="O530" s="1" t="s">
        <v>16</v>
      </c>
      <c r="P530" s="1" t="s">
        <v>16</v>
      </c>
      <c r="Q530" s="1">
        <v>100</v>
      </c>
    </row>
    <row r="531" spans="1:19" ht="12.5" x14ac:dyDescent="0.25">
      <c r="A531" s="1">
        <v>419</v>
      </c>
      <c r="B531" s="1" t="s">
        <v>1707</v>
      </c>
      <c r="C531" s="1" t="s">
        <v>35</v>
      </c>
      <c r="D531" s="1" t="s">
        <v>36</v>
      </c>
      <c r="E531" s="1">
        <v>420</v>
      </c>
      <c r="F531" s="1" t="s">
        <v>1708</v>
      </c>
      <c r="G531" s="1" t="s">
        <v>1709</v>
      </c>
      <c r="H531" s="1" t="s">
        <v>1710</v>
      </c>
      <c r="I531" s="1" t="s">
        <v>29</v>
      </c>
      <c r="J531" s="1" t="s">
        <v>16</v>
      </c>
      <c r="K531" s="1" t="b">
        <v>0</v>
      </c>
      <c r="L531" s="1" t="s">
        <v>22</v>
      </c>
      <c r="M531" s="1" t="s">
        <v>16</v>
      </c>
      <c r="N531" s="1" t="s">
        <v>16</v>
      </c>
      <c r="O531" s="1" t="s">
        <v>16</v>
      </c>
      <c r="P531" s="1" t="s">
        <v>16</v>
      </c>
      <c r="Q531" s="1">
        <v>100</v>
      </c>
    </row>
    <row r="532" spans="1:19" ht="12.5" x14ac:dyDescent="0.25">
      <c r="A532" s="1" t="s">
        <v>16</v>
      </c>
      <c r="B532" s="1" t="s">
        <v>16</v>
      </c>
      <c r="C532" s="1" t="s">
        <v>16</v>
      </c>
      <c r="D532" s="1" t="s">
        <v>16</v>
      </c>
      <c r="E532" s="1">
        <v>421</v>
      </c>
      <c r="F532" s="1" t="s">
        <v>1711</v>
      </c>
      <c r="G532" s="1" t="s">
        <v>1712</v>
      </c>
      <c r="H532" s="1" t="s">
        <v>1713</v>
      </c>
      <c r="I532" s="1" t="s">
        <v>20</v>
      </c>
      <c r="J532" s="1" t="s">
        <v>16</v>
      </c>
      <c r="K532" s="1" t="b">
        <v>0</v>
      </c>
      <c r="L532" s="1" t="s">
        <v>22</v>
      </c>
      <c r="M532" s="1">
        <v>2021</v>
      </c>
      <c r="N532" s="1" t="s">
        <v>16</v>
      </c>
      <c r="O532" s="1" t="s">
        <v>9956</v>
      </c>
      <c r="P532" s="1" t="s">
        <v>16</v>
      </c>
      <c r="R532" s="1">
        <v>673800</v>
      </c>
    </row>
    <row r="533" spans="1:19" ht="12.5" x14ac:dyDescent="0.25">
      <c r="A533" s="1">
        <v>421</v>
      </c>
      <c r="B533" s="1" t="s">
        <v>1714</v>
      </c>
      <c r="C533" s="1" t="s">
        <v>35</v>
      </c>
      <c r="D533" s="1" t="s">
        <v>36</v>
      </c>
      <c r="E533" s="1">
        <v>422</v>
      </c>
      <c r="F533" s="1" t="s">
        <v>1715</v>
      </c>
      <c r="G533" s="1" t="s">
        <v>1716</v>
      </c>
      <c r="H533" s="1" t="s">
        <v>1717</v>
      </c>
      <c r="I533" s="1" t="s">
        <v>20</v>
      </c>
      <c r="J533" s="1" t="s">
        <v>16</v>
      </c>
      <c r="K533" s="1" t="b">
        <v>0</v>
      </c>
      <c r="L533" s="1" t="s">
        <v>22</v>
      </c>
      <c r="M533" s="1" t="s">
        <v>16</v>
      </c>
      <c r="N533" s="1" t="s">
        <v>16</v>
      </c>
      <c r="O533" s="1" t="s">
        <v>16</v>
      </c>
      <c r="P533" s="1" t="s">
        <v>16</v>
      </c>
      <c r="Q533" s="1">
        <v>100</v>
      </c>
    </row>
    <row r="534" spans="1:19" ht="12.5" x14ac:dyDescent="0.25">
      <c r="A534" s="1">
        <v>420</v>
      </c>
      <c r="B534" s="1" t="s">
        <v>1718</v>
      </c>
      <c r="C534" s="1" t="s">
        <v>35</v>
      </c>
      <c r="D534" s="1" t="s">
        <v>36</v>
      </c>
      <c r="E534" s="1">
        <v>423</v>
      </c>
      <c r="F534" s="1" t="s">
        <v>1719</v>
      </c>
      <c r="G534" s="1" t="s">
        <v>1720</v>
      </c>
      <c r="H534" s="1" t="s">
        <v>1721</v>
      </c>
      <c r="I534" s="1" t="s">
        <v>20</v>
      </c>
      <c r="J534" s="1" t="s">
        <v>1722</v>
      </c>
      <c r="K534" s="1" t="b">
        <v>0</v>
      </c>
      <c r="L534" s="1" t="s">
        <v>22</v>
      </c>
      <c r="M534" s="1">
        <v>2022</v>
      </c>
      <c r="N534" s="1" t="s">
        <v>16</v>
      </c>
      <c r="O534" s="1" t="s">
        <v>9956</v>
      </c>
      <c r="P534" s="1" t="s">
        <v>9969</v>
      </c>
      <c r="Q534" s="1">
        <v>10</v>
      </c>
      <c r="R534" s="1">
        <v>645621</v>
      </c>
      <c r="S534" s="1">
        <v>64562.1</v>
      </c>
    </row>
    <row r="535" spans="1:19" ht="12.5" x14ac:dyDescent="0.25">
      <c r="A535" s="1">
        <v>421</v>
      </c>
      <c r="B535" s="1" t="s">
        <v>1714</v>
      </c>
      <c r="C535" s="1" t="s">
        <v>35</v>
      </c>
      <c r="D535" s="1" t="s">
        <v>36</v>
      </c>
      <c r="E535" s="1">
        <v>423</v>
      </c>
      <c r="F535" s="1" t="s">
        <v>1719</v>
      </c>
      <c r="G535" s="1" t="s">
        <v>1720</v>
      </c>
      <c r="H535" s="1" t="s">
        <v>1721</v>
      </c>
      <c r="I535" s="1" t="s">
        <v>20</v>
      </c>
      <c r="J535" s="1" t="s">
        <v>1722</v>
      </c>
      <c r="K535" s="1" t="b">
        <v>0</v>
      </c>
      <c r="L535" s="1" t="s">
        <v>22</v>
      </c>
      <c r="M535" s="1">
        <v>2022</v>
      </c>
      <c r="N535" s="1" t="s">
        <v>16</v>
      </c>
      <c r="O535" s="1" t="s">
        <v>9956</v>
      </c>
      <c r="P535" s="1" t="s">
        <v>9969</v>
      </c>
      <c r="Q535" s="1">
        <v>75</v>
      </c>
      <c r="R535" s="1">
        <v>645621</v>
      </c>
      <c r="S535" s="1">
        <v>484215.75</v>
      </c>
    </row>
    <row r="536" spans="1:19" ht="12.5" x14ac:dyDescent="0.25">
      <c r="A536" s="1">
        <v>422</v>
      </c>
      <c r="B536" s="1" t="s">
        <v>1723</v>
      </c>
      <c r="C536" s="1" t="s">
        <v>35</v>
      </c>
      <c r="D536" s="1" t="s">
        <v>36</v>
      </c>
      <c r="E536" s="1">
        <v>423</v>
      </c>
      <c r="F536" s="1" t="s">
        <v>1719</v>
      </c>
      <c r="G536" s="1" t="s">
        <v>1720</v>
      </c>
      <c r="H536" s="1" t="s">
        <v>1721</v>
      </c>
      <c r="I536" s="1" t="s">
        <v>20</v>
      </c>
      <c r="J536" s="1" t="s">
        <v>1722</v>
      </c>
      <c r="K536" s="1" t="b">
        <v>0</v>
      </c>
      <c r="L536" s="1" t="s">
        <v>22</v>
      </c>
      <c r="M536" s="1">
        <v>2022</v>
      </c>
      <c r="N536" s="1" t="s">
        <v>16</v>
      </c>
      <c r="O536" s="1" t="s">
        <v>9956</v>
      </c>
      <c r="P536" s="1" t="s">
        <v>9969</v>
      </c>
      <c r="Q536" s="1">
        <v>10</v>
      </c>
      <c r="R536" s="1">
        <v>645621</v>
      </c>
      <c r="S536" s="1">
        <v>64562.1</v>
      </c>
    </row>
    <row r="537" spans="1:19" ht="12.5" x14ac:dyDescent="0.25">
      <c r="A537" s="1">
        <v>4535</v>
      </c>
      <c r="B537" s="1" t="s">
        <v>1724</v>
      </c>
      <c r="C537" s="1" t="s">
        <v>35</v>
      </c>
      <c r="D537" s="1" t="s">
        <v>36</v>
      </c>
      <c r="E537" s="1">
        <v>423</v>
      </c>
      <c r="F537" s="1" t="s">
        <v>1719</v>
      </c>
      <c r="G537" s="1" t="s">
        <v>1720</v>
      </c>
      <c r="H537" s="1" t="s">
        <v>1721</v>
      </c>
      <c r="I537" s="1" t="s">
        <v>20</v>
      </c>
      <c r="J537" s="1" t="s">
        <v>1722</v>
      </c>
      <c r="K537" s="1" t="b">
        <v>0</v>
      </c>
      <c r="L537" s="1" t="s">
        <v>22</v>
      </c>
      <c r="M537" s="1">
        <v>2022</v>
      </c>
      <c r="N537" s="1" t="s">
        <v>16</v>
      </c>
      <c r="O537" s="1" t="s">
        <v>9956</v>
      </c>
      <c r="P537" s="1" t="s">
        <v>9969</v>
      </c>
      <c r="Q537" s="1">
        <v>5</v>
      </c>
      <c r="R537" s="1">
        <v>645621</v>
      </c>
      <c r="S537" s="1">
        <v>32281.05</v>
      </c>
    </row>
    <row r="538" spans="1:19" ht="12.5" x14ac:dyDescent="0.25">
      <c r="A538" s="1" t="s">
        <v>16</v>
      </c>
      <c r="B538" s="1" t="s">
        <v>16</v>
      </c>
      <c r="C538" s="1" t="s">
        <v>16</v>
      </c>
      <c r="D538" s="1" t="s">
        <v>16</v>
      </c>
      <c r="E538" s="1">
        <v>424</v>
      </c>
      <c r="F538" s="1" t="s">
        <v>1725</v>
      </c>
      <c r="G538" s="1" t="s">
        <v>1726</v>
      </c>
      <c r="H538" s="1" t="s">
        <v>1727</v>
      </c>
      <c r="I538" s="1" t="s">
        <v>29</v>
      </c>
      <c r="J538" s="1" t="s">
        <v>1728</v>
      </c>
      <c r="K538" s="1" t="b">
        <v>0</v>
      </c>
      <c r="L538" s="1" t="s">
        <v>22</v>
      </c>
      <c r="M538" s="1" t="s">
        <v>16</v>
      </c>
      <c r="N538" s="1" t="s">
        <v>16</v>
      </c>
      <c r="O538" s="1" t="s">
        <v>9942</v>
      </c>
      <c r="P538" s="1" t="s">
        <v>16</v>
      </c>
      <c r="R538" s="1">
        <v>185000</v>
      </c>
    </row>
    <row r="539" spans="1:19" ht="12.5" x14ac:dyDescent="0.25">
      <c r="A539" s="1">
        <v>423</v>
      </c>
      <c r="B539" s="1" t="s">
        <v>1729</v>
      </c>
      <c r="C539" s="1" t="s">
        <v>35</v>
      </c>
      <c r="D539" s="1" t="s">
        <v>36</v>
      </c>
      <c r="E539" s="1">
        <v>425</v>
      </c>
      <c r="F539" s="1" t="s">
        <v>1730</v>
      </c>
      <c r="G539" s="1" t="s">
        <v>1731</v>
      </c>
      <c r="H539" s="1" t="s">
        <v>1732</v>
      </c>
      <c r="I539" s="1" t="s">
        <v>20</v>
      </c>
      <c r="J539" s="1" t="s">
        <v>1733</v>
      </c>
      <c r="K539" s="1" t="b">
        <v>0</v>
      </c>
      <c r="L539" s="1" t="s">
        <v>22</v>
      </c>
      <c r="M539" s="1" t="s">
        <v>16</v>
      </c>
      <c r="N539" s="1" t="s">
        <v>16</v>
      </c>
      <c r="O539" s="1" t="s">
        <v>16</v>
      </c>
      <c r="P539" s="1" t="s">
        <v>16</v>
      </c>
      <c r="Q539" s="1">
        <v>100</v>
      </c>
    </row>
    <row r="540" spans="1:19" ht="12.5" x14ac:dyDescent="0.25">
      <c r="A540" s="1">
        <v>424</v>
      </c>
      <c r="B540" s="1" t="s">
        <v>1734</v>
      </c>
      <c r="C540" s="1" t="s">
        <v>35</v>
      </c>
      <c r="D540" s="1" t="s">
        <v>36</v>
      </c>
      <c r="E540" s="1">
        <v>426</v>
      </c>
      <c r="F540" s="1" t="s">
        <v>1735</v>
      </c>
      <c r="G540" s="1" t="s">
        <v>1736</v>
      </c>
      <c r="H540" s="1" t="s">
        <v>1737</v>
      </c>
      <c r="I540" s="1" t="s">
        <v>29</v>
      </c>
      <c r="J540" s="1" t="s">
        <v>16</v>
      </c>
      <c r="K540" s="1" t="b">
        <v>0</v>
      </c>
      <c r="L540" s="1" t="s">
        <v>22</v>
      </c>
      <c r="M540" s="1" t="s">
        <v>16</v>
      </c>
      <c r="N540" s="1" t="s">
        <v>16</v>
      </c>
      <c r="O540" s="1" t="s">
        <v>9942</v>
      </c>
      <c r="P540" s="1" t="s">
        <v>16</v>
      </c>
      <c r="Q540" s="1">
        <v>100</v>
      </c>
      <c r="R540" s="1">
        <v>110000</v>
      </c>
      <c r="S540" s="1">
        <v>110000</v>
      </c>
    </row>
    <row r="541" spans="1:19" ht="12.5" x14ac:dyDescent="0.25">
      <c r="A541" s="1">
        <v>425</v>
      </c>
      <c r="B541" s="1" t="s">
        <v>1738</v>
      </c>
      <c r="C541" s="1" t="s">
        <v>35</v>
      </c>
      <c r="D541" s="1" t="s">
        <v>36</v>
      </c>
      <c r="E541" s="1">
        <v>427</v>
      </c>
      <c r="F541" s="1" t="s">
        <v>1739</v>
      </c>
      <c r="G541" s="1" t="s">
        <v>1740</v>
      </c>
      <c r="H541" s="1" t="s">
        <v>1741</v>
      </c>
      <c r="I541" s="1" t="s">
        <v>29</v>
      </c>
      <c r="J541" s="1" t="s">
        <v>16</v>
      </c>
      <c r="K541" s="1" t="b">
        <v>0</v>
      </c>
      <c r="L541" s="1" t="s">
        <v>22</v>
      </c>
      <c r="M541" s="1">
        <v>2022</v>
      </c>
      <c r="N541" s="1" t="s">
        <v>52</v>
      </c>
      <c r="O541" s="1" t="s">
        <v>9935</v>
      </c>
      <c r="P541" s="1" t="s">
        <v>16</v>
      </c>
      <c r="Q541" s="1">
        <v>100</v>
      </c>
      <c r="R541" s="1">
        <v>100000</v>
      </c>
      <c r="S541" s="1">
        <v>100000</v>
      </c>
    </row>
    <row r="542" spans="1:19" ht="12.5" x14ac:dyDescent="0.25">
      <c r="A542" s="1">
        <v>426</v>
      </c>
      <c r="B542" s="1" t="s">
        <v>1742</v>
      </c>
      <c r="C542" s="1" t="s">
        <v>35</v>
      </c>
      <c r="D542" s="1" t="s">
        <v>36</v>
      </c>
      <c r="E542" s="1">
        <v>428</v>
      </c>
      <c r="F542" s="1" t="s">
        <v>1743</v>
      </c>
      <c r="G542" s="1" t="s">
        <v>1744</v>
      </c>
      <c r="H542" s="1" t="s">
        <v>1209</v>
      </c>
      <c r="I542" s="1" t="s">
        <v>29</v>
      </c>
      <c r="J542" s="1" t="s">
        <v>16</v>
      </c>
      <c r="K542" s="1" t="b">
        <v>0</v>
      </c>
      <c r="L542" s="1" t="s">
        <v>22</v>
      </c>
      <c r="M542" s="1">
        <v>2022</v>
      </c>
      <c r="N542" s="1" t="s">
        <v>52</v>
      </c>
      <c r="O542" s="1" t="s">
        <v>9942</v>
      </c>
      <c r="P542" s="1" t="s">
        <v>16</v>
      </c>
      <c r="Q542" s="1">
        <v>100</v>
      </c>
      <c r="R542" s="1">
        <v>150000</v>
      </c>
      <c r="S542" s="1">
        <v>150000</v>
      </c>
    </row>
    <row r="543" spans="1:19" ht="12.5" x14ac:dyDescent="0.25">
      <c r="A543" s="1">
        <v>426</v>
      </c>
      <c r="B543" s="1" t="s">
        <v>1742</v>
      </c>
      <c r="C543" s="1" t="s">
        <v>35</v>
      </c>
      <c r="D543" s="1" t="s">
        <v>36</v>
      </c>
      <c r="E543" s="1">
        <v>428</v>
      </c>
      <c r="F543" s="1" t="s">
        <v>1743</v>
      </c>
      <c r="G543" s="1" t="s">
        <v>1744</v>
      </c>
      <c r="H543" s="1" t="s">
        <v>1209</v>
      </c>
      <c r="I543" s="1" t="s">
        <v>29</v>
      </c>
      <c r="J543" s="1" t="s">
        <v>16</v>
      </c>
      <c r="K543" s="1" t="b">
        <v>0</v>
      </c>
      <c r="L543" s="1" t="s">
        <v>22</v>
      </c>
      <c r="M543" s="1">
        <v>2022</v>
      </c>
      <c r="N543" s="1" t="s">
        <v>52</v>
      </c>
      <c r="O543" s="1" t="s">
        <v>9935</v>
      </c>
      <c r="P543" s="1" t="s">
        <v>16</v>
      </c>
      <c r="Q543" s="1">
        <v>100</v>
      </c>
      <c r="R543" s="1">
        <v>65000</v>
      </c>
      <c r="S543" s="1">
        <v>65000</v>
      </c>
    </row>
    <row r="544" spans="1:19" ht="12.5" x14ac:dyDescent="0.25">
      <c r="A544" s="1">
        <v>428</v>
      </c>
      <c r="B544" s="1" t="s">
        <v>1745</v>
      </c>
      <c r="C544" s="1" t="s">
        <v>35</v>
      </c>
      <c r="D544" s="1" t="s">
        <v>36</v>
      </c>
      <c r="E544" s="1">
        <v>429</v>
      </c>
      <c r="F544" s="1" t="s">
        <v>1746</v>
      </c>
      <c r="G544" s="1" t="s">
        <v>1747</v>
      </c>
      <c r="H544" s="1" t="s">
        <v>1748</v>
      </c>
      <c r="I544" s="1" t="s">
        <v>29</v>
      </c>
      <c r="J544" s="1" t="s">
        <v>16</v>
      </c>
      <c r="K544" s="1" t="b">
        <v>0</v>
      </c>
      <c r="L544" s="1" t="s">
        <v>22</v>
      </c>
      <c r="M544" s="1" t="s">
        <v>16</v>
      </c>
      <c r="N544" s="1" t="s">
        <v>16</v>
      </c>
      <c r="O544" s="1" t="s">
        <v>16</v>
      </c>
      <c r="P544" s="1" t="s">
        <v>16</v>
      </c>
      <c r="Q544" s="1">
        <v>100</v>
      </c>
    </row>
    <row r="545" spans="1:19" ht="12.5" x14ac:dyDescent="0.25">
      <c r="A545" s="1">
        <v>428</v>
      </c>
      <c r="B545" s="1" t="s">
        <v>1745</v>
      </c>
      <c r="C545" s="1" t="s">
        <v>35</v>
      </c>
      <c r="D545" s="1" t="s">
        <v>36</v>
      </c>
      <c r="E545" s="1">
        <v>430</v>
      </c>
      <c r="F545" s="1" t="s">
        <v>1749</v>
      </c>
      <c r="G545" s="1" t="s">
        <v>1750</v>
      </c>
      <c r="H545" s="1" t="s">
        <v>1751</v>
      </c>
      <c r="I545" s="1" t="s">
        <v>20</v>
      </c>
      <c r="J545" s="1" t="s">
        <v>16</v>
      </c>
      <c r="K545" s="1" t="b">
        <v>0</v>
      </c>
      <c r="L545" s="1" t="s">
        <v>22</v>
      </c>
      <c r="M545" s="1" t="s">
        <v>16</v>
      </c>
      <c r="N545" s="1" t="s">
        <v>16</v>
      </c>
      <c r="O545" s="1" t="s">
        <v>16</v>
      </c>
      <c r="P545" s="1" t="s">
        <v>16</v>
      </c>
      <c r="Q545" s="1">
        <v>100</v>
      </c>
    </row>
    <row r="546" spans="1:19" ht="12.5" x14ac:dyDescent="0.25">
      <c r="A546" s="1">
        <v>429</v>
      </c>
      <c r="B546" s="1" t="s">
        <v>1752</v>
      </c>
      <c r="C546" s="1" t="s">
        <v>35</v>
      </c>
      <c r="D546" s="1" t="s">
        <v>36</v>
      </c>
      <c r="E546" s="1">
        <v>431</v>
      </c>
      <c r="F546" s="1" t="s">
        <v>1753</v>
      </c>
      <c r="G546" s="1" t="s">
        <v>1754</v>
      </c>
      <c r="H546" s="1" t="s">
        <v>1755</v>
      </c>
      <c r="I546" s="1" t="s">
        <v>20</v>
      </c>
      <c r="J546" s="1" t="s">
        <v>16</v>
      </c>
      <c r="K546" s="1" t="b">
        <v>0</v>
      </c>
      <c r="L546" s="1" t="s">
        <v>22</v>
      </c>
      <c r="M546" s="1" t="s">
        <v>16</v>
      </c>
      <c r="N546" s="1" t="s">
        <v>16</v>
      </c>
      <c r="O546" s="1" t="s">
        <v>16</v>
      </c>
      <c r="P546" s="1" t="s">
        <v>16</v>
      </c>
      <c r="Q546" s="1">
        <v>100</v>
      </c>
    </row>
    <row r="547" spans="1:19" ht="12.5" x14ac:dyDescent="0.25">
      <c r="A547" s="1">
        <v>430</v>
      </c>
      <c r="B547" s="1" t="s">
        <v>1756</v>
      </c>
      <c r="C547" s="1" t="s">
        <v>35</v>
      </c>
      <c r="D547" s="1" t="s">
        <v>36</v>
      </c>
      <c r="E547" s="1">
        <v>432</v>
      </c>
      <c r="F547" s="1" t="s">
        <v>1757</v>
      </c>
      <c r="G547" s="1" t="s">
        <v>1758</v>
      </c>
      <c r="H547" s="1" t="s">
        <v>1759</v>
      </c>
      <c r="I547" s="1" t="s">
        <v>29</v>
      </c>
      <c r="J547" s="1" t="s">
        <v>1760</v>
      </c>
      <c r="K547" s="1" t="b">
        <v>0</v>
      </c>
      <c r="L547" s="1" t="s">
        <v>22</v>
      </c>
      <c r="M547" s="1">
        <v>2021</v>
      </c>
      <c r="N547" s="1" t="s">
        <v>32</v>
      </c>
      <c r="O547" s="1" t="s">
        <v>9935</v>
      </c>
      <c r="P547" s="1">
        <v>41759</v>
      </c>
      <c r="Q547" s="1">
        <v>100</v>
      </c>
      <c r="R547" s="1">
        <v>150000</v>
      </c>
      <c r="S547" s="1">
        <v>150000</v>
      </c>
    </row>
    <row r="548" spans="1:19" ht="12.5" x14ac:dyDescent="0.25">
      <c r="A548" s="1">
        <v>430</v>
      </c>
      <c r="B548" s="1" t="s">
        <v>1756</v>
      </c>
      <c r="C548" s="1" t="s">
        <v>35</v>
      </c>
      <c r="D548" s="1" t="s">
        <v>36</v>
      </c>
      <c r="E548" s="1">
        <v>432</v>
      </c>
      <c r="F548" s="1" t="s">
        <v>1757</v>
      </c>
      <c r="G548" s="1" t="s">
        <v>1758</v>
      </c>
      <c r="H548" s="1" t="s">
        <v>1759</v>
      </c>
      <c r="I548" s="1" t="s">
        <v>29</v>
      </c>
      <c r="J548" s="1" t="s">
        <v>1760</v>
      </c>
      <c r="K548" s="1" t="b">
        <v>0</v>
      </c>
      <c r="L548" s="1" t="s">
        <v>22</v>
      </c>
      <c r="M548" s="1">
        <v>2021</v>
      </c>
      <c r="N548" s="1" t="s">
        <v>32</v>
      </c>
      <c r="O548" s="1" t="s">
        <v>9942</v>
      </c>
      <c r="P548" s="1">
        <v>41641</v>
      </c>
      <c r="Q548" s="1">
        <v>100</v>
      </c>
      <c r="R548" s="1">
        <v>100000</v>
      </c>
      <c r="S548" s="1">
        <v>100000</v>
      </c>
    </row>
    <row r="549" spans="1:19" ht="12.5" x14ac:dyDescent="0.25">
      <c r="A549" s="1">
        <v>431</v>
      </c>
      <c r="B549" s="1" t="s">
        <v>1761</v>
      </c>
      <c r="C549" s="1" t="s">
        <v>35</v>
      </c>
      <c r="D549" s="1" t="s">
        <v>36</v>
      </c>
      <c r="E549" s="1">
        <v>433</v>
      </c>
      <c r="F549" s="1" t="s">
        <v>1762</v>
      </c>
      <c r="G549" s="1" t="s">
        <v>1763</v>
      </c>
      <c r="H549" s="1" t="s">
        <v>1764</v>
      </c>
      <c r="I549" s="1" t="s">
        <v>29</v>
      </c>
      <c r="J549" s="1" t="s">
        <v>16</v>
      </c>
      <c r="K549" s="1" t="b">
        <v>0</v>
      </c>
      <c r="L549" s="1" t="s">
        <v>22</v>
      </c>
      <c r="M549" s="1" t="s">
        <v>16</v>
      </c>
      <c r="N549" s="1" t="s">
        <v>16</v>
      </c>
      <c r="O549" s="1" t="s">
        <v>16</v>
      </c>
      <c r="P549" s="1" t="s">
        <v>16</v>
      </c>
      <c r="Q549" s="1">
        <v>100</v>
      </c>
    </row>
    <row r="550" spans="1:19" ht="12.5" x14ac:dyDescent="0.25">
      <c r="A550" s="1">
        <v>433</v>
      </c>
      <c r="B550" s="1" t="s">
        <v>1765</v>
      </c>
      <c r="C550" s="1" t="s">
        <v>35</v>
      </c>
      <c r="D550" s="1" t="s">
        <v>36</v>
      </c>
      <c r="E550" s="1">
        <v>434</v>
      </c>
      <c r="F550" s="1" t="s">
        <v>1766</v>
      </c>
      <c r="G550" s="1" t="s">
        <v>1767</v>
      </c>
      <c r="H550" s="1" t="s">
        <v>1768</v>
      </c>
      <c r="I550" s="1" t="s">
        <v>20</v>
      </c>
      <c r="J550" s="1" t="s">
        <v>16</v>
      </c>
      <c r="K550" s="1" t="b">
        <v>0</v>
      </c>
      <c r="L550" s="1" t="s">
        <v>22</v>
      </c>
      <c r="M550" s="1" t="s">
        <v>16</v>
      </c>
      <c r="N550" s="1" t="s">
        <v>16</v>
      </c>
      <c r="O550" s="1" t="s">
        <v>16</v>
      </c>
      <c r="P550" s="1" t="s">
        <v>16</v>
      </c>
      <c r="Q550" s="1">
        <v>100</v>
      </c>
    </row>
    <row r="551" spans="1:19" ht="12.5" x14ac:dyDescent="0.25">
      <c r="A551" s="1">
        <v>434</v>
      </c>
      <c r="B551" s="1" t="s">
        <v>1769</v>
      </c>
      <c r="C551" s="1" t="s">
        <v>35</v>
      </c>
      <c r="D551" s="1" t="s">
        <v>36</v>
      </c>
      <c r="E551" s="1">
        <v>435</v>
      </c>
      <c r="F551" s="1" t="s">
        <v>1770</v>
      </c>
      <c r="G551" s="1" t="s">
        <v>1771</v>
      </c>
      <c r="H551" s="1" t="s">
        <v>1238</v>
      </c>
      <c r="I551" s="1" t="s">
        <v>29</v>
      </c>
      <c r="J551" s="1" t="s">
        <v>16</v>
      </c>
      <c r="K551" s="1" t="b">
        <v>0</v>
      </c>
      <c r="L551" s="1" t="s">
        <v>22</v>
      </c>
      <c r="M551" s="1" t="s">
        <v>16</v>
      </c>
      <c r="N551" s="1" t="s">
        <v>16</v>
      </c>
      <c r="O551" s="1" t="s">
        <v>16</v>
      </c>
      <c r="P551" s="1" t="s">
        <v>16</v>
      </c>
      <c r="Q551" s="1">
        <v>100</v>
      </c>
    </row>
    <row r="552" spans="1:19" ht="12.5" x14ac:dyDescent="0.25">
      <c r="A552" s="1">
        <v>435</v>
      </c>
      <c r="B552" s="1" t="s">
        <v>1772</v>
      </c>
      <c r="C552" s="1" t="s">
        <v>35</v>
      </c>
      <c r="D552" s="1" t="s">
        <v>36</v>
      </c>
      <c r="E552" s="1">
        <v>436</v>
      </c>
      <c r="F552" s="1" t="s">
        <v>1773</v>
      </c>
      <c r="G552" s="1" t="s">
        <v>1774</v>
      </c>
      <c r="H552" s="1" t="s">
        <v>1209</v>
      </c>
      <c r="I552" s="1" t="s">
        <v>29</v>
      </c>
      <c r="J552" s="1" t="s">
        <v>16</v>
      </c>
      <c r="K552" s="1" t="b">
        <v>0</v>
      </c>
      <c r="L552" s="1" t="s">
        <v>22</v>
      </c>
      <c r="M552" s="1">
        <v>2024</v>
      </c>
      <c r="N552" s="1" t="s">
        <v>52</v>
      </c>
      <c r="O552" s="1" t="s">
        <v>9935</v>
      </c>
      <c r="P552" s="1" t="s">
        <v>16</v>
      </c>
      <c r="Q552" s="1">
        <v>100</v>
      </c>
      <c r="R552" s="1">
        <v>120700</v>
      </c>
      <c r="S552" s="1">
        <v>120700</v>
      </c>
    </row>
    <row r="553" spans="1:19" ht="12.5" x14ac:dyDescent="0.25">
      <c r="A553" s="1">
        <v>435</v>
      </c>
      <c r="B553" s="1" t="s">
        <v>1772</v>
      </c>
      <c r="C553" s="1" t="s">
        <v>35</v>
      </c>
      <c r="D553" s="1" t="s">
        <v>36</v>
      </c>
      <c r="E553" s="1">
        <v>436</v>
      </c>
      <c r="F553" s="1" t="s">
        <v>1773</v>
      </c>
      <c r="G553" s="1" t="s">
        <v>1774</v>
      </c>
      <c r="H553" s="1" t="s">
        <v>1209</v>
      </c>
      <c r="I553" s="1" t="s">
        <v>29</v>
      </c>
      <c r="J553" s="1" t="s">
        <v>16</v>
      </c>
      <c r="K553" s="1" t="b">
        <v>0</v>
      </c>
      <c r="L553" s="1" t="s">
        <v>22</v>
      </c>
      <c r="M553" s="1">
        <v>2024</v>
      </c>
      <c r="N553" s="1" t="s">
        <v>52</v>
      </c>
      <c r="O553" s="1" t="s">
        <v>9942</v>
      </c>
      <c r="P553" s="1" t="s">
        <v>16</v>
      </c>
      <c r="Q553" s="1">
        <v>100</v>
      </c>
      <c r="R553" s="1">
        <v>248600</v>
      </c>
      <c r="S553" s="1">
        <v>248600</v>
      </c>
    </row>
    <row r="554" spans="1:19" ht="12.5" x14ac:dyDescent="0.25">
      <c r="A554" s="1" t="s">
        <v>16</v>
      </c>
      <c r="B554" s="1" t="s">
        <v>16</v>
      </c>
      <c r="C554" s="1" t="s">
        <v>16</v>
      </c>
      <c r="D554" s="1" t="s">
        <v>16</v>
      </c>
      <c r="E554" s="1">
        <v>437</v>
      </c>
      <c r="F554" s="1" t="s">
        <v>1775</v>
      </c>
      <c r="G554" s="1" t="s">
        <v>1776</v>
      </c>
      <c r="H554" s="1" t="s">
        <v>1777</v>
      </c>
      <c r="I554" s="1" t="s">
        <v>29</v>
      </c>
      <c r="J554" s="1" t="s">
        <v>16</v>
      </c>
      <c r="K554" s="1" t="b">
        <v>0</v>
      </c>
      <c r="L554" s="1" t="s">
        <v>22</v>
      </c>
      <c r="M554" s="1" t="s">
        <v>16</v>
      </c>
      <c r="N554" s="1" t="s">
        <v>16</v>
      </c>
      <c r="O554" s="1" t="s">
        <v>16</v>
      </c>
      <c r="P554" s="1" t="s">
        <v>16</v>
      </c>
    </row>
    <row r="555" spans="1:19" ht="12.5" x14ac:dyDescent="0.25">
      <c r="A555" s="1">
        <v>437</v>
      </c>
      <c r="B555" s="1" t="s">
        <v>1778</v>
      </c>
      <c r="C555" s="1" t="s">
        <v>35</v>
      </c>
      <c r="D555" s="1" t="s">
        <v>36</v>
      </c>
      <c r="E555" s="1">
        <v>438</v>
      </c>
      <c r="F555" s="1" t="s">
        <v>1779</v>
      </c>
      <c r="G555" s="1" t="s">
        <v>1780</v>
      </c>
      <c r="H555" s="1" t="s">
        <v>1781</v>
      </c>
      <c r="I555" s="1" t="s">
        <v>29</v>
      </c>
      <c r="J555" s="1" t="s">
        <v>16</v>
      </c>
      <c r="K555" s="1" t="b">
        <v>0</v>
      </c>
      <c r="L555" s="1" t="s">
        <v>22</v>
      </c>
      <c r="M555" s="1" t="s">
        <v>16</v>
      </c>
      <c r="N555" s="1" t="s">
        <v>16</v>
      </c>
      <c r="O555" s="1" t="s">
        <v>16</v>
      </c>
      <c r="P555" s="1" t="s">
        <v>16</v>
      </c>
      <c r="Q555" s="1">
        <v>100</v>
      </c>
    </row>
    <row r="556" spans="1:19" ht="12.5" x14ac:dyDescent="0.25">
      <c r="A556" s="1">
        <v>438</v>
      </c>
      <c r="B556" s="1" t="s">
        <v>1782</v>
      </c>
      <c r="C556" s="1" t="s">
        <v>35</v>
      </c>
      <c r="D556" s="1" t="s">
        <v>36</v>
      </c>
      <c r="E556" s="1">
        <v>439</v>
      </c>
      <c r="F556" s="1" t="s">
        <v>1783</v>
      </c>
      <c r="G556" s="1" t="s">
        <v>1784</v>
      </c>
      <c r="H556" s="1" t="s">
        <v>1785</v>
      </c>
      <c r="I556" s="1" t="s">
        <v>29</v>
      </c>
      <c r="J556" s="1" t="s">
        <v>16</v>
      </c>
      <c r="K556" s="1" t="b">
        <v>0</v>
      </c>
      <c r="L556" s="1" t="s">
        <v>22</v>
      </c>
      <c r="M556" s="1" t="s">
        <v>16</v>
      </c>
      <c r="N556" s="1" t="s">
        <v>16</v>
      </c>
      <c r="O556" s="1" t="s">
        <v>16</v>
      </c>
      <c r="P556" s="1" t="s">
        <v>16</v>
      </c>
      <c r="Q556" s="1">
        <v>100</v>
      </c>
    </row>
    <row r="557" spans="1:19" ht="12.5" x14ac:dyDescent="0.25">
      <c r="A557" s="1">
        <v>439</v>
      </c>
      <c r="B557" s="1" t="s">
        <v>1786</v>
      </c>
      <c r="C557" s="1" t="s">
        <v>35</v>
      </c>
      <c r="D557" s="1" t="s">
        <v>36</v>
      </c>
      <c r="E557" s="1">
        <v>440</v>
      </c>
      <c r="F557" s="1" t="s">
        <v>1787</v>
      </c>
      <c r="G557" s="1" t="s">
        <v>1788</v>
      </c>
      <c r="H557" s="1" t="s">
        <v>1789</v>
      </c>
      <c r="I557" s="1" t="s">
        <v>29</v>
      </c>
      <c r="J557" s="1" t="s">
        <v>16</v>
      </c>
      <c r="K557" s="1" t="b">
        <v>0</v>
      </c>
      <c r="L557" s="1" t="s">
        <v>22</v>
      </c>
      <c r="M557" s="1" t="s">
        <v>16</v>
      </c>
      <c r="N557" s="1" t="s">
        <v>16</v>
      </c>
      <c r="O557" s="1" t="s">
        <v>16</v>
      </c>
      <c r="P557" s="1" t="s">
        <v>16</v>
      </c>
      <c r="Q557" s="1">
        <v>100</v>
      </c>
    </row>
    <row r="558" spans="1:19" ht="12.5" x14ac:dyDescent="0.25">
      <c r="A558" s="1">
        <v>440</v>
      </c>
      <c r="B558" s="1" t="s">
        <v>1790</v>
      </c>
      <c r="C558" s="1" t="s">
        <v>35</v>
      </c>
      <c r="D558" s="1" t="s">
        <v>36</v>
      </c>
      <c r="E558" s="1">
        <v>441</v>
      </c>
      <c r="F558" s="1" t="s">
        <v>1791</v>
      </c>
      <c r="G558" s="1" t="s">
        <v>1792</v>
      </c>
      <c r="H558" s="1" t="s">
        <v>1793</v>
      </c>
      <c r="I558" s="1" t="s">
        <v>29</v>
      </c>
      <c r="J558" s="1" t="s">
        <v>1794</v>
      </c>
      <c r="K558" s="1" t="b">
        <v>0</v>
      </c>
      <c r="L558" s="1" t="s">
        <v>22</v>
      </c>
      <c r="M558" s="1">
        <v>2021</v>
      </c>
      <c r="N558" s="1" t="s">
        <v>23</v>
      </c>
      <c r="O558" s="1" t="s">
        <v>9956</v>
      </c>
      <c r="P558" s="1" t="s">
        <v>16</v>
      </c>
      <c r="Q558" s="1">
        <v>100</v>
      </c>
      <c r="R558" s="1">
        <v>600</v>
      </c>
      <c r="S558" s="1">
        <v>600</v>
      </c>
    </row>
    <row r="559" spans="1:19" ht="12.5" x14ac:dyDescent="0.25">
      <c r="A559" s="1">
        <v>441</v>
      </c>
      <c r="B559" s="1" t="s">
        <v>1795</v>
      </c>
      <c r="C559" s="1" t="s">
        <v>35</v>
      </c>
      <c r="D559" s="1" t="s">
        <v>36</v>
      </c>
      <c r="E559" s="1">
        <v>442</v>
      </c>
      <c r="F559" s="1" t="s">
        <v>1796</v>
      </c>
      <c r="G559" s="1" t="s">
        <v>1797</v>
      </c>
      <c r="H559" s="1" t="s">
        <v>1798</v>
      </c>
      <c r="I559" s="1" t="s">
        <v>20</v>
      </c>
      <c r="J559" s="1" t="s">
        <v>16</v>
      </c>
      <c r="K559" s="1" t="b">
        <v>0</v>
      </c>
      <c r="L559" s="1" t="s">
        <v>22</v>
      </c>
      <c r="M559" s="1" t="s">
        <v>16</v>
      </c>
      <c r="N559" s="1" t="s">
        <v>16</v>
      </c>
      <c r="O559" s="1" t="s">
        <v>16</v>
      </c>
      <c r="P559" s="1" t="s">
        <v>16</v>
      </c>
      <c r="Q559" s="1">
        <v>100</v>
      </c>
    </row>
    <row r="560" spans="1:19" ht="12.5" x14ac:dyDescent="0.25">
      <c r="A560" s="1">
        <v>442</v>
      </c>
      <c r="B560" s="1" t="s">
        <v>1799</v>
      </c>
      <c r="C560" s="1" t="s">
        <v>35</v>
      </c>
      <c r="D560" s="1" t="s">
        <v>36</v>
      </c>
      <c r="E560" s="1">
        <v>443</v>
      </c>
      <c r="F560" s="1" t="s">
        <v>1800</v>
      </c>
      <c r="G560" s="1" t="s">
        <v>1801</v>
      </c>
      <c r="H560" s="1" t="s">
        <v>1802</v>
      </c>
      <c r="I560" s="1" t="s">
        <v>20</v>
      </c>
      <c r="J560" s="1" t="s">
        <v>16</v>
      </c>
      <c r="K560" s="1" t="b">
        <v>0</v>
      </c>
      <c r="L560" s="1" t="s">
        <v>22</v>
      </c>
      <c r="M560" s="1" t="s">
        <v>16</v>
      </c>
      <c r="N560" s="1" t="s">
        <v>16</v>
      </c>
      <c r="O560" s="1" t="s">
        <v>16</v>
      </c>
      <c r="P560" s="1" t="s">
        <v>16</v>
      </c>
      <c r="Q560" s="1">
        <v>100</v>
      </c>
    </row>
    <row r="561" spans="1:19" ht="12.5" x14ac:dyDescent="0.25">
      <c r="A561" s="1">
        <v>443</v>
      </c>
      <c r="B561" s="1" t="s">
        <v>1803</v>
      </c>
      <c r="C561" s="1" t="s">
        <v>35</v>
      </c>
      <c r="D561" s="1" t="s">
        <v>36</v>
      </c>
      <c r="E561" s="1">
        <v>444</v>
      </c>
      <c r="F561" s="1" t="s">
        <v>1804</v>
      </c>
      <c r="G561" s="1" t="s">
        <v>1805</v>
      </c>
      <c r="H561" s="1" t="s">
        <v>1806</v>
      </c>
      <c r="I561" s="1" t="s">
        <v>29</v>
      </c>
      <c r="J561" s="1" t="s">
        <v>16</v>
      </c>
      <c r="K561" s="1" t="b">
        <v>0</v>
      </c>
      <c r="L561" s="1" t="s">
        <v>22</v>
      </c>
      <c r="M561" s="1">
        <v>2021</v>
      </c>
      <c r="N561" s="1" t="s">
        <v>32</v>
      </c>
      <c r="O561" s="1" t="s">
        <v>9935</v>
      </c>
      <c r="P561" s="1" t="s">
        <v>16</v>
      </c>
      <c r="Q561" s="1">
        <v>100</v>
      </c>
      <c r="R561" s="1">
        <v>2000</v>
      </c>
      <c r="S561" s="1">
        <v>2000</v>
      </c>
    </row>
    <row r="562" spans="1:19" ht="12.5" x14ac:dyDescent="0.25">
      <c r="A562" s="1">
        <v>443</v>
      </c>
      <c r="B562" s="1" t="s">
        <v>1803</v>
      </c>
      <c r="C562" s="1" t="s">
        <v>35</v>
      </c>
      <c r="D562" s="1" t="s">
        <v>36</v>
      </c>
      <c r="E562" s="1">
        <v>445</v>
      </c>
      <c r="F562" s="1" t="s">
        <v>1807</v>
      </c>
      <c r="G562" s="1" t="s">
        <v>1808</v>
      </c>
      <c r="H562" s="1" t="s">
        <v>1809</v>
      </c>
      <c r="I562" s="1" t="s">
        <v>20</v>
      </c>
      <c r="J562" s="1" t="s">
        <v>16</v>
      </c>
      <c r="K562" s="1" t="b">
        <v>0</v>
      </c>
      <c r="L562" s="1" t="s">
        <v>22</v>
      </c>
      <c r="M562" s="1" t="s">
        <v>16</v>
      </c>
      <c r="N562" s="1" t="s">
        <v>16</v>
      </c>
      <c r="O562" s="1" t="s">
        <v>16</v>
      </c>
      <c r="P562" s="1" t="s">
        <v>16</v>
      </c>
      <c r="Q562" s="1">
        <v>100</v>
      </c>
    </row>
    <row r="563" spans="1:19" ht="12.5" x14ac:dyDescent="0.25">
      <c r="A563" s="1">
        <v>444</v>
      </c>
      <c r="B563" s="1" t="s">
        <v>1810</v>
      </c>
      <c r="C563" s="1" t="s">
        <v>35</v>
      </c>
      <c r="D563" s="1" t="s">
        <v>36</v>
      </c>
      <c r="E563" s="1">
        <v>446</v>
      </c>
      <c r="F563" s="1" t="s">
        <v>1811</v>
      </c>
      <c r="G563" s="1" t="s">
        <v>1812</v>
      </c>
      <c r="H563" s="1" t="s">
        <v>1209</v>
      </c>
      <c r="I563" s="1" t="s">
        <v>29</v>
      </c>
      <c r="J563" s="1" t="s">
        <v>16</v>
      </c>
      <c r="K563" s="1" t="b">
        <v>0</v>
      </c>
      <c r="L563" s="1" t="s">
        <v>22</v>
      </c>
      <c r="M563" s="1">
        <v>2024</v>
      </c>
      <c r="N563" s="1" t="s">
        <v>52</v>
      </c>
      <c r="O563" s="1" t="s">
        <v>9942</v>
      </c>
      <c r="P563" s="1" t="s">
        <v>16</v>
      </c>
      <c r="Q563" s="1">
        <v>100</v>
      </c>
      <c r="R563" s="1">
        <v>63700</v>
      </c>
      <c r="S563" s="1">
        <v>63700</v>
      </c>
    </row>
    <row r="564" spans="1:19" ht="12.5" x14ac:dyDescent="0.25">
      <c r="A564" s="1">
        <v>444</v>
      </c>
      <c r="B564" s="1" t="s">
        <v>1810</v>
      </c>
      <c r="C564" s="1" t="s">
        <v>35</v>
      </c>
      <c r="D564" s="1" t="s">
        <v>36</v>
      </c>
      <c r="E564" s="1">
        <v>446</v>
      </c>
      <c r="F564" s="1" t="s">
        <v>1811</v>
      </c>
      <c r="G564" s="1" t="s">
        <v>1812</v>
      </c>
      <c r="H564" s="1" t="s">
        <v>1209</v>
      </c>
      <c r="I564" s="1" t="s">
        <v>29</v>
      </c>
      <c r="J564" s="1" t="s">
        <v>16</v>
      </c>
      <c r="K564" s="1" t="b">
        <v>0</v>
      </c>
      <c r="L564" s="1" t="s">
        <v>22</v>
      </c>
      <c r="M564" s="1">
        <v>2024</v>
      </c>
      <c r="N564" s="1" t="s">
        <v>52</v>
      </c>
      <c r="O564" s="1" t="s">
        <v>9935</v>
      </c>
      <c r="P564" s="1" t="s">
        <v>16</v>
      </c>
      <c r="Q564" s="1">
        <v>100</v>
      </c>
      <c r="R564" s="1">
        <v>30000</v>
      </c>
      <c r="S564" s="1">
        <v>30000</v>
      </c>
    </row>
    <row r="565" spans="1:19" ht="12.5" x14ac:dyDescent="0.25">
      <c r="A565" s="1">
        <v>444</v>
      </c>
      <c r="B565" s="1" t="s">
        <v>1810</v>
      </c>
      <c r="C565" s="1" t="s">
        <v>35</v>
      </c>
      <c r="D565" s="1" t="s">
        <v>36</v>
      </c>
      <c r="E565" s="1">
        <v>447</v>
      </c>
      <c r="F565" s="1" t="s">
        <v>1813</v>
      </c>
      <c r="G565" s="1" t="s">
        <v>1814</v>
      </c>
      <c r="H565" s="1" t="s">
        <v>16</v>
      </c>
      <c r="I565" s="1" t="s">
        <v>20</v>
      </c>
      <c r="J565" s="1" t="s">
        <v>1815</v>
      </c>
      <c r="K565" s="1" t="b">
        <v>0</v>
      </c>
      <c r="L565" s="1" t="s">
        <v>22</v>
      </c>
      <c r="M565" s="1" t="s">
        <v>16</v>
      </c>
      <c r="N565" s="1" t="s">
        <v>16</v>
      </c>
      <c r="O565" s="1" t="s">
        <v>16</v>
      </c>
      <c r="P565" s="1" t="s">
        <v>16</v>
      </c>
      <c r="Q565" s="1">
        <v>100</v>
      </c>
    </row>
    <row r="566" spans="1:19" ht="12.5" x14ac:dyDescent="0.25">
      <c r="A566" s="1">
        <v>445</v>
      </c>
      <c r="B566" s="1" t="s">
        <v>1816</v>
      </c>
      <c r="C566" s="1" t="s">
        <v>35</v>
      </c>
      <c r="D566" s="1" t="s">
        <v>36</v>
      </c>
      <c r="E566" s="1">
        <v>448</v>
      </c>
      <c r="F566" s="1" t="s">
        <v>1817</v>
      </c>
      <c r="G566" s="1" t="s">
        <v>1818</v>
      </c>
      <c r="H566" s="1" t="s">
        <v>1819</v>
      </c>
      <c r="I566" s="1" t="s">
        <v>20</v>
      </c>
      <c r="J566" s="1" t="s">
        <v>16</v>
      </c>
      <c r="K566" s="1" t="b">
        <v>0</v>
      </c>
      <c r="L566" s="1" t="s">
        <v>22</v>
      </c>
      <c r="M566" s="1" t="s">
        <v>16</v>
      </c>
      <c r="N566" s="1" t="s">
        <v>16</v>
      </c>
      <c r="O566" s="1" t="s">
        <v>16</v>
      </c>
      <c r="P566" s="1" t="s">
        <v>16</v>
      </c>
      <c r="Q566" s="1">
        <v>100</v>
      </c>
    </row>
    <row r="567" spans="1:19" ht="12.5" x14ac:dyDescent="0.25">
      <c r="A567" s="1">
        <v>446</v>
      </c>
      <c r="B567" s="1" t="s">
        <v>1820</v>
      </c>
      <c r="C567" s="1" t="s">
        <v>35</v>
      </c>
      <c r="D567" s="1" t="s">
        <v>36</v>
      </c>
      <c r="E567" s="1">
        <v>449</v>
      </c>
      <c r="F567" s="1" t="s">
        <v>1821</v>
      </c>
      <c r="G567" s="1" t="s">
        <v>1822</v>
      </c>
      <c r="H567" s="1" t="s">
        <v>1823</v>
      </c>
      <c r="I567" s="1" t="s">
        <v>29</v>
      </c>
      <c r="J567" s="1" t="s">
        <v>1824</v>
      </c>
      <c r="K567" s="1" t="b">
        <v>0</v>
      </c>
      <c r="L567" s="1" t="s">
        <v>22</v>
      </c>
      <c r="M567" s="1" t="s">
        <v>16</v>
      </c>
      <c r="N567" s="1" t="s">
        <v>16</v>
      </c>
      <c r="O567" s="1" t="s">
        <v>9942</v>
      </c>
      <c r="P567" s="1" t="s">
        <v>16</v>
      </c>
      <c r="Q567" s="1">
        <v>100</v>
      </c>
      <c r="R567" s="1">
        <v>200000</v>
      </c>
      <c r="S567" s="1">
        <v>200000</v>
      </c>
    </row>
    <row r="568" spans="1:19" ht="12.5" x14ac:dyDescent="0.25">
      <c r="A568" s="1">
        <v>446</v>
      </c>
      <c r="B568" s="1" t="s">
        <v>1820</v>
      </c>
      <c r="C568" s="1" t="s">
        <v>35</v>
      </c>
      <c r="D568" s="1" t="s">
        <v>36</v>
      </c>
      <c r="E568" s="1">
        <v>449</v>
      </c>
      <c r="F568" s="1" t="s">
        <v>1821</v>
      </c>
      <c r="G568" s="1" t="s">
        <v>1822</v>
      </c>
      <c r="H568" s="1" t="s">
        <v>1823</v>
      </c>
      <c r="I568" s="1" t="s">
        <v>29</v>
      </c>
      <c r="J568" s="1" t="s">
        <v>1824</v>
      </c>
      <c r="K568" s="1" t="b">
        <v>0</v>
      </c>
      <c r="L568" s="1" t="s">
        <v>22</v>
      </c>
      <c r="M568" s="1" t="s">
        <v>16</v>
      </c>
      <c r="N568" s="1" t="s">
        <v>16</v>
      </c>
      <c r="O568" s="1" t="s">
        <v>9935</v>
      </c>
      <c r="P568" s="1" t="s">
        <v>16</v>
      </c>
      <c r="Q568" s="1">
        <v>100</v>
      </c>
      <c r="R568" s="1">
        <v>200000</v>
      </c>
      <c r="S568" s="1">
        <v>200000</v>
      </c>
    </row>
    <row r="569" spans="1:19" ht="12.5" x14ac:dyDescent="0.25">
      <c r="A569" s="1">
        <v>447</v>
      </c>
      <c r="B569" s="1" t="s">
        <v>1825</v>
      </c>
      <c r="C569" s="1" t="s">
        <v>35</v>
      </c>
      <c r="D569" s="1" t="s">
        <v>36</v>
      </c>
      <c r="E569" s="1">
        <v>450</v>
      </c>
      <c r="F569" s="1" t="s">
        <v>1826</v>
      </c>
      <c r="G569" s="1" t="s">
        <v>1827</v>
      </c>
      <c r="H569" s="1" t="s">
        <v>1828</v>
      </c>
      <c r="I569" s="1" t="s">
        <v>29</v>
      </c>
      <c r="J569" s="1" t="s">
        <v>16</v>
      </c>
      <c r="K569" s="1" t="b">
        <v>0</v>
      </c>
      <c r="L569" s="1" t="s">
        <v>22</v>
      </c>
      <c r="M569" s="1" t="s">
        <v>16</v>
      </c>
      <c r="N569" s="1" t="s">
        <v>16</v>
      </c>
      <c r="O569" s="1" t="s">
        <v>16</v>
      </c>
      <c r="P569" s="1" t="s">
        <v>16</v>
      </c>
      <c r="Q569" s="1">
        <v>100</v>
      </c>
    </row>
    <row r="570" spans="1:19" ht="12.5" x14ac:dyDescent="0.25">
      <c r="A570" s="1">
        <v>448</v>
      </c>
      <c r="B570" s="1" t="s">
        <v>1829</v>
      </c>
      <c r="C570" s="1" t="s">
        <v>35</v>
      </c>
      <c r="D570" s="1" t="s">
        <v>36</v>
      </c>
      <c r="E570" s="1">
        <v>451</v>
      </c>
      <c r="F570" s="1" t="s">
        <v>1830</v>
      </c>
      <c r="G570" s="1" t="s">
        <v>1831</v>
      </c>
      <c r="H570" s="1" t="s">
        <v>1832</v>
      </c>
      <c r="I570" s="1" t="s">
        <v>29</v>
      </c>
      <c r="J570" s="1" t="s">
        <v>16</v>
      </c>
      <c r="K570" s="1" t="b">
        <v>0</v>
      </c>
      <c r="L570" s="1" t="s">
        <v>22</v>
      </c>
      <c r="M570" s="1" t="s">
        <v>16</v>
      </c>
      <c r="N570" s="1" t="s">
        <v>16</v>
      </c>
      <c r="O570" s="1" t="s">
        <v>16</v>
      </c>
      <c r="P570" s="1" t="s">
        <v>16</v>
      </c>
      <c r="Q570" s="1">
        <v>100</v>
      </c>
    </row>
    <row r="571" spans="1:19" ht="12.5" x14ac:dyDescent="0.25">
      <c r="A571" s="1">
        <v>449</v>
      </c>
      <c r="B571" s="1" t="s">
        <v>1833</v>
      </c>
      <c r="C571" s="1" t="s">
        <v>35</v>
      </c>
      <c r="D571" s="1" t="s">
        <v>36</v>
      </c>
      <c r="E571" s="1">
        <v>452</v>
      </c>
      <c r="F571" s="1" t="s">
        <v>1834</v>
      </c>
      <c r="G571" s="1" t="s">
        <v>1835</v>
      </c>
      <c r="H571" s="1" t="s">
        <v>1836</v>
      </c>
      <c r="I571" s="1" t="s">
        <v>29</v>
      </c>
      <c r="J571" s="1" t="s">
        <v>16</v>
      </c>
      <c r="K571" s="1" t="b">
        <v>0</v>
      </c>
      <c r="L571" s="1" t="s">
        <v>22</v>
      </c>
      <c r="M571" s="1">
        <v>2022</v>
      </c>
      <c r="N571" s="1" t="s">
        <v>16</v>
      </c>
      <c r="O571" s="1" t="s">
        <v>9935</v>
      </c>
      <c r="P571" s="1" t="s">
        <v>16</v>
      </c>
      <c r="Q571" s="1">
        <v>100</v>
      </c>
      <c r="R571" s="1">
        <v>200000</v>
      </c>
      <c r="S571" s="1">
        <v>200000</v>
      </c>
    </row>
    <row r="572" spans="1:19" ht="12.5" x14ac:dyDescent="0.25">
      <c r="A572" s="1">
        <v>449</v>
      </c>
      <c r="B572" s="1" t="s">
        <v>1833</v>
      </c>
      <c r="C572" s="1" t="s">
        <v>35</v>
      </c>
      <c r="D572" s="1" t="s">
        <v>36</v>
      </c>
      <c r="E572" s="1">
        <v>452</v>
      </c>
      <c r="F572" s="1" t="s">
        <v>1834</v>
      </c>
      <c r="G572" s="1" t="s">
        <v>1835</v>
      </c>
      <c r="H572" s="1" t="s">
        <v>1836</v>
      </c>
      <c r="I572" s="1" t="s">
        <v>29</v>
      </c>
      <c r="J572" s="1" t="s">
        <v>16</v>
      </c>
      <c r="K572" s="1" t="b">
        <v>0</v>
      </c>
      <c r="L572" s="1" t="s">
        <v>22</v>
      </c>
      <c r="M572" s="1">
        <v>2022</v>
      </c>
      <c r="N572" s="1" t="s">
        <v>16</v>
      </c>
      <c r="O572" s="1" t="s">
        <v>9942</v>
      </c>
      <c r="P572" s="1" t="s">
        <v>16</v>
      </c>
      <c r="Q572" s="1">
        <v>100</v>
      </c>
      <c r="R572" s="1">
        <v>150000</v>
      </c>
      <c r="S572" s="1">
        <v>150000</v>
      </c>
    </row>
    <row r="573" spans="1:19" ht="12.5" x14ac:dyDescent="0.25">
      <c r="A573" s="1">
        <v>450</v>
      </c>
      <c r="B573" s="1" t="s">
        <v>1837</v>
      </c>
      <c r="C573" s="1" t="s">
        <v>35</v>
      </c>
      <c r="D573" s="1" t="s">
        <v>36</v>
      </c>
      <c r="E573" s="1">
        <v>453</v>
      </c>
      <c r="F573" s="1" t="s">
        <v>1838</v>
      </c>
      <c r="G573" s="1" t="s">
        <v>1839</v>
      </c>
      <c r="H573" s="1" t="s">
        <v>1840</v>
      </c>
      <c r="I573" s="1" t="s">
        <v>29</v>
      </c>
      <c r="J573" s="1" t="s">
        <v>1841</v>
      </c>
      <c r="K573" s="1" t="b">
        <v>0</v>
      </c>
      <c r="L573" s="1" t="s">
        <v>22</v>
      </c>
      <c r="M573" s="1" t="s">
        <v>16</v>
      </c>
      <c r="N573" s="1" t="s">
        <v>16</v>
      </c>
      <c r="O573" s="1" t="s">
        <v>9942</v>
      </c>
      <c r="P573" s="1" t="s">
        <v>16</v>
      </c>
      <c r="Q573" s="1">
        <v>100</v>
      </c>
      <c r="R573" s="1">
        <v>250000</v>
      </c>
      <c r="S573" s="1">
        <v>250000</v>
      </c>
    </row>
    <row r="574" spans="1:19" ht="12.5" x14ac:dyDescent="0.25">
      <c r="A574" s="1">
        <v>451</v>
      </c>
      <c r="B574" s="1" t="s">
        <v>1842</v>
      </c>
      <c r="C574" s="1" t="s">
        <v>35</v>
      </c>
      <c r="D574" s="1" t="s">
        <v>36</v>
      </c>
      <c r="E574" s="1">
        <v>454</v>
      </c>
      <c r="F574" s="1" t="s">
        <v>1843</v>
      </c>
      <c r="G574" s="1" t="s">
        <v>1844</v>
      </c>
      <c r="H574" s="1" t="s">
        <v>1845</v>
      </c>
      <c r="I574" s="1" t="s">
        <v>29</v>
      </c>
      <c r="J574" s="1" t="s">
        <v>16</v>
      </c>
      <c r="K574" s="1" t="b">
        <v>0</v>
      </c>
      <c r="L574" s="1" t="s">
        <v>22</v>
      </c>
      <c r="M574" s="1" t="s">
        <v>16</v>
      </c>
      <c r="N574" s="1" t="s">
        <v>16</v>
      </c>
      <c r="O574" s="1" t="s">
        <v>16</v>
      </c>
      <c r="P574" s="1" t="s">
        <v>16</v>
      </c>
      <c r="Q574" s="1">
        <v>100</v>
      </c>
    </row>
    <row r="575" spans="1:19" ht="12.5" x14ac:dyDescent="0.25">
      <c r="A575" s="1">
        <v>452</v>
      </c>
      <c r="B575" s="1" t="s">
        <v>1846</v>
      </c>
      <c r="C575" s="1" t="s">
        <v>35</v>
      </c>
      <c r="D575" s="1" t="s">
        <v>36</v>
      </c>
      <c r="E575" s="1">
        <v>455</v>
      </c>
      <c r="F575" s="1" t="s">
        <v>1847</v>
      </c>
      <c r="G575" s="1" t="s">
        <v>1848</v>
      </c>
      <c r="H575" s="1" t="s">
        <v>1849</v>
      </c>
      <c r="I575" s="1" t="s">
        <v>29</v>
      </c>
      <c r="J575" s="1" t="s">
        <v>16</v>
      </c>
      <c r="K575" s="1" t="b">
        <v>0</v>
      </c>
      <c r="L575" s="1" t="s">
        <v>22</v>
      </c>
      <c r="M575" s="1" t="s">
        <v>16</v>
      </c>
      <c r="N575" s="1" t="s">
        <v>16</v>
      </c>
      <c r="O575" s="1" t="s">
        <v>9942</v>
      </c>
      <c r="P575" s="1" t="s">
        <v>16</v>
      </c>
      <c r="Q575" s="1">
        <v>100</v>
      </c>
      <c r="R575" s="1">
        <v>100000</v>
      </c>
      <c r="S575" s="1">
        <v>100000</v>
      </c>
    </row>
    <row r="576" spans="1:19" ht="12.5" x14ac:dyDescent="0.25">
      <c r="A576" s="1">
        <v>452</v>
      </c>
      <c r="B576" s="1" t="s">
        <v>1846</v>
      </c>
      <c r="C576" s="1" t="s">
        <v>35</v>
      </c>
      <c r="D576" s="1" t="s">
        <v>36</v>
      </c>
      <c r="E576" s="1">
        <v>455</v>
      </c>
      <c r="F576" s="1" t="s">
        <v>1847</v>
      </c>
      <c r="G576" s="1" t="s">
        <v>1848</v>
      </c>
      <c r="H576" s="1" t="s">
        <v>1849</v>
      </c>
      <c r="I576" s="1" t="s">
        <v>29</v>
      </c>
      <c r="J576" s="1" t="s">
        <v>16</v>
      </c>
      <c r="K576" s="1" t="b">
        <v>0</v>
      </c>
      <c r="L576" s="1" t="s">
        <v>22</v>
      </c>
      <c r="M576" s="1">
        <v>2021</v>
      </c>
      <c r="N576" s="1" t="s">
        <v>16</v>
      </c>
      <c r="O576" s="1" t="s">
        <v>9935</v>
      </c>
      <c r="P576" s="1" t="s">
        <v>16</v>
      </c>
      <c r="Q576" s="1">
        <v>100</v>
      </c>
      <c r="R576" s="1">
        <v>25000</v>
      </c>
      <c r="S576" s="1">
        <v>25000</v>
      </c>
    </row>
    <row r="577" spans="1:19" ht="12.5" x14ac:dyDescent="0.25">
      <c r="A577" s="1">
        <v>453</v>
      </c>
      <c r="B577" s="1" t="s">
        <v>1850</v>
      </c>
      <c r="C577" s="1" t="s">
        <v>35</v>
      </c>
      <c r="D577" s="1" t="s">
        <v>36</v>
      </c>
      <c r="E577" s="1">
        <v>456</v>
      </c>
      <c r="F577" s="1" t="s">
        <v>1851</v>
      </c>
      <c r="G577" s="1" t="s">
        <v>1852</v>
      </c>
      <c r="H577" s="1" t="s">
        <v>1396</v>
      </c>
      <c r="I577" s="1" t="s">
        <v>29</v>
      </c>
      <c r="J577" s="1" t="s">
        <v>16</v>
      </c>
      <c r="K577" s="1" t="b">
        <v>0</v>
      </c>
      <c r="L577" s="1" t="s">
        <v>22</v>
      </c>
      <c r="M577" s="1">
        <v>2020</v>
      </c>
      <c r="N577" s="1" t="s">
        <v>16</v>
      </c>
      <c r="O577" s="1" t="s">
        <v>9942</v>
      </c>
      <c r="P577" s="1" t="s">
        <v>16</v>
      </c>
      <c r="Q577" s="1">
        <v>100</v>
      </c>
      <c r="R577" s="1">
        <v>1</v>
      </c>
      <c r="S577" s="1">
        <v>1</v>
      </c>
    </row>
    <row r="578" spans="1:19" ht="12.5" x14ac:dyDescent="0.25">
      <c r="A578" s="1">
        <v>454</v>
      </c>
      <c r="B578" s="1" t="s">
        <v>1853</v>
      </c>
      <c r="C578" s="1" t="s">
        <v>35</v>
      </c>
      <c r="D578" s="1" t="s">
        <v>36</v>
      </c>
      <c r="E578" s="1">
        <v>457</v>
      </c>
      <c r="F578" s="1" t="s">
        <v>1854</v>
      </c>
      <c r="G578" s="1" t="s">
        <v>1855</v>
      </c>
      <c r="H578" s="1" t="s">
        <v>1823</v>
      </c>
      <c r="I578" s="1" t="s">
        <v>29</v>
      </c>
      <c r="J578" s="1" t="s">
        <v>1856</v>
      </c>
      <c r="K578" s="1" t="b">
        <v>0</v>
      </c>
      <c r="L578" s="1" t="s">
        <v>22</v>
      </c>
      <c r="M578" s="1" t="s">
        <v>16</v>
      </c>
      <c r="N578" s="1" t="s">
        <v>16</v>
      </c>
      <c r="O578" s="1" t="s">
        <v>9952</v>
      </c>
      <c r="P578" s="1" t="s">
        <v>16</v>
      </c>
      <c r="Q578" s="1">
        <v>100</v>
      </c>
      <c r="R578" s="1">
        <v>50000</v>
      </c>
      <c r="S578" s="1">
        <v>50000</v>
      </c>
    </row>
    <row r="579" spans="1:19" ht="12.5" x14ac:dyDescent="0.25">
      <c r="A579" s="1">
        <v>454</v>
      </c>
      <c r="B579" s="1" t="s">
        <v>1853</v>
      </c>
      <c r="C579" s="1" t="s">
        <v>35</v>
      </c>
      <c r="D579" s="1" t="s">
        <v>36</v>
      </c>
      <c r="E579" s="1">
        <v>457</v>
      </c>
      <c r="F579" s="1" t="s">
        <v>1854</v>
      </c>
      <c r="G579" s="1" t="s">
        <v>1855</v>
      </c>
      <c r="H579" s="1" t="s">
        <v>1823</v>
      </c>
      <c r="I579" s="1" t="s">
        <v>29</v>
      </c>
      <c r="J579" s="1" t="s">
        <v>1856</v>
      </c>
      <c r="K579" s="1" t="b">
        <v>0</v>
      </c>
      <c r="L579" s="1" t="s">
        <v>22</v>
      </c>
      <c r="M579" s="1">
        <v>2021</v>
      </c>
      <c r="N579" s="1" t="s">
        <v>16</v>
      </c>
      <c r="O579" s="1" t="s">
        <v>9942</v>
      </c>
      <c r="P579" s="1" t="s">
        <v>16</v>
      </c>
      <c r="Q579" s="1">
        <v>100</v>
      </c>
      <c r="R579" s="1">
        <v>200000</v>
      </c>
      <c r="S579" s="1">
        <v>200000</v>
      </c>
    </row>
    <row r="580" spans="1:19" ht="12.5" x14ac:dyDescent="0.25">
      <c r="A580" s="1">
        <v>454</v>
      </c>
      <c r="B580" s="1" t="s">
        <v>1853</v>
      </c>
      <c r="C580" s="1" t="s">
        <v>35</v>
      </c>
      <c r="D580" s="1" t="s">
        <v>36</v>
      </c>
      <c r="E580" s="1">
        <v>457</v>
      </c>
      <c r="F580" s="1" t="s">
        <v>1854</v>
      </c>
      <c r="G580" s="1" t="s">
        <v>1855</v>
      </c>
      <c r="H580" s="1" t="s">
        <v>1823</v>
      </c>
      <c r="I580" s="1" t="s">
        <v>29</v>
      </c>
      <c r="J580" s="1" t="s">
        <v>1856</v>
      </c>
      <c r="K580" s="1" t="b">
        <v>0</v>
      </c>
      <c r="L580" s="1" t="s">
        <v>22</v>
      </c>
      <c r="M580" s="1">
        <v>2021</v>
      </c>
      <c r="N580" s="1" t="s">
        <v>16</v>
      </c>
      <c r="O580" s="1" t="s">
        <v>9935</v>
      </c>
      <c r="P580" s="1" t="s">
        <v>16</v>
      </c>
      <c r="Q580" s="1">
        <v>100</v>
      </c>
      <c r="R580" s="1">
        <v>200000</v>
      </c>
      <c r="S580" s="1">
        <v>200000</v>
      </c>
    </row>
    <row r="581" spans="1:19" ht="12.5" x14ac:dyDescent="0.25">
      <c r="A581" s="1">
        <v>454</v>
      </c>
      <c r="B581" s="1" t="s">
        <v>1853</v>
      </c>
      <c r="C581" s="1" t="s">
        <v>35</v>
      </c>
      <c r="D581" s="1" t="s">
        <v>36</v>
      </c>
      <c r="E581" s="1">
        <v>458</v>
      </c>
      <c r="F581" s="1" t="s">
        <v>1857</v>
      </c>
      <c r="G581" s="1" t="s">
        <v>1855</v>
      </c>
      <c r="H581" s="1" t="s">
        <v>1858</v>
      </c>
      <c r="I581" s="1" t="s">
        <v>20</v>
      </c>
      <c r="J581" s="1" t="s">
        <v>16</v>
      </c>
      <c r="K581" s="1" t="b">
        <v>0</v>
      </c>
      <c r="L581" s="1" t="s">
        <v>22</v>
      </c>
      <c r="M581" s="1" t="s">
        <v>16</v>
      </c>
      <c r="N581" s="1" t="s">
        <v>16</v>
      </c>
      <c r="O581" s="1" t="s">
        <v>16</v>
      </c>
      <c r="P581" s="1" t="s">
        <v>16</v>
      </c>
      <c r="Q581" s="1">
        <v>100</v>
      </c>
    </row>
    <row r="582" spans="1:19" ht="12.5" x14ac:dyDescent="0.25">
      <c r="A582" s="1">
        <v>455</v>
      </c>
      <c r="B582" s="1" t="s">
        <v>1859</v>
      </c>
      <c r="C582" s="1" t="s">
        <v>35</v>
      </c>
      <c r="D582" s="1" t="s">
        <v>36</v>
      </c>
      <c r="E582" s="1">
        <v>459</v>
      </c>
      <c r="F582" s="1" t="s">
        <v>1860</v>
      </c>
      <c r="G582" s="1" t="s">
        <v>1861</v>
      </c>
      <c r="H582" s="1" t="s">
        <v>1862</v>
      </c>
      <c r="I582" s="1" t="s">
        <v>20</v>
      </c>
      <c r="J582" s="1" t="s">
        <v>16</v>
      </c>
      <c r="K582" s="1" t="b">
        <v>0</v>
      </c>
      <c r="L582" s="1" t="s">
        <v>22</v>
      </c>
      <c r="M582" s="1" t="s">
        <v>16</v>
      </c>
      <c r="N582" s="1" t="s">
        <v>16</v>
      </c>
      <c r="O582" s="1" t="s">
        <v>16</v>
      </c>
      <c r="P582" s="1" t="s">
        <v>16</v>
      </c>
      <c r="Q582" s="1">
        <v>100</v>
      </c>
    </row>
    <row r="583" spans="1:19" ht="12.5" x14ac:dyDescent="0.25">
      <c r="A583" s="1">
        <v>456</v>
      </c>
      <c r="B583" s="1" t="s">
        <v>1863</v>
      </c>
      <c r="C583" s="1" t="s">
        <v>35</v>
      </c>
      <c r="D583" s="1" t="s">
        <v>36</v>
      </c>
      <c r="E583" s="1">
        <v>460</v>
      </c>
      <c r="F583" s="1" t="s">
        <v>1864</v>
      </c>
      <c r="G583" s="1" t="s">
        <v>1865</v>
      </c>
      <c r="H583" s="1" t="s">
        <v>1866</v>
      </c>
      <c r="I583" s="1" t="s">
        <v>20</v>
      </c>
      <c r="J583" s="1" t="s">
        <v>16</v>
      </c>
      <c r="K583" s="1" t="b">
        <v>0</v>
      </c>
      <c r="L583" s="1" t="s">
        <v>22</v>
      </c>
      <c r="M583" s="1" t="s">
        <v>16</v>
      </c>
      <c r="N583" s="1" t="s">
        <v>16</v>
      </c>
      <c r="O583" s="1" t="s">
        <v>16</v>
      </c>
      <c r="P583" s="1" t="s">
        <v>16</v>
      </c>
      <c r="Q583" s="1">
        <v>100</v>
      </c>
    </row>
    <row r="584" spans="1:19" ht="12.5" x14ac:dyDescent="0.25">
      <c r="A584" s="1">
        <v>457</v>
      </c>
      <c r="B584" s="1" t="s">
        <v>1867</v>
      </c>
      <c r="C584" s="1" t="s">
        <v>35</v>
      </c>
      <c r="D584" s="1" t="s">
        <v>36</v>
      </c>
      <c r="E584" s="1">
        <v>461</v>
      </c>
      <c r="F584" s="1" t="s">
        <v>1868</v>
      </c>
      <c r="G584" s="1" t="s">
        <v>1869</v>
      </c>
      <c r="H584" s="1" t="s">
        <v>1209</v>
      </c>
      <c r="I584" s="1" t="s">
        <v>29</v>
      </c>
      <c r="J584" s="1" t="s">
        <v>16</v>
      </c>
      <c r="K584" s="1" t="b">
        <v>0</v>
      </c>
      <c r="L584" s="1" t="s">
        <v>22</v>
      </c>
      <c r="M584" s="1">
        <v>2022</v>
      </c>
      <c r="N584" s="1" t="s">
        <v>16</v>
      </c>
      <c r="O584" s="1" t="s">
        <v>9935</v>
      </c>
      <c r="P584" s="1" t="s">
        <v>16</v>
      </c>
      <c r="Q584" s="1">
        <v>100</v>
      </c>
      <c r="R584" s="1">
        <v>0</v>
      </c>
      <c r="S584" s="1">
        <v>0</v>
      </c>
    </row>
    <row r="585" spans="1:19" ht="12.5" x14ac:dyDescent="0.25">
      <c r="A585" s="1">
        <v>457</v>
      </c>
      <c r="B585" s="1" t="s">
        <v>1867</v>
      </c>
      <c r="C585" s="1" t="s">
        <v>35</v>
      </c>
      <c r="D585" s="1" t="s">
        <v>36</v>
      </c>
      <c r="E585" s="1">
        <v>461</v>
      </c>
      <c r="F585" s="1" t="s">
        <v>1868</v>
      </c>
      <c r="G585" s="1" t="s">
        <v>1869</v>
      </c>
      <c r="H585" s="1" t="s">
        <v>1209</v>
      </c>
      <c r="I585" s="1" t="s">
        <v>29</v>
      </c>
      <c r="J585" s="1" t="s">
        <v>16</v>
      </c>
      <c r="K585" s="1" t="b">
        <v>0</v>
      </c>
      <c r="L585" s="1" t="s">
        <v>22</v>
      </c>
      <c r="M585" s="1">
        <v>2022</v>
      </c>
      <c r="N585" s="1" t="s">
        <v>16</v>
      </c>
      <c r="O585" s="1" t="s">
        <v>9942</v>
      </c>
      <c r="P585" s="1" t="s">
        <v>16</v>
      </c>
      <c r="Q585" s="1">
        <v>100</v>
      </c>
      <c r="R585" s="1">
        <v>97500</v>
      </c>
      <c r="S585" s="1">
        <v>97500</v>
      </c>
    </row>
    <row r="586" spans="1:19" ht="12.5" x14ac:dyDescent="0.25">
      <c r="A586" s="1">
        <v>458</v>
      </c>
      <c r="B586" s="1" t="s">
        <v>1870</v>
      </c>
      <c r="C586" s="1" t="s">
        <v>35</v>
      </c>
      <c r="D586" s="1" t="s">
        <v>36</v>
      </c>
      <c r="E586" s="1">
        <v>462</v>
      </c>
      <c r="F586" s="1" t="s">
        <v>1871</v>
      </c>
      <c r="G586" s="1" t="s">
        <v>1872</v>
      </c>
      <c r="H586" s="1" t="s">
        <v>1873</v>
      </c>
      <c r="I586" s="1" t="s">
        <v>20</v>
      </c>
      <c r="J586" s="1" t="s">
        <v>1874</v>
      </c>
      <c r="K586" s="1" t="b">
        <v>0</v>
      </c>
      <c r="L586" s="1" t="s">
        <v>22</v>
      </c>
      <c r="M586" s="1" t="s">
        <v>16</v>
      </c>
      <c r="N586" s="1" t="s">
        <v>16</v>
      </c>
      <c r="O586" s="1" t="s">
        <v>16</v>
      </c>
      <c r="P586" s="1" t="s">
        <v>16</v>
      </c>
      <c r="Q586" s="1">
        <v>100</v>
      </c>
    </row>
    <row r="587" spans="1:19" ht="12.5" x14ac:dyDescent="0.25">
      <c r="A587" s="1">
        <v>460</v>
      </c>
      <c r="B587" s="1" t="s">
        <v>1875</v>
      </c>
      <c r="C587" s="1" t="s">
        <v>35</v>
      </c>
      <c r="D587" s="1" t="s">
        <v>36</v>
      </c>
      <c r="E587" s="1">
        <v>463</v>
      </c>
      <c r="F587" s="1" t="s">
        <v>1876</v>
      </c>
      <c r="G587" s="1" t="s">
        <v>1877</v>
      </c>
      <c r="H587" s="1" t="s">
        <v>1878</v>
      </c>
      <c r="I587" s="1" t="s">
        <v>29</v>
      </c>
      <c r="J587" s="1" t="s">
        <v>16</v>
      </c>
      <c r="K587" s="1" t="b">
        <v>0</v>
      </c>
      <c r="L587" s="1" t="s">
        <v>22</v>
      </c>
      <c r="M587" s="1" t="s">
        <v>16</v>
      </c>
      <c r="N587" s="1" t="s">
        <v>16</v>
      </c>
      <c r="O587" s="1" t="s">
        <v>16</v>
      </c>
      <c r="P587" s="1" t="s">
        <v>16</v>
      </c>
      <c r="Q587" s="1">
        <v>100</v>
      </c>
    </row>
    <row r="588" spans="1:19" ht="12.5" x14ac:dyDescent="0.25">
      <c r="A588" s="1">
        <v>461</v>
      </c>
      <c r="B588" s="1" t="s">
        <v>1879</v>
      </c>
      <c r="C588" s="1" t="s">
        <v>35</v>
      </c>
      <c r="D588" s="1" t="s">
        <v>36</v>
      </c>
      <c r="E588" s="1">
        <v>464</v>
      </c>
      <c r="F588" s="1" t="s">
        <v>1880</v>
      </c>
      <c r="G588" s="1" t="s">
        <v>1881</v>
      </c>
      <c r="H588" s="1" t="s">
        <v>1882</v>
      </c>
      <c r="I588" s="1" t="s">
        <v>20</v>
      </c>
      <c r="J588" s="1" t="s">
        <v>1883</v>
      </c>
      <c r="K588" s="1" t="b">
        <v>0</v>
      </c>
      <c r="L588" s="1" t="s">
        <v>22</v>
      </c>
      <c r="M588" s="1" t="s">
        <v>16</v>
      </c>
      <c r="N588" s="1" t="s">
        <v>16</v>
      </c>
      <c r="O588" s="1" t="s">
        <v>16</v>
      </c>
      <c r="P588" s="1" t="s">
        <v>16</v>
      </c>
      <c r="Q588" s="1">
        <v>100</v>
      </c>
    </row>
    <row r="589" spans="1:19" ht="12.5" x14ac:dyDescent="0.25">
      <c r="A589" s="1">
        <v>462</v>
      </c>
      <c r="B589" s="1" t="s">
        <v>1884</v>
      </c>
      <c r="C589" s="1" t="s">
        <v>35</v>
      </c>
      <c r="D589" s="1" t="s">
        <v>36</v>
      </c>
      <c r="E589" s="1">
        <v>465</v>
      </c>
      <c r="F589" s="1" t="s">
        <v>1885</v>
      </c>
      <c r="G589" s="1" t="s">
        <v>1886</v>
      </c>
      <c r="H589" s="1" t="s">
        <v>1887</v>
      </c>
      <c r="I589" s="1" t="s">
        <v>20</v>
      </c>
      <c r="J589" s="1" t="s">
        <v>16</v>
      </c>
      <c r="K589" s="1" t="b">
        <v>0</v>
      </c>
      <c r="L589" s="1" t="s">
        <v>22</v>
      </c>
      <c r="M589" s="1" t="s">
        <v>16</v>
      </c>
      <c r="N589" s="1" t="s">
        <v>16</v>
      </c>
      <c r="O589" s="1" t="s">
        <v>16</v>
      </c>
      <c r="P589" s="1" t="s">
        <v>16</v>
      </c>
      <c r="Q589" s="1">
        <v>100</v>
      </c>
    </row>
    <row r="590" spans="1:19" ht="12.5" x14ac:dyDescent="0.25">
      <c r="A590" s="1">
        <v>463</v>
      </c>
      <c r="B590" s="1" t="s">
        <v>1888</v>
      </c>
      <c r="C590" s="1" t="s">
        <v>35</v>
      </c>
      <c r="D590" s="1" t="s">
        <v>36</v>
      </c>
      <c r="E590" s="1">
        <v>466</v>
      </c>
      <c r="F590" s="1" t="s">
        <v>1889</v>
      </c>
      <c r="G590" s="1" t="s">
        <v>1890</v>
      </c>
      <c r="H590" s="1" t="s">
        <v>1891</v>
      </c>
      <c r="I590" s="1" t="s">
        <v>29</v>
      </c>
      <c r="J590" s="1" t="s">
        <v>1892</v>
      </c>
      <c r="K590" s="1" t="b">
        <v>0</v>
      </c>
      <c r="L590" s="1" t="s">
        <v>22</v>
      </c>
      <c r="M590" s="1">
        <v>2022</v>
      </c>
      <c r="N590" s="1" t="s">
        <v>16</v>
      </c>
      <c r="O590" s="1" t="s">
        <v>9935</v>
      </c>
      <c r="P590" s="1" t="s">
        <v>16</v>
      </c>
      <c r="Q590" s="1">
        <v>100</v>
      </c>
      <c r="R590" s="1">
        <v>301200</v>
      </c>
      <c r="S590" s="1">
        <v>301200</v>
      </c>
    </row>
    <row r="591" spans="1:19" ht="12.5" x14ac:dyDescent="0.25">
      <c r="A591" s="1" t="s">
        <v>16</v>
      </c>
      <c r="B591" s="1" t="s">
        <v>16</v>
      </c>
      <c r="C591" s="1" t="s">
        <v>16</v>
      </c>
      <c r="D591" s="1" t="s">
        <v>16</v>
      </c>
      <c r="E591" s="1">
        <v>467</v>
      </c>
      <c r="F591" s="1" t="s">
        <v>1893</v>
      </c>
      <c r="G591" s="1" t="s">
        <v>1894</v>
      </c>
      <c r="H591" s="1" t="s">
        <v>1891</v>
      </c>
      <c r="I591" s="1" t="s">
        <v>29</v>
      </c>
      <c r="J591" s="1" t="s">
        <v>16</v>
      </c>
      <c r="K591" s="1" t="b">
        <v>0</v>
      </c>
      <c r="L591" s="1" t="s">
        <v>22</v>
      </c>
      <c r="M591" s="1" t="s">
        <v>16</v>
      </c>
      <c r="N591" s="1" t="s">
        <v>16</v>
      </c>
      <c r="O591" s="1" t="s">
        <v>16</v>
      </c>
      <c r="P591" s="1" t="s">
        <v>16</v>
      </c>
    </row>
    <row r="592" spans="1:19" ht="12.5" x14ac:dyDescent="0.25">
      <c r="A592" s="1">
        <v>464</v>
      </c>
      <c r="B592" s="1" t="s">
        <v>1895</v>
      </c>
      <c r="C592" s="1" t="s">
        <v>35</v>
      </c>
      <c r="D592" s="1" t="s">
        <v>36</v>
      </c>
      <c r="E592" s="1">
        <v>468</v>
      </c>
      <c r="F592" s="1" t="s">
        <v>1896</v>
      </c>
      <c r="G592" s="1" t="s">
        <v>1897</v>
      </c>
      <c r="H592" s="1" t="s">
        <v>16</v>
      </c>
      <c r="I592" s="1" t="s">
        <v>20</v>
      </c>
      <c r="J592" s="1" t="s">
        <v>1898</v>
      </c>
      <c r="K592" s="1" t="b">
        <v>0</v>
      </c>
      <c r="L592" s="1" t="s">
        <v>22</v>
      </c>
      <c r="M592" s="1" t="s">
        <v>16</v>
      </c>
      <c r="N592" s="1" t="s">
        <v>16</v>
      </c>
      <c r="O592" s="1" t="s">
        <v>16</v>
      </c>
      <c r="P592" s="1" t="s">
        <v>16</v>
      </c>
      <c r="Q592" s="1">
        <v>10</v>
      </c>
    </row>
    <row r="593" spans="1:19" ht="12.5" x14ac:dyDescent="0.25">
      <c r="A593" s="1">
        <v>471</v>
      </c>
      <c r="B593" s="1" t="s">
        <v>1899</v>
      </c>
      <c r="C593" s="1" t="s">
        <v>35</v>
      </c>
      <c r="D593" s="1" t="s">
        <v>36</v>
      </c>
      <c r="E593" s="1">
        <v>468</v>
      </c>
      <c r="F593" s="1" t="s">
        <v>1896</v>
      </c>
      <c r="G593" s="1" t="s">
        <v>1897</v>
      </c>
      <c r="H593" s="1" t="s">
        <v>16</v>
      </c>
      <c r="I593" s="1" t="s">
        <v>20</v>
      </c>
      <c r="J593" s="1" t="s">
        <v>1898</v>
      </c>
      <c r="K593" s="1" t="b">
        <v>0</v>
      </c>
      <c r="L593" s="1" t="s">
        <v>22</v>
      </c>
      <c r="M593" s="1" t="s">
        <v>16</v>
      </c>
      <c r="N593" s="1" t="s">
        <v>16</v>
      </c>
      <c r="O593" s="1" t="s">
        <v>16</v>
      </c>
      <c r="P593" s="1" t="s">
        <v>16</v>
      </c>
      <c r="Q593" s="1">
        <v>90</v>
      </c>
    </row>
    <row r="594" spans="1:19" ht="12.5" x14ac:dyDescent="0.25">
      <c r="A594" s="1">
        <v>465</v>
      </c>
      <c r="B594" s="1" t="s">
        <v>1900</v>
      </c>
      <c r="C594" s="1" t="s">
        <v>35</v>
      </c>
      <c r="D594" s="1" t="s">
        <v>36</v>
      </c>
      <c r="E594" s="1">
        <v>469</v>
      </c>
      <c r="F594" s="1" t="s">
        <v>1901</v>
      </c>
      <c r="G594" s="1" t="s">
        <v>1902</v>
      </c>
      <c r="H594" s="1" t="s">
        <v>1903</v>
      </c>
      <c r="I594" s="1" t="s">
        <v>29</v>
      </c>
      <c r="J594" s="1" t="s">
        <v>1904</v>
      </c>
      <c r="K594" s="1" t="b">
        <v>0</v>
      </c>
      <c r="L594" s="1" t="s">
        <v>22</v>
      </c>
      <c r="M594" s="1">
        <v>2021</v>
      </c>
      <c r="N594" s="1" t="s">
        <v>52</v>
      </c>
      <c r="O594" s="1" t="s">
        <v>9942</v>
      </c>
      <c r="P594" s="1" t="s">
        <v>16</v>
      </c>
      <c r="Q594" s="1">
        <v>100</v>
      </c>
      <c r="R594" s="1">
        <v>3500</v>
      </c>
      <c r="S594" s="1">
        <v>3500</v>
      </c>
    </row>
    <row r="595" spans="1:19" ht="12.5" x14ac:dyDescent="0.25">
      <c r="A595" s="1">
        <v>466</v>
      </c>
      <c r="B595" s="1" t="s">
        <v>1905</v>
      </c>
      <c r="C595" s="1" t="s">
        <v>35</v>
      </c>
      <c r="D595" s="1" t="s">
        <v>36</v>
      </c>
      <c r="E595" s="1">
        <v>470</v>
      </c>
      <c r="F595" s="1" t="s">
        <v>1906</v>
      </c>
      <c r="G595" s="1" t="s">
        <v>1907</v>
      </c>
      <c r="H595" s="1" t="s">
        <v>1908</v>
      </c>
      <c r="I595" s="1" t="s">
        <v>29</v>
      </c>
      <c r="J595" s="1" t="s">
        <v>1909</v>
      </c>
      <c r="K595" s="1" t="b">
        <v>1</v>
      </c>
      <c r="L595" s="1" t="s">
        <v>31</v>
      </c>
      <c r="M595" s="1">
        <v>2023</v>
      </c>
      <c r="N595" s="1" t="s">
        <v>32</v>
      </c>
      <c r="O595" s="1" t="s">
        <v>9942</v>
      </c>
      <c r="P595" s="1" t="s">
        <v>16</v>
      </c>
      <c r="Q595" s="1">
        <v>100</v>
      </c>
      <c r="R595" s="1">
        <v>116000</v>
      </c>
      <c r="S595" s="1">
        <v>116000</v>
      </c>
    </row>
    <row r="596" spans="1:19" ht="12.5" x14ac:dyDescent="0.25">
      <c r="A596" s="1">
        <v>466</v>
      </c>
      <c r="B596" s="1" t="s">
        <v>1905</v>
      </c>
      <c r="C596" s="1" t="s">
        <v>35</v>
      </c>
      <c r="D596" s="1" t="s">
        <v>36</v>
      </c>
      <c r="E596" s="1">
        <v>470</v>
      </c>
      <c r="F596" s="1" t="s">
        <v>1906</v>
      </c>
      <c r="G596" s="1" t="s">
        <v>1907</v>
      </c>
      <c r="H596" s="1" t="s">
        <v>1908</v>
      </c>
      <c r="I596" s="1" t="s">
        <v>29</v>
      </c>
      <c r="J596" s="1" t="s">
        <v>1909</v>
      </c>
      <c r="K596" s="1" t="b">
        <v>1</v>
      </c>
      <c r="L596" s="1" t="s">
        <v>31</v>
      </c>
      <c r="M596" s="1">
        <v>2023</v>
      </c>
      <c r="N596" s="1" t="s">
        <v>32</v>
      </c>
      <c r="O596" s="1" t="s">
        <v>9935</v>
      </c>
      <c r="P596" s="1" t="s">
        <v>16</v>
      </c>
      <c r="Q596" s="1">
        <v>100</v>
      </c>
      <c r="R596" s="1">
        <v>30800</v>
      </c>
      <c r="S596" s="1">
        <v>30800</v>
      </c>
    </row>
    <row r="597" spans="1:19" ht="12.5" x14ac:dyDescent="0.25">
      <c r="A597" s="1">
        <v>467</v>
      </c>
      <c r="B597" s="1" t="s">
        <v>1910</v>
      </c>
      <c r="C597" s="1" t="s">
        <v>35</v>
      </c>
      <c r="D597" s="1" t="s">
        <v>36</v>
      </c>
      <c r="E597" s="1">
        <v>471</v>
      </c>
      <c r="F597" s="1" t="s">
        <v>1911</v>
      </c>
      <c r="G597" s="1" t="s">
        <v>1912</v>
      </c>
      <c r="H597" s="1" t="s">
        <v>1913</v>
      </c>
      <c r="I597" s="1" t="s">
        <v>29</v>
      </c>
      <c r="J597" s="1" t="s">
        <v>1914</v>
      </c>
      <c r="K597" s="1" t="b">
        <v>0</v>
      </c>
      <c r="L597" s="1" t="s">
        <v>22</v>
      </c>
      <c r="M597" s="1" t="s">
        <v>16</v>
      </c>
      <c r="N597" s="1" t="s">
        <v>16</v>
      </c>
      <c r="O597" s="1" t="s">
        <v>9935</v>
      </c>
      <c r="P597" s="1" t="s">
        <v>16</v>
      </c>
      <c r="Q597" s="1">
        <v>100</v>
      </c>
      <c r="R597" s="1">
        <v>88600</v>
      </c>
      <c r="S597" s="1">
        <v>88600</v>
      </c>
    </row>
    <row r="598" spans="1:19" ht="12.5" x14ac:dyDescent="0.25">
      <c r="A598" s="1">
        <v>468</v>
      </c>
      <c r="B598" s="1" t="s">
        <v>1915</v>
      </c>
      <c r="C598" s="1" t="s">
        <v>35</v>
      </c>
      <c r="D598" s="1" t="s">
        <v>36</v>
      </c>
      <c r="E598" s="1">
        <v>472</v>
      </c>
      <c r="F598" s="1" t="s">
        <v>1916</v>
      </c>
      <c r="G598" s="1" t="s">
        <v>1917</v>
      </c>
      <c r="H598" s="1" t="s">
        <v>1918</v>
      </c>
      <c r="I598" s="1" t="s">
        <v>29</v>
      </c>
      <c r="J598" s="1" t="s">
        <v>1919</v>
      </c>
      <c r="K598" s="1" t="b">
        <v>0</v>
      </c>
      <c r="L598" s="1" t="s">
        <v>22</v>
      </c>
      <c r="M598" s="1">
        <v>2021</v>
      </c>
      <c r="N598" s="1" t="s">
        <v>52</v>
      </c>
      <c r="O598" s="1" t="s">
        <v>9942</v>
      </c>
      <c r="P598" s="1" t="s">
        <v>16</v>
      </c>
      <c r="Q598" s="1">
        <v>100</v>
      </c>
      <c r="R598" s="1">
        <v>203700</v>
      </c>
      <c r="S598" s="1">
        <v>203700</v>
      </c>
    </row>
    <row r="599" spans="1:19" ht="12.5" x14ac:dyDescent="0.25">
      <c r="A599" s="1" t="s">
        <v>16</v>
      </c>
      <c r="B599" s="1" t="s">
        <v>16</v>
      </c>
      <c r="C599" s="1" t="s">
        <v>16</v>
      </c>
      <c r="D599" s="1" t="s">
        <v>16</v>
      </c>
      <c r="E599" s="1">
        <v>473</v>
      </c>
      <c r="F599" s="1" t="s">
        <v>1920</v>
      </c>
      <c r="G599" s="1" t="s">
        <v>1921</v>
      </c>
      <c r="H599" s="1" t="s">
        <v>1922</v>
      </c>
      <c r="I599" s="1" t="s">
        <v>29</v>
      </c>
      <c r="J599" s="1" t="s">
        <v>16</v>
      </c>
      <c r="K599" s="1" t="b">
        <v>0</v>
      </c>
      <c r="L599" s="1" t="s">
        <v>22</v>
      </c>
      <c r="M599" s="1" t="s">
        <v>16</v>
      </c>
      <c r="N599" s="1" t="s">
        <v>16</v>
      </c>
      <c r="O599" s="1" t="s">
        <v>16</v>
      </c>
      <c r="P599" s="1" t="s">
        <v>16</v>
      </c>
    </row>
    <row r="600" spans="1:19" ht="12.5" x14ac:dyDescent="0.25">
      <c r="A600" s="1">
        <v>470</v>
      </c>
      <c r="B600" s="1" t="s">
        <v>1923</v>
      </c>
      <c r="C600" s="1" t="s">
        <v>35</v>
      </c>
      <c r="D600" s="1" t="s">
        <v>36</v>
      </c>
      <c r="E600" s="1">
        <v>474</v>
      </c>
      <c r="F600" s="1" t="s">
        <v>1924</v>
      </c>
      <c r="G600" s="1" t="s">
        <v>1925</v>
      </c>
      <c r="H600" s="1" t="s">
        <v>1926</v>
      </c>
      <c r="I600" s="1" t="s">
        <v>29</v>
      </c>
      <c r="J600" s="1" t="s">
        <v>16</v>
      </c>
      <c r="K600" s="1" t="b">
        <v>0</v>
      </c>
      <c r="L600" s="1" t="s">
        <v>22</v>
      </c>
      <c r="M600" s="1" t="s">
        <v>16</v>
      </c>
      <c r="N600" s="1" t="s">
        <v>16</v>
      </c>
      <c r="O600" s="1" t="s">
        <v>16</v>
      </c>
      <c r="P600" s="1" t="s">
        <v>16</v>
      </c>
      <c r="Q600" s="1">
        <v>100</v>
      </c>
    </row>
    <row r="601" spans="1:19" ht="12.5" x14ac:dyDescent="0.25">
      <c r="A601" s="1">
        <v>470</v>
      </c>
      <c r="B601" s="1" t="s">
        <v>1923</v>
      </c>
      <c r="C601" s="1" t="s">
        <v>35</v>
      </c>
      <c r="D601" s="1" t="s">
        <v>36</v>
      </c>
      <c r="E601" s="1">
        <v>475</v>
      </c>
      <c r="F601" s="1" t="s">
        <v>1927</v>
      </c>
      <c r="G601" s="1" t="s">
        <v>1928</v>
      </c>
      <c r="H601" s="1" t="s">
        <v>1929</v>
      </c>
      <c r="I601" s="1" t="s">
        <v>20</v>
      </c>
      <c r="J601" s="1" t="s">
        <v>1930</v>
      </c>
      <c r="K601" s="1" t="b">
        <v>0</v>
      </c>
      <c r="L601" s="1" t="s">
        <v>22</v>
      </c>
      <c r="M601" s="1" t="s">
        <v>16</v>
      </c>
      <c r="N601" s="1" t="s">
        <v>16</v>
      </c>
      <c r="O601" s="1" t="s">
        <v>16</v>
      </c>
      <c r="P601" s="1" t="s">
        <v>16</v>
      </c>
      <c r="Q601" s="1">
        <v>100</v>
      </c>
    </row>
    <row r="602" spans="1:19" ht="12.5" x14ac:dyDescent="0.25">
      <c r="A602" s="1">
        <v>471</v>
      </c>
      <c r="B602" s="1" t="s">
        <v>1899</v>
      </c>
      <c r="C602" s="1" t="s">
        <v>35</v>
      </c>
      <c r="D602" s="1" t="s">
        <v>36</v>
      </c>
      <c r="E602" s="1">
        <v>476</v>
      </c>
      <c r="F602" s="1" t="s">
        <v>1931</v>
      </c>
      <c r="G602" s="1" t="s">
        <v>1932</v>
      </c>
      <c r="H602" s="1" t="s">
        <v>1933</v>
      </c>
      <c r="I602" s="1" t="s">
        <v>20</v>
      </c>
      <c r="J602" s="1" t="s">
        <v>16</v>
      </c>
      <c r="K602" s="1" t="b">
        <v>0</v>
      </c>
      <c r="L602" s="1" t="s">
        <v>22</v>
      </c>
      <c r="M602" s="1" t="s">
        <v>16</v>
      </c>
      <c r="N602" s="1" t="s">
        <v>16</v>
      </c>
      <c r="O602" s="1" t="s">
        <v>16</v>
      </c>
      <c r="P602" s="1" t="s">
        <v>16</v>
      </c>
      <c r="Q602" s="1">
        <v>100</v>
      </c>
    </row>
    <row r="603" spans="1:19" ht="12.5" x14ac:dyDescent="0.25">
      <c r="A603" s="1">
        <v>472</v>
      </c>
      <c r="B603" s="1" t="s">
        <v>1934</v>
      </c>
      <c r="C603" s="1" t="s">
        <v>35</v>
      </c>
      <c r="D603" s="1" t="s">
        <v>36</v>
      </c>
      <c r="E603" s="1">
        <v>477</v>
      </c>
      <c r="F603" s="1" t="s">
        <v>1935</v>
      </c>
      <c r="G603" s="1" t="s">
        <v>1936</v>
      </c>
      <c r="H603" s="1" t="s">
        <v>1937</v>
      </c>
      <c r="I603" s="1" t="s">
        <v>20</v>
      </c>
      <c r="J603" s="1" t="s">
        <v>1938</v>
      </c>
      <c r="K603" s="1" t="b">
        <v>0</v>
      </c>
      <c r="L603" s="1" t="s">
        <v>22</v>
      </c>
      <c r="M603" s="1" t="s">
        <v>16</v>
      </c>
      <c r="N603" s="1" t="s">
        <v>16</v>
      </c>
      <c r="O603" s="1" t="s">
        <v>16</v>
      </c>
      <c r="P603" s="1" t="s">
        <v>16</v>
      </c>
      <c r="Q603" s="1">
        <v>100</v>
      </c>
    </row>
    <row r="604" spans="1:19" ht="12.5" x14ac:dyDescent="0.25">
      <c r="A604" s="1">
        <v>474</v>
      </c>
      <c r="B604" s="1" t="s">
        <v>1939</v>
      </c>
      <c r="C604" s="1" t="s">
        <v>35</v>
      </c>
      <c r="D604" s="1" t="s">
        <v>36</v>
      </c>
      <c r="E604" s="1">
        <v>478</v>
      </c>
      <c r="F604" s="1" t="s">
        <v>1940</v>
      </c>
      <c r="G604" s="1" t="s">
        <v>1941</v>
      </c>
      <c r="H604" s="1" t="s">
        <v>1209</v>
      </c>
      <c r="I604" s="1" t="s">
        <v>29</v>
      </c>
      <c r="J604" s="1" t="s">
        <v>1942</v>
      </c>
      <c r="K604" s="1" t="b">
        <v>0</v>
      </c>
      <c r="L604" s="1" t="s">
        <v>22</v>
      </c>
      <c r="M604" s="1">
        <v>2024</v>
      </c>
      <c r="N604" s="1" t="s">
        <v>32</v>
      </c>
      <c r="O604" s="1" t="s">
        <v>9935</v>
      </c>
      <c r="P604" s="1" t="s">
        <v>16</v>
      </c>
      <c r="Q604" s="1">
        <v>100</v>
      </c>
      <c r="R604" s="1">
        <v>93300</v>
      </c>
      <c r="S604" s="1">
        <v>93300</v>
      </c>
    </row>
    <row r="605" spans="1:19" ht="12.5" x14ac:dyDescent="0.25">
      <c r="A605" s="1">
        <v>474</v>
      </c>
      <c r="B605" s="1" t="s">
        <v>1939</v>
      </c>
      <c r="C605" s="1" t="s">
        <v>35</v>
      </c>
      <c r="D605" s="1" t="s">
        <v>36</v>
      </c>
      <c r="E605" s="1">
        <v>478</v>
      </c>
      <c r="F605" s="1" t="s">
        <v>1940</v>
      </c>
      <c r="G605" s="1" t="s">
        <v>1941</v>
      </c>
      <c r="H605" s="1" t="s">
        <v>1209</v>
      </c>
      <c r="I605" s="1" t="s">
        <v>29</v>
      </c>
      <c r="J605" s="1" t="s">
        <v>1942</v>
      </c>
      <c r="K605" s="1" t="b">
        <v>0</v>
      </c>
      <c r="L605" s="1" t="s">
        <v>22</v>
      </c>
      <c r="M605" s="1">
        <v>2024</v>
      </c>
      <c r="N605" s="1" t="s">
        <v>32</v>
      </c>
      <c r="O605" s="1" t="s">
        <v>9942</v>
      </c>
      <c r="P605" s="1" t="s">
        <v>16</v>
      </c>
      <c r="Q605" s="1">
        <v>100</v>
      </c>
      <c r="R605" s="1">
        <v>99700</v>
      </c>
      <c r="S605" s="1">
        <v>99700</v>
      </c>
    </row>
    <row r="606" spans="1:19" ht="12.5" x14ac:dyDescent="0.25">
      <c r="A606" s="1">
        <v>474</v>
      </c>
      <c r="B606" s="1" t="s">
        <v>1939</v>
      </c>
      <c r="C606" s="1" t="s">
        <v>35</v>
      </c>
      <c r="D606" s="1" t="s">
        <v>36</v>
      </c>
      <c r="E606" s="1">
        <v>479</v>
      </c>
      <c r="F606" s="1" t="s">
        <v>1943</v>
      </c>
      <c r="G606" s="1" t="s">
        <v>1944</v>
      </c>
      <c r="H606" s="1" t="s">
        <v>1933</v>
      </c>
      <c r="I606" s="1" t="s">
        <v>29</v>
      </c>
      <c r="J606" s="1" t="s">
        <v>16</v>
      </c>
      <c r="K606" s="1" t="b">
        <v>0</v>
      </c>
      <c r="L606" s="1" t="s">
        <v>22</v>
      </c>
      <c r="M606" s="1" t="s">
        <v>16</v>
      </c>
      <c r="N606" s="1" t="s">
        <v>16</v>
      </c>
      <c r="O606" s="1" t="s">
        <v>16</v>
      </c>
      <c r="P606" s="1" t="s">
        <v>16</v>
      </c>
      <c r="Q606" s="1">
        <v>100</v>
      </c>
    </row>
    <row r="607" spans="1:19" ht="12.5" x14ac:dyDescent="0.25">
      <c r="A607" s="1">
        <v>475</v>
      </c>
      <c r="B607" s="1" t="s">
        <v>1945</v>
      </c>
      <c r="C607" s="1" t="s">
        <v>35</v>
      </c>
      <c r="D607" s="1" t="s">
        <v>36</v>
      </c>
      <c r="E607" s="1">
        <v>480</v>
      </c>
      <c r="F607" s="1" t="s">
        <v>1946</v>
      </c>
      <c r="G607" s="1" t="s">
        <v>1947</v>
      </c>
      <c r="H607" s="1" t="s">
        <v>1948</v>
      </c>
      <c r="I607" s="1" t="s">
        <v>29</v>
      </c>
      <c r="J607" s="1" t="s">
        <v>16</v>
      </c>
      <c r="K607" s="1" t="b">
        <v>0</v>
      </c>
      <c r="L607" s="1" t="s">
        <v>22</v>
      </c>
      <c r="M607" s="1" t="s">
        <v>16</v>
      </c>
      <c r="N607" s="1" t="s">
        <v>16</v>
      </c>
      <c r="O607" s="1" t="s">
        <v>16</v>
      </c>
      <c r="P607" s="1" t="s">
        <v>16</v>
      </c>
      <c r="Q607" s="1">
        <v>100</v>
      </c>
    </row>
    <row r="608" spans="1:19" ht="12.5" x14ac:dyDescent="0.25">
      <c r="A608" s="1">
        <v>476</v>
      </c>
      <c r="B608" s="1" t="s">
        <v>1949</v>
      </c>
      <c r="C608" s="1" t="s">
        <v>35</v>
      </c>
      <c r="D608" s="1" t="s">
        <v>36</v>
      </c>
      <c r="E608" s="1">
        <v>481</v>
      </c>
      <c r="F608" s="1" t="s">
        <v>1950</v>
      </c>
      <c r="G608" s="1" t="s">
        <v>1951</v>
      </c>
      <c r="H608" s="1" t="s">
        <v>1209</v>
      </c>
      <c r="I608" s="1" t="s">
        <v>29</v>
      </c>
      <c r="J608" s="1" t="s">
        <v>16</v>
      </c>
      <c r="K608" s="1" t="b">
        <v>0</v>
      </c>
      <c r="L608" s="1" t="s">
        <v>22</v>
      </c>
      <c r="M608" s="1">
        <v>2023</v>
      </c>
      <c r="N608" s="1" t="s">
        <v>45</v>
      </c>
      <c r="O608" s="1" t="s">
        <v>9942</v>
      </c>
      <c r="P608" s="1" t="s">
        <v>16</v>
      </c>
      <c r="Q608" s="1">
        <v>100</v>
      </c>
      <c r="R608" s="1">
        <v>159800</v>
      </c>
      <c r="S608" s="1">
        <v>159800</v>
      </c>
    </row>
    <row r="609" spans="1:19" ht="12.5" x14ac:dyDescent="0.25">
      <c r="A609" s="1">
        <v>476</v>
      </c>
      <c r="B609" s="1" t="s">
        <v>1949</v>
      </c>
      <c r="C609" s="1" t="s">
        <v>35</v>
      </c>
      <c r="D609" s="1" t="s">
        <v>36</v>
      </c>
      <c r="E609" s="1">
        <v>481</v>
      </c>
      <c r="F609" s="1" t="s">
        <v>1950</v>
      </c>
      <c r="G609" s="1" t="s">
        <v>1951</v>
      </c>
      <c r="H609" s="1" t="s">
        <v>1209</v>
      </c>
      <c r="I609" s="1" t="s">
        <v>29</v>
      </c>
      <c r="J609" s="1" t="s">
        <v>16</v>
      </c>
      <c r="K609" s="1" t="b">
        <v>0</v>
      </c>
      <c r="L609" s="1" t="s">
        <v>22</v>
      </c>
      <c r="M609" s="1">
        <v>2023</v>
      </c>
      <c r="N609" s="1" t="s">
        <v>45</v>
      </c>
      <c r="O609" s="1" t="s">
        <v>9935</v>
      </c>
      <c r="P609" s="1" t="s">
        <v>16</v>
      </c>
      <c r="Q609" s="1">
        <v>100</v>
      </c>
      <c r="R609" s="1">
        <v>395600</v>
      </c>
      <c r="S609" s="1">
        <v>395600</v>
      </c>
    </row>
    <row r="610" spans="1:19" ht="12.5" x14ac:dyDescent="0.25">
      <c r="A610" s="1">
        <v>476</v>
      </c>
      <c r="B610" s="1" t="s">
        <v>1949</v>
      </c>
      <c r="C610" s="1" t="s">
        <v>35</v>
      </c>
      <c r="D610" s="1" t="s">
        <v>36</v>
      </c>
      <c r="E610" s="1">
        <v>482</v>
      </c>
      <c r="F610" s="1" t="s">
        <v>1952</v>
      </c>
      <c r="G610" s="1" t="s">
        <v>1953</v>
      </c>
      <c r="H610" s="1" t="s">
        <v>1954</v>
      </c>
      <c r="I610" s="1" t="s">
        <v>20</v>
      </c>
      <c r="J610" s="1" t="s">
        <v>16</v>
      </c>
      <c r="K610" s="1" t="b">
        <v>0</v>
      </c>
      <c r="L610" s="1" t="s">
        <v>22</v>
      </c>
      <c r="M610" s="1" t="s">
        <v>16</v>
      </c>
      <c r="N610" s="1" t="s">
        <v>16</v>
      </c>
      <c r="O610" s="1" t="s">
        <v>16</v>
      </c>
      <c r="P610" s="1" t="s">
        <v>16</v>
      </c>
      <c r="Q610" s="1">
        <v>100</v>
      </c>
    </row>
    <row r="611" spans="1:19" ht="12.5" x14ac:dyDescent="0.25">
      <c r="A611" s="1">
        <v>478</v>
      </c>
      <c r="B611" s="1" t="s">
        <v>1955</v>
      </c>
      <c r="C611" s="1" t="s">
        <v>35</v>
      </c>
      <c r="D611" s="1" t="s">
        <v>36</v>
      </c>
      <c r="E611" s="1">
        <v>483</v>
      </c>
      <c r="F611" s="1" t="s">
        <v>1956</v>
      </c>
      <c r="G611" s="1" t="s">
        <v>1957</v>
      </c>
      <c r="H611" s="1" t="s">
        <v>1958</v>
      </c>
      <c r="I611" s="1" t="s">
        <v>20</v>
      </c>
      <c r="J611" s="1" t="s">
        <v>16</v>
      </c>
      <c r="K611" s="1" t="b">
        <v>0</v>
      </c>
      <c r="L611" s="1" t="s">
        <v>22</v>
      </c>
      <c r="M611" s="1" t="s">
        <v>16</v>
      </c>
      <c r="N611" s="1" t="s">
        <v>16</v>
      </c>
      <c r="O611" s="1" t="s">
        <v>16</v>
      </c>
      <c r="P611" s="1" t="s">
        <v>16</v>
      </c>
      <c r="Q611" s="1">
        <v>100</v>
      </c>
    </row>
    <row r="612" spans="1:19" ht="12.5" x14ac:dyDescent="0.25">
      <c r="A612" s="1">
        <v>479</v>
      </c>
      <c r="B612" s="1" t="s">
        <v>1959</v>
      </c>
      <c r="C612" s="1" t="s">
        <v>35</v>
      </c>
      <c r="D612" s="1" t="s">
        <v>36</v>
      </c>
      <c r="E612" s="1">
        <v>484</v>
      </c>
      <c r="F612" s="1" t="s">
        <v>1960</v>
      </c>
      <c r="G612" s="1" t="s">
        <v>1961</v>
      </c>
      <c r="H612" s="1" t="s">
        <v>1962</v>
      </c>
      <c r="I612" s="1" t="s">
        <v>29</v>
      </c>
      <c r="J612" s="1" t="s">
        <v>16</v>
      </c>
      <c r="K612" s="1" t="b">
        <v>0</v>
      </c>
      <c r="L612" s="1" t="s">
        <v>22</v>
      </c>
      <c r="M612" s="1">
        <v>2021</v>
      </c>
      <c r="N612" s="1" t="s">
        <v>52</v>
      </c>
      <c r="O612" s="1" t="s">
        <v>9935</v>
      </c>
      <c r="P612" s="1" t="s">
        <v>16</v>
      </c>
      <c r="Q612" s="1">
        <v>100</v>
      </c>
      <c r="R612" s="1">
        <v>105000</v>
      </c>
      <c r="S612" s="1">
        <v>105000</v>
      </c>
    </row>
    <row r="613" spans="1:19" ht="12.5" x14ac:dyDescent="0.25">
      <c r="A613" s="1">
        <v>480</v>
      </c>
      <c r="B613" s="1" t="s">
        <v>1963</v>
      </c>
      <c r="C613" s="1" t="s">
        <v>35</v>
      </c>
      <c r="D613" s="1" t="s">
        <v>36</v>
      </c>
      <c r="E613" s="1">
        <v>485</v>
      </c>
      <c r="F613" s="1" t="s">
        <v>1964</v>
      </c>
      <c r="G613" s="1" t="s">
        <v>1965</v>
      </c>
      <c r="H613" s="1" t="s">
        <v>1966</v>
      </c>
      <c r="I613" s="1" t="s">
        <v>29</v>
      </c>
      <c r="J613" s="1" t="s">
        <v>16</v>
      </c>
      <c r="K613" s="1" t="b">
        <v>0</v>
      </c>
      <c r="L613" s="1" t="s">
        <v>22</v>
      </c>
      <c r="M613" s="1" t="s">
        <v>16</v>
      </c>
      <c r="N613" s="1" t="s">
        <v>16</v>
      </c>
      <c r="O613" s="1" t="s">
        <v>16</v>
      </c>
      <c r="P613" s="1" t="s">
        <v>16</v>
      </c>
      <c r="Q613" s="1">
        <v>100</v>
      </c>
    </row>
    <row r="614" spans="1:19" ht="12.5" x14ac:dyDescent="0.25">
      <c r="A614" s="1">
        <v>480</v>
      </c>
      <c r="B614" s="1" t="s">
        <v>1963</v>
      </c>
      <c r="C614" s="1" t="s">
        <v>35</v>
      </c>
      <c r="D614" s="1" t="s">
        <v>36</v>
      </c>
      <c r="E614" s="1">
        <v>486</v>
      </c>
      <c r="F614" s="1" t="s">
        <v>1967</v>
      </c>
      <c r="G614" s="1" t="s">
        <v>1968</v>
      </c>
      <c r="H614" s="1" t="s">
        <v>1969</v>
      </c>
      <c r="I614" s="1" t="s">
        <v>20</v>
      </c>
      <c r="J614" s="1" t="s">
        <v>16</v>
      </c>
      <c r="K614" s="1" t="b">
        <v>0</v>
      </c>
      <c r="L614" s="1" t="s">
        <v>22</v>
      </c>
      <c r="M614" s="1" t="s">
        <v>16</v>
      </c>
      <c r="N614" s="1" t="s">
        <v>16</v>
      </c>
      <c r="O614" s="1" t="s">
        <v>16</v>
      </c>
      <c r="P614" s="1" t="s">
        <v>16</v>
      </c>
      <c r="Q614" s="1">
        <v>100</v>
      </c>
    </row>
    <row r="615" spans="1:19" ht="12.5" x14ac:dyDescent="0.25">
      <c r="A615" s="1">
        <v>481</v>
      </c>
      <c r="B615" s="1" t="s">
        <v>1970</v>
      </c>
      <c r="C615" s="1" t="s">
        <v>35</v>
      </c>
      <c r="D615" s="1" t="s">
        <v>36</v>
      </c>
      <c r="E615" s="1">
        <v>487</v>
      </c>
      <c r="F615" s="1" t="s">
        <v>1971</v>
      </c>
      <c r="G615" s="1" t="s">
        <v>1972</v>
      </c>
      <c r="H615" s="1" t="s">
        <v>1973</v>
      </c>
      <c r="I615" s="1" t="s">
        <v>29</v>
      </c>
      <c r="J615" s="1" t="s">
        <v>16</v>
      </c>
      <c r="K615" s="1" t="b">
        <v>0</v>
      </c>
      <c r="L615" s="1" t="s">
        <v>22</v>
      </c>
      <c r="M615" s="1" t="s">
        <v>16</v>
      </c>
      <c r="N615" s="1" t="s">
        <v>16</v>
      </c>
      <c r="O615" s="1" t="s">
        <v>16</v>
      </c>
      <c r="P615" s="1" t="s">
        <v>16</v>
      </c>
      <c r="Q615" s="1">
        <v>100</v>
      </c>
    </row>
    <row r="616" spans="1:19" ht="12.5" x14ac:dyDescent="0.25">
      <c r="A616" s="1">
        <v>482</v>
      </c>
      <c r="B616" s="1" t="s">
        <v>1974</v>
      </c>
      <c r="C616" s="1" t="s">
        <v>35</v>
      </c>
      <c r="D616" s="1" t="s">
        <v>36</v>
      </c>
      <c r="E616" s="1">
        <v>488</v>
      </c>
      <c r="F616" s="1" t="s">
        <v>1975</v>
      </c>
      <c r="G616" s="1" t="s">
        <v>1976</v>
      </c>
      <c r="H616" s="1" t="s">
        <v>1977</v>
      </c>
      <c r="I616" s="1" t="s">
        <v>29</v>
      </c>
      <c r="J616" s="1" t="s">
        <v>1978</v>
      </c>
      <c r="K616" s="1" t="b">
        <v>1</v>
      </c>
      <c r="L616" s="1" t="s">
        <v>31</v>
      </c>
      <c r="M616" s="1">
        <v>2022</v>
      </c>
      <c r="N616" s="1" t="s">
        <v>45</v>
      </c>
      <c r="O616" s="1" t="s">
        <v>9942</v>
      </c>
      <c r="P616" s="1" t="s">
        <v>16</v>
      </c>
      <c r="Q616" s="1">
        <v>100</v>
      </c>
      <c r="R616" s="1">
        <v>131800</v>
      </c>
      <c r="S616" s="1">
        <v>131800</v>
      </c>
    </row>
    <row r="617" spans="1:19" ht="12.5" x14ac:dyDescent="0.25">
      <c r="A617" s="1">
        <v>483</v>
      </c>
      <c r="B617" s="1" t="s">
        <v>1979</v>
      </c>
      <c r="C617" s="1" t="s">
        <v>35</v>
      </c>
      <c r="D617" s="1" t="s">
        <v>36</v>
      </c>
      <c r="E617" s="1">
        <v>489</v>
      </c>
      <c r="F617" s="1" t="s">
        <v>1980</v>
      </c>
      <c r="G617" s="1" t="s">
        <v>1981</v>
      </c>
      <c r="H617" s="1" t="s">
        <v>1982</v>
      </c>
      <c r="I617" s="1" t="s">
        <v>29</v>
      </c>
      <c r="J617" s="1" t="s">
        <v>1983</v>
      </c>
      <c r="K617" s="1" t="b">
        <v>0</v>
      </c>
      <c r="L617" s="1" t="s">
        <v>22</v>
      </c>
      <c r="M617" s="1">
        <v>2023</v>
      </c>
      <c r="N617" s="1" t="s">
        <v>32</v>
      </c>
      <c r="O617" s="1" t="s">
        <v>9935</v>
      </c>
      <c r="P617" s="1" t="s">
        <v>16</v>
      </c>
      <c r="Q617" s="1">
        <v>100</v>
      </c>
      <c r="R617" s="1">
        <v>95000</v>
      </c>
      <c r="S617" s="1">
        <v>95000</v>
      </c>
    </row>
    <row r="618" spans="1:19" ht="12.5" x14ac:dyDescent="0.25">
      <c r="A618" s="1">
        <v>483</v>
      </c>
      <c r="B618" s="1" t="s">
        <v>1979</v>
      </c>
      <c r="C618" s="1" t="s">
        <v>35</v>
      </c>
      <c r="D618" s="1" t="s">
        <v>36</v>
      </c>
      <c r="E618" s="1">
        <v>489</v>
      </c>
      <c r="F618" s="1" t="s">
        <v>1980</v>
      </c>
      <c r="G618" s="1" t="s">
        <v>1981</v>
      </c>
      <c r="H618" s="1" t="s">
        <v>1982</v>
      </c>
      <c r="I618" s="1" t="s">
        <v>29</v>
      </c>
      <c r="J618" s="1" t="s">
        <v>1983</v>
      </c>
      <c r="K618" s="1" t="b">
        <v>0</v>
      </c>
      <c r="L618" s="1" t="s">
        <v>22</v>
      </c>
      <c r="M618" s="1">
        <v>2023</v>
      </c>
      <c r="N618" s="1" t="s">
        <v>32</v>
      </c>
      <c r="O618" s="1" t="s">
        <v>9942</v>
      </c>
      <c r="P618" s="1" t="s">
        <v>16</v>
      </c>
      <c r="Q618" s="1">
        <v>100</v>
      </c>
      <c r="R618" s="1">
        <v>142800</v>
      </c>
      <c r="S618" s="1">
        <v>142800</v>
      </c>
    </row>
    <row r="619" spans="1:19" ht="12.5" x14ac:dyDescent="0.25">
      <c r="A619" s="1">
        <v>484</v>
      </c>
      <c r="B619" s="1" t="s">
        <v>1984</v>
      </c>
      <c r="C619" s="1" t="s">
        <v>35</v>
      </c>
      <c r="D619" s="1" t="s">
        <v>36</v>
      </c>
      <c r="E619" s="1">
        <v>490</v>
      </c>
      <c r="F619" s="1" t="s">
        <v>1985</v>
      </c>
      <c r="G619" s="1" t="s">
        <v>1986</v>
      </c>
      <c r="H619" s="1" t="s">
        <v>1209</v>
      </c>
      <c r="I619" s="1" t="s">
        <v>29</v>
      </c>
      <c r="J619" s="1" t="s">
        <v>16</v>
      </c>
      <c r="K619" s="1" t="b">
        <v>0</v>
      </c>
      <c r="L619" s="1" t="s">
        <v>22</v>
      </c>
      <c r="M619" s="1" t="s">
        <v>16</v>
      </c>
      <c r="N619" s="1" t="s">
        <v>16</v>
      </c>
      <c r="O619" s="1" t="s">
        <v>9942</v>
      </c>
      <c r="P619" s="1" t="s">
        <v>16</v>
      </c>
      <c r="Q619" s="1">
        <v>100</v>
      </c>
      <c r="R619" s="1">
        <v>0</v>
      </c>
      <c r="S619" s="1">
        <v>0</v>
      </c>
    </row>
    <row r="620" spans="1:19" ht="12.5" x14ac:dyDescent="0.25">
      <c r="A620" s="1">
        <v>484</v>
      </c>
      <c r="B620" s="1" t="s">
        <v>1984</v>
      </c>
      <c r="C620" s="1" t="s">
        <v>35</v>
      </c>
      <c r="D620" s="1" t="s">
        <v>36</v>
      </c>
      <c r="E620" s="1">
        <v>490</v>
      </c>
      <c r="F620" s="1" t="s">
        <v>1985</v>
      </c>
      <c r="G620" s="1" t="s">
        <v>1986</v>
      </c>
      <c r="H620" s="1" t="s">
        <v>1209</v>
      </c>
      <c r="I620" s="1" t="s">
        <v>29</v>
      </c>
      <c r="J620" s="1" t="s">
        <v>16</v>
      </c>
      <c r="K620" s="1" t="b">
        <v>0</v>
      </c>
      <c r="L620" s="1" t="s">
        <v>22</v>
      </c>
      <c r="M620" s="1">
        <v>2022</v>
      </c>
      <c r="N620" s="1" t="s">
        <v>16</v>
      </c>
      <c r="O620" s="1" t="s">
        <v>9935</v>
      </c>
      <c r="P620" s="1" t="s">
        <v>16</v>
      </c>
      <c r="Q620" s="1">
        <v>100</v>
      </c>
      <c r="R620" s="1">
        <v>9600</v>
      </c>
      <c r="S620" s="1">
        <v>9600</v>
      </c>
    </row>
    <row r="621" spans="1:19" ht="12.5" x14ac:dyDescent="0.25">
      <c r="A621" s="1">
        <v>485</v>
      </c>
      <c r="B621" s="1" t="s">
        <v>1987</v>
      </c>
      <c r="C621" s="1" t="s">
        <v>35</v>
      </c>
      <c r="D621" s="1" t="s">
        <v>36</v>
      </c>
      <c r="E621" s="1">
        <v>491</v>
      </c>
      <c r="F621" s="1" t="s">
        <v>1988</v>
      </c>
      <c r="G621" s="1" t="s">
        <v>1989</v>
      </c>
      <c r="H621" s="1" t="s">
        <v>1990</v>
      </c>
      <c r="I621" s="1" t="s">
        <v>29</v>
      </c>
      <c r="J621" s="1" t="s">
        <v>1991</v>
      </c>
      <c r="K621" s="1" t="b">
        <v>0</v>
      </c>
      <c r="L621" s="1" t="s">
        <v>22</v>
      </c>
      <c r="M621" s="1">
        <v>2021</v>
      </c>
      <c r="N621" s="1" t="s">
        <v>52</v>
      </c>
      <c r="O621" s="1" t="s">
        <v>9956</v>
      </c>
      <c r="P621" s="1" t="s">
        <v>16</v>
      </c>
      <c r="Q621" s="1">
        <v>100</v>
      </c>
      <c r="R621" s="1">
        <v>1000</v>
      </c>
      <c r="S621" s="1">
        <v>1000</v>
      </c>
    </row>
    <row r="622" spans="1:19" ht="12.5" x14ac:dyDescent="0.25">
      <c r="A622" s="1">
        <v>486</v>
      </c>
      <c r="B622" s="1" t="s">
        <v>1992</v>
      </c>
      <c r="C622" s="1" t="s">
        <v>35</v>
      </c>
      <c r="D622" s="1" t="s">
        <v>36</v>
      </c>
      <c r="E622" s="1">
        <v>492</v>
      </c>
      <c r="F622" s="1" t="s">
        <v>1993</v>
      </c>
      <c r="G622" s="1" t="s">
        <v>1994</v>
      </c>
      <c r="H622" s="1" t="s">
        <v>1995</v>
      </c>
      <c r="I622" s="1" t="s">
        <v>29</v>
      </c>
      <c r="J622" s="1" t="s">
        <v>1996</v>
      </c>
      <c r="K622" s="1" t="b">
        <v>1</v>
      </c>
      <c r="L622" s="1" t="s">
        <v>31</v>
      </c>
      <c r="M622" s="1">
        <v>2022</v>
      </c>
      <c r="N622" s="1" t="s">
        <v>23</v>
      </c>
      <c r="O622" s="1" t="s">
        <v>9942</v>
      </c>
      <c r="P622" s="1" t="s">
        <v>16</v>
      </c>
      <c r="Q622" s="1">
        <v>100</v>
      </c>
      <c r="R622" s="1">
        <v>145100</v>
      </c>
      <c r="S622" s="1">
        <v>145100</v>
      </c>
    </row>
    <row r="623" spans="1:19" ht="12.5" x14ac:dyDescent="0.25">
      <c r="A623" s="1">
        <v>486</v>
      </c>
      <c r="B623" s="1" t="s">
        <v>1992</v>
      </c>
      <c r="C623" s="1" t="s">
        <v>35</v>
      </c>
      <c r="D623" s="1" t="s">
        <v>36</v>
      </c>
      <c r="E623" s="1">
        <v>492</v>
      </c>
      <c r="F623" s="1" t="s">
        <v>1993</v>
      </c>
      <c r="G623" s="1" t="s">
        <v>1994</v>
      </c>
      <c r="H623" s="1" t="s">
        <v>1995</v>
      </c>
      <c r="I623" s="1" t="s">
        <v>29</v>
      </c>
      <c r="J623" s="1" t="s">
        <v>1996</v>
      </c>
      <c r="K623" s="1" t="b">
        <v>1</v>
      </c>
      <c r="L623" s="1" t="s">
        <v>31</v>
      </c>
      <c r="M623" s="1">
        <v>2022</v>
      </c>
      <c r="N623" s="1" t="s">
        <v>23</v>
      </c>
      <c r="O623" s="1" t="s">
        <v>9935</v>
      </c>
      <c r="P623" s="1" t="s">
        <v>16</v>
      </c>
      <c r="Q623" s="1">
        <v>100</v>
      </c>
      <c r="R623" s="1">
        <v>220350</v>
      </c>
      <c r="S623" s="1">
        <v>220350</v>
      </c>
    </row>
    <row r="624" spans="1:19" ht="12.5" x14ac:dyDescent="0.25">
      <c r="A624" s="1" t="s">
        <v>16</v>
      </c>
      <c r="B624" s="1" t="s">
        <v>16</v>
      </c>
      <c r="C624" s="1" t="s">
        <v>16</v>
      </c>
      <c r="D624" s="1" t="s">
        <v>16</v>
      </c>
      <c r="E624" s="1">
        <v>493</v>
      </c>
      <c r="F624" s="1" t="s">
        <v>1997</v>
      </c>
      <c r="G624" s="1" t="s">
        <v>1998</v>
      </c>
      <c r="H624" s="1" t="s">
        <v>1999</v>
      </c>
      <c r="I624" s="1" t="s">
        <v>29</v>
      </c>
      <c r="J624" s="1" t="s">
        <v>16</v>
      </c>
      <c r="K624" s="1" t="b">
        <v>0</v>
      </c>
      <c r="L624" s="1" t="s">
        <v>22</v>
      </c>
      <c r="M624" s="1" t="s">
        <v>16</v>
      </c>
      <c r="N624" s="1" t="s">
        <v>16</v>
      </c>
      <c r="O624" s="1" t="s">
        <v>16</v>
      </c>
      <c r="P624" s="1" t="s">
        <v>16</v>
      </c>
    </row>
    <row r="625" spans="1:19" ht="12.5" x14ac:dyDescent="0.25">
      <c r="A625" s="1">
        <v>487</v>
      </c>
      <c r="B625" s="1" t="s">
        <v>2000</v>
      </c>
      <c r="C625" s="1" t="s">
        <v>35</v>
      </c>
      <c r="D625" s="1" t="s">
        <v>36</v>
      </c>
      <c r="E625" s="1">
        <v>494</v>
      </c>
      <c r="F625" s="1" t="s">
        <v>2001</v>
      </c>
      <c r="G625" s="1" t="s">
        <v>2002</v>
      </c>
      <c r="H625" s="1" t="s">
        <v>1209</v>
      </c>
      <c r="I625" s="1" t="s">
        <v>29</v>
      </c>
      <c r="J625" s="1" t="s">
        <v>16</v>
      </c>
      <c r="K625" s="1" t="b">
        <v>0</v>
      </c>
      <c r="L625" s="1" t="s">
        <v>22</v>
      </c>
      <c r="M625" s="1">
        <v>2023</v>
      </c>
      <c r="N625" s="1" t="s">
        <v>52</v>
      </c>
      <c r="O625" s="1" t="s">
        <v>9935</v>
      </c>
      <c r="P625" s="1" t="s">
        <v>16</v>
      </c>
      <c r="Q625" s="1">
        <v>100</v>
      </c>
      <c r="R625" s="1">
        <v>42300</v>
      </c>
      <c r="S625" s="1">
        <v>42300</v>
      </c>
    </row>
    <row r="626" spans="1:19" ht="12.5" x14ac:dyDescent="0.25">
      <c r="A626" s="1">
        <v>487</v>
      </c>
      <c r="B626" s="1" t="s">
        <v>2000</v>
      </c>
      <c r="C626" s="1" t="s">
        <v>35</v>
      </c>
      <c r="D626" s="1" t="s">
        <v>36</v>
      </c>
      <c r="E626" s="1">
        <v>494</v>
      </c>
      <c r="F626" s="1" t="s">
        <v>2001</v>
      </c>
      <c r="G626" s="1" t="s">
        <v>2002</v>
      </c>
      <c r="H626" s="1" t="s">
        <v>1209</v>
      </c>
      <c r="I626" s="1" t="s">
        <v>29</v>
      </c>
      <c r="J626" s="1" t="s">
        <v>16</v>
      </c>
      <c r="K626" s="1" t="b">
        <v>0</v>
      </c>
      <c r="L626" s="1" t="s">
        <v>22</v>
      </c>
      <c r="M626" s="1">
        <v>2023</v>
      </c>
      <c r="N626" s="1" t="s">
        <v>52</v>
      </c>
      <c r="O626" s="1" t="s">
        <v>9942</v>
      </c>
      <c r="P626" s="1" t="s">
        <v>16</v>
      </c>
      <c r="Q626" s="1">
        <v>100</v>
      </c>
      <c r="R626" s="1">
        <v>92900</v>
      </c>
      <c r="S626" s="1">
        <v>92900</v>
      </c>
    </row>
    <row r="627" spans="1:19" ht="12.5" x14ac:dyDescent="0.25">
      <c r="A627" s="1">
        <v>487</v>
      </c>
      <c r="B627" s="1" t="s">
        <v>2000</v>
      </c>
      <c r="C627" s="1" t="s">
        <v>35</v>
      </c>
      <c r="D627" s="1" t="s">
        <v>36</v>
      </c>
      <c r="E627" s="1">
        <v>495</v>
      </c>
      <c r="F627" s="1" t="s">
        <v>2003</v>
      </c>
      <c r="G627" s="1" t="s">
        <v>2004</v>
      </c>
      <c r="H627" s="1" t="s">
        <v>2005</v>
      </c>
      <c r="I627" s="1" t="s">
        <v>29</v>
      </c>
      <c r="J627" s="1" t="s">
        <v>16</v>
      </c>
      <c r="K627" s="1" t="b">
        <v>0</v>
      </c>
      <c r="L627" s="1" t="s">
        <v>22</v>
      </c>
      <c r="M627" s="1" t="s">
        <v>16</v>
      </c>
      <c r="N627" s="1" t="s">
        <v>16</v>
      </c>
      <c r="O627" s="1" t="s">
        <v>16</v>
      </c>
      <c r="P627" s="1" t="s">
        <v>16</v>
      </c>
      <c r="Q627" s="1">
        <v>100</v>
      </c>
    </row>
    <row r="628" spans="1:19" ht="12.5" x14ac:dyDescent="0.25">
      <c r="A628" s="1">
        <v>488</v>
      </c>
      <c r="B628" s="1" t="s">
        <v>2006</v>
      </c>
      <c r="C628" s="1" t="s">
        <v>35</v>
      </c>
      <c r="D628" s="1" t="s">
        <v>36</v>
      </c>
      <c r="E628" s="1">
        <v>496</v>
      </c>
      <c r="F628" s="1" t="s">
        <v>2007</v>
      </c>
      <c r="G628" s="1" t="s">
        <v>2008</v>
      </c>
      <c r="H628" s="1" t="s">
        <v>2009</v>
      </c>
      <c r="I628" s="1" t="s">
        <v>29</v>
      </c>
      <c r="J628" s="1" t="s">
        <v>16</v>
      </c>
      <c r="K628" s="1" t="b">
        <v>0</v>
      </c>
      <c r="L628" s="1" t="s">
        <v>22</v>
      </c>
      <c r="M628" s="1" t="s">
        <v>16</v>
      </c>
      <c r="N628" s="1" t="s">
        <v>16</v>
      </c>
      <c r="O628" s="1" t="s">
        <v>16</v>
      </c>
      <c r="P628" s="1" t="s">
        <v>16</v>
      </c>
      <c r="Q628" s="1">
        <v>100</v>
      </c>
    </row>
    <row r="629" spans="1:19" ht="12.5" x14ac:dyDescent="0.25">
      <c r="A629" s="1">
        <v>489</v>
      </c>
      <c r="B629" s="1" t="s">
        <v>2010</v>
      </c>
      <c r="C629" s="1" t="s">
        <v>35</v>
      </c>
      <c r="D629" s="1" t="s">
        <v>36</v>
      </c>
      <c r="E629" s="1">
        <v>497</v>
      </c>
      <c r="F629" s="1" t="s">
        <v>2011</v>
      </c>
      <c r="G629" s="1" t="s">
        <v>2012</v>
      </c>
      <c r="H629" s="1" t="s">
        <v>2013</v>
      </c>
      <c r="I629" s="1" t="s">
        <v>20</v>
      </c>
      <c r="J629" s="1" t="s">
        <v>2014</v>
      </c>
      <c r="K629" s="1" t="b">
        <v>0</v>
      </c>
      <c r="L629" s="1" t="s">
        <v>22</v>
      </c>
      <c r="M629" s="1" t="s">
        <v>16</v>
      </c>
      <c r="N629" s="1" t="s">
        <v>16</v>
      </c>
      <c r="O629" s="1" t="s">
        <v>16</v>
      </c>
      <c r="P629" s="1" t="s">
        <v>16</v>
      </c>
      <c r="Q629" s="1">
        <v>100</v>
      </c>
    </row>
    <row r="630" spans="1:19" ht="12.5" x14ac:dyDescent="0.25">
      <c r="A630" s="1">
        <v>490</v>
      </c>
      <c r="B630" s="1" t="s">
        <v>2015</v>
      </c>
      <c r="C630" s="1" t="s">
        <v>35</v>
      </c>
      <c r="D630" s="1" t="s">
        <v>36</v>
      </c>
      <c r="E630" s="1">
        <v>498</v>
      </c>
      <c r="F630" s="1" t="s">
        <v>2016</v>
      </c>
      <c r="G630" s="1" t="s">
        <v>2017</v>
      </c>
      <c r="H630" s="1" t="s">
        <v>2018</v>
      </c>
      <c r="I630" s="1" t="s">
        <v>29</v>
      </c>
      <c r="J630" s="1" t="s">
        <v>2019</v>
      </c>
      <c r="K630" s="1" t="b">
        <v>0</v>
      </c>
      <c r="L630" s="1" t="s">
        <v>22</v>
      </c>
      <c r="M630" s="1">
        <v>2022</v>
      </c>
      <c r="N630" s="1" t="s">
        <v>52</v>
      </c>
      <c r="O630" s="1" t="s">
        <v>9942</v>
      </c>
      <c r="P630" s="1" t="s">
        <v>16</v>
      </c>
      <c r="Q630" s="1">
        <v>100</v>
      </c>
      <c r="R630" s="1">
        <v>87000</v>
      </c>
      <c r="S630" s="1">
        <v>87000</v>
      </c>
    </row>
    <row r="631" spans="1:19" ht="12.5" x14ac:dyDescent="0.25">
      <c r="A631" s="1">
        <v>491</v>
      </c>
      <c r="B631" s="1" t="s">
        <v>2020</v>
      </c>
      <c r="C631" s="1" t="s">
        <v>35</v>
      </c>
      <c r="D631" s="1" t="s">
        <v>36</v>
      </c>
      <c r="E631" s="1">
        <v>499</v>
      </c>
      <c r="F631" s="1" t="s">
        <v>2021</v>
      </c>
      <c r="G631" s="1" t="s">
        <v>2022</v>
      </c>
      <c r="H631" s="1" t="s">
        <v>2023</v>
      </c>
      <c r="I631" s="1" t="s">
        <v>29</v>
      </c>
      <c r="J631" s="1" t="s">
        <v>16</v>
      </c>
      <c r="K631" s="1" t="b">
        <v>0</v>
      </c>
      <c r="L631" s="1" t="s">
        <v>22</v>
      </c>
      <c r="M631" s="1">
        <v>2023</v>
      </c>
      <c r="N631" s="1" t="s">
        <v>32</v>
      </c>
      <c r="O631" s="1" t="s">
        <v>9935</v>
      </c>
      <c r="P631" s="1" t="s">
        <v>16</v>
      </c>
      <c r="Q631" s="1">
        <v>100</v>
      </c>
      <c r="R631" s="1">
        <v>131200</v>
      </c>
      <c r="S631" s="1">
        <v>131200</v>
      </c>
    </row>
    <row r="632" spans="1:19" ht="12.5" x14ac:dyDescent="0.25">
      <c r="A632" s="1">
        <v>491</v>
      </c>
      <c r="B632" s="1" t="s">
        <v>2020</v>
      </c>
      <c r="C632" s="1" t="s">
        <v>35</v>
      </c>
      <c r="D632" s="1" t="s">
        <v>36</v>
      </c>
      <c r="E632" s="1">
        <v>499</v>
      </c>
      <c r="F632" s="1" t="s">
        <v>2021</v>
      </c>
      <c r="G632" s="1" t="s">
        <v>2022</v>
      </c>
      <c r="H632" s="1" t="s">
        <v>2023</v>
      </c>
      <c r="I632" s="1" t="s">
        <v>29</v>
      </c>
      <c r="J632" s="1" t="s">
        <v>16</v>
      </c>
      <c r="K632" s="1" t="b">
        <v>0</v>
      </c>
      <c r="L632" s="1" t="s">
        <v>22</v>
      </c>
      <c r="M632" s="1">
        <v>2023</v>
      </c>
      <c r="N632" s="1" t="s">
        <v>32</v>
      </c>
      <c r="O632" s="1" t="s">
        <v>9942</v>
      </c>
      <c r="P632" s="1" t="s">
        <v>16</v>
      </c>
      <c r="Q632" s="1">
        <v>100</v>
      </c>
      <c r="R632" s="1">
        <v>140400</v>
      </c>
      <c r="S632" s="1">
        <v>140400</v>
      </c>
    </row>
    <row r="633" spans="1:19" ht="12.5" x14ac:dyDescent="0.25">
      <c r="A633" s="1">
        <v>492</v>
      </c>
      <c r="B633" s="1" t="s">
        <v>2024</v>
      </c>
      <c r="C633" s="1" t="s">
        <v>35</v>
      </c>
      <c r="D633" s="1" t="s">
        <v>36</v>
      </c>
      <c r="E633" s="1">
        <v>500</v>
      </c>
      <c r="F633" s="1" t="s">
        <v>2025</v>
      </c>
      <c r="G633" s="1" t="s">
        <v>2026</v>
      </c>
      <c r="H633" s="1" t="s">
        <v>2027</v>
      </c>
      <c r="I633" s="1" t="s">
        <v>29</v>
      </c>
      <c r="J633" s="1" t="s">
        <v>2028</v>
      </c>
      <c r="K633" s="1" t="b">
        <v>1</v>
      </c>
      <c r="L633" s="1" t="s">
        <v>31</v>
      </c>
      <c r="M633" s="1">
        <v>2022</v>
      </c>
      <c r="N633" s="1" t="s">
        <v>32</v>
      </c>
      <c r="O633" s="1" t="s">
        <v>9935</v>
      </c>
      <c r="P633" s="1" t="s">
        <v>16</v>
      </c>
      <c r="Q633" s="1">
        <v>100</v>
      </c>
      <c r="R633" s="1">
        <v>2100</v>
      </c>
      <c r="S633" s="1">
        <v>2100</v>
      </c>
    </row>
    <row r="634" spans="1:19" ht="12.5" x14ac:dyDescent="0.25">
      <c r="A634" s="1">
        <v>493</v>
      </c>
      <c r="B634" s="1" t="s">
        <v>2029</v>
      </c>
      <c r="C634" s="1" t="s">
        <v>35</v>
      </c>
      <c r="D634" s="1" t="s">
        <v>36</v>
      </c>
      <c r="E634" s="1">
        <v>501</v>
      </c>
      <c r="F634" s="1" t="s">
        <v>2030</v>
      </c>
      <c r="G634" s="1" t="s">
        <v>2031</v>
      </c>
      <c r="H634" s="1" t="s">
        <v>2032</v>
      </c>
      <c r="I634" s="1" t="s">
        <v>29</v>
      </c>
      <c r="J634" s="1" t="s">
        <v>2033</v>
      </c>
      <c r="K634" s="1" t="b">
        <v>0</v>
      </c>
      <c r="L634" s="1" t="s">
        <v>22</v>
      </c>
      <c r="M634" s="1">
        <v>2022</v>
      </c>
      <c r="N634" s="1" t="s">
        <v>52</v>
      </c>
      <c r="O634" s="1" t="s">
        <v>9935</v>
      </c>
      <c r="P634" s="1" t="s">
        <v>16</v>
      </c>
      <c r="Q634" s="1">
        <v>100</v>
      </c>
      <c r="R634" s="1">
        <v>12000</v>
      </c>
      <c r="S634" s="1">
        <v>12000</v>
      </c>
    </row>
    <row r="635" spans="1:19" ht="12.5" x14ac:dyDescent="0.25">
      <c r="A635" s="1">
        <v>493</v>
      </c>
      <c r="B635" s="1" t="s">
        <v>2029</v>
      </c>
      <c r="C635" s="1" t="s">
        <v>35</v>
      </c>
      <c r="D635" s="1" t="s">
        <v>36</v>
      </c>
      <c r="E635" s="1">
        <v>501</v>
      </c>
      <c r="F635" s="1" t="s">
        <v>2030</v>
      </c>
      <c r="G635" s="1" t="s">
        <v>2031</v>
      </c>
      <c r="H635" s="1" t="s">
        <v>2032</v>
      </c>
      <c r="I635" s="1" t="s">
        <v>29</v>
      </c>
      <c r="J635" s="1" t="s">
        <v>2033</v>
      </c>
      <c r="K635" s="1" t="b">
        <v>0</v>
      </c>
      <c r="L635" s="1" t="s">
        <v>22</v>
      </c>
      <c r="M635" s="1">
        <v>2022</v>
      </c>
      <c r="N635" s="1" t="s">
        <v>52</v>
      </c>
      <c r="O635" s="1" t="s">
        <v>9942</v>
      </c>
      <c r="P635" s="1" t="s">
        <v>16</v>
      </c>
      <c r="Q635" s="1">
        <v>100</v>
      </c>
      <c r="R635" s="1">
        <v>207700</v>
      </c>
      <c r="S635" s="1">
        <v>207700</v>
      </c>
    </row>
    <row r="636" spans="1:19" ht="12.5" x14ac:dyDescent="0.25">
      <c r="A636" s="1" t="s">
        <v>16</v>
      </c>
      <c r="B636" s="1" t="s">
        <v>16</v>
      </c>
      <c r="C636" s="1" t="s">
        <v>16</v>
      </c>
      <c r="D636" s="1" t="s">
        <v>16</v>
      </c>
      <c r="E636" s="1">
        <v>502</v>
      </c>
      <c r="F636" s="1" t="s">
        <v>2034</v>
      </c>
      <c r="G636" s="1" t="s">
        <v>2035</v>
      </c>
      <c r="H636" s="1" t="s">
        <v>1929</v>
      </c>
      <c r="I636" s="1" t="s">
        <v>29</v>
      </c>
      <c r="J636" s="1" t="s">
        <v>16</v>
      </c>
      <c r="K636" s="1" t="b">
        <v>0</v>
      </c>
      <c r="L636" s="1" t="s">
        <v>22</v>
      </c>
      <c r="M636" s="1" t="s">
        <v>16</v>
      </c>
      <c r="N636" s="1" t="s">
        <v>16</v>
      </c>
      <c r="O636" s="1" t="s">
        <v>16</v>
      </c>
      <c r="P636" s="1" t="s">
        <v>16</v>
      </c>
    </row>
    <row r="637" spans="1:19" ht="12.5" x14ac:dyDescent="0.25">
      <c r="A637" s="1">
        <v>494</v>
      </c>
      <c r="B637" s="1" t="s">
        <v>2036</v>
      </c>
      <c r="C637" s="1" t="s">
        <v>35</v>
      </c>
      <c r="D637" s="1" t="s">
        <v>36</v>
      </c>
      <c r="E637" s="1">
        <v>503</v>
      </c>
      <c r="F637" s="1" t="s">
        <v>2037</v>
      </c>
      <c r="G637" s="1" t="s">
        <v>2038</v>
      </c>
      <c r="H637" s="1" t="s">
        <v>2039</v>
      </c>
      <c r="I637" s="1" t="s">
        <v>29</v>
      </c>
      <c r="J637" s="1" t="s">
        <v>2040</v>
      </c>
      <c r="K637" s="1" t="b">
        <v>1</v>
      </c>
      <c r="L637" s="1" t="s">
        <v>31</v>
      </c>
      <c r="M637" s="1">
        <v>2023</v>
      </c>
      <c r="N637" s="1" t="s">
        <v>45</v>
      </c>
      <c r="O637" s="1" t="s">
        <v>9935</v>
      </c>
      <c r="P637" s="1" t="s">
        <v>16</v>
      </c>
      <c r="Q637" s="1">
        <v>100</v>
      </c>
      <c r="R637" s="1">
        <v>222700</v>
      </c>
      <c r="S637" s="1">
        <v>222700</v>
      </c>
    </row>
    <row r="638" spans="1:19" ht="12.5" x14ac:dyDescent="0.25">
      <c r="A638" s="1">
        <v>494</v>
      </c>
      <c r="B638" s="1" t="s">
        <v>2036</v>
      </c>
      <c r="C638" s="1" t="s">
        <v>35</v>
      </c>
      <c r="D638" s="1" t="s">
        <v>36</v>
      </c>
      <c r="E638" s="1">
        <v>503</v>
      </c>
      <c r="F638" s="1" t="s">
        <v>2037</v>
      </c>
      <c r="G638" s="1" t="s">
        <v>2038</v>
      </c>
      <c r="H638" s="1" t="s">
        <v>2039</v>
      </c>
      <c r="I638" s="1" t="s">
        <v>29</v>
      </c>
      <c r="J638" s="1" t="s">
        <v>2040</v>
      </c>
      <c r="K638" s="1" t="b">
        <v>1</v>
      </c>
      <c r="L638" s="1" t="s">
        <v>31</v>
      </c>
      <c r="M638" s="1">
        <v>2023</v>
      </c>
      <c r="N638" s="1" t="s">
        <v>45</v>
      </c>
      <c r="O638" s="1" t="s">
        <v>9942</v>
      </c>
      <c r="P638" s="1" t="s">
        <v>16</v>
      </c>
      <c r="Q638" s="1">
        <v>100</v>
      </c>
      <c r="R638" s="1">
        <v>209300</v>
      </c>
      <c r="S638" s="1">
        <v>209300</v>
      </c>
    </row>
    <row r="639" spans="1:19" ht="12.5" x14ac:dyDescent="0.25">
      <c r="A639" s="1">
        <v>495</v>
      </c>
      <c r="B639" s="1" t="s">
        <v>2041</v>
      </c>
      <c r="C639" s="1" t="s">
        <v>35</v>
      </c>
      <c r="D639" s="1" t="s">
        <v>36</v>
      </c>
      <c r="E639" s="1">
        <v>504</v>
      </c>
      <c r="F639" s="1" t="s">
        <v>2042</v>
      </c>
      <c r="G639" s="1" t="s">
        <v>2043</v>
      </c>
      <c r="H639" s="1" t="s">
        <v>2044</v>
      </c>
      <c r="I639" s="1" t="s">
        <v>29</v>
      </c>
      <c r="J639" s="1" t="s">
        <v>16</v>
      </c>
      <c r="K639" s="1" t="b">
        <v>0</v>
      </c>
      <c r="L639" s="1" t="s">
        <v>22</v>
      </c>
      <c r="M639" s="1" t="s">
        <v>16</v>
      </c>
      <c r="N639" s="1" t="s">
        <v>16</v>
      </c>
      <c r="O639" s="1" t="s">
        <v>16</v>
      </c>
      <c r="P639" s="1" t="s">
        <v>16</v>
      </c>
      <c r="Q639" s="1">
        <v>100</v>
      </c>
    </row>
    <row r="640" spans="1:19" ht="12.5" x14ac:dyDescent="0.25">
      <c r="A640" s="1">
        <v>496</v>
      </c>
      <c r="B640" s="1" t="s">
        <v>2045</v>
      </c>
      <c r="C640" s="1" t="s">
        <v>35</v>
      </c>
      <c r="D640" s="1" t="s">
        <v>36</v>
      </c>
      <c r="E640" s="1">
        <v>505</v>
      </c>
      <c r="F640" s="1" t="s">
        <v>2046</v>
      </c>
      <c r="G640" s="1" t="s">
        <v>2047</v>
      </c>
      <c r="H640" s="1" t="s">
        <v>1489</v>
      </c>
      <c r="I640" s="1" t="s">
        <v>20</v>
      </c>
      <c r="J640" s="1" t="s">
        <v>16</v>
      </c>
      <c r="K640" s="1" t="b">
        <v>0</v>
      </c>
      <c r="L640" s="1" t="s">
        <v>22</v>
      </c>
      <c r="M640" s="1" t="s">
        <v>16</v>
      </c>
      <c r="N640" s="1" t="s">
        <v>16</v>
      </c>
      <c r="O640" s="1" t="s">
        <v>16</v>
      </c>
      <c r="P640" s="1" t="s">
        <v>16</v>
      </c>
      <c r="Q640" s="1">
        <v>100</v>
      </c>
    </row>
    <row r="641" spans="1:19" ht="12.5" x14ac:dyDescent="0.25">
      <c r="A641" s="1">
        <v>497</v>
      </c>
      <c r="B641" s="1" t="s">
        <v>2048</v>
      </c>
      <c r="C641" s="1" t="s">
        <v>35</v>
      </c>
      <c r="D641" s="1" t="s">
        <v>36</v>
      </c>
      <c r="E641" s="1">
        <v>506</v>
      </c>
      <c r="F641" s="1" t="s">
        <v>2049</v>
      </c>
      <c r="G641" s="1" t="s">
        <v>2050</v>
      </c>
      <c r="H641" s="1" t="s">
        <v>2051</v>
      </c>
      <c r="I641" s="1" t="s">
        <v>29</v>
      </c>
      <c r="J641" s="1" t="s">
        <v>16</v>
      </c>
      <c r="K641" s="1" t="b">
        <v>0</v>
      </c>
      <c r="L641" s="1" t="s">
        <v>22</v>
      </c>
      <c r="M641" s="1" t="s">
        <v>16</v>
      </c>
      <c r="N641" s="1" t="s">
        <v>16</v>
      </c>
      <c r="O641" s="1" t="s">
        <v>16</v>
      </c>
      <c r="P641" s="1" t="s">
        <v>16</v>
      </c>
      <c r="Q641" s="1">
        <v>100</v>
      </c>
    </row>
    <row r="642" spans="1:19" ht="12.5" x14ac:dyDescent="0.25">
      <c r="A642" s="1">
        <v>497</v>
      </c>
      <c r="B642" s="1" t="s">
        <v>2048</v>
      </c>
      <c r="C642" s="1" t="s">
        <v>35</v>
      </c>
      <c r="D642" s="1" t="s">
        <v>36</v>
      </c>
      <c r="E642" s="1">
        <v>507</v>
      </c>
      <c r="F642" s="1" t="s">
        <v>2052</v>
      </c>
      <c r="G642" s="1" t="s">
        <v>2053</v>
      </c>
      <c r="H642" s="1" t="s">
        <v>1489</v>
      </c>
      <c r="I642" s="1" t="s">
        <v>20</v>
      </c>
      <c r="J642" s="1" t="s">
        <v>16</v>
      </c>
      <c r="K642" s="1" t="b">
        <v>0</v>
      </c>
      <c r="L642" s="1" t="s">
        <v>22</v>
      </c>
      <c r="M642" s="1" t="s">
        <v>16</v>
      </c>
      <c r="N642" s="1" t="s">
        <v>16</v>
      </c>
      <c r="O642" s="1" t="s">
        <v>16</v>
      </c>
      <c r="P642" s="1" t="s">
        <v>16</v>
      </c>
      <c r="Q642" s="1">
        <v>100</v>
      </c>
    </row>
    <row r="643" spans="1:19" ht="12.5" x14ac:dyDescent="0.25">
      <c r="A643" s="1">
        <v>498</v>
      </c>
      <c r="B643" s="1" t="s">
        <v>2054</v>
      </c>
      <c r="C643" s="1" t="s">
        <v>35</v>
      </c>
      <c r="D643" s="1" t="s">
        <v>36</v>
      </c>
      <c r="E643" s="1">
        <v>508</v>
      </c>
      <c r="F643" s="1" t="s">
        <v>2055</v>
      </c>
      <c r="G643" s="1" t="s">
        <v>2056</v>
      </c>
      <c r="H643" s="1" t="s">
        <v>1832</v>
      </c>
      <c r="I643" s="1" t="s">
        <v>29</v>
      </c>
      <c r="J643" s="1" t="s">
        <v>16</v>
      </c>
      <c r="K643" s="1" t="b">
        <v>0</v>
      </c>
      <c r="L643" s="1" t="s">
        <v>22</v>
      </c>
      <c r="M643" s="1" t="s">
        <v>16</v>
      </c>
      <c r="N643" s="1" t="s">
        <v>16</v>
      </c>
      <c r="O643" s="1" t="s">
        <v>16</v>
      </c>
      <c r="P643" s="1" t="s">
        <v>16</v>
      </c>
      <c r="Q643" s="1">
        <v>100</v>
      </c>
    </row>
    <row r="644" spans="1:19" ht="12.5" x14ac:dyDescent="0.25">
      <c r="A644" s="1">
        <v>501</v>
      </c>
      <c r="B644" s="1" t="s">
        <v>2057</v>
      </c>
      <c r="C644" s="1" t="s">
        <v>35</v>
      </c>
      <c r="D644" s="1" t="s">
        <v>36</v>
      </c>
      <c r="E644" s="1">
        <v>509</v>
      </c>
      <c r="F644" s="1" t="s">
        <v>2058</v>
      </c>
      <c r="G644" s="1" t="s">
        <v>2059</v>
      </c>
      <c r="H644" s="1" t="s">
        <v>2060</v>
      </c>
      <c r="I644" s="1" t="s">
        <v>29</v>
      </c>
      <c r="J644" s="1" t="s">
        <v>16</v>
      </c>
      <c r="K644" s="1" t="b">
        <v>0</v>
      </c>
      <c r="L644" s="1" t="s">
        <v>22</v>
      </c>
      <c r="M644" s="1">
        <v>2023</v>
      </c>
      <c r="N644" s="1" t="s">
        <v>16</v>
      </c>
      <c r="O644" s="1" t="s">
        <v>9935</v>
      </c>
      <c r="P644" s="1" t="s">
        <v>16</v>
      </c>
      <c r="Q644" s="1">
        <v>100</v>
      </c>
      <c r="R644" s="1">
        <v>500000</v>
      </c>
      <c r="S644" s="1">
        <v>500000</v>
      </c>
    </row>
    <row r="645" spans="1:19" ht="12.5" x14ac:dyDescent="0.25">
      <c r="A645" s="1" t="s">
        <v>16</v>
      </c>
      <c r="B645" s="1" t="s">
        <v>16</v>
      </c>
      <c r="C645" s="1" t="s">
        <v>16</v>
      </c>
      <c r="D645" s="1" t="s">
        <v>16</v>
      </c>
      <c r="E645" s="1">
        <v>510</v>
      </c>
      <c r="F645" s="1" t="s">
        <v>2061</v>
      </c>
      <c r="G645" s="1" t="s">
        <v>2062</v>
      </c>
      <c r="H645" s="1" t="s">
        <v>2063</v>
      </c>
      <c r="I645" s="1" t="s">
        <v>20</v>
      </c>
      <c r="J645" s="1" t="s">
        <v>16</v>
      </c>
      <c r="K645" s="1" t="b">
        <v>0</v>
      </c>
      <c r="L645" s="1" t="s">
        <v>22</v>
      </c>
      <c r="M645" s="1" t="s">
        <v>16</v>
      </c>
      <c r="N645" s="1" t="s">
        <v>16</v>
      </c>
      <c r="O645" s="1" t="s">
        <v>16</v>
      </c>
      <c r="P645" s="1" t="s">
        <v>16</v>
      </c>
    </row>
    <row r="646" spans="1:19" ht="12.5" x14ac:dyDescent="0.25">
      <c r="A646" s="1">
        <v>502</v>
      </c>
      <c r="B646" s="1" t="s">
        <v>2064</v>
      </c>
      <c r="C646" s="1" t="s">
        <v>35</v>
      </c>
      <c r="D646" s="1" t="s">
        <v>36</v>
      </c>
      <c r="E646" s="1">
        <v>511</v>
      </c>
      <c r="F646" s="1" t="s">
        <v>2065</v>
      </c>
      <c r="G646" s="1" t="s">
        <v>2066</v>
      </c>
      <c r="H646" s="1" t="s">
        <v>2067</v>
      </c>
      <c r="I646" s="1" t="s">
        <v>29</v>
      </c>
      <c r="J646" s="1" t="s">
        <v>16</v>
      </c>
      <c r="K646" s="1" t="b">
        <v>0</v>
      </c>
      <c r="L646" s="1" t="s">
        <v>22</v>
      </c>
      <c r="M646" s="1" t="s">
        <v>16</v>
      </c>
      <c r="N646" s="1" t="s">
        <v>16</v>
      </c>
      <c r="O646" s="1" t="s">
        <v>9935</v>
      </c>
      <c r="P646" s="1" t="s">
        <v>16</v>
      </c>
      <c r="Q646" s="1">
        <v>100</v>
      </c>
      <c r="R646" s="1">
        <v>100000</v>
      </c>
      <c r="S646" s="1">
        <v>100000</v>
      </c>
    </row>
    <row r="647" spans="1:19" ht="12.5" x14ac:dyDescent="0.25">
      <c r="A647" s="1">
        <v>503</v>
      </c>
      <c r="B647" s="1" t="s">
        <v>2068</v>
      </c>
      <c r="C647" s="1" t="s">
        <v>35</v>
      </c>
      <c r="D647" s="1" t="s">
        <v>36</v>
      </c>
      <c r="E647" s="1">
        <v>512</v>
      </c>
      <c r="F647" s="1" t="s">
        <v>2069</v>
      </c>
      <c r="G647" s="1" t="s">
        <v>2070</v>
      </c>
      <c r="H647" s="1" t="s">
        <v>2071</v>
      </c>
      <c r="I647" s="1" t="s">
        <v>29</v>
      </c>
      <c r="J647" s="1" t="s">
        <v>2072</v>
      </c>
      <c r="K647" s="1" t="b">
        <v>1</v>
      </c>
      <c r="L647" s="1" t="s">
        <v>31</v>
      </c>
      <c r="M647" s="1">
        <v>2023</v>
      </c>
      <c r="N647" s="1" t="s">
        <v>23</v>
      </c>
      <c r="O647" s="1" t="s">
        <v>9935</v>
      </c>
      <c r="P647" s="1" t="s">
        <v>16</v>
      </c>
      <c r="Q647" s="1">
        <v>100</v>
      </c>
      <c r="R647" s="1">
        <v>600000</v>
      </c>
      <c r="S647" s="1">
        <v>600000</v>
      </c>
    </row>
    <row r="648" spans="1:19" ht="12.5" x14ac:dyDescent="0.25">
      <c r="A648" s="1">
        <v>503</v>
      </c>
      <c r="B648" s="1" t="s">
        <v>2068</v>
      </c>
      <c r="C648" s="1" t="s">
        <v>35</v>
      </c>
      <c r="D648" s="1" t="s">
        <v>36</v>
      </c>
      <c r="E648" s="1">
        <v>512</v>
      </c>
      <c r="F648" s="1" t="s">
        <v>2069</v>
      </c>
      <c r="G648" s="1" t="s">
        <v>2070</v>
      </c>
      <c r="H648" s="1" t="s">
        <v>2071</v>
      </c>
      <c r="I648" s="1" t="s">
        <v>29</v>
      </c>
      <c r="J648" s="1" t="s">
        <v>2072</v>
      </c>
      <c r="K648" s="1" t="b">
        <v>1</v>
      </c>
      <c r="L648" s="1" t="s">
        <v>31</v>
      </c>
      <c r="M648" s="1">
        <v>2023</v>
      </c>
      <c r="N648" s="1" t="s">
        <v>23</v>
      </c>
      <c r="O648" s="1" t="s">
        <v>9942</v>
      </c>
      <c r="P648" s="1" t="s">
        <v>16</v>
      </c>
      <c r="Q648" s="1">
        <v>100</v>
      </c>
      <c r="R648" s="1">
        <v>200000</v>
      </c>
      <c r="S648" s="1">
        <v>200000</v>
      </c>
    </row>
    <row r="649" spans="1:19" ht="12.5" x14ac:dyDescent="0.25">
      <c r="A649" s="1">
        <v>504</v>
      </c>
      <c r="B649" s="1" t="s">
        <v>2073</v>
      </c>
      <c r="C649" s="1" t="s">
        <v>35</v>
      </c>
      <c r="D649" s="1" t="s">
        <v>36</v>
      </c>
      <c r="E649" s="1">
        <v>513</v>
      </c>
      <c r="F649" s="1" t="s">
        <v>2074</v>
      </c>
      <c r="G649" s="1" t="s">
        <v>2075</v>
      </c>
      <c r="H649" s="1" t="s">
        <v>2076</v>
      </c>
      <c r="I649" s="1" t="s">
        <v>29</v>
      </c>
      <c r="J649" s="1" t="s">
        <v>2077</v>
      </c>
      <c r="K649" s="1" t="b">
        <v>1</v>
      </c>
      <c r="L649" s="1" t="s">
        <v>31</v>
      </c>
      <c r="M649" s="1">
        <v>2021</v>
      </c>
      <c r="N649" s="1" t="s">
        <v>52</v>
      </c>
      <c r="O649" s="1" t="s">
        <v>9942</v>
      </c>
      <c r="P649" s="1" t="s">
        <v>9970</v>
      </c>
      <c r="Q649" s="1">
        <v>100</v>
      </c>
      <c r="R649" s="1">
        <v>85000</v>
      </c>
      <c r="S649" s="1">
        <v>85000</v>
      </c>
    </row>
    <row r="650" spans="1:19" ht="12.5" x14ac:dyDescent="0.25">
      <c r="A650" s="1" t="s">
        <v>16</v>
      </c>
      <c r="B650" s="1" t="s">
        <v>16</v>
      </c>
      <c r="C650" s="1" t="s">
        <v>16</v>
      </c>
      <c r="D650" s="1" t="s">
        <v>16</v>
      </c>
      <c r="E650" s="1">
        <v>514</v>
      </c>
      <c r="F650" s="1" t="s">
        <v>2078</v>
      </c>
      <c r="G650" s="1" t="s">
        <v>2079</v>
      </c>
      <c r="H650" s="1" t="s">
        <v>2080</v>
      </c>
      <c r="I650" s="1" t="s">
        <v>29</v>
      </c>
      <c r="J650" s="1" t="s">
        <v>16</v>
      </c>
      <c r="K650" s="1" t="b">
        <v>0</v>
      </c>
      <c r="L650" s="1" t="s">
        <v>22</v>
      </c>
      <c r="M650" s="1" t="s">
        <v>16</v>
      </c>
      <c r="N650" s="1" t="s">
        <v>16</v>
      </c>
      <c r="O650" s="1" t="s">
        <v>16</v>
      </c>
      <c r="P650" s="1" t="s">
        <v>16</v>
      </c>
    </row>
    <row r="651" spans="1:19" ht="12.5" x14ac:dyDescent="0.25">
      <c r="A651" s="1">
        <v>506</v>
      </c>
      <c r="B651" s="1" t="s">
        <v>2081</v>
      </c>
      <c r="C651" s="1" t="s">
        <v>35</v>
      </c>
      <c r="D651" s="1" t="s">
        <v>36</v>
      </c>
      <c r="E651" s="1">
        <v>515</v>
      </c>
      <c r="F651" s="1" t="s">
        <v>2082</v>
      </c>
      <c r="G651" s="1" t="s">
        <v>2083</v>
      </c>
      <c r="H651" s="1" t="s">
        <v>2084</v>
      </c>
      <c r="I651" s="1" t="s">
        <v>29</v>
      </c>
      <c r="J651" s="1" t="s">
        <v>16</v>
      </c>
      <c r="K651" s="1" t="b">
        <v>0</v>
      </c>
      <c r="L651" s="1" t="s">
        <v>22</v>
      </c>
      <c r="M651" s="1" t="s">
        <v>16</v>
      </c>
      <c r="N651" s="1" t="s">
        <v>16</v>
      </c>
      <c r="O651" s="1" t="s">
        <v>16</v>
      </c>
      <c r="P651" s="1" t="s">
        <v>16</v>
      </c>
      <c r="Q651" s="1">
        <v>100</v>
      </c>
    </row>
    <row r="652" spans="1:19" ht="12.5" x14ac:dyDescent="0.25">
      <c r="A652" s="1">
        <v>507</v>
      </c>
      <c r="B652" s="1" t="s">
        <v>2085</v>
      </c>
      <c r="C652" s="1" t="s">
        <v>35</v>
      </c>
      <c r="D652" s="1" t="s">
        <v>36</v>
      </c>
      <c r="E652" s="1">
        <v>516</v>
      </c>
      <c r="F652" s="1" t="s">
        <v>2086</v>
      </c>
      <c r="G652" s="1" t="s">
        <v>2087</v>
      </c>
      <c r="H652" s="1" t="s">
        <v>2088</v>
      </c>
      <c r="I652" s="1" t="s">
        <v>29</v>
      </c>
      <c r="J652" s="1" t="s">
        <v>16</v>
      </c>
      <c r="K652" s="1" t="b">
        <v>0</v>
      </c>
      <c r="L652" s="1" t="s">
        <v>22</v>
      </c>
      <c r="M652" s="1" t="s">
        <v>16</v>
      </c>
      <c r="N652" s="1" t="s">
        <v>16</v>
      </c>
      <c r="O652" s="1" t="s">
        <v>9942</v>
      </c>
      <c r="P652" s="1" t="s">
        <v>16</v>
      </c>
      <c r="Q652" s="1">
        <v>100</v>
      </c>
      <c r="R652" s="1">
        <v>200000</v>
      </c>
      <c r="S652" s="1">
        <v>200000</v>
      </c>
    </row>
    <row r="653" spans="1:19" ht="12.5" x14ac:dyDescent="0.25">
      <c r="A653" s="1">
        <v>508</v>
      </c>
      <c r="B653" s="1" t="s">
        <v>2089</v>
      </c>
      <c r="C653" s="1" t="s">
        <v>35</v>
      </c>
      <c r="D653" s="1" t="s">
        <v>36</v>
      </c>
      <c r="E653" s="1">
        <v>517</v>
      </c>
      <c r="F653" s="1" t="s">
        <v>2090</v>
      </c>
      <c r="G653" s="1" t="s">
        <v>2091</v>
      </c>
      <c r="H653" s="1" t="s">
        <v>2092</v>
      </c>
      <c r="I653" s="1" t="s">
        <v>20</v>
      </c>
      <c r="J653" s="1" t="s">
        <v>16</v>
      </c>
      <c r="K653" s="1" t="b">
        <v>0</v>
      </c>
      <c r="L653" s="1" t="s">
        <v>22</v>
      </c>
      <c r="M653" s="1" t="s">
        <v>16</v>
      </c>
      <c r="N653" s="1" t="s">
        <v>16</v>
      </c>
      <c r="O653" s="1" t="s">
        <v>16</v>
      </c>
      <c r="P653" s="1" t="s">
        <v>16</v>
      </c>
      <c r="Q653" s="1">
        <v>100</v>
      </c>
    </row>
    <row r="654" spans="1:19" ht="12.5" x14ac:dyDescent="0.25">
      <c r="A654" s="1">
        <v>510</v>
      </c>
      <c r="B654" s="1" t="s">
        <v>2093</v>
      </c>
      <c r="C654" s="1" t="s">
        <v>35</v>
      </c>
      <c r="D654" s="1" t="s">
        <v>36</v>
      </c>
      <c r="E654" s="1">
        <v>518</v>
      </c>
      <c r="F654" s="1" t="s">
        <v>2094</v>
      </c>
      <c r="G654" s="1" t="s">
        <v>2095</v>
      </c>
      <c r="H654" s="1" t="s">
        <v>1823</v>
      </c>
      <c r="I654" s="1" t="s">
        <v>29</v>
      </c>
      <c r="J654" s="1" t="s">
        <v>2096</v>
      </c>
      <c r="K654" s="1" t="b">
        <v>0</v>
      </c>
      <c r="L654" s="1" t="s">
        <v>22</v>
      </c>
      <c r="M654" s="1" t="s">
        <v>16</v>
      </c>
      <c r="N654" s="1" t="s">
        <v>16</v>
      </c>
      <c r="O654" s="1" t="s">
        <v>9942</v>
      </c>
      <c r="P654" s="1" t="s">
        <v>16</v>
      </c>
      <c r="Q654" s="1">
        <v>100</v>
      </c>
      <c r="R654" s="1">
        <v>200000</v>
      </c>
      <c r="S654" s="1">
        <v>200000</v>
      </c>
    </row>
    <row r="655" spans="1:19" ht="12.5" x14ac:dyDescent="0.25">
      <c r="A655" s="1">
        <v>510</v>
      </c>
      <c r="B655" s="1" t="s">
        <v>2093</v>
      </c>
      <c r="C655" s="1" t="s">
        <v>35</v>
      </c>
      <c r="D655" s="1" t="s">
        <v>36</v>
      </c>
      <c r="E655" s="1">
        <v>518</v>
      </c>
      <c r="F655" s="1" t="s">
        <v>2094</v>
      </c>
      <c r="G655" s="1" t="s">
        <v>2095</v>
      </c>
      <c r="H655" s="1" t="s">
        <v>1823</v>
      </c>
      <c r="I655" s="1" t="s">
        <v>29</v>
      </c>
      <c r="J655" s="1" t="s">
        <v>2096</v>
      </c>
      <c r="K655" s="1" t="b">
        <v>0</v>
      </c>
      <c r="L655" s="1" t="s">
        <v>22</v>
      </c>
      <c r="M655" s="1">
        <v>2022</v>
      </c>
      <c r="N655" s="1" t="s">
        <v>16</v>
      </c>
      <c r="O655" s="1" t="s">
        <v>9935</v>
      </c>
      <c r="P655" s="1" t="s">
        <v>16</v>
      </c>
      <c r="Q655" s="1">
        <v>100</v>
      </c>
      <c r="R655" s="1">
        <v>200000</v>
      </c>
      <c r="S655" s="1">
        <v>200000</v>
      </c>
    </row>
    <row r="656" spans="1:19" ht="12.5" x14ac:dyDescent="0.25">
      <c r="A656" s="1" t="s">
        <v>16</v>
      </c>
      <c r="B656" s="1" t="s">
        <v>16</v>
      </c>
      <c r="C656" s="1" t="s">
        <v>16</v>
      </c>
      <c r="D656" s="1" t="s">
        <v>16</v>
      </c>
      <c r="E656" s="1">
        <v>519</v>
      </c>
      <c r="F656" s="1" t="s">
        <v>2097</v>
      </c>
      <c r="G656" s="1" t="s">
        <v>2098</v>
      </c>
      <c r="H656" s="1" t="s">
        <v>1209</v>
      </c>
      <c r="I656" s="1" t="s">
        <v>29</v>
      </c>
      <c r="J656" s="1" t="s">
        <v>16</v>
      </c>
      <c r="K656" s="1" t="b">
        <v>0</v>
      </c>
      <c r="L656" s="1" t="s">
        <v>22</v>
      </c>
      <c r="M656" s="1" t="s">
        <v>16</v>
      </c>
      <c r="N656" s="1" t="s">
        <v>16</v>
      </c>
      <c r="O656" s="1" t="s">
        <v>9942</v>
      </c>
      <c r="P656" s="1" t="s">
        <v>16</v>
      </c>
      <c r="R656" s="1">
        <v>250000</v>
      </c>
    </row>
    <row r="657" spans="1:19" ht="12.5" x14ac:dyDescent="0.25">
      <c r="A657" s="1">
        <v>511</v>
      </c>
      <c r="B657" s="1" t="s">
        <v>2099</v>
      </c>
      <c r="C657" s="1" t="s">
        <v>35</v>
      </c>
      <c r="D657" s="1" t="s">
        <v>36</v>
      </c>
      <c r="E657" s="1">
        <v>520</v>
      </c>
      <c r="F657" s="1" t="s">
        <v>2100</v>
      </c>
      <c r="G657" s="1" t="s">
        <v>2098</v>
      </c>
      <c r="H657" s="1" t="s">
        <v>2101</v>
      </c>
      <c r="I657" s="1" t="s">
        <v>20</v>
      </c>
      <c r="J657" s="1" t="s">
        <v>16</v>
      </c>
      <c r="K657" s="1" t="b">
        <v>0</v>
      </c>
      <c r="L657" s="1" t="s">
        <v>22</v>
      </c>
      <c r="M657" s="1" t="s">
        <v>16</v>
      </c>
      <c r="N657" s="1" t="s">
        <v>16</v>
      </c>
      <c r="O657" s="1" t="s">
        <v>16</v>
      </c>
      <c r="P657" s="1" t="s">
        <v>16</v>
      </c>
      <c r="Q657" s="1">
        <v>100</v>
      </c>
    </row>
    <row r="658" spans="1:19" ht="12.5" x14ac:dyDescent="0.25">
      <c r="A658" s="1">
        <v>512</v>
      </c>
      <c r="B658" s="1" t="s">
        <v>2102</v>
      </c>
      <c r="C658" s="1" t="s">
        <v>35</v>
      </c>
      <c r="D658" s="1" t="s">
        <v>36</v>
      </c>
      <c r="E658" s="1">
        <v>521</v>
      </c>
      <c r="F658" s="1" t="s">
        <v>2103</v>
      </c>
      <c r="G658" s="1" t="s">
        <v>2104</v>
      </c>
      <c r="H658" s="1" t="s">
        <v>2105</v>
      </c>
      <c r="I658" s="1" t="s">
        <v>29</v>
      </c>
      <c r="J658" s="1" t="s">
        <v>2106</v>
      </c>
      <c r="K658" s="1" t="b">
        <v>0</v>
      </c>
      <c r="L658" s="1" t="s">
        <v>22</v>
      </c>
      <c r="M658" s="1" t="s">
        <v>16</v>
      </c>
      <c r="N658" s="1" t="s">
        <v>16</v>
      </c>
      <c r="O658" s="1" t="s">
        <v>9942</v>
      </c>
      <c r="P658" s="1" t="s">
        <v>16</v>
      </c>
      <c r="Q658" s="1">
        <v>100</v>
      </c>
      <c r="R658" s="1">
        <v>185000</v>
      </c>
      <c r="S658" s="1">
        <v>185000</v>
      </c>
    </row>
    <row r="659" spans="1:19" ht="12.5" x14ac:dyDescent="0.25">
      <c r="A659" s="1">
        <v>513</v>
      </c>
      <c r="B659" s="1" t="s">
        <v>2107</v>
      </c>
      <c r="C659" s="1" t="s">
        <v>35</v>
      </c>
      <c r="D659" s="1" t="s">
        <v>36</v>
      </c>
      <c r="E659" s="1">
        <v>522</v>
      </c>
      <c r="F659" s="1" t="s">
        <v>2108</v>
      </c>
      <c r="G659" s="1" t="s">
        <v>2109</v>
      </c>
      <c r="H659" s="1" t="s">
        <v>2110</v>
      </c>
      <c r="I659" s="1" t="s">
        <v>20</v>
      </c>
      <c r="J659" s="1" t="s">
        <v>2111</v>
      </c>
      <c r="K659" s="1" t="b">
        <v>0</v>
      </c>
      <c r="L659" s="1" t="s">
        <v>22</v>
      </c>
      <c r="M659" s="1">
        <v>2021</v>
      </c>
      <c r="N659" s="1" t="s">
        <v>16</v>
      </c>
      <c r="O659" s="1" t="s">
        <v>9956</v>
      </c>
      <c r="P659" s="1" t="s">
        <v>16</v>
      </c>
      <c r="Q659" s="1">
        <v>100</v>
      </c>
      <c r="R659" s="1">
        <v>2500000</v>
      </c>
      <c r="S659" s="1">
        <v>2500000</v>
      </c>
    </row>
    <row r="660" spans="1:19" ht="12.5" x14ac:dyDescent="0.25">
      <c r="A660" s="1">
        <v>515</v>
      </c>
      <c r="B660" s="1" t="s">
        <v>2112</v>
      </c>
      <c r="C660" s="1" t="s">
        <v>35</v>
      </c>
      <c r="D660" s="1" t="s">
        <v>36</v>
      </c>
      <c r="E660" s="1">
        <v>523</v>
      </c>
      <c r="F660" s="1" t="s">
        <v>2113</v>
      </c>
      <c r="G660" s="1" t="s">
        <v>2114</v>
      </c>
      <c r="H660" s="1" t="s">
        <v>2115</v>
      </c>
      <c r="I660" s="1" t="s">
        <v>20</v>
      </c>
      <c r="J660" s="1" t="s">
        <v>16</v>
      </c>
      <c r="K660" s="1" t="b">
        <v>0</v>
      </c>
      <c r="L660" s="1" t="s">
        <v>22</v>
      </c>
      <c r="M660" s="1" t="s">
        <v>16</v>
      </c>
      <c r="N660" s="1" t="s">
        <v>16</v>
      </c>
      <c r="O660" s="1" t="s">
        <v>16</v>
      </c>
      <c r="P660" s="1" t="s">
        <v>16</v>
      </c>
      <c r="Q660" s="1">
        <v>100</v>
      </c>
    </row>
    <row r="661" spans="1:19" ht="12.5" x14ac:dyDescent="0.25">
      <c r="A661" s="1">
        <v>516</v>
      </c>
      <c r="B661" s="1" t="s">
        <v>2116</v>
      </c>
      <c r="C661" s="1" t="s">
        <v>35</v>
      </c>
      <c r="D661" s="1" t="s">
        <v>36</v>
      </c>
      <c r="E661" s="1">
        <v>524</v>
      </c>
      <c r="F661" s="1" t="s">
        <v>2117</v>
      </c>
      <c r="G661" s="1" t="s">
        <v>2118</v>
      </c>
      <c r="H661" s="1" t="s">
        <v>2119</v>
      </c>
      <c r="I661" s="1" t="s">
        <v>20</v>
      </c>
      <c r="J661" s="1" t="s">
        <v>16</v>
      </c>
      <c r="K661" s="1" t="b">
        <v>0</v>
      </c>
      <c r="L661" s="1" t="s">
        <v>22</v>
      </c>
      <c r="M661" s="1" t="s">
        <v>16</v>
      </c>
      <c r="N661" s="1" t="s">
        <v>16</v>
      </c>
      <c r="O661" s="1" t="s">
        <v>16</v>
      </c>
      <c r="P661" s="1" t="s">
        <v>16</v>
      </c>
      <c r="Q661" s="1">
        <v>100</v>
      </c>
    </row>
    <row r="662" spans="1:19" ht="12.5" x14ac:dyDescent="0.25">
      <c r="A662" s="1">
        <v>517</v>
      </c>
      <c r="B662" s="1" t="s">
        <v>2120</v>
      </c>
      <c r="C662" s="1" t="s">
        <v>35</v>
      </c>
      <c r="D662" s="1" t="s">
        <v>36</v>
      </c>
      <c r="E662" s="1">
        <v>525</v>
      </c>
      <c r="F662" s="1" t="s">
        <v>2121</v>
      </c>
      <c r="G662" s="1" t="s">
        <v>1823</v>
      </c>
      <c r="H662" s="1"/>
      <c r="I662" s="1" t="s">
        <v>29</v>
      </c>
      <c r="J662" s="1" t="s">
        <v>2122</v>
      </c>
      <c r="K662" s="1" t="b">
        <v>0</v>
      </c>
      <c r="L662" s="1" t="s">
        <v>22</v>
      </c>
      <c r="M662" s="1" t="s">
        <v>16</v>
      </c>
      <c r="N662" s="1" t="s">
        <v>16</v>
      </c>
      <c r="O662" s="1" t="s">
        <v>9942</v>
      </c>
      <c r="P662" s="1" t="s">
        <v>16</v>
      </c>
      <c r="Q662" s="1">
        <v>100</v>
      </c>
      <c r="R662" s="1">
        <v>200000</v>
      </c>
      <c r="S662" s="1">
        <v>200000</v>
      </c>
    </row>
    <row r="663" spans="1:19" ht="12.5" x14ac:dyDescent="0.25">
      <c r="A663" s="1">
        <v>517</v>
      </c>
      <c r="B663" s="1" t="s">
        <v>2120</v>
      </c>
      <c r="C663" s="1" t="s">
        <v>35</v>
      </c>
      <c r="D663" s="1" t="s">
        <v>36</v>
      </c>
      <c r="E663" s="1">
        <v>525</v>
      </c>
      <c r="F663" s="1" t="s">
        <v>2121</v>
      </c>
      <c r="G663" s="1" t="s">
        <v>1823</v>
      </c>
      <c r="H663" s="1"/>
      <c r="I663" s="1" t="s">
        <v>29</v>
      </c>
      <c r="J663" s="1" t="s">
        <v>2122</v>
      </c>
      <c r="K663" s="1" t="b">
        <v>0</v>
      </c>
      <c r="L663" s="1" t="s">
        <v>22</v>
      </c>
      <c r="M663" s="1">
        <v>2022</v>
      </c>
      <c r="N663" s="1" t="s">
        <v>16</v>
      </c>
      <c r="O663" s="1" t="s">
        <v>9935</v>
      </c>
      <c r="P663" s="1" t="s">
        <v>16</v>
      </c>
      <c r="Q663" s="1">
        <v>100</v>
      </c>
      <c r="R663" s="1">
        <v>100000</v>
      </c>
      <c r="S663" s="1">
        <v>100000</v>
      </c>
    </row>
    <row r="664" spans="1:19" ht="12.5" x14ac:dyDescent="0.25">
      <c r="A664" s="1">
        <v>517</v>
      </c>
      <c r="B664" s="1" t="s">
        <v>2120</v>
      </c>
      <c r="C664" s="1" t="s">
        <v>35</v>
      </c>
      <c r="D664" s="1" t="s">
        <v>36</v>
      </c>
      <c r="E664" s="1">
        <v>525</v>
      </c>
      <c r="F664" s="1" t="s">
        <v>2121</v>
      </c>
      <c r="G664" s="1" t="s">
        <v>1823</v>
      </c>
      <c r="H664" s="1"/>
      <c r="I664" s="1" t="s">
        <v>29</v>
      </c>
      <c r="J664" s="1" t="s">
        <v>2122</v>
      </c>
      <c r="K664" s="1" t="b">
        <v>0</v>
      </c>
      <c r="L664" s="1" t="s">
        <v>22</v>
      </c>
      <c r="M664" s="1" t="s">
        <v>16</v>
      </c>
      <c r="N664" s="1" t="s">
        <v>16</v>
      </c>
      <c r="O664" s="1" t="s">
        <v>9952</v>
      </c>
      <c r="P664" s="1" t="s">
        <v>16</v>
      </c>
      <c r="Q664" s="1">
        <v>100</v>
      </c>
      <c r="R664" s="1">
        <v>35000</v>
      </c>
      <c r="S664" s="1">
        <v>35000</v>
      </c>
    </row>
    <row r="665" spans="1:19" ht="12.5" x14ac:dyDescent="0.25">
      <c r="A665" s="1">
        <v>518</v>
      </c>
      <c r="B665" s="1" t="s">
        <v>2123</v>
      </c>
      <c r="C665" s="1" t="s">
        <v>35</v>
      </c>
      <c r="D665" s="1" t="s">
        <v>36</v>
      </c>
      <c r="E665" s="1">
        <v>526</v>
      </c>
      <c r="F665" s="1" t="s">
        <v>2124</v>
      </c>
      <c r="G665" s="1" t="s">
        <v>2125</v>
      </c>
      <c r="H665" s="1" t="s">
        <v>2126</v>
      </c>
      <c r="I665" s="1" t="s">
        <v>20</v>
      </c>
      <c r="J665" s="1" t="s">
        <v>16</v>
      </c>
      <c r="K665" s="1" t="b">
        <v>0</v>
      </c>
      <c r="L665" s="1" t="s">
        <v>22</v>
      </c>
      <c r="M665" s="1" t="s">
        <v>16</v>
      </c>
      <c r="N665" s="1" t="s">
        <v>16</v>
      </c>
      <c r="O665" s="1" t="s">
        <v>16</v>
      </c>
      <c r="P665" s="1" t="s">
        <v>16</v>
      </c>
      <c r="Q665" s="1">
        <v>100</v>
      </c>
    </row>
    <row r="666" spans="1:19" ht="12.5" x14ac:dyDescent="0.25">
      <c r="A666" s="1">
        <v>519</v>
      </c>
      <c r="B666" s="1" t="s">
        <v>2127</v>
      </c>
      <c r="C666" s="1" t="s">
        <v>35</v>
      </c>
      <c r="D666" s="1" t="s">
        <v>36</v>
      </c>
      <c r="E666" s="1">
        <v>527</v>
      </c>
      <c r="F666" s="1" t="s">
        <v>2128</v>
      </c>
      <c r="G666" s="1" t="s">
        <v>2129</v>
      </c>
      <c r="H666" s="1"/>
      <c r="I666" s="1" t="s">
        <v>29</v>
      </c>
      <c r="J666" s="1" t="s">
        <v>2130</v>
      </c>
      <c r="K666" s="1" t="b">
        <v>0</v>
      </c>
      <c r="L666" s="1" t="s">
        <v>22</v>
      </c>
      <c r="M666" s="1" t="s">
        <v>16</v>
      </c>
      <c r="N666" s="1" t="s">
        <v>16</v>
      </c>
      <c r="O666" s="1" t="s">
        <v>9942</v>
      </c>
      <c r="P666" s="1" t="s">
        <v>16</v>
      </c>
      <c r="Q666" s="1">
        <v>100</v>
      </c>
      <c r="R666" s="1">
        <v>150000</v>
      </c>
      <c r="S666" s="1">
        <v>150000</v>
      </c>
    </row>
    <row r="667" spans="1:19" ht="12.5" x14ac:dyDescent="0.25">
      <c r="A667" s="1">
        <v>520</v>
      </c>
      <c r="B667" s="1" t="s">
        <v>2131</v>
      </c>
      <c r="C667" s="1" t="s">
        <v>35</v>
      </c>
      <c r="D667" s="1" t="s">
        <v>36</v>
      </c>
      <c r="E667" s="1">
        <v>528</v>
      </c>
      <c r="F667" s="1" t="s">
        <v>2132</v>
      </c>
      <c r="G667" s="1" t="s">
        <v>2133</v>
      </c>
      <c r="H667" s="1" t="s">
        <v>2134</v>
      </c>
      <c r="I667" s="1" t="s">
        <v>20</v>
      </c>
      <c r="J667" s="1" t="s">
        <v>16</v>
      </c>
      <c r="K667" s="1" t="b">
        <v>0</v>
      </c>
      <c r="L667" s="1" t="s">
        <v>22</v>
      </c>
      <c r="M667" s="1" t="s">
        <v>16</v>
      </c>
      <c r="N667" s="1" t="s">
        <v>16</v>
      </c>
      <c r="O667" s="1" t="s">
        <v>16</v>
      </c>
      <c r="P667" s="1" t="s">
        <v>16</v>
      </c>
      <c r="Q667" s="1">
        <v>100</v>
      </c>
    </row>
    <row r="668" spans="1:19" ht="12.5" x14ac:dyDescent="0.25">
      <c r="A668" s="1">
        <v>521</v>
      </c>
      <c r="B668" s="1" t="s">
        <v>2135</v>
      </c>
      <c r="C668" s="1" t="s">
        <v>35</v>
      </c>
      <c r="D668" s="1" t="s">
        <v>36</v>
      </c>
      <c r="E668" s="1">
        <v>529</v>
      </c>
      <c r="F668" s="1" t="s">
        <v>2136</v>
      </c>
      <c r="G668" s="1" t="s">
        <v>2137</v>
      </c>
      <c r="H668" s="1" t="s">
        <v>2138</v>
      </c>
      <c r="I668" s="1" t="s">
        <v>20</v>
      </c>
      <c r="J668" s="1" t="s">
        <v>16</v>
      </c>
      <c r="K668" s="1" t="b">
        <v>0</v>
      </c>
      <c r="L668" s="1" t="s">
        <v>22</v>
      </c>
      <c r="M668" s="1" t="s">
        <v>16</v>
      </c>
      <c r="N668" s="1" t="s">
        <v>16</v>
      </c>
      <c r="O668" s="1" t="s">
        <v>16</v>
      </c>
      <c r="P668" s="1" t="s">
        <v>16</v>
      </c>
      <c r="Q668" s="1">
        <v>100</v>
      </c>
    </row>
    <row r="669" spans="1:19" ht="12.5" x14ac:dyDescent="0.25">
      <c r="A669" s="1">
        <v>522</v>
      </c>
      <c r="B669" s="1" t="s">
        <v>2139</v>
      </c>
      <c r="C669" s="1" t="s">
        <v>35</v>
      </c>
      <c r="D669" s="1" t="s">
        <v>36</v>
      </c>
      <c r="E669" s="1">
        <v>530</v>
      </c>
      <c r="F669" s="1" t="s">
        <v>2140</v>
      </c>
      <c r="G669" s="1" t="s">
        <v>2141</v>
      </c>
      <c r="H669" s="1" t="s">
        <v>2142</v>
      </c>
      <c r="I669" s="1" t="s">
        <v>29</v>
      </c>
      <c r="J669" s="1" t="s">
        <v>16</v>
      </c>
      <c r="K669" s="1" t="b">
        <v>0</v>
      </c>
      <c r="L669" s="1" t="s">
        <v>22</v>
      </c>
      <c r="M669" s="1" t="s">
        <v>16</v>
      </c>
      <c r="N669" s="1" t="s">
        <v>16</v>
      </c>
      <c r="O669" s="1" t="s">
        <v>16</v>
      </c>
      <c r="P669" s="1" t="s">
        <v>16</v>
      </c>
      <c r="Q669" s="1">
        <v>100</v>
      </c>
    </row>
    <row r="670" spans="1:19" ht="12.5" x14ac:dyDescent="0.25">
      <c r="A670" s="1">
        <v>523</v>
      </c>
      <c r="B670" s="1" t="s">
        <v>2143</v>
      </c>
      <c r="C670" s="1" t="s">
        <v>35</v>
      </c>
      <c r="D670" s="1" t="s">
        <v>36</v>
      </c>
      <c r="E670" s="1">
        <v>531</v>
      </c>
      <c r="F670" s="1" t="s">
        <v>2144</v>
      </c>
      <c r="G670" s="1" t="s">
        <v>2145</v>
      </c>
      <c r="H670" s="1" t="s">
        <v>2146</v>
      </c>
      <c r="I670" s="1" t="s">
        <v>20</v>
      </c>
      <c r="J670" s="1" t="s">
        <v>16</v>
      </c>
      <c r="K670" s="1" t="b">
        <v>0</v>
      </c>
      <c r="L670" s="1" t="s">
        <v>22</v>
      </c>
      <c r="M670" s="1" t="s">
        <v>16</v>
      </c>
      <c r="N670" s="1" t="s">
        <v>16</v>
      </c>
      <c r="O670" s="1" t="s">
        <v>16</v>
      </c>
      <c r="P670" s="1" t="s">
        <v>16</v>
      </c>
      <c r="Q670" s="1">
        <v>100</v>
      </c>
    </row>
    <row r="671" spans="1:19" ht="12.5" x14ac:dyDescent="0.25">
      <c r="A671" s="1">
        <v>525</v>
      </c>
      <c r="B671" s="1" t="s">
        <v>2147</v>
      </c>
      <c r="C671" s="1" t="s">
        <v>35</v>
      </c>
      <c r="D671" s="1" t="s">
        <v>36</v>
      </c>
      <c r="E671" s="1">
        <v>532</v>
      </c>
      <c r="F671" s="1" t="s">
        <v>2148</v>
      </c>
      <c r="G671" s="1" t="s">
        <v>2149</v>
      </c>
      <c r="H671" s="1" t="s">
        <v>1209</v>
      </c>
      <c r="I671" s="1" t="s">
        <v>29</v>
      </c>
      <c r="J671" s="1" t="s">
        <v>16</v>
      </c>
      <c r="K671" s="1" t="b">
        <v>0</v>
      </c>
      <c r="L671" s="1" t="s">
        <v>22</v>
      </c>
      <c r="M671" s="1" t="s">
        <v>16</v>
      </c>
      <c r="N671" s="1" t="s">
        <v>16</v>
      </c>
      <c r="O671" s="1" t="s">
        <v>9940</v>
      </c>
      <c r="P671" s="1" t="s">
        <v>16</v>
      </c>
      <c r="Q671" s="1">
        <v>100</v>
      </c>
      <c r="R671" s="1">
        <v>50000</v>
      </c>
      <c r="S671" s="1">
        <v>50000</v>
      </c>
    </row>
    <row r="672" spans="1:19" ht="12.5" x14ac:dyDescent="0.25">
      <c r="A672" s="1">
        <v>525</v>
      </c>
      <c r="B672" s="1" t="s">
        <v>2147</v>
      </c>
      <c r="C672" s="1" t="s">
        <v>35</v>
      </c>
      <c r="D672" s="1" t="s">
        <v>36</v>
      </c>
      <c r="E672" s="1">
        <v>532</v>
      </c>
      <c r="F672" s="1" t="s">
        <v>2148</v>
      </c>
      <c r="G672" s="1" t="s">
        <v>2149</v>
      </c>
      <c r="H672" s="1" t="s">
        <v>1209</v>
      </c>
      <c r="I672" s="1" t="s">
        <v>29</v>
      </c>
      <c r="J672" s="1" t="s">
        <v>16</v>
      </c>
      <c r="K672" s="1" t="b">
        <v>0</v>
      </c>
      <c r="L672" s="1" t="s">
        <v>22</v>
      </c>
      <c r="M672" s="1">
        <v>2022</v>
      </c>
      <c r="N672" s="1" t="s">
        <v>16</v>
      </c>
      <c r="O672" s="1" t="s">
        <v>9935</v>
      </c>
      <c r="P672" s="1" t="s">
        <v>16</v>
      </c>
      <c r="Q672" s="1">
        <v>100</v>
      </c>
      <c r="R672" s="1">
        <v>500000</v>
      </c>
      <c r="S672" s="1">
        <v>500000</v>
      </c>
    </row>
    <row r="673" spans="1:19" ht="12.5" x14ac:dyDescent="0.25">
      <c r="A673" s="1">
        <v>525</v>
      </c>
      <c r="B673" s="1" t="s">
        <v>2147</v>
      </c>
      <c r="C673" s="1" t="s">
        <v>35</v>
      </c>
      <c r="D673" s="1" t="s">
        <v>36</v>
      </c>
      <c r="E673" s="1">
        <v>532</v>
      </c>
      <c r="F673" s="1" t="s">
        <v>2148</v>
      </c>
      <c r="G673" s="1" t="s">
        <v>2149</v>
      </c>
      <c r="H673" s="1" t="s">
        <v>1209</v>
      </c>
      <c r="I673" s="1" t="s">
        <v>29</v>
      </c>
      <c r="J673" s="1" t="s">
        <v>16</v>
      </c>
      <c r="K673" s="1" t="b">
        <v>0</v>
      </c>
      <c r="L673" s="1" t="s">
        <v>22</v>
      </c>
      <c r="M673" s="1">
        <v>2022</v>
      </c>
      <c r="N673" s="1" t="s">
        <v>16</v>
      </c>
      <c r="O673" s="1" t="s">
        <v>9942</v>
      </c>
      <c r="P673" s="1" t="s">
        <v>16</v>
      </c>
      <c r="Q673" s="1">
        <v>100</v>
      </c>
      <c r="R673" s="1">
        <v>250000</v>
      </c>
      <c r="S673" s="1">
        <v>250000</v>
      </c>
    </row>
    <row r="674" spans="1:19" ht="12.5" x14ac:dyDescent="0.25">
      <c r="A674" s="1">
        <v>525</v>
      </c>
      <c r="B674" s="1" t="s">
        <v>2147</v>
      </c>
      <c r="C674" s="1" t="s">
        <v>35</v>
      </c>
      <c r="D674" s="1" t="s">
        <v>36</v>
      </c>
      <c r="E674" s="1">
        <v>532</v>
      </c>
      <c r="F674" s="1" t="s">
        <v>2148</v>
      </c>
      <c r="G674" s="1" t="s">
        <v>2149</v>
      </c>
      <c r="H674" s="1" t="s">
        <v>1209</v>
      </c>
      <c r="I674" s="1" t="s">
        <v>29</v>
      </c>
      <c r="J674" s="1" t="s">
        <v>16</v>
      </c>
      <c r="K674" s="1" t="b">
        <v>0</v>
      </c>
      <c r="L674" s="1" t="s">
        <v>22</v>
      </c>
      <c r="M674" s="1" t="s">
        <v>16</v>
      </c>
      <c r="N674" s="1" t="s">
        <v>16</v>
      </c>
      <c r="O674" s="1" t="s">
        <v>9952</v>
      </c>
      <c r="P674" s="1" t="s">
        <v>16</v>
      </c>
      <c r="Q674" s="1">
        <v>100</v>
      </c>
      <c r="R674" s="1">
        <v>120000</v>
      </c>
      <c r="S674" s="1">
        <v>120000</v>
      </c>
    </row>
    <row r="675" spans="1:19" ht="12.5" x14ac:dyDescent="0.25">
      <c r="A675" s="1">
        <v>526</v>
      </c>
      <c r="B675" s="1" t="s">
        <v>2150</v>
      </c>
      <c r="C675" s="1" t="s">
        <v>35</v>
      </c>
      <c r="D675" s="1" t="s">
        <v>36</v>
      </c>
      <c r="E675" s="1">
        <v>533</v>
      </c>
      <c r="F675" s="1" t="s">
        <v>2151</v>
      </c>
      <c r="G675" s="1" t="s">
        <v>2152</v>
      </c>
      <c r="H675" s="1" t="s">
        <v>2153</v>
      </c>
      <c r="I675" s="1" t="s">
        <v>29</v>
      </c>
      <c r="J675" s="1" t="s">
        <v>2154</v>
      </c>
      <c r="K675" s="1" t="b">
        <v>0</v>
      </c>
      <c r="L675" s="1" t="s">
        <v>22</v>
      </c>
      <c r="M675" s="1">
        <v>2022</v>
      </c>
      <c r="N675" s="1" t="s">
        <v>16</v>
      </c>
      <c r="O675" s="1" t="s">
        <v>9935</v>
      </c>
      <c r="P675" s="1" t="s">
        <v>16</v>
      </c>
      <c r="Q675" s="1">
        <v>100</v>
      </c>
      <c r="R675" s="1">
        <v>100000</v>
      </c>
      <c r="S675" s="1">
        <v>100000</v>
      </c>
    </row>
    <row r="676" spans="1:19" ht="12.5" x14ac:dyDescent="0.25">
      <c r="A676" s="1">
        <v>527</v>
      </c>
      <c r="B676" s="1" t="s">
        <v>2155</v>
      </c>
      <c r="C676" s="1" t="s">
        <v>35</v>
      </c>
      <c r="D676" s="1" t="s">
        <v>36</v>
      </c>
      <c r="E676" s="1">
        <v>534</v>
      </c>
      <c r="F676" s="1" t="s">
        <v>2156</v>
      </c>
      <c r="G676" s="1" t="s">
        <v>2157</v>
      </c>
      <c r="H676" s="1" t="s">
        <v>2158</v>
      </c>
      <c r="I676" s="1" t="s">
        <v>29</v>
      </c>
      <c r="J676" s="1" t="s">
        <v>2159</v>
      </c>
      <c r="K676" s="1" t="b">
        <v>0</v>
      </c>
      <c r="L676" s="1" t="s">
        <v>22</v>
      </c>
      <c r="M676" s="1" t="s">
        <v>16</v>
      </c>
      <c r="N676" s="1" t="s">
        <v>16</v>
      </c>
      <c r="O676" s="1" t="s">
        <v>9942</v>
      </c>
      <c r="P676" s="1" t="s">
        <v>16</v>
      </c>
      <c r="Q676" s="1">
        <v>100</v>
      </c>
      <c r="R676" s="1">
        <v>150000</v>
      </c>
      <c r="S676" s="1">
        <v>150000</v>
      </c>
    </row>
    <row r="677" spans="1:19" ht="12.5" x14ac:dyDescent="0.25">
      <c r="A677" s="1">
        <v>527</v>
      </c>
      <c r="B677" s="1" t="s">
        <v>2155</v>
      </c>
      <c r="C677" s="1" t="s">
        <v>35</v>
      </c>
      <c r="D677" s="1" t="s">
        <v>36</v>
      </c>
      <c r="E677" s="1">
        <v>534</v>
      </c>
      <c r="F677" s="1" t="s">
        <v>2156</v>
      </c>
      <c r="G677" s="1" t="s">
        <v>2157</v>
      </c>
      <c r="H677" s="1" t="s">
        <v>2158</v>
      </c>
      <c r="I677" s="1" t="s">
        <v>29</v>
      </c>
      <c r="J677" s="1" t="s">
        <v>2159</v>
      </c>
      <c r="K677" s="1" t="b">
        <v>0</v>
      </c>
      <c r="L677" s="1" t="s">
        <v>22</v>
      </c>
      <c r="M677" s="1">
        <v>2022</v>
      </c>
      <c r="N677" s="1" t="s">
        <v>16</v>
      </c>
      <c r="O677" s="1" t="s">
        <v>9935</v>
      </c>
      <c r="P677" s="1" t="s">
        <v>16</v>
      </c>
      <c r="Q677" s="1">
        <v>100</v>
      </c>
      <c r="R677" s="1">
        <v>100000</v>
      </c>
      <c r="S677" s="1">
        <v>100000</v>
      </c>
    </row>
    <row r="678" spans="1:19" ht="12.5" x14ac:dyDescent="0.25">
      <c r="A678" s="1">
        <v>528</v>
      </c>
      <c r="B678" s="1" t="s">
        <v>2160</v>
      </c>
      <c r="C678" s="1" t="s">
        <v>35</v>
      </c>
      <c r="D678" s="1" t="s">
        <v>36</v>
      </c>
      <c r="E678" s="1">
        <v>535</v>
      </c>
      <c r="F678" s="1" t="s">
        <v>2161</v>
      </c>
      <c r="G678" s="1" t="s">
        <v>2162</v>
      </c>
      <c r="H678" s="1" t="s">
        <v>2163</v>
      </c>
      <c r="I678" s="1" t="s">
        <v>29</v>
      </c>
      <c r="J678" s="1" t="s">
        <v>2164</v>
      </c>
      <c r="K678" s="1" t="b">
        <v>0</v>
      </c>
      <c r="L678" s="1" t="s">
        <v>22</v>
      </c>
      <c r="M678" s="1" t="s">
        <v>16</v>
      </c>
      <c r="N678" s="1" t="s">
        <v>16</v>
      </c>
      <c r="O678" s="1" t="s">
        <v>16</v>
      </c>
      <c r="P678" s="1" t="s">
        <v>16</v>
      </c>
      <c r="Q678" s="1">
        <v>100</v>
      </c>
    </row>
    <row r="679" spans="1:19" ht="12.5" x14ac:dyDescent="0.25">
      <c r="A679" s="1">
        <v>528</v>
      </c>
      <c r="B679" s="1" t="s">
        <v>2160</v>
      </c>
      <c r="C679" s="1" t="s">
        <v>35</v>
      </c>
      <c r="D679" s="1" t="s">
        <v>36</v>
      </c>
      <c r="E679" s="1">
        <v>536</v>
      </c>
      <c r="F679" s="1" t="s">
        <v>2165</v>
      </c>
      <c r="G679" s="1" t="s">
        <v>2166</v>
      </c>
      <c r="H679" s="1" t="s">
        <v>1489</v>
      </c>
      <c r="I679" s="1" t="s">
        <v>20</v>
      </c>
      <c r="J679" s="1" t="s">
        <v>16</v>
      </c>
      <c r="K679" s="1" t="b">
        <v>0</v>
      </c>
      <c r="L679" s="1" t="s">
        <v>22</v>
      </c>
      <c r="M679" s="1" t="s">
        <v>16</v>
      </c>
      <c r="N679" s="1" t="s">
        <v>16</v>
      </c>
      <c r="O679" s="1" t="s">
        <v>16</v>
      </c>
      <c r="P679" s="1" t="s">
        <v>16</v>
      </c>
      <c r="Q679" s="1">
        <v>100</v>
      </c>
    </row>
    <row r="680" spans="1:19" ht="12.5" x14ac:dyDescent="0.25">
      <c r="A680" s="1">
        <v>529</v>
      </c>
      <c r="B680" s="1" t="s">
        <v>2167</v>
      </c>
      <c r="C680" s="1" t="s">
        <v>35</v>
      </c>
      <c r="D680" s="1" t="s">
        <v>36</v>
      </c>
      <c r="E680" s="1">
        <v>537</v>
      </c>
      <c r="F680" s="1" t="s">
        <v>2168</v>
      </c>
      <c r="G680" s="1" t="s">
        <v>2169</v>
      </c>
      <c r="H680" s="1" t="s">
        <v>2170</v>
      </c>
      <c r="I680" s="1" t="s">
        <v>29</v>
      </c>
      <c r="J680" s="1" t="s">
        <v>2171</v>
      </c>
      <c r="K680" s="1" t="b">
        <v>0</v>
      </c>
      <c r="L680" s="1" t="s">
        <v>22</v>
      </c>
      <c r="M680" s="1">
        <v>2023</v>
      </c>
      <c r="N680" s="1" t="s">
        <v>16</v>
      </c>
      <c r="O680" s="1" t="s">
        <v>9942</v>
      </c>
      <c r="P680" s="1" t="s">
        <v>16</v>
      </c>
      <c r="Q680" s="1">
        <v>100</v>
      </c>
      <c r="R680" s="1">
        <v>400000</v>
      </c>
      <c r="S680" s="1">
        <v>400000</v>
      </c>
    </row>
    <row r="681" spans="1:19" ht="12.5" x14ac:dyDescent="0.25">
      <c r="A681" s="1">
        <v>529</v>
      </c>
      <c r="B681" s="1" t="s">
        <v>2167</v>
      </c>
      <c r="C681" s="1" t="s">
        <v>35</v>
      </c>
      <c r="D681" s="1" t="s">
        <v>36</v>
      </c>
      <c r="E681" s="1">
        <v>537</v>
      </c>
      <c r="F681" s="1" t="s">
        <v>2168</v>
      </c>
      <c r="G681" s="1" t="s">
        <v>2169</v>
      </c>
      <c r="H681" s="1" t="s">
        <v>2170</v>
      </c>
      <c r="I681" s="1" t="s">
        <v>29</v>
      </c>
      <c r="J681" s="1" t="s">
        <v>2171</v>
      </c>
      <c r="K681" s="1" t="b">
        <v>0</v>
      </c>
      <c r="L681" s="1" t="s">
        <v>22</v>
      </c>
      <c r="M681" s="1" t="s">
        <v>16</v>
      </c>
      <c r="N681" s="1" t="s">
        <v>16</v>
      </c>
      <c r="O681" s="1" t="s">
        <v>9935</v>
      </c>
      <c r="P681" s="1" t="s">
        <v>16</v>
      </c>
      <c r="Q681" s="1">
        <v>100</v>
      </c>
      <c r="R681" s="1">
        <v>75000</v>
      </c>
      <c r="S681" s="1">
        <v>75000</v>
      </c>
    </row>
    <row r="682" spans="1:19" ht="12.5" x14ac:dyDescent="0.25">
      <c r="A682" s="1">
        <v>530</v>
      </c>
      <c r="B682" s="1" t="s">
        <v>2172</v>
      </c>
      <c r="C682" s="1" t="s">
        <v>35</v>
      </c>
      <c r="D682" s="1" t="s">
        <v>36</v>
      </c>
      <c r="E682" s="1">
        <v>538</v>
      </c>
      <c r="F682" s="1" t="s">
        <v>2173</v>
      </c>
      <c r="G682" s="1" t="s">
        <v>2174</v>
      </c>
      <c r="H682" s="1" t="s">
        <v>2175</v>
      </c>
      <c r="I682" s="1" t="s">
        <v>29</v>
      </c>
      <c r="J682" s="1" t="s">
        <v>16</v>
      </c>
      <c r="K682" s="1" t="b">
        <v>0</v>
      </c>
      <c r="L682" s="1" t="s">
        <v>22</v>
      </c>
      <c r="M682" s="1">
        <v>2022</v>
      </c>
      <c r="N682" s="1" t="s">
        <v>16</v>
      </c>
      <c r="O682" s="1" t="s">
        <v>9935</v>
      </c>
      <c r="P682" s="1" t="s">
        <v>16</v>
      </c>
      <c r="Q682" s="1">
        <v>100</v>
      </c>
      <c r="R682" s="1">
        <v>200000</v>
      </c>
      <c r="S682" s="1">
        <v>200000</v>
      </c>
    </row>
    <row r="683" spans="1:19" ht="12.5" x14ac:dyDescent="0.25">
      <c r="A683" s="1">
        <v>530</v>
      </c>
      <c r="B683" s="1" t="s">
        <v>2172</v>
      </c>
      <c r="C683" s="1" t="s">
        <v>35</v>
      </c>
      <c r="D683" s="1" t="s">
        <v>36</v>
      </c>
      <c r="E683" s="1">
        <v>538</v>
      </c>
      <c r="F683" s="1" t="s">
        <v>2173</v>
      </c>
      <c r="G683" s="1" t="s">
        <v>2174</v>
      </c>
      <c r="H683" s="1" t="s">
        <v>2175</v>
      </c>
      <c r="I683" s="1" t="s">
        <v>29</v>
      </c>
      <c r="J683" s="1" t="s">
        <v>16</v>
      </c>
      <c r="K683" s="1" t="b">
        <v>0</v>
      </c>
      <c r="L683" s="1" t="s">
        <v>22</v>
      </c>
      <c r="M683" s="1" t="s">
        <v>16</v>
      </c>
      <c r="N683" s="1" t="s">
        <v>16</v>
      </c>
      <c r="O683" s="1" t="s">
        <v>9952</v>
      </c>
      <c r="P683" s="1" t="s">
        <v>16</v>
      </c>
      <c r="Q683" s="1">
        <v>100</v>
      </c>
      <c r="R683" s="1">
        <v>30000</v>
      </c>
      <c r="S683" s="1">
        <v>30000</v>
      </c>
    </row>
    <row r="684" spans="1:19" ht="12.5" x14ac:dyDescent="0.25">
      <c r="A684" s="1">
        <v>530</v>
      </c>
      <c r="B684" s="1" t="s">
        <v>2172</v>
      </c>
      <c r="C684" s="1" t="s">
        <v>35</v>
      </c>
      <c r="D684" s="1" t="s">
        <v>36</v>
      </c>
      <c r="E684" s="1">
        <v>538</v>
      </c>
      <c r="F684" s="1" t="s">
        <v>2173</v>
      </c>
      <c r="G684" s="1" t="s">
        <v>2174</v>
      </c>
      <c r="H684" s="1" t="s">
        <v>2175</v>
      </c>
      <c r="I684" s="1" t="s">
        <v>29</v>
      </c>
      <c r="J684" s="1" t="s">
        <v>16</v>
      </c>
      <c r="K684" s="1" t="b">
        <v>0</v>
      </c>
      <c r="L684" s="1" t="s">
        <v>22</v>
      </c>
      <c r="M684" s="1">
        <v>2022</v>
      </c>
      <c r="N684" s="1" t="s">
        <v>16</v>
      </c>
      <c r="O684" s="1" t="s">
        <v>9942</v>
      </c>
      <c r="P684" s="1" t="s">
        <v>16</v>
      </c>
      <c r="Q684" s="1">
        <v>100</v>
      </c>
      <c r="R684" s="1">
        <v>150000</v>
      </c>
      <c r="S684" s="1">
        <v>150000</v>
      </c>
    </row>
    <row r="685" spans="1:19" ht="12.5" x14ac:dyDescent="0.25">
      <c r="A685" s="1">
        <v>530</v>
      </c>
      <c r="B685" s="1" t="s">
        <v>2172</v>
      </c>
      <c r="C685" s="1" t="s">
        <v>35</v>
      </c>
      <c r="D685" s="1" t="s">
        <v>36</v>
      </c>
      <c r="E685" s="1">
        <v>539</v>
      </c>
      <c r="F685" s="1" t="s">
        <v>2176</v>
      </c>
      <c r="G685" s="1" t="s">
        <v>2177</v>
      </c>
      <c r="H685" s="1" t="s">
        <v>2178</v>
      </c>
      <c r="I685" s="1" t="s">
        <v>20</v>
      </c>
      <c r="J685" s="1" t="s">
        <v>16</v>
      </c>
      <c r="K685" s="1" t="b">
        <v>0</v>
      </c>
      <c r="L685" s="1" t="s">
        <v>22</v>
      </c>
      <c r="M685" s="1" t="s">
        <v>16</v>
      </c>
      <c r="N685" s="1" t="s">
        <v>16</v>
      </c>
      <c r="O685" s="1" t="s">
        <v>16</v>
      </c>
      <c r="P685" s="1" t="s">
        <v>16</v>
      </c>
      <c r="Q685" s="1">
        <v>100</v>
      </c>
    </row>
    <row r="686" spans="1:19" ht="12.5" x14ac:dyDescent="0.25">
      <c r="A686" s="1">
        <v>531</v>
      </c>
      <c r="B686" s="1" t="s">
        <v>2179</v>
      </c>
      <c r="C686" s="1" t="s">
        <v>35</v>
      </c>
      <c r="D686" s="1" t="s">
        <v>36</v>
      </c>
      <c r="E686" s="1">
        <v>540</v>
      </c>
      <c r="F686" s="1" t="s">
        <v>2180</v>
      </c>
      <c r="G686" s="1" t="s">
        <v>2181</v>
      </c>
      <c r="H686" s="1"/>
      <c r="I686" s="1" t="s">
        <v>20</v>
      </c>
      <c r="J686" s="1" t="s">
        <v>16</v>
      </c>
      <c r="K686" s="1" t="b">
        <v>0</v>
      </c>
      <c r="L686" s="1" t="s">
        <v>22</v>
      </c>
      <c r="M686" s="1" t="s">
        <v>16</v>
      </c>
      <c r="N686" s="1" t="s">
        <v>16</v>
      </c>
      <c r="O686" s="1" t="s">
        <v>16</v>
      </c>
      <c r="P686" s="1" t="s">
        <v>16</v>
      </c>
      <c r="Q686" s="1">
        <v>100</v>
      </c>
    </row>
    <row r="687" spans="1:19" ht="12.5" x14ac:dyDescent="0.25">
      <c r="A687" s="1">
        <v>532</v>
      </c>
      <c r="B687" s="1" t="s">
        <v>2182</v>
      </c>
      <c r="C687" s="1" t="s">
        <v>35</v>
      </c>
      <c r="D687" s="1" t="s">
        <v>36</v>
      </c>
      <c r="E687" s="1">
        <v>541</v>
      </c>
      <c r="F687" s="1" t="s">
        <v>2183</v>
      </c>
      <c r="G687" s="1" t="s">
        <v>2184</v>
      </c>
      <c r="H687" s="1" t="s">
        <v>2185</v>
      </c>
      <c r="I687" s="1" t="s">
        <v>29</v>
      </c>
      <c r="J687" s="1" t="s">
        <v>16</v>
      </c>
      <c r="K687" s="1" t="b">
        <v>0</v>
      </c>
      <c r="L687" s="1" t="s">
        <v>22</v>
      </c>
      <c r="M687" s="1" t="s">
        <v>16</v>
      </c>
      <c r="N687" s="1" t="s">
        <v>16</v>
      </c>
      <c r="O687" s="1" t="s">
        <v>16</v>
      </c>
      <c r="P687" s="1" t="s">
        <v>16</v>
      </c>
      <c r="Q687" s="1">
        <v>100</v>
      </c>
    </row>
    <row r="688" spans="1:19" ht="12.5" x14ac:dyDescent="0.25">
      <c r="A688" s="1">
        <v>532</v>
      </c>
      <c r="B688" s="1" t="s">
        <v>2182</v>
      </c>
      <c r="C688" s="1" t="s">
        <v>35</v>
      </c>
      <c r="D688" s="1" t="s">
        <v>36</v>
      </c>
      <c r="E688" s="1">
        <v>542</v>
      </c>
      <c r="F688" s="1" t="s">
        <v>2186</v>
      </c>
      <c r="G688" s="1" t="s">
        <v>2184</v>
      </c>
      <c r="H688" s="1" t="s">
        <v>2187</v>
      </c>
      <c r="I688" s="1" t="s">
        <v>20</v>
      </c>
      <c r="J688" s="1" t="s">
        <v>2188</v>
      </c>
      <c r="K688" s="1" t="b">
        <v>0</v>
      </c>
      <c r="L688" s="1" t="s">
        <v>22</v>
      </c>
      <c r="M688" s="1" t="s">
        <v>16</v>
      </c>
      <c r="N688" s="1" t="s">
        <v>16</v>
      </c>
      <c r="O688" s="1" t="s">
        <v>16</v>
      </c>
      <c r="P688" s="1" t="s">
        <v>16</v>
      </c>
      <c r="Q688" s="1">
        <v>100</v>
      </c>
    </row>
    <row r="689" spans="1:19" ht="12.5" x14ac:dyDescent="0.25">
      <c r="A689" s="1">
        <v>533</v>
      </c>
      <c r="B689" s="1" t="s">
        <v>2189</v>
      </c>
      <c r="C689" s="1" t="s">
        <v>35</v>
      </c>
      <c r="D689" s="1" t="s">
        <v>36</v>
      </c>
      <c r="E689" s="1">
        <v>543</v>
      </c>
      <c r="F689" s="1" t="s">
        <v>2190</v>
      </c>
      <c r="G689" s="1" t="s">
        <v>2191</v>
      </c>
      <c r="H689" s="1" t="s">
        <v>2192</v>
      </c>
      <c r="I689" s="1" t="s">
        <v>29</v>
      </c>
      <c r="J689" s="1" t="s">
        <v>2193</v>
      </c>
      <c r="K689" s="1" t="b">
        <v>1</v>
      </c>
      <c r="L689" s="1" t="s">
        <v>31</v>
      </c>
      <c r="M689" s="1">
        <v>2021</v>
      </c>
      <c r="N689" s="1" t="s">
        <v>45</v>
      </c>
      <c r="O689" s="1" t="s">
        <v>9935</v>
      </c>
      <c r="P689" s="1" t="s">
        <v>16</v>
      </c>
      <c r="Q689" s="1">
        <v>100</v>
      </c>
      <c r="R689" s="1">
        <v>500000</v>
      </c>
      <c r="S689" s="1">
        <v>500000</v>
      </c>
    </row>
    <row r="690" spans="1:19" ht="12.5" x14ac:dyDescent="0.25">
      <c r="A690" s="1">
        <v>533</v>
      </c>
      <c r="B690" s="1" t="s">
        <v>2189</v>
      </c>
      <c r="C690" s="1" t="s">
        <v>35</v>
      </c>
      <c r="D690" s="1" t="s">
        <v>36</v>
      </c>
      <c r="E690" s="1">
        <v>543</v>
      </c>
      <c r="F690" s="1" t="s">
        <v>2190</v>
      </c>
      <c r="G690" s="1" t="s">
        <v>2191</v>
      </c>
      <c r="H690" s="1" t="s">
        <v>2192</v>
      </c>
      <c r="I690" s="1" t="s">
        <v>29</v>
      </c>
      <c r="J690" s="1" t="s">
        <v>2193</v>
      </c>
      <c r="K690" s="1" t="b">
        <v>1</v>
      </c>
      <c r="L690" s="1" t="s">
        <v>31</v>
      </c>
      <c r="M690" s="1">
        <v>2021</v>
      </c>
      <c r="N690" s="1" t="s">
        <v>23</v>
      </c>
      <c r="O690" s="1" t="s">
        <v>9940</v>
      </c>
      <c r="P690" s="1" t="s">
        <v>16</v>
      </c>
      <c r="Q690" s="1">
        <v>100</v>
      </c>
      <c r="R690" s="1">
        <v>75000</v>
      </c>
      <c r="S690" s="1">
        <v>75000</v>
      </c>
    </row>
    <row r="691" spans="1:19" ht="12.5" x14ac:dyDescent="0.25">
      <c r="A691" s="1" t="s">
        <v>16</v>
      </c>
      <c r="B691" s="1" t="s">
        <v>16</v>
      </c>
      <c r="C691" s="1" t="s">
        <v>16</v>
      </c>
      <c r="D691" s="1" t="s">
        <v>16</v>
      </c>
      <c r="E691" s="1">
        <v>544</v>
      </c>
      <c r="F691" s="1" t="s">
        <v>2194</v>
      </c>
      <c r="G691" s="1" t="s">
        <v>2191</v>
      </c>
      <c r="H691" s="1" t="s">
        <v>2192</v>
      </c>
      <c r="I691" s="1" t="s">
        <v>29</v>
      </c>
      <c r="J691" s="1" t="s">
        <v>16</v>
      </c>
      <c r="K691" s="1" t="b">
        <v>0</v>
      </c>
      <c r="L691" s="1" t="s">
        <v>22</v>
      </c>
      <c r="M691" s="1" t="s">
        <v>16</v>
      </c>
      <c r="N691" s="1" t="s">
        <v>16</v>
      </c>
      <c r="O691" s="1" t="s">
        <v>16</v>
      </c>
      <c r="P691" s="1" t="s">
        <v>16</v>
      </c>
    </row>
    <row r="692" spans="1:19" ht="12.5" x14ac:dyDescent="0.25">
      <c r="A692" s="1">
        <v>534</v>
      </c>
      <c r="B692" s="1" t="s">
        <v>2195</v>
      </c>
      <c r="C692" s="1" t="s">
        <v>35</v>
      </c>
      <c r="D692" s="1" t="s">
        <v>36</v>
      </c>
      <c r="E692" s="1">
        <v>545</v>
      </c>
      <c r="F692" s="1" t="s">
        <v>2196</v>
      </c>
      <c r="G692" s="1" t="s">
        <v>2197</v>
      </c>
      <c r="H692" s="1" t="s">
        <v>2198</v>
      </c>
      <c r="I692" s="1" t="s">
        <v>29</v>
      </c>
      <c r="J692" s="1" t="s">
        <v>16</v>
      </c>
      <c r="K692" s="1" t="b">
        <v>0</v>
      </c>
      <c r="L692" s="1" t="s">
        <v>22</v>
      </c>
      <c r="M692" s="1" t="s">
        <v>16</v>
      </c>
      <c r="N692" s="1" t="s">
        <v>16</v>
      </c>
      <c r="O692" s="1" t="s">
        <v>16</v>
      </c>
      <c r="P692" s="1" t="s">
        <v>16</v>
      </c>
      <c r="Q692" s="1">
        <v>100</v>
      </c>
    </row>
    <row r="693" spans="1:19" ht="12.5" x14ac:dyDescent="0.25">
      <c r="A693" s="1">
        <v>535</v>
      </c>
      <c r="B693" s="1" t="s">
        <v>2199</v>
      </c>
      <c r="C693" s="1" t="s">
        <v>35</v>
      </c>
      <c r="D693" s="1" t="s">
        <v>36</v>
      </c>
      <c r="E693" s="1">
        <v>546</v>
      </c>
      <c r="F693" s="1" t="s">
        <v>2200</v>
      </c>
      <c r="G693" s="1" t="s">
        <v>2201</v>
      </c>
      <c r="H693" s="1" t="s">
        <v>2202</v>
      </c>
      <c r="I693" s="1" t="s">
        <v>29</v>
      </c>
      <c r="J693" s="1" t="s">
        <v>16</v>
      </c>
      <c r="K693" s="1" t="b">
        <v>0</v>
      </c>
      <c r="L693" s="1" t="s">
        <v>22</v>
      </c>
      <c r="M693" s="1" t="s">
        <v>16</v>
      </c>
      <c r="N693" s="1" t="s">
        <v>16</v>
      </c>
      <c r="O693" s="1" t="s">
        <v>16</v>
      </c>
      <c r="P693" s="1" t="s">
        <v>16</v>
      </c>
      <c r="Q693" s="1">
        <v>100</v>
      </c>
    </row>
    <row r="694" spans="1:19" ht="12.5" x14ac:dyDescent="0.25">
      <c r="A694" s="1">
        <v>536</v>
      </c>
      <c r="B694" s="1" t="s">
        <v>2203</v>
      </c>
      <c r="C694" s="1" t="s">
        <v>35</v>
      </c>
      <c r="D694" s="1" t="s">
        <v>36</v>
      </c>
      <c r="E694" s="1">
        <v>547</v>
      </c>
      <c r="F694" s="1" t="s">
        <v>2204</v>
      </c>
      <c r="G694" s="1" t="s">
        <v>2205</v>
      </c>
      <c r="H694" s="1" t="s">
        <v>2206</v>
      </c>
      <c r="I694" s="1" t="s">
        <v>29</v>
      </c>
      <c r="J694" s="1" t="s">
        <v>16</v>
      </c>
      <c r="K694" s="1" t="b">
        <v>0</v>
      </c>
      <c r="L694" s="1" t="s">
        <v>22</v>
      </c>
      <c r="M694" s="1" t="s">
        <v>16</v>
      </c>
      <c r="N694" s="1" t="s">
        <v>16</v>
      </c>
      <c r="O694" s="1" t="s">
        <v>9935</v>
      </c>
      <c r="P694" s="1" t="s">
        <v>16</v>
      </c>
      <c r="Q694" s="1">
        <v>100</v>
      </c>
      <c r="R694" s="1">
        <v>75000</v>
      </c>
      <c r="S694" s="1">
        <v>75000</v>
      </c>
    </row>
    <row r="695" spans="1:19" ht="12.5" x14ac:dyDescent="0.25">
      <c r="A695" s="1">
        <v>536</v>
      </c>
      <c r="B695" s="1" t="s">
        <v>2203</v>
      </c>
      <c r="C695" s="1" t="s">
        <v>35</v>
      </c>
      <c r="D695" s="1" t="s">
        <v>36</v>
      </c>
      <c r="E695" s="1">
        <v>548</v>
      </c>
      <c r="F695" s="1" t="s">
        <v>2207</v>
      </c>
      <c r="G695" s="1" t="s">
        <v>2205</v>
      </c>
      <c r="H695" s="1" t="s">
        <v>2208</v>
      </c>
      <c r="I695" s="1" t="s">
        <v>29</v>
      </c>
      <c r="J695" s="1" t="s">
        <v>16</v>
      </c>
      <c r="K695" s="1" t="b">
        <v>0</v>
      </c>
      <c r="L695" s="1" t="s">
        <v>22</v>
      </c>
      <c r="M695" s="1" t="s">
        <v>16</v>
      </c>
      <c r="N695" s="1" t="s">
        <v>16</v>
      </c>
      <c r="O695" s="1" t="s">
        <v>16</v>
      </c>
      <c r="P695" s="1" t="s">
        <v>16</v>
      </c>
      <c r="Q695" s="1">
        <v>100</v>
      </c>
    </row>
    <row r="696" spans="1:19" ht="12.5" x14ac:dyDescent="0.25">
      <c r="A696" s="1">
        <v>538</v>
      </c>
      <c r="B696" s="1" t="s">
        <v>2209</v>
      </c>
      <c r="C696" s="1" t="s">
        <v>35</v>
      </c>
      <c r="D696" s="1" t="s">
        <v>36</v>
      </c>
      <c r="E696" s="1">
        <v>549</v>
      </c>
      <c r="F696" s="1" t="s">
        <v>2210</v>
      </c>
      <c r="G696" s="1" t="s">
        <v>2211</v>
      </c>
      <c r="H696" s="1" t="s">
        <v>2212</v>
      </c>
      <c r="I696" s="1" t="s">
        <v>29</v>
      </c>
      <c r="J696" s="1" t="s">
        <v>16</v>
      </c>
      <c r="K696" s="1" t="b">
        <v>0</v>
      </c>
      <c r="L696" s="1" t="s">
        <v>22</v>
      </c>
      <c r="M696" s="1" t="s">
        <v>16</v>
      </c>
      <c r="N696" s="1" t="s">
        <v>16</v>
      </c>
      <c r="O696" s="1" t="s">
        <v>16</v>
      </c>
      <c r="P696" s="1" t="s">
        <v>16</v>
      </c>
      <c r="Q696" s="1">
        <v>100</v>
      </c>
    </row>
    <row r="697" spans="1:19" ht="12.5" x14ac:dyDescent="0.25">
      <c r="A697" s="1">
        <v>539</v>
      </c>
      <c r="B697" s="1" t="s">
        <v>2213</v>
      </c>
      <c r="C697" s="1" t="s">
        <v>35</v>
      </c>
      <c r="D697" s="1" t="s">
        <v>36</v>
      </c>
      <c r="E697" s="1">
        <v>550</v>
      </c>
      <c r="F697" s="1" t="s">
        <v>2214</v>
      </c>
      <c r="G697" s="1" t="s">
        <v>2215</v>
      </c>
      <c r="H697" s="1" t="s">
        <v>2216</v>
      </c>
      <c r="I697" s="1" t="s">
        <v>29</v>
      </c>
      <c r="J697" s="1" t="s">
        <v>2217</v>
      </c>
      <c r="K697" s="1" t="b">
        <v>0</v>
      </c>
      <c r="L697" s="1" t="s">
        <v>22</v>
      </c>
      <c r="M697" s="1">
        <v>2021</v>
      </c>
      <c r="N697" s="1" t="s">
        <v>16</v>
      </c>
      <c r="O697" s="1" t="s">
        <v>9935</v>
      </c>
      <c r="P697" s="1" t="s">
        <v>16</v>
      </c>
      <c r="Q697" s="1">
        <v>100</v>
      </c>
      <c r="R697" s="1">
        <v>220000</v>
      </c>
      <c r="S697" s="1">
        <v>220000</v>
      </c>
    </row>
    <row r="698" spans="1:19" ht="12.5" x14ac:dyDescent="0.25">
      <c r="A698" s="1">
        <v>539</v>
      </c>
      <c r="B698" s="1" t="s">
        <v>2213</v>
      </c>
      <c r="C698" s="1" t="s">
        <v>35</v>
      </c>
      <c r="D698" s="1" t="s">
        <v>36</v>
      </c>
      <c r="E698" s="1">
        <v>550</v>
      </c>
      <c r="F698" s="1" t="s">
        <v>2214</v>
      </c>
      <c r="G698" s="1" t="s">
        <v>2215</v>
      </c>
      <c r="H698" s="1" t="s">
        <v>2216</v>
      </c>
      <c r="I698" s="1" t="s">
        <v>29</v>
      </c>
      <c r="J698" s="1" t="s">
        <v>2217</v>
      </c>
      <c r="K698" s="1" t="b">
        <v>0</v>
      </c>
      <c r="L698" s="1" t="s">
        <v>22</v>
      </c>
      <c r="M698" s="1" t="s">
        <v>16</v>
      </c>
      <c r="N698" s="1" t="s">
        <v>16</v>
      </c>
      <c r="O698" s="1" t="s">
        <v>9952</v>
      </c>
      <c r="P698" s="1" t="s">
        <v>16</v>
      </c>
      <c r="Q698" s="1">
        <v>100</v>
      </c>
      <c r="R698" s="1">
        <v>25000</v>
      </c>
      <c r="S698" s="1">
        <v>25000</v>
      </c>
    </row>
    <row r="699" spans="1:19" ht="12.5" x14ac:dyDescent="0.25">
      <c r="A699" s="1">
        <v>540</v>
      </c>
      <c r="B699" s="1" t="s">
        <v>2218</v>
      </c>
      <c r="C699" s="1" t="s">
        <v>35</v>
      </c>
      <c r="D699" s="1" t="s">
        <v>36</v>
      </c>
      <c r="E699" s="1">
        <v>551</v>
      </c>
      <c r="F699" s="1" t="s">
        <v>2219</v>
      </c>
      <c r="G699" s="1" t="s">
        <v>2220</v>
      </c>
      <c r="H699" s="1" t="s">
        <v>2221</v>
      </c>
      <c r="I699" s="1" t="s">
        <v>29</v>
      </c>
      <c r="J699" s="1" t="s">
        <v>16</v>
      </c>
      <c r="K699" s="1" t="b">
        <v>0</v>
      </c>
      <c r="L699" s="1" t="s">
        <v>22</v>
      </c>
      <c r="M699" s="1">
        <v>2021</v>
      </c>
      <c r="N699" s="1" t="s">
        <v>45</v>
      </c>
      <c r="O699" s="1" t="s">
        <v>9942</v>
      </c>
      <c r="P699" s="1" t="s">
        <v>16</v>
      </c>
      <c r="Q699" s="1">
        <v>100</v>
      </c>
      <c r="R699" s="1">
        <v>100000</v>
      </c>
      <c r="S699" s="1">
        <v>100000</v>
      </c>
    </row>
    <row r="700" spans="1:19" ht="12.5" x14ac:dyDescent="0.25">
      <c r="A700" s="1">
        <v>541</v>
      </c>
      <c r="B700" s="1" t="s">
        <v>2222</v>
      </c>
      <c r="C700" s="1" t="s">
        <v>35</v>
      </c>
      <c r="D700" s="1" t="s">
        <v>36</v>
      </c>
      <c r="E700" s="1">
        <v>552</v>
      </c>
      <c r="F700" s="1" t="s">
        <v>2223</v>
      </c>
      <c r="G700" s="1" t="s">
        <v>2224</v>
      </c>
      <c r="H700" s="1" t="s">
        <v>2225</v>
      </c>
      <c r="I700" s="1" t="s">
        <v>20</v>
      </c>
      <c r="J700" s="1" t="s">
        <v>2226</v>
      </c>
      <c r="K700" s="1" t="b">
        <v>0</v>
      </c>
      <c r="L700" s="1" t="s">
        <v>22</v>
      </c>
      <c r="M700" s="1" t="s">
        <v>16</v>
      </c>
      <c r="N700" s="1" t="s">
        <v>16</v>
      </c>
      <c r="O700" s="1" t="s">
        <v>16</v>
      </c>
      <c r="P700" s="1" t="s">
        <v>16</v>
      </c>
      <c r="Q700" s="1">
        <v>100</v>
      </c>
    </row>
    <row r="701" spans="1:19" ht="12.5" x14ac:dyDescent="0.25">
      <c r="A701" s="1">
        <v>542</v>
      </c>
      <c r="B701" s="1" t="s">
        <v>2227</v>
      </c>
      <c r="C701" s="1" t="s">
        <v>35</v>
      </c>
      <c r="D701" s="1" t="s">
        <v>36</v>
      </c>
      <c r="E701" s="1">
        <v>553</v>
      </c>
      <c r="F701" s="1" t="s">
        <v>2228</v>
      </c>
      <c r="G701" s="1" t="s">
        <v>2229</v>
      </c>
      <c r="H701" s="1" t="s">
        <v>2230</v>
      </c>
      <c r="I701" s="1" t="s">
        <v>29</v>
      </c>
      <c r="J701" s="1" t="s">
        <v>16</v>
      </c>
      <c r="K701" s="1" t="b">
        <v>0</v>
      </c>
      <c r="L701" s="1" t="s">
        <v>22</v>
      </c>
      <c r="M701" s="1">
        <v>2021</v>
      </c>
      <c r="N701" s="1" t="s">
        <v>45</v>
      </c>
      <c r="O701" s="1" t="s">
        <v>9935</v>
      </c>
      <c r="P701" s="1" t="s">
        <v>9971</v>
      </c>
      <c r="Q701" s="1">
        <v>100</v>
      </c>
      <c r="R701" s="1">
        <v>0</v>
      </c>
      <c r="S701" s="1">
        <v>0</v>
      </c>
    </row>
    <row r="702" spans="1:19" ht="12.5" x14ac:dyDescent="0.25">
      <c r="A702" s="1">
        <v>543</v>
      </c>
      <c r="B702" s="1" t="s">
        <v>2231</v>
      </c>
      <c r="C702" s="1" t="s">
        <v>35</v>
      </c>
      <c r="D702" s="1" t="s">
        <v>36</v>
      </c>
      <c r="E702" s="1">
        <v>554</v>
      </c>
      <c r="F702" s="1" t="s">
        <v>2232</v>
      </c>
      <c r="G702" s="1" t="s">
        <v>2233</v>
      </c>
      <c r="H702" s="1" t="s">
        <v>2234</v>
      </c>
      <c r="I702" s="1" t="s">
        <v>29</v>
      </c>
      <c r="J702" s="1" t="s">
        <v>16</v>
      </c>
      <c r="K702" s="1" t="b">
        <v>0</v>
      </c>
      <c r="L702" s="1" t="s">
        <v>22</v>
      </c>
      <c r="M702" s="1" t="s">
        <v>16</v>
      </c>
      <c r="N702" s="1" t="s">
        <v>16</v>
      </c>
      <c r="O702" s="1" t="s">
        <v>16</v>
      </c>
      <c r="P702" s="1" t="s">
        <v>16</v>
      </c>
      <c r="Q702" s="1">
        <v>100</v>
      </c>
    </row>
    <row r="703" spans="1:19" ht="12.5" x14ac:dyDescent="0.25">
      <c r="A703" s="1">
        <v>543</v>
      </c>
      <c r="B703" s="1" t="s">
        <v>2231</v>
      </c>
      <c r="C703" s="1" t="s">
        <v>35</v>
      </c>
      <c r="D703" s="1" t="s">
        <v>36</v>
      </c>
      <c r="E703" s="1">
        <v>555</v>
      </c>
      <c r="F703" s="1" t="s">
        <v>2235</v>
      </c>
      <c r="G703" s="1" t="s">
        <v>2233</v>
      </c>
      <c r="H703" s="1" t="s">
        <v>2236</v>
      </c>
      <c r="I703" s="1" t="s">
        <v>20</v>
      </c>
      <c r="J703" s="1" t="s">
        <v>16</v>
      </c>
      <c r="K703" s="1" t="b">
        <v>0</v>
      </c>
      <c r="L703" s="1" t="s">
        <v>22</v>
      </c>
      <c r="M703" s="1" t="s">
        <v>16</v>
      </c>
      <c r="N703" s="1" t="s">
        <v>16</v>
      </c>
      <c r="O703" s="1" t="s">
        <v>16</v>
      </c>
      <c r="P703" s="1" t="s">
        <v>16</v>
      </c>
      <c r="Q703" s="1">
        <v>100</v>
      </c>
    </row>
    <row r="704" spans="1:19" ht="12.5" x14ac:dyDescent="0.25">
      <c r="A704" s="1">
        <v>544</v>
      </c>
      <c r="B704" s="1" t="s">
        <v>2237</v>
      </c>
      <c r="C704" s="1" t="s">
        <v>35</v>
      </c>
      <c r="D704" s="1" t="s">
        <v>36</v>
      </c>
      <c r="E704" s="1">
        <v>556</v>
      </c>
      <c r="F704" s="1" t="s">
        <v>2238</v>
      </c>
      <c r="G704" s="1" t="s">
        <v>2239</v>
      </c>
      <c r="H704" s="1" t="s">
        <v>2239</v>
      </c>
      <c r="I704" s="1" t="s">
        <v>29</v>
      </c>
      <c r="J704" s="1" t="s">
        <v>2240</v>
      </c>
      <c r="K704" s="1" t="b">
        <v>0</v>
      </c>
      <c r="L704" s="1" t="s">
        <v>22</v>
      </c>
      <c r="M704" s="1" t="s">
        <v>16</v>
      </c>
      <c r="N704" s="1" t="s">
        <v>16</v>
      </c>
      <c r="O704" s="1" t="s">
        <v>9940</v>
      </c>
      <c r="P704" s="1" t="s">
        <v>16</v>
      </c>
      <c r="Q704" s="1">
        <v>100</v>
      </c>
      <c r="R704" s="1">
        <v>20000</v>
      </c>
      <c r="S704" s="1">
        <v>20000</v>
      </c>
    </row>
    <row r="705" spans="1:19" ht="12.5" x14ac:dyDescent="0.25">
      <c r="A705" s="1">
        <v>544</v>
      </c>
      <c r="B705" s="1" t="s">
        <v>2237</v>
      </c>
      <c r="C705" s="1" t="s">
        <v>35</v>
      </c>
      <c r="D705" s="1" t="s">
        <v>36</v>
      </c>
      <c r="E705" s="1">
        <v>556</v>
      </c>
      <c r="F705" s="1" t="s">
        <v>2238</v>
      </c>
      <c r="G705" s="1" t="s">
        <v>2239</v>
      </c>
      <c r="H705" s="1" t="s">
        <v>2239</v>
      </c>
      <c r="I705" s="1" t="s">
        <v>29</v>
      </c>
      <c r="J705" s="1" t="s">
        <v>2240</v>
      </c>
      <c r="K705" s="1" t="b">
        <v>0</v>
      </c>
      <c r="L705" s="1" t="s">
        <v>22</v>
      </c>
      <c r="M705" s="1">
        <v>2022</v>
      </c>
      <c r="N705" s="1" t="s">
        <v>16</v>
      </c>
      <c r="O705" s="1" t="s">
        <v>9942</v>
      </c>
      <c r="P705" s="1" t="s">
        <v>16</v>
      </c>
      <c r="Q705" s="1">
        <v>100</v>
      </c>
      <c r="R705" s="1">
        <v>250000</v>
      </c>
      <c r="S705" s="1">
        <v>250000</v>
      </c>
    </row>
    <row r="706" spans="1:19" ht="12.5" x14ac:dyDescent="0.25">
      <c r="A706" s="1">
        <v>544</v>
      </c>
      <c r="B706" s="1" t="s">
        <v>2237</v>
      </c>
      <c r="C706" s="1" t="s">
        <v>35</v>
      </c>
      <c r="D706" s="1" t="s">
        <v>36</v>
      </c>
      <c r="E706" s="1">
        <v>556</v>
      </c>
      <c r="F706" s="1" t="s">
        <v>2238</v>
      </c>
      <c r="G706" s="1" t="s">
        <v>2239</v>
      </c>
      <c r="H706" s="1" t="s">
        <v>2239</v>
      </c>
      <c r="I706" s="1" t="s">
        <v>29</v>
      </c>
      <c r="J706" s="1" t="s">
        <v>2240</v>
      </c>
      <c r="K706" s="1" t="b">
        <v>0</v>
      </c>
      <c r="L706" s="1" t="s">
        <v>22</v>
      </c>
      <c r="M706" s="1" t="s">
        <v>16</v>
      </c>
      <c r="N706" s="1" t="s">
        <v>16</v>
      </c>
      <c r="O706" s="1" t="s">
        <v>9935</v>
      </c>
      <c r="P706" s="1" t="s">
        <v>16</v>
      </c>
      <c r="Q706" s="1">
        <v>100</v>
      </c>
      <c r="R706" s="1">
        <v>350000</v>
      </c>
      <c r="S706" s="1">
        <v>350000</v>
      </c>
    </row>
    <row r="707" spans="1:19" ht="12.5" x14ac:dyDescent="0.25">
      <c r="A707" s="1" t="s">
        <v>16</v>
      </c>
      <c r="B707" s="1" t="s">
        <v>16</v>
      </c>
      <c r="C707" s="1" t="s">
        <v>16</v>
      </c>
      <c r="D707" s="1" t="s">
        <v>16</v>
      </c>
      <c r="E707" s="1">
        <v>557</v>
      </c>
      <c r="F707" s="1" t="s">
        <v>2241</v>
      </c>
      <c r="G707" s="1" t="s">
        <v>2242</v>
      </c>
      <c r="H707" s="1" t="s">
        <v>2243</v>
      </c>
      <c r="I707" s="1" t="s">
        <v>20</v>
      </c>
      <c r="J707" s="1" t="s">
        <v>16</v>
      </c>
      <c r="K707" s="1" t="b">
        <v>0</v>
      </c>
      <c r="L707" s="1" t="s">
        <v>22</v>
      </c>
      <c r="M707" s="1" t="s">
        <v>16</v>
      </c>
      <c r="N707" s="1" t="s">
        <v>16</v>
      </c>
      <c r="O707" s="1" t="s">
        <v>16</v>
      </c>
      <c r="P707" s="1" t="s">
        <v>16</v>
      </c>
    </row>
    <row r="708" spans="1:19" ht="12.5" x14ac:dyDescent="0.25">
      <c r="A708" s="1">
        <v>545</v>
      </c>
      <c r="B708" s="1" t="s">
        <v>2244</v>
      </c>
      <c r="C708" s="1" t="s">
        <v>35</v>
      </c>
      <c r="D708" s="1" t="s">
        <v>36</v>
      </c>
      <c r="E708" s="1">
        <v>558</v>
      </c>
      <c r="F708" s="1" t="s">
        <v>2245</v>
      </c>
      <c r="G708" s="1" t="s">
        <v>2246</v>
      </c>
      <c r="H708" s="1" t="s">
        <v>2247</v>
      </c>
      <c r="I708" s="1" t="s">
        <v>29</v>
      </c>
      <c r="J708" s="1" t="s">
        <v>2248</v>
      </c>
      <c r="K708" s="1" t="b">
        <v>0</v>
      </c>
      <c r="L708" s="1" t="s">
        <v>22</v>
      </c>
      <c r="M708" s="1" t="s">
        <v>16</v>
      </c>
      <c r="N708" s="1" t="s">
        <v>16</v>
      </c>
      <c r="O708" s="1" t="s">
        <v>9940</v>
      </c>
      <c r="P708" s="1" t="s">
        <v>16</v>
      </c>
      <c r="Q708" s="1">
        <v>100</v>
      </c>
      <c r="R708" s="1">
        <v>50000</v>
      </c>
      <c r="S708" s="1">
        <v>50000</v>
      </c>
    </row>
    <row r="709" spans="1:19" ht="12.5" x14ac:dyDescent="0.25">
      <c r="A709" s="1">
        <v>545</v>
      </c>
      <c r="B709" s="1" t="s">
        <v>2244</v>
      </c>
      <c r="C709" s="1" t="s">
        <v>35</v>
      </c>
      <c r="D709" s="1" t="s">
        <v>36</v>
      </c>
      <c r="E709" s="1">
        <v>558</v>
      </c>
      <c r="F709" s="1" t="s">
        <v>2245</v>
      </c>
      <c r="G709" s="1" t="s">
        <v>2246</v>
      </c>
      <c r="H709" s="1" t="s">
        <v>2247</v>
      </c>
      <c r="I709" s="1" t="s">
        <v>29</v>
      </c>
      <c r="J709" s="1" t="s">
        <v>2248</v>
      </c>
      <c r="K709" s="1" t="b">
        <v>0</v>
      </c>
      <c r="L709" s="1" t="s">
        <v>22</v>
      </c>
      <c r="M709" s="1" t="s">
        <v>16</v>
      </c>
      <c r="N709" s="1" t="s">
        <v>16</v>
      </c>
      <c r="O709" s="1" t="s">
        <v>9952</v>
      </c>
      <c r="P709" s="1" t="s">
        <v>16</v>
      </c>
      <c r="Q709" s="1">
        <v>100</v>
      </c>
      <c r="R709" s="1">
        <v>52500</v>
      </c>
      <c r="S709" s="1">
        <v>52500</v>
      </c>
    </row>
    <row r="710" spans="1:19" ht="12.5" x14ac:dyDescent="0.25">
      <c r="A710" s="1">
        <v>545</v>
      </c>
      <c r="B710" s="1" t="s">
        <v>2244</v>
      </c>
      <c r="C710" s="1" t="s">
        <v>35</v>
      </c>
      <c r="D710" s="1" t="s">
        <v>36</v>
      </c>
      <c r="E710" s="1">
        <v>558</v>
      </c>
      <c r="F710" s="1" t="s">
        <v>2245</v>
      </c>
      <c r="G710" s="1" t="s">
        <v>2246</v>
      </c>
      <c r="H710" s="1" t="s">
        <v>2247</v>
      </c>
      <c r="I710" s="1" t="s">
        <v>29</v>
      </c>
      <c r="J710" s="1" t="s">
        <v>2248</v>
      </c>
      <c r="K710" s="1" t="b">
        <v>0</v>
      </c>
      <c r="L710" s="1" t="s">
        <v>22</v>
      </c>
      <c r="M710" s="1" t="s">
        <v>16</v>
      </c>
      <c r="N710" s="1" t="s">
        <v>16</v>
      </c>
      <c r="O710" s="1" t="s">
        <v>9935</v>
      </c>
      <c r="P710" s="1" t="s">
        <v>16</v>
      </c>
      <c r="Q710" s="1">
        <v>100</v>
      </c>
      <c r="R710" s="1">
        <v>300000</v>
      </c>
      <c r="S710" s="1">
        <v>300000</v>
      </c>
    </row>
    <row r="711" spans="1:19" ht="12.5" x14ac:dyDescent="0.25">
      <c r="A711" s="1">
        <v>546</v>
      </c>
      <c r="B711" s="1" t="s">
        <v>2249</v>
      </c>
      <c r="C711" s="1" t="s">
        <v>35</v>
      </c>
      <c r="D711" s="1" t="s">
        <v>36</v>
      </c>
      <c r="E711" s="1">
        <v>559</v>
      </c>
      <c r="F711" s="1" t="s">
        <v>2250</v>
      </c>
      <c r="G711" s="1" t="s">
        <v>2251</v>
      </c>
      <c r="H711" s="1" t="s">
        <v>2252</v>
      </c>
      <c r="I711" s="1" t="s">
        <v>29</v>
      </c>
      <c r="J711" s="1" t="s">
        <v>2253</v>
      </c>
      <c r="K711" s="1" t="b">
        <v>1</v>
      </c>
      <c r="L711" s="1" t="s">
        <v>31</v>
      </c>
      <c r="M711" s="1">
        <v>2021</v>
      </c>
      <c r="N711" s="1" t="s">
        <v>45</v>
      </c>
      <c r="O711" s="1" t="s">
        <v>9942</v>
      </c>
      <c r="P711" s="1" t="s">
        <v>16</v>
      </c>
      <c r="Q711" s="1">
        <v>100</v>
      </c>
      <c r="R711" s="1">
        <v>25000</v>
      </c>
      <c r="S711" s="1">
        <v>25000</v>
      </c>
    </row>
    <row r="712" spans="1:19" ht="12.5" x14ac:dyDescent="0.25">
      <c r="A712" s="1">
        <v>546</v>
      </c>
      <c r="B712" s="1" t="s">
        <v>2249</v>
      </c>
      <c r="C712" s="1" t="s">
        <v>35</v>
      </c>
      <c r="D712" s="1" t="s">
        <v>36</v>
      </c>
      <c r="E712" s="1">
        <v>559</v>
      </c>
      <c r="F712" s="1" t="s">
        <v>2250</v>
      </c>
      <c r="G712" s="1" t="s">
        <v>2251</v>
      </c>
      <c r="H712" s="1" t="s">
        <v>2252</v>
      </c>
      <c r="I712" s="1" t="s">
        <v>29</v>
      </c>
      <c r="J712" s="1" t="s">
        <v>2253</v>
      </c>
      <c r="K712" s="1" t="b">
        <v>1</v>
      </c>
      <c r="L712" s="1" t="s">
        <v>31</v>
      </c>
      <c r="M712" s="1">
        <v>2021</v>
      </c>
      <c r="N712" s="1" t="s">
        <v>45</v>
      </c>
      <c r="O712" s="1" t="s">
        <v>9935</v>
      </c>
      <c r="P712" s="1" t="s">
        <v>16</v>
      </c>
      <c r="Q712" s="1">
        <v>100</v>
      </c>
      <c r="R712" s="1">
        <v>175000</v>
      </c>
      <c r="S712" s="1">
        <v>175000</v>
      </c>
    </row>
    <row r="713" spans="1:19" ht="12.5" x14ac:dyDescent="0.25">
      <c r="A713" s="1">
        <v>547</v>
      </c>
      <c r="B713" s="1" t="s">
        <v>2254</v>
      </c>
      <c r="C713" s="1" t="s">
        <v>35</v>
      </c>
      <c r="D713" s="1" t="s">
        <v>36</v>
      </c>
      <c r="E713" s="1">
        <v>560</v>
      </c>
      <c r="F713" s="1" t="s">
        <v>2255</v>
      </c>
      <c r="G713" s="1" t="s">
        <v>2256</v>
      </c>
      <c r="H713" s="1" t="s">
        <v>2257</v>
      </c>
      <c r="I713" s="1" t="s">
        <v>29</v>
      </c>
      <c r="J713" s="1" t="s">
        <v>2258</v>
      </c>
      <c r="K713" s="1" t="b">
        <v>1</v>
      </c>
      <c r="L713" s="1" t="s">
        <v>31</v>
      </c>
      <c r="M713" s="1">
        <v>2022</v>
      </c>
      <c r="N713" s="1" t="s">
        <v>45</v>
      </c>
      <c r="O713" s="1" t="s">
        <v>9935</v>
      </c>
      <c r="P713" s="1" t="s">
        <v>16</v>
      </c>
      <c r="Q713" s="1">
        <v>100</v>
      </c>
      <c r="R713" s="1">
        <v>20000</v>
      </c>
      <c r="S713" s="1">
        <v>20000</v>
      </c>
    </row>
    <row r="714" spans="1:19" ht="12.5" x14ac:dyDescent="0.25">
      <c r="A714" s="1">
        <v>547</v>
      </c>
      <c r="B714" s="1" t="s">
        <v>2254</v>
      </c>
      <c r="C714" s="1" t="s">
        <v>35</v>
      </c>
      <c r="D714" s="1" t="s">
        <v>36</v>
      </c>
      <c r="E714" s="1">
        <v>560</v>
      </c>
      <c r="F714" s="1" t="s">
        <v>2255</v>
      </c>
      <c r="G714" s="1" t="s">
        <v>2256</v>
      </c>
      <c r="H714" s="1" t="s">
        <v>2257</v>
      </c>
      <c r="I714" s="1" t="s">
        <v>29</v>
      </c>
      <c r="J714" s="1" t="s">
        <v>2258</v>
      </c>
      <c r="K714" s="1" t="b">
        <v>1</v>
      </c>
      <c r="L714" s="1" t="s">
        <v>31</v>
      </c>
      <c r="M714" s="1">
        <v>2022</v>
      </c>
      <c r="N714" s="1" t="s">
        <v>45</v>
      </c>
      <c r="O714" s="1" t="s">
        <v>9942</v>
      </c>
      <c r="P714" s="1" t="s">
        <v>16</v>
      </c>
      <c r="Q714" s="1">
        <v>100</v>
      </c>
      <c r="R714" s="1">
        <v>150000</v>
      </c>
      <c r="S714" s="1">
        <v>150000</v>
      </c>
    </row>
    <row r="715" spans="1:19" ht="12.5" x14ac:dyDescent="0.25">
      <c r="A715" s="1">
        <v>548</v>
      </c>
      <c r="B715" s="1" t="s">
        <v>2259</v>
      </c>
      <c r="C715" s="1" t="s">
        <v>35</v>
      </c>
      <c r="D715" s="1" t="s">
        <v>36</v>
      </c>
      <c r="E715" s="1">
        <v>561</v>
      </c>
      <c r="F715" s="1" t="s">
        <v>2260</v>
      </c>
      <c r="G715" s="1" t="s">
        <v>2261</v>
      </c>
      <c r="H715" s="1" t="s">
        <v>2262</v>
      </c>
      <c r="I715" s="1" t="s">
        <v>29</v>
      </c>
      <c r="J715" s="1" t="s">
        <v>16</v>
      </c>
      <c r="K715" s="1" t="b">
        <v>0</v>
      </c>
      <c r="L715" s="1" t="s">
        <v>22</v>
      </c>
      <c r="M715" s="1" t="s">
        <v>16</v>
      </c>
      <c r="N715" s="1" t="s">
        <v>16</v>
      </c>
      <c r="O715" s="1" t="s">
        <v>16</v>
      </c>
      <c r="P715" s="1" t="s">
        <v>16</v>
      </c>
      <c r="Q715" s="1">
        <v>100</v>
      </c>
    </row>
    <row r="716" spans="1:19" ht="12.5" x14ac:dyDescent="0.25">
      <c r="A716" s="1">
        <v>549</v>
      </c>
      <c r="B716" s="1" t="s">
        <v>2263</v>
      </c>
      <c r="C716" s="1" t="s">
        <v>35</v>
      </c>
      <c r="D716" s="1" t="s">
        <v>36</v>
      </c>
      <c r="E716" s="1">
        <v>562</v>
      </c>
      <c r="F716" s="1" t="s">
        <v>2264</v>
      </c>
      <c r="G716" s="1" t="s">
        <v>2265</v>
      </c>
      <c r="H716" s="1" t="s">
        <v>2266</v>
      </c>
      <c r="I716" s="1" t="s">
        <v>29</v>
      </c>
      <c r="J716" s="1" t="s">
        <v>16</v>
      </c>
      <c r="K716" s="1" t="b">
        <v>0</v>
      </c>
      <c r="L716" s="1" t="s">
        <v>22</v>
      </c>
      <c r="M716" s="1" t="s">
        <v>16</v>
      </c>
      <c r="N716" s="1" t="s">
        <v>16</v>
      </c>
      <c r="O716" s="1" t="s">
        <v>9935</v>
      </c>
      <c r="P716" s="1" t="s">
        <v>16</v>
      </c>
      <c r="Q716" s="1">
        <v>100</v>
      </c>
      <c r="R716" s="1">
        <v>2500</v>
      </c>
      <c r="S716" s="1">
        <v>2500</v>
      </c>
    </row>
    <row r="717" spans="1:19" ht="12.5" x14ac:dyDescent="0.25">
      <c r="A717" s="1">
        <v>550</v>
      </c>
      <c r="B717" s="1" t="s">
        <v>2267</v>
      </c>
      <c r="C717" s="1" t="s">
        <v>35</v>
      </c>
      <c r="D717" s="1" t="s">
        <v>36</v>
      </c>
      <c r="E717" s="1">
        <v>563</v>
      </c>
      <c r="F717" s="1" t="s">
        <v>2268</v>
      </c>
      <c r="G717" s="1" t="s">
        <v>2269</v>
      </c>
      <c r="H717" s="1" t="s">
        <v>2270</v>
      </c>
      <c r="I717" s="1" t="s">
        <v>29</v>
      </c>
      <c r="J717" s="1" t="s">
        <v>2271</v>
      </c>
      <c r="K717" s="1" t="b">
        <v>1</v>
      </c>
      <c r="L717" s="1" t="s">
        <v>31</v>
      </c>
      <c r="M717" s="1" t="s">
        <v>16</v>
      </c>
      <c r="N717" s="1" t="s">
        <v>16</v>
      </c>
      <c r="O717" s="1" t="s">
        <v>9935</v>
      </c>
      <c r="P717" s="1" t="s">
        <v>16</v>
      </c>
      <c r="Q717" s="1">
        <v>100</v>
      </c>
      <c r="R717" s="1">
        <v>10000</v>
      </c>
      <c r="S717" s="1">
        <v>10000</v>
      </c>
    </row>
    <row r="718" spans="1:19" ht="12.5" x14ac:dyDescent="0.25">
      <c r="A718" s="1">
        <v>550</v>
      </c>
      <c r="B718" s="1" t="s">
        <v>2267</v>
      </c>
      <c r="C718" s="1" t="s">
        <v>35</v>
      </c>
      <c r="D718" s="1" t="s">
        <v>36</v>
      </c>
      <c r="E718" s="1">
        <v>564</v>
      </c>
      <c r="F718" s="1" t="s">
        <v>2272</v>
      </c>
      <c r="G718" s="1" t="s">
        <v>2269</v>
      </c>
      <c r="H718" s="1" t="s">
        <v>2273</v>
      </c>
      <c r="I718" s="1" t="s">
        <v>29</v>
      </c>
      <c r="J718" s="1" t="s">
        <v>16</v>
      </c>
      <c r="K718" s="1" t="b">
        <v>0</v>
      </c>
      <c r="L718" s="1" t="s">
        <v>22</v>
      </c>
      <c r="M718" s="1" t="s">
        <v>16</v>
      </c>
      <c r="N718" s="1" t="s">
        <v>16</v>
      </c>
      <c r="O718" s="1" t="s">
        <v>16</v>
      </c>
      <c r="P718" s="1" t="s">
        <v>16</v>
      </c>
      <c r="Q718" s="1">
        <v>100</v>
      </c>
    </row>
    <row r="719" spans="1:19" ht="12.5" x14ac:dyDescent="0.25">
      <c r="A719" s="1">
        <v>505</v>
      </c>
      <c r="B719" s="1" t="s">
        <v>2274</v>
      </c>
      <c r="C719" s="1" t="s">
        <v>35</v>
      </c>
      <c r="D719" s="1" t="s">
        <v>36</v>
      </c>
      <c r="E719" s="1">
        <v>565</v>
      </c>
      <c r="F719" s="1" t="s">
        <v>2275</v>
      </c>
      <c r="G719" s="1" t="s">
        <v>2276</v>
      </c>
      <c r="H719" s="1" t="s">
        <v>2277</v>
      </c>
      <c r="I719" s="1" t="s">
        <v>29</v>
      </c>
      <c r="J719" s="1" t="s">
        <v>2278</v>
      </c>
      <c r="K719" s="1" t="b">
        <v>1</v>
      </c>
      <c r="L719" s="1" t="s">
        <v>31</v>
      </c>
      <c r="M719" s="1">
        <v>2023</v>
      </c>
      <c r="N719" s="1" t="s">
        <v>32</v>
      </c>
      <c r="O719" s="1" t="s">
        <v>9942</v>
      </c>
      <c r="P719" s="1" t="s">
        <v>16</v>
      </c>
      <c r="Q719" s="1">
        <v>40</v>
      </c>
      <c r="R719" s="1">
        <v>300000</v>
      </c>
      <c r="S719" s="1">
        <v>120000</v>
      </c>
    </row>
    <row r="720" spans="1:19" ht="12.5" x14ac:dyDescent="0.25">
      <c r="A720" s="1">
        <v>505</v>
      </c>
      <c r="B720" s="1" t="s">
        <v>2274</v>
      </c>
      <c r="C720" s="1" t="s">
        <v>35</v>
      </c>
      <c r="D720" s="1" t="s">
        <v>36</v>
      </c>
      <c r="E720" s="1">
        <v>565</v>
      </c>
      <c r="F720" s="1" t="s">
        <v>2275</v>
      </c>
      <c r="G720" s="1" t="s">
        <v>2276</v>
      </c>
      <c r="H720" s="1" t="s">
        <v>2277</v>
      </c>
      <c r="I720" s="1" t="s">
        <v>29</v>
      </c>
      <c r="J720" s="1" t="s">
        <v>2278</v>
      </c>
      <c r="K720" s="1" t="b">
        <v>1</v>
      </c>
      <c r="L720" s="1" t="s">
        <v>31</v>
      </c>
      <c r="M720" s="1">
        <v>2023</v>
      </c>
      <c r="N720" s="1" t="s">
        <v>45</v>
      </c>
      <c r="O720" s="1" t="s">
        <v>9935</v>
      </c>
      <c r="P720" s="1" t="s">
        <v>16</v>
      </c>
      <c r="Q720" s="1">
        <v>40</v>
      </c>
      <c r="R720" s="1">
        <v>1500000</v>
      </c>
      <c r="S720" s="1">
        <v>600000</v>
      </c>
    </row>
    <row r="721" spans="1:19" ht="12.5" x14ac:dyDescent="0.25">
      <c r="A721" s="1">
        <v>551</v>
      </c>
      <c r="B721" s="1" t="s">
        <v>2279</v>
      </c>
      <c r="C721" s="1" t="s">
        <v>35</v>
      </c>
      <c r="D721" s="1" t="s">
        <v>36</v>
      </c>
      <c r="E721" s="1">
        <v>565</v>
      </c>
      <c r="F721" s="1" t="s">
        <v>2275</v>
      </c>
      <c r="G721" s="1" t="s">
        <v>2276</v>
      </c>
      <c r="H721" s="1" t="s">
        <v>2277</v>
      </c>
      <c r="I721" s="1" t="s">
        <v>29</v>
      </c>
      <c r="J721" s="1" t="s">
        <v>2278</v>
      </c>
      <c r="K721" s="1" t="b">
        <v>1</v>
      </c>
      <c r="L721" s="1" t="s">
        <v>31</v>
      </c>
      <c r="M721" s="1">
        <v>2023</v>
      </c>
      <c r="N721" s="1" t="s">
        <v>45</v>
      </c>
      <c r="O721" s="1" t="s">
        <v>9935</v>
      </c>
      <c r="P721" s="1" t="s">
        <v>16</v>
      </c>
      <c r="Q721" s="1">
        <v>40</v>
      </c>
      <c r="R721" s="1">
        <v>1500000</v>
      </c>
      <c r="S721" s="1">
        <v>600000</v>
      </c>
    </row>
    <row r="722" spans="1:19" ht="12.5" x14ac:dyDescent="0.25">
      <c r="A722" s="1">
        <v>551</v>
      </c>
      <c r="B722" s="1" t="s">
        <v>2279</v>
      </c>
      <c r="C722" s="1" t="s">
        <v>35</v>
      </c>
      <c r="D722" s="1" t="s">
        <v>36</v>
      </c>
      <c r="E722" s="1">
        <v>565</v>
      </c>
      <c r="F722" s="1" t="s">
        <v>2275</v>
      </c>
      <c r="G722" s="1" t="s">
        <v>2276</v>
      </c>
      <c r="H722" s="1" t="s">
        <v>2277</v>
      </c>
      <c r="I722" s="1" t="s">
        <v>29</v>
      </c>
      <c r="J722" s="1" t="s">
        <v>2278</v>
      </c>
      <c r="K722" s="1" t="b">
        <v>1</v>
      </c>
      <c r="L722" s="1" t="s">
        <v>31</v>
      </c>
      <c r="M722" s="1">
        <v>2023</v>
      </c>
      <c r="N722" s="1" t="s">
        <v>32</v>
      </c>
      <c r="O722" s="1" t="s">
        <v>9942</v>
      </c>
      <c r="P722" s="1" t="s">
        <v>16</v>
      </c>
      <c r="Q722" s="1">
        <v>40</v>
      </c>
      <c r="R722" s="1">
        <v>300000</v>
      </c>
      <c r="S722" s="1">
        <v>120000</v>
      </c>
    </row>
    <row r="723" spans="1:19" ht="12.5" x14ac:dyDescent="0.25">
      <c r="A723" s="1">
        <v>1068</v>
      </c>
      <c r="B723" s="1" t="s">
        <v>2280</v>
      </c>
      <c r="C723" s="1" t="s">
        <v>35</v>
      </c>
      <c r="D723" s="1" t="s">
        <v>152</v>
      </c>
      <c r="E723" s="1">
        <v>565</v>
      </c>
      <c r="F723" s="1" t="s">
        <v>2275</v>
      </c>
      <c r="G723" s="1" t="s">
        <v>2276</v>
      </c>
      <c r="H723" s="1" t="s">
        <v>2277</v>
      </c>
      <c r="I723" s="1" t="s">
        <v>29</v>
      </c>
      <c r="J723" s="1" t="s">
        <v>2278</v>
      </c>
      <c r="K723" s="1" t="b">
        <v>1</v>
      </c>
      <c r="L723" s="1" t="s">
        <v>31</v>
      </c>
      <c r="M723" s="1">
        <v>2023</v>
      </c>
      <c r="N723" s="1" t="s">
        <v>45</v>
      </c>
      <c r="O723" s="1" t="s">
        <v>9935</v>
      </c>
      <c r="P723" s="1" t="s">
        <v>16</v>
      </c>
      <c r="Q723" s="1">
        <v>20</v>
      </c>
      <c r="R723" s="1">
        <v>1500000</v>
      </c>
      <c r="S723" s="1">
        <v>300000</v>
      </c>
    </row>
    <row r="724" spans="1:19" ht="12.5" x14ac:dyDescent="0.25">
      <c r="A724" s="1">
        <v>1068</v>
      </c>
      <c r="B724" s="1" t="s">
        <v>2280</v>
      </c>
      <c r="C724" s="1" t="s">
        <v>35</v>
      </c>
      <c r="D724" s="1" t="s">
        <v>152</v>
      </c>
      <c r="E724" s="1">
        <v>565</v>
      </c>
      <c r="F724" s="1" t="s">
        <v>2275</v>
      </c>
      <c r="G724" s="1" t="s">
        <v>2276</v>
      </c>
      <c r="H724" s="1" t="s">
        <v>2277</v>
      </c>
      <c r="I724" s="1" t="s">
        <v>29</v>
      </c>
      <c r="J724" s="1" t="s">
        <v>2278</v>
      </c>
      <c r="K724" s="1" t="b">
        <v>1</v>
      </c>
      <c r="L724" s="1" t="s">
        <v>31</v>
      </c>
      <c r="M724" s="1">
        <v>2023</v>
      </c>
      <c r="N724" s="1" t="s">
        <v>32</v>
      </c>
      <c r="O724" s="1" t="s">
        <v>9942</v>
      </c>
      <c r="P724" s="1" t="s">
        <v>16</v>
      </c>
      <c r="Q724" s="1">
        <v>20</v>
      </c>
      <c r="R724" s="1">
        <v>300000</v>
      </c>
      <c r="S724" s="1">
        <v>60000</v>
      </c>
    </row>
    <row r="725" spans="1:19" ht="12.5" x14ac:dyDescent="0.25">
      <c r="A725" s="1">
        <v>551</v>
      </c>
      <c r="B725" s="1" t="s">
        <v>2279</v>
      </c>
      <c r="C725" s="1" t="s">
        <v>35</v>
      </c>
      <c r="D725" s="1" t="s">
        <v>36</v>
      </c>
      <c r="E725" s="1">
        <v>566</v>
      </c>
      <c r="F725" s="1" t="s">
        <v>2282</v>
      </c>
      <c r="G725" s="1" t="s">
        <v>2276</v>
      </c>
      <c r="H725" s="1" t="s">
        <v>2283</v>
      </c>
      <c r="I725" s="1" t="s">
        <v>29</v>
      </c>
      <c r="J725" s="1" t="s">
        <v>16</v>
      </c>
      <c r="K725" s="1" t="b">
        <v>0</v>
      </c>
      <c r="L725" s="1" t="s">
        <v>22</v>
      </c>
      <c r="M725" s="1">
        <v>2022</v>
      </c>
      <c r="N725" s="1" t="s">
        <v>16</v>
      </c>
      <c r="O725" s="1" t="s">
        <v>9956</v>
      </c>
      <c r="P725" s="1" t="s">
        <v>16</v>
      </c>
      <c r="Q725" s="1">
        <v>100</v>
      </c>
      <c r="R725" s="1">
        <v>2000000</v>
      </c>
      <c r="S725" s="1">
        <v>2000000</v>
      </c>
    </row>
    <row r="726" spans="1:19" ht="12.5" x14ac:dyDescent="0.25">
      <c r="A726" s="1">
        <v>551</v>
      </c>
      <c r="B726" s="1" t="s">
        <v>2279</v>
      </c>
      <c r="C726" s="1" t="s">
        <v>35</v>
      </c>
      <c r="D726" s="1" t="s">
        <v>36</v>
      </c>
      <c r="E726" s="1">
        <v>566</v>
      </c>
      <c r="F726" s="1" t="s">
        <v>2282</v>
      </c>
      <c r="G726" s="1" t="s">
        <v>2276</v>
      </c>
      <c r="H726" s="1" t="s">
        <v>2283</v>
      </c>
      <c r="I726" s="1" t="s">
        <v>29</v>
      </c>
      <c r="J726" s="1" t="s">
        <v>16</v>
      </c>
      <c r="K726" s="1" t="b">
        <v>0</v>
      </c>
      <c r="L726" s="1" t="s">
        <v>22</v>
      </c>
      <c r="M726" s="1">
        <v>2025</v>
      </c>
      <c r="N726" s="1" t="s">
        <v>16</v>
      </c>
      <c r="O726" s="1" t="s">
        <v>9956</v>
      </c>
      <c r="P726" s="1" t="s">
        <v>16</v>
      </c>
      <c r="Q726" s="1">
        <v>100</v>
      </c>
      <c r="R726" s="1">
        <v>26000000</v>
      </c>
      <c r="S726" s="1">
        <v>26000000</v>
      </c>
    </row>
    <row r="727" spans="1:19" ht="12.5" x14ac:dyDescent="0.25">
      <c r="A727" s="1">
        <v>552</v>
      </c>
      <c r="B727" s="1" t="s">
        <v>2284</v>
      </c>
      <c r="C727" s="1" t="s">
        <v>35</v>
      </c>
      <c r="D727" s="1" t="s">
        <v>36</v>
      </c>
      <c r="E727" s="1">
        <v>567</v>
      </c>
      <c r="F727" s="1" t="s">
        <v>2285</v>
      </c>
      <c r="G727" s="1" t="s">
        <v>2286</v>
      </c>
      <c r="H727" s="1" t="s">
        <v>2287</v>
      </c>
      <c r="I727" s="1" t="s">
        <v>29</v>
      </c>
      <c r="J727" s="1" t="s">
        <v>2288</v>
      </c>
      <c r="K727" s="1" t="b">
        <v>0</v>
      </c>
      <c r="L727" s="1" t="s">
        <v>22</v>
      </c>
      <c r="M727" s="1" t="s">
        <v>16</v>
      </c>
      <c r="N727" s="1" t="s">
        <v>16</v>
      </c>
      <c r="O727" s="1" t="s">
        <v>9935</v>
      </c>
      <c r="P727" s="1" t="s">
        <v>16</v>
      </c>
      <c r="Q727" s="1">
        <v>100</v>
      </c>
      <c r="R727" s="1">
        <v>0</v>
      </c>
      <c r="S727" s="1">
        <v>0</v>
      </c>
    </row>
    <row r="728" spans="1:19" ht="12.5" x14ac:dyDescent="0.25">
      <c r="A728" s="1">
        <v>553</v>
      </c>
      <c r="B728" s="1" t="s">
        <v>2289</v>
      </c>
      <c r="C728" s="1" t="s">
        <v>35</v>
      </c>
      <c r="D728" s="1" t="s">
        <v>36</v>
      </c>
      <c r="E728" s="1">
        <v>568</v>
      </c>
      <c r="F728" s="1" t="s">
        <v>2290</v>
      </c>
      <c r="G728" s="1" t="s">
        <v>2291</v>
      </c>
      <c r="H728" s="1" t="s">
        <v>2292</v>
      </c>
      <c r="I728" s="1" t="s">
        <v>29</v>
      </c>
      <c r="J728" s="1" t="s">
        <v>16</v>
      </c>
      <c r="K728" s="1" t="b">
        <v>0</v>
      </c>
      <c r="L728" s="1" t="s">
        <v>22</v>
      </c>
      <c r="M728" s="1">
        <v>2020</v>
      </c>
      <c r="N728" s="1" t="s">
        <v>52</v>
      </c>
      <c r="O728" s="1" t="s">
        <v>9942</v>
      </c>
      <c r="P728" s="1" t="s">
        <v>9972</v>
      </c>
      <c r="Q728" s="1">
        <v>100</v>
      </c>
      <c r="R728" s="1">
        <v>60000</v>
      </c>
      <c r="S728" s="1">
        <v>60000</v>
      </c>
    </row>
    <row r="729" spans="1:19" ht="12.5" x14ac:dyDescent="0.25">
      <c r="A729" s="1">
        <v>554</v>
      </c>
      <c r="B729" s="1" t="s">
        <v>2293</v>
      </c>
      <c r="C729" s="1" t="s">
        <v>35</v>
      </c>
      <c r="D729" s="1" t="s">
        <v>36</v>
      </c>
      <c r="E729" s="1">
        <v>569</v>
      </c>
      <c r="F729" s="1" t="s">
        <v>2294</v>
      </c>
      <c r="G729" s="1" t="s">
        <v>2295</v>
      </c>
      <c r="H729" s="1" t="s">
        <v>2296</v>
      </c>
      <c r="I729" s="1" t="s">
        <v>29</v>
      </c>
      <c r="J729" s="1" t="s">
        <v>2297</v>
      </c>
      <c r="K729" s="1" t="b">
        <v>1</v>
      </c>
      <c r="L729" s="1" t="s">
        <v>31</v>
      </c>
      <c r="M729" s="1">
        <v>2021</v>
      </c>
      <c r="N729" s="1" t="s">
        <v>23</v>
      </c>
      <c r="O729" s="1" t="s">
        <v>9942</v>
      </c>
      <c r="P729" s="1" t="s">
        <v>9973</v>
      </c>
      <c r="Q729" s="1">
        <v>100</v>
      </c>
      <c r="R729" s="1">
        <v>200000</v>
      </c>
      <c r="S729" s="1">
        <v>200000</v>
      </c>
    </row>
    <row r="730" spans="1:19" ht="12.5" x14ac:dyDescent="0.25">
      <c r="A730" s="1">
        <v>554</v>
      </c>
      <c r="B730" s="1" t="s">
        <v>2293</v>
      </c>
      <c r="C730" s="1" t="s">
        <v>35</v>
      </c>
      <c r="D730" s="1" t="s">
        <v>36</v>
      </c>
      <c r="E730" s="1">
        <v>569</v>
      </c>
      <c r="F730" s="1" t="s">
        <v>2294</v>
      </c>
      <c r="G730" s="1" t="s">
        <v>2295</v>
      </c>
      <c r="H730" s="1" t="s">
        <v>2296</v>
      </c>
      <c r="I730" s="1" t="s">
        <v>29</v>
      </c>
      <c r="J730" s="1" t="s">
        <v>2297</v>
      </c>
      <c r="K730" s="1" t="b">
        <v>1</v>
      </c>
      <c r="L730" s="1" t="s">
        <v>31</v>
      </c>
      <c r="M730" s="1" t="s">
        <v>16</v>
      </c>
      <c r="N730" s="1" t="s">
        <v>16</v>
      </c>
      <c r="O730" s="1" t="s">
        <v>9935</v>
      </c>
      <c r="P730" s="1" t="s">
        <v>16</v>
      </c>
      <c r="Q730" s="1">
        <v>100</v>
      </c>
      <c r="R730" s="1">
        <v>0</v>
      </c>
      <c r="S730" s="1">
        <v>0</v>
      </c>
    </row>
    <row r="731" spans="1:19" ht="12.5" x14ac:dyDescent="0.25">
      <c r="A731" s="1">
        <v>555</v>
      </c>
      <c r="B731" s="1" t="s">
        <v>2298</v>
      </c>
      <c r="C731" s="1" t="s">
        <v>35</v>
      </c>
      <c r="D731" s="1" t="s">
        <v>36</v>
      </c>
      <c r="E731" s="1">
        <v>570</v>
      </c>
      <c r="F731" s="1" t="s">
        <v>2299</v>
      </c>
      <c r="G731" s="1" t="s">
        <v>2300</v>
      </c>
      <c r="H731" s="1" t="s">
        <v>2301</v>
      </c>
      <c r="I731" s="1" t="s">
        <v>29</v>
      </c>
      <c r="J731" s="1" t="s">
        <v>16</v>
      </c>
      <c r="K731" s="1" t="b">
        <v>0</v>
      </c>
      <c r="L731" s="1" t="s">
        <v>22</v>
      </c>
      <c r="M731" s="1" t="s">
        <v>16</v>
      </c>
      <c r="N731" s="1" t="s">
        <v>16</v>
      </c>
      <c r="O731" s="1" t="s">
        <v>16</v>
      </c>
      <c r="P731" s="1" t="s">
        <v>16</v>
      </c>
      <c r="Q731" s="1">
        <v>100</v>
      </c>
    </row>
    <row r="732" spans="1:19" ht="12.5" x14ac:dyDescent="0.25">
      <c r="A732" s="1">
        <v>557</v>
      </c>
      <c r="B732" s="1" t="s">
        <v>2302</v>
      </c>
      <c r="C732" s="1" t="s">
        <v>35</v>
      </c>
      <c r="D732" s="1" t="s">
        <v>36</v>
      </c>
      <c r="E732" s="1">
        <v>571</v>
      </c>
      <c r="F732" s="1" t="s">
        <v>2303</v>
      </c>
      <c r="G732" s="1" t="s">
        <v>2304</v>
      </c>
      <c r="H732" s="1" t="s">
        <v>2305</v>
      </c>
      <c r="I732" s="1" t="s">
        <v>29</v>
      </c>
      <c r="J732" s="1" t="s">
        <v>16</v>
      </c>
      <c r="K732" s="1" t="b">
        <v>0</v>
      </c>
      <c r="L732" s="1" t="s">
        <v>22</v>
      </c>
      <c r="M732" s="1" t="s">
        <v>16</v>
      </c>
      <c r="N732" s="1" t="s">
        <v>16</v>
      </c>
      <c r="O732" s="1" t="s">
        <v>16</v>
      </c>
      <c r="P732" s="1" t="s">
        <v>16</v>
      </c>
      <c r="Q732" s="1">
        <v>100</v>
      </c>
    </row>
    <row r="733" spans="1:19" ht="12.5" x14ac:dyDescent="0.25">
      <c r="A733" s="1">
        <v>558</v>
      </c>
      <c r="B733" s="1" t="s">
        <v>2306</v>
      </c>
      <c r="C733" s="1" t="s">
        <v>35</v>
      </c>
      <c r="D733" s="1" t="s">
        <v>36</v>
      </c>
      <c r="E733" s="1">
        <v>572</v>
      </c>
      <c r="F733" s="1" t="s">
        <v>2307</v>
      </c>
      <c r="G733" s="1" t="s">
        <v>2308</v>
      </c>
      <c r="H733" s="1" t="s">
        <v>2309</v>
      </c>
      <c r="I733" s="1" t="s">
        <v>29</v>
      </c>
      <c r="J733" s="1" t="s">
        <v>16</v>
      </c>
      <c r="K733" s="1" t="b">
        <v>0</v>
      </c>
      <c r="L733" s="1" t="s">
        <v>22</v>
      </c>
      <c r="M733" s="1" t="s">
        <v>16</v>
      </c>
      <c r="N733" s="1" t="s">
        <v>16</v>
      </c>
      <c r="O733" s="1" t="s">
        <v>9942</v>
      </c>
      <c r="P733" s="1" t="s">
        <v>9974</v>
      </c>
      <c r="Q733" s="1">
        <v>100</v>
      </c>
      <c r="R733" s="1">
        <v>106499</v>
      </c>
      <c r="S733" s="1">
        <v>106499</v>
      </c>
    </row>
    <row r="734" spans="1:19" ht="12.5" x14ac:dyDescent="0.25">
      <c r="A734" s="1">
        <v>559</v>
      </c>
      <c r="B734" s="1" t="s">
        <v>2310</v>
      </c>
      <c r="C734" s="1" t="s">
        <v>35</v>
      </c>
      <c r="D734" s="1" t="s">
        <v>36</v>
      </c>
      <c r="E734" s="1">
        <v>573</v>
      </c>
      <c r="F734" s="1" t="s">
        <v>2311</v>
      </c>
      <c r="G734" s="1" t="s">
        <v>2312</v>
      </c>
      <c r="H734" s="1" t="s">
        <v>2313</v>
      </c>
      <c r="I734" s="1" t="s">
        <v>29</v>
      </c>
      <c r="J734" s="1" t="s">
        <v>16</v>
      </c>
      <c r="K734" s="1" t="b">
        <v>0</v>
      </c>
      <c r="L734" s="1" t="s">
        <v>22</v>
      </c>
      <c r="M734" s="1" t="s">
        <v>16</v>
      </c>
      <c r="N734" s="1" t="s">
        <v>16</v>
      </c>
      <c r="O734" s="1" t="s">
        <v>16</v>
      </c>
      <c r="P734" s="1" t="s">
        <v>16</v>
      </c>
      <c r="Q734" s="1">
        <v>100</v>
      </c>
    </row>
    <row r="735" spans="1:19" ht="12.5" x14ac:dyDescent="0.25">
      <c r="A735" s="1">
        <v>559</v>
      </c>
      <c r="B735" s="1" t="s">
        <v>2310</v>
      </c>
      <c r="C735" s="1" t="s">
        <v>35</v>
      </c>
      <c r="D735" s="1" t="s">
        <v>36</v>
      </c>
      <c r="E735" s="1">
        <v>574</v>
      </c>
      <c r="F735" s="1" t="s">
        <v>2314</v>
      </c>
      <c r="G735" s="1" t="s">
        <v>2315</v>
      </c>
      <c r="H735" s="1" t="s">
        <v>2316</v>
      </c>
      <c r="I735" s="1" t="s">
        <v>29</v>
      </c>
      <c r="J735" s="1" t="s">
        <v>16</v>
      </c>
      <c r="K735" s="1" t="b">
        <v>0</v>
      </c>
      <c r="L735" s="1" t="s">
        <v>22</v>
      </c>
      <c r="M735" s="1" t="s">
        <v>16</v>
      </c>
      <c r="N735" s="1" t="s">
        <v>16</v>
      </c>
      <c r="O735" s="1" t="s">
        <v>16</v>
      </c>
      <c r="P735" s="1" t="s">
        <v>16</v>
      </c>
      <c r="Q735" s="1">
        <v>100</v>
      </c>
    </row>
    <row r="736" spans="1:19" ht="12.5" x14ac:dyDescent="0.25">
      <c r="A736" s="1">
        <v>561</v>
      </c>
      <c r="B736" s="1" t="s">
        <v>2317</v>
      </c>
      <c r="C736" s="1" t="s">
        <v>35</v>
      </c>
      <c r="D736" s="1" t="s">
        <v>36</v>
      </c>
      <c r="E736" s="1">
        <v>575</v>
      </c>
      <c r="F736" s="1" t="s">
        <v>2318</v>
      </c>
      <c r="G736" s="1" t="s">
        <v>2319</v>
      </c>
      <c r="H736" s="1" t="s">
        <v>2320</v>
      </c>
      <c r="I736" s="1" t="s">
        <v>20</v>
      </c>
      <c r="J736" s="1" t="s">
        <v>16</v>
      </c>
      <c r="K736" s="1" t="b">
        <v>0</v>
      </c>
      <c r="L736" s="1" t="s">
        <v>22</v>
      </c>
      <c r="M736" s="1" t="s">
        <v>16</v>
      </c>
      <c r="N736" s="1" t="s">
        <v>16</v>
      </c>
      <c r="O736" s="1" t="s">
        <v>16</v>
      </c>
      <c r="P736" s="1" t="s">
        <v>16</v>
      </c>
      <c r="Q736" s="1">
        <v>100</v>
      </c>
    </row>
    <row r="737" spans="1:19" ht="12.5" x14ac:dyDescent="0.25">
      <c r="A737" s="1">
        <v>562</v>
      </c>
      <c r="B737" s="1" t="s">
        <v>2321</v>
      </c>
      <c r="C737" s="1" t="s">
        <v>35</v>
      </c>
      <c r="D737" s="1" t="s">
        <v>36</v>
      </c>
      <c r="E737" s="1">
        <v>576</v>
      </c>
      <c r="F737" s="1" t="s">
        <v>2322</v>
      </c>
      <c r="G737" s="1" t="s">
        <v>2323</v>
      </c>
      <c r="H737" s="1" t="s">
        <v>2324</v>
      </c>
      <c r="I737" s="1" t="s">
        <v>29</v>
      </c>
      <c r="J737" s="1" t="s">
        <v>16</v>
      </c>
      <c r="K737" s="1" t="b">
        <v>0</v>
      </c>
      <c r="L737" s="1" t="s">
        <v>22</v>
      </c>
      <c r="M737" s="1" t="s">
        <v>16</v>
      </c>
      <c r="N737" s="1" t="s">
        <v>16</v>
      </c>
      <c r="O737" s="1" t="s">
        <v>9942</v>
      </c>
      <c r="P737" s="1" t="s">
        <v>16</v>
      </c>
      <c r="Q737" s="1">
        <v>100</v>
      </c>
      <c r="R737" s="1">
        <v>150000</v>
      </c>
      <c r="S737" s="1">
        <v>150000</v>
      </c>
    </row>
    <row r="738" spans="1:19" ht="12.5" x14ac:dyDescent="0.25">
      <c r="A738" s="1">
        <v>564</v>
      </c>
      <c r="B738" s="1" t="s">
        <v>2325</v>
      </c>
      <c r="C738" s="1" t="s">
        <v>35</v>
      </c>
      <c r="D738" s="1" t="s">
        <v>36</v>
      </c>
      <c r="E738" s="1">
        <v>577</v>
      </c>
      <c r="F738" s="1" t="s">
        <v>2326</v>
      </c>
      <c r="G738" s="1" t="s">
        <v>2327</v>
      </c>
      <c r="H738" s="1" t="s">
        <v>2328</v>
      </c>
      <c r="I738" s="1" t="s">
        <v>29</v>
      </c>
      <c r="J738" s="1" t="s">
        <v>2329</v>
      </c>
      <c r="K738" s="1" t="b">
        <v>1</v>
      </c>
      <c r="L738" s="1" t="s">
        <v>31</v>
      </c>
      <c r="M738" s="1">
        <v>2021</v>
      </c>
      <c r="N738" s="1" t="s">
        <v>45</v>
      </c>
      <c r="O738" s="1" t="s">
        <v>9942</v>
      </c>
      <c r="P738" s="1" t="s">
        <v>16</v>
      </c>
      <c r="Q738" s="1">
        <v>100</v>
      </c>
      <c r="R738" s="1">
        <v>300000</v>
      </c>
      <c r="S738" s="1">
        <v>300000</v>
      </c>
    </row>
    <row r="739" spans="1:19" ht="12.5" x14ac:dyDescent="0.25">
      <c r="A739" s="1">
        <v>565</v>
      </c>
      <c r="B739" s="1" t="s">
        <v>2330</v>
      </c>
      <c r="C739" s="1" t="s">
        <v>35</v>
      </c>
      <c r="D739" s="1" t="s">
        <v>36</v>
      </c>
      <c r="E739" s="1">
        <v>578</v>
      </c>
      <c r="F739" s="1" t="s">
        <v>2331</v>
      </c>
      <c r="G739" s="1" t="s">
        <v>2332</v>
      </c>
      <c r="H739" s="1" t="s">
        <v>2333</v>
      </c>
      <c r="I739" s="1" t="s">
        <v>29</v>
      </c>
      <c r="J739" s="1" t="s">
        <v>2334</v>
      </c>
      <c r="K739" s="1" t="b">
        <v>0</v>
      </c>
      <c r="L739" s="1" t="s">
        <v>22</v>
      </c>
      <c r="M739" s="1" t="s">
        <v>16</v>
      </c>
      <c r="N739" s="1" t="s">
        <v>16</v>
      </c>
      <c r="O739" s="1" t="s">
        <v>9935</v>
      </c>
      <c r="P739" s="1" t="s">
        <v>16</v>
      </c>
      <c r="Q739" s="1">
        <v>100</v>
      </c>
      <c r="R739" s="1">
        <v>50000</v>
      </c>
      <c r="S739" s="1">
        <v>50000</v>
      </c>
    </row>
    <row r="740" spans="1:19" ht="12.5" x14ac:dyDescent="0.25">
      <c r="A740" s="1">
        <v>566</v>
      </c>
      <c r="B740" s="1" t="s">
        <v>2335</v>
      </c>
      <c r="C740" s="1" t="s">
        <v>35</v>
      </c>
      <c r="D740" s="1" t="s">
        <v>36</v>
      </c>
      <c r="E740" s="1">
        <v>579</v>
      </c>
      <c r="F740" s="1" t="s">
        <v>2336</v>
      </c>
      <c r="G740" s="1" t="s">
        <v>2337</v>
      </c>
      <c r="H740" s="1" t="s">
        <v>2338</v>
      </c>
      <c r="I740" s="1" t="s">
        <v>20</v>
      </c>
      <c r="J740" s="1" t="s">
        <v>16</v>
      </c>
      <c r="K740" s="1" t="b">
        <v>0</v>
      </c>
      <c r="L740" s="1" t="s">
        <v>22</v>
      </c>
      <c r="M740" s="1" t="s">
        <v>16</v>
      </c>
      <c r="N740" s="1" t="s">
        <v>16</v>
      </c>
      <c r="O740" s="1" t="s">
        <v>16</v>
      </c>
      <c r="P740" s="1" t="s">
        <v>16</v>
      </c>
      <c r="Q740" s="1">
        <v>100</v>
      </c>
    </row>
    <row r="741" spans="1:19" ht="12.5" x14ac:dyDescent="0.25">
      <c r="A741" s="1">
        <v>567</v>
      </c>
      <c r="B741" s="1" t="s">
        <v>2339</v>
      </c>
      <c r="C741" s="1" t="s">
        <v>35</v>
      </c>
      <c r="D741" s="1" t="s">
        <v>36</v>
      </c>
      <c r="E741" s="1">
        <v>580</v>
      </c>
      <c r="F741" s="1" t="s">
        <v>2340</v>
      </c>
      <c r="G741" s="1" t="s">
        <v>2341</v>
      </c>
      <c r="H741" s="1" t="s">
        <v>2342</v>
      </c>
      <c r="I741" s="1" t="s">
        <v>29</v>
      </c>
      <c r="J741" s="1" t="s">
        <v>16</v>
      </c>
      <c r="K741" s="1" t="b">
        <v>0</v>
      </c>
      <c r="L741" s="1" t="s">
        <v>22</v>
      </c>
      <c r="M741" s="1" t="s">
        <v>16</v>
      </c>
      <c r="N741" s="1" t="s">
        <v>16</v>
      </c>
      <c r="O741" s="1" t="s">
        <v>9935</v>
      </c>
      <c r="P741" s="1" t="s">
        <v>16</v>
      </c>
      <c r="Q741" s="1">
        <v>100</v>
      </c>
      <c r="R741" s="1">
        <v>300000</v>
      </c>
      <c r="S741" s="1">
        <v>300000</v>
      </c>
    </row>
    <row r="742" spans="1:19" ht="12.5" x14ac:dyDescent="0.25">
      <c r="A742" s="1">
        <v>568</v>
      </c>
      <c r="B742" s="1" t="s">
        <v>2343</v>
      </c>
      <c r="C742" s="1" t="s">
        <v>35</v>
      </c>
      <c r="D742" s="1" t="s">
        <v>36</v>
      </c>
      <c r="E742" s="1">
        <v>581</v>
      </c>
      <c r="F742" s="1" t="s">
        <v>2344</v>
      </c>
      <c r="G742" s="1" t="s">
        <v>2345</v>
      </c>
      <c r="H742" s="1" t="s">
        <v>2346</v>
      </c>
      <c r="I742" s="1" t="s">
        <v>29</v>
      </c>
      <c r="J742" s="1" t="s">
        <v>16</v>
      </c>
      <c r="K742" s="1" t="b">
        <v>0</v>
      </c>
      <c r="L742" s="1" t="s">
        <v>22</v>
      </c>
      <c r="M742" s="1" t="s">
        <v>16</v>
      </c>
      <c r="N742" s="1" t="s">
        <v>16</v>
      </c>
      <c r="O742" s="1" t="s">
        <v>16</v>
      </c>
      <c r="P742" s="1" t="s">
        <v>16</v>
      </c>
      <c r="Q742" s="1">
        <v>100</v>
      </c>
    </row>
    <row r="743" spans="1:19" ht="12.5" x14ac:dyDescent="0.25">
      <c r="A743" s="1">
        <v>569</v>
      </c>
      <c r="B743" s="1" t="s">
        <v>2347</v>
      </c>
      <c r="C743" s="1" t="s">
        <v>35</v>
      </c>
      <c r="D743" s="1" t="s">
        <v>36</v>
      </c>
      <c r="E743" s="1">
        <v>582</v>
      </c>
      <c r="F743" s="1" t="s">
        <v>2348</v>
      </c>
      <c r="G743" s="1" t="s">
        <v>2349</v>
      </c>
      <c r="H743" s="1" t="s">
        <v>2350</v>
      </c>
      <c r="I743" s="1" t="s">
        <v>29</v>
      </c>
      <c r="J743" s="1" t="s">
        <v>16</v>
      </c>
      <c r="K743" s="1" t="b">
        <v>0</v>
      </c>
      <c r="L743" s="1" t="s">
        <v>22</v>
      </c>
      <c r="M743" s="1" t="s">
        <v>16</v>
      </c>
      <c r="N743" s="1" t="s">
        <v>16</v>
      </c>
      <c r="O743" s="1" t="s">
        <v>16</v>
      </c>
      <c r="P743" s="1" t="s">
        <v>16</v>
      </c>
      <c r="Q743" s="1">
        <v>100</v>
      </c>
    </row>
    <row r="744" spans="1:19" ht="12.5" x14ac:dyDescent="0.25">
      <c r="A744" s="1">
        <v>570</v>
      </c>
      <c r="B744" s="1" t="s">
        <v>2351</v>
      </c>
      <c r="C744" s="1" t="s">
        <v>35</v>
      </c>
      <c r="D744" s="1" t="s">
        <v>36</v>
      </c>
      <c r="E744" s="1">
        <v>583</v>
      </c>
      <c r="F744" s="1" t="s">
        <v>2352</v>
      </c>
      <c r="G744" s="1" t="s">
        <v>2353</v>
      </c>
      <c r="H744" s="1" t="s">
        <v>1209</v>
      </c>
      <c r="I744" s="1" t="s">
        <v>29</v>
      </c>
      <c r="J744" s="1" t="s">
        <v>16</v>
      </c>
      <c r="K744" s="1" t="b">
        <v>0</v>
      </c>
      <c r="L744" s="1" t="s">
        <v>22</v>
      </c>
      <c r="M744" s="1" t="s">
        <v>16</v>
      </c>
      <c r="N744" s="1" t="s">
        <v>16</v>
      </c>
      <c r="O744" s="1" t="s">
        <v>9940</v>
      </c>
      <c r="P744" s="1" t="s">
        <v>16</v>
      </c>
      <c r="Q744" s="1">
        <v>100</v>
      </c>
      <c r="R744" s="1">
        <v>50000</v>
      </c>
      <c r="S744" s="1">
        <v>50000</v>
      </c>
    </row>
    <row r="745" spans="1:19" ht="12.5" x14ac:dyDescent="0.25">
      <c r="A745" s="1">
        <v>570</v>
      </c>
      <c r="B745" s="1" t="s">
        <v>2351</v>
      </c>
      <c r="C745" s="1" t="s">
        <v>35</v>
      </c>
      <c r="D745" s="1" t="s">
        <v>36</v>
      </c>
      <c r="E745" s="1">
        <v>583</v>
      </c>
      <c r="F745" s="1" t="s">
        <v>2352</v>
      </c>
      <c r="G745" s="1" t="s">
        <v>2353</v>
      </c>
      <c r="H745" s="1" t="s">
        <v>1209</v>
      </c>
      <c r="I745" s="1" t="s">
        <v>29</v>
      </c>
      <c r="J745" s="1" t="s">
        <v>16</v>
      </c>
      <c r="K745" s="1" t="b">
        <v>0</v>
      </c>
      <c r="L745" s="1" t="s">
        <v>22</v>
      </c>
      <c r="M745" s="1" t="s">
        <v>16</v>
      </c>
      <c r="N745" s="1" t="s">
        <v>16</v>
      </c>
      <c r="O745" s="1" t="s">
        <v>9952</v>
      </c>
      <c r="P745" s="1" t="s">
        <v>16</v>
      </c>
      <c r="Q745" s="1">
        <v>100</v>
      </c>
      <c r="R745" s="1">
        <v>97500</v>
      </c>
      <c r="S745" s="1">
        <v>97500</v>
      </c>
    </row>
    <row r="746" spans="1:19" ht="12.5" x14ac:dyDescent="0.25">
      <c r="A746" s="1">
        <v>570</v>
      </c>
      <c r="B746" s="1" t="s">
        <v>2351</v>
      </c>
      <c r="C746" s="1" t="s">
        <v>35</v>
      </c>
      <c r="D746" s="1" t="s">
        <v>36</v>
      </c>
      <c r="E746" s="1">
        <v>583</v>
      </c>
      <c r="F746" s="1" t="s">
        <v>2352</v>
      </c>
      <c r="G746" s="1" t="s">
        <v>2353</v>
      </c>
      <c r="H746" s="1" t="s">
        <v>1209</v>
      </c>
      <c r="I746" s="1" t="s">
        <v>29</v>
      </c>
      <c r="J746" s="1" t="s">
        <v>16</v>
      </c>
      <c r="K746" s="1" t="b">
        <v>0</v>
      </c>
      <c r="L746" s="1" t="s">
        <v>22</v>
      </c>
      <c r="M746" s="1">
        <v>2022</v>
      </c>
      <c r="N746" s="1" t="s">
        <v>16</v>
      </c>
      <c r="O746" s="1" t="s">
        <v>9942</v>
      </c>
      <c r="P746" s="1" t="s">
        <v>16</v>
      </c>
      <c r="Q746" s="1">
        <v>100</v>
      </c>
      <c r="R746" s="1">
        <v>250000</v>
      </c>
      <c r="S746" s="1">
        <v>250000</v>
      </c>
    </row>
    <row r="747" spans="1:19" ht="12.5" x14ac:dyDescent="0.25">
      <c r="A747" s="1">
        <v>570</v>
      </c>
      <c r="B747" s="1" t="s">
        <v>2351</v>
      </c>
      <c r="C747" s="1" t="s">
        <v>35</v>
      </c>
      <c r="D747" s="1" t="s">
        <v>36</v>
      </c>
      <c r="E747" s="1">
        <v>583</v>
      </c>
      <c r="F747" s="1" t="s">
        <v>2352</v>
      </c>
      <c r="G747" s="1" t="s">
        <v>2353</v>
      </c>
      <c r="H747" s="1" t="s">
        <v>1209</v>
      </c>
      <c r="I747" s="1" t="s">
        <v>29</v>
      </c>
      <c r="J747" s="1" t="s">
        <v>16</v>
      </c>
      <c r="K747" s="1" t="b">
        <v>0</v>
      </c>
      <c r="L747" s="1" t="s">
        <v>22</v>
      </c>
      <c r="M747" s="1">
        <v>2022</v>
      </c>
      <c r="N747" s="1" t="s">
        <v>16</v>
      </c>
      <c r="O747" s="1" t="s">
        <v>9935</v>
      </c>
      <c r="P747" s="1" t="s">
        <v>16</v>
      </c>
      <c r="Q747" s="1">
        <v>100</v>
      </c>
      <c r="R747" s="1">
        <v>350000</v>
      </c>
      <c r="S747" s="1">
        <v>350000</v>
      </c>
    </row>
    <row r="748" spans="1:19" ht="12.5" x14ac:dyDescent="0.25">
      <c r="A748" s="1">
        <v>572</v>
      </c>
      <c r="B748" s="1" t="s">
        <v>2354</v>
      </c>
      <c r="C748" s="1" t="s">
        <v>35</v>
      </c>
      <c r="D748" s="1" t="s">
        <v>36</v>
      </c>
      <c r="E748" s="1">
        <v>584</v>
      </c>
      <c r="F748" s="1" t="s">
        <v>2355</v>
      </c>
      <c r="G748" s="1" t="s">
        <v>2356</v>
      </c>
      <c r="H748" s="1" t="s">
        <v>2119</v>
      </c>
      <c r="I748" s="1" t="s">
        <v>20</v>
      </c>
      <c r="J748" s="1" t="s">
        <v>2357</v>
      </c>
      <c r="K748" s="1" t="b">
        <v>0</v>
      </c>
      <c r="L748" s="1" t="s">
        <v>22</v>
      </c>
      <c r="M748" s="1" t="s">
        <v>16</v>
      </c>
      <c r="N748" s="1" t="s">
        <v>16</v>
      </c>
      <c r="O748" s="1" t="s">
        <v>16</v>
      </c>
      <c r="P748" s="1" t="s">
        <v>16</v>
      </c>
      <c r="Q748" s="1">
        <v>100</v>
      </c>
    </row>
    <row r="749" spans="1:19" ht="12.5" x14ac:dyDescent="0.25">
      <c r="A749" s="1" t="s">
        <v>16</v>
      </c>
      <c r="B749" s="1" t="s">
        <v>16</v>
      </c>
      <c r="C749" s="1" t="s">
        <v>16</v>
      </c>
      <c r="D749" s="1" t="s">
        <v>16</v>
      </c>
      <c r="E749" s="1">
        <v>585</v>
      </c>
      <c r="F749" s="1" t="s">
        <v>2358</v>
      </c>
      <c r="G749" s="1" t="s">
        <v>2359</v>
      </c>
      <c r="H749" s="1" t="s">
        <v>2360</v>
      </c>
      <c r="I749" s="1" t="s">
        <v>20</v>
      </c>
      <c r="J749" s="1" t="s">
        <v>16</v>
      </c>
      <c r="K749" s="1" t="b">
        <v>0</v>
      </c>
      <c r="L749" s="1" t="s">
        <v>22</v>
      </c>
      <c r="M749" s="1" t="s">
        <v>16</v>
      </c>
      <c r="N749" s="1" t="s">
        <v>16</v>
      </c>
      <c r="O749" s="1" t="s">
        <v>16</v>
      </c>
      <c r="P749" s="1" t="s">
        <v>16</v>
      </c>
    </row>
    <row r="750" spans="1:19" ht="12.5" x14ac:dyDescent="0.25">
      <c r="A750" s="1">
        <v>575</v>
      </c>
      <c r="B750" s="1" t="s">
        <v>2361</v>
      </c>
      <c r="C750" s="1" t="s">
        <v>35</v>
      </c>
      <c r="D750" s="1" t="s">
        <v>36</v>
      </c>
      <c r="E750" s="1">
        <v>586</v>
      </c>
      <c r="F750" s="1" t="s">
        <v>2362</v>
      </c>
      <c r="G750" s="1" t="s">
        <v>2363</v>
      </c>
      <c r="H750" s="1" t="s">
        <v>2153</v>
      </c>
      <c r="I750" s="1" t="s">
        <v>29</v>
      </c>
      <c r="J750" s="1" t="s">
        <v>16</v>
      </c>
      <c r="K750" s="1" t="b">
        <v>0</v>
      </c>
      <c r="L750" s="1" t="s">
        <v>22</v>
      </c>
      <c r="M750" s="1" t="s">
        <v>16</v>
      </c>
      <c r="N750" s="1" t="s">
        <v>16</v>
      </c>
      <c r="O750" s="1" t="s">
        <v>9952</v>
      </c>
      <c r="P750" s="1" t="s">
        <v>16</v>
      </c>
      <c r="Q750" s="1">
        <v>100</v>
      </c>
      <c r="R750" s="1">
        <v>100000</v>
      </c>
      <c r="S750" s="1">
        <v>100000</v>
      </c>
    </row>
    <row r="751" spans="1:19" ht="12.5" x14ac:dyDescent="0.25">
      <c r="A751" s="1">
        <v>575</v>
      </c>
      <c r="B751" s="1" t="s">
        <v>2361</v>
      </c>
      <c r="C751" s="1" t="s">
        <v>35</v>
      </c>
      <c r="D751" s="1" t="s">
        <v>36</v>
      </c>
      <c r="E751" s="1">
        <v>586</v>
      </c>
      <c r="F751" s="1" t="s">
        <v>2362</v>
      </c>
      <c r="G751" s="1" t="s">
        <v>2363</v>
      </c>
      <c r="H751" s="1" t="s">
        <v>2153</v>
      </c>
      <c r="I751" s="1" t="s">
        <v>29</v>
      </c>
      <c r="J751" s="1" t="s">
        <v>16</v>
      </c>
      <c r="K751" s="1" t="b">
        <v>0</v>
      </c>
      <c r="L751" s="1" t="s">
        <v>22</v>
      </c>
      <c r="M751" s="1">
        <v>2022</v>
      </c>
      <c r="N751" s="1" t="s">
        <v>16</v>
      </c>
      <c r="O751" s="1" t="s">
        <v>9935</v>
      </c>
      <c r="P751" s="1" t="s">
        <v>16</v>
      </c>
      <c r="Q751" s="1">
        <v>100</v>
      </c>
      <c r="R751" s="1">
        <v>300000</v>
      </c>
      <c r="S751" s="1">
        <v>300000</v>
      </c>
    </row>
    <row r="752" spans="1:19" ht="12.5" x14ac:dyDescent="0.25">
      <c r="A752" s="1">
        <v>576</v>
      </c>
      <c r="B752" s="1" t="s">
        <v>2364</v>
      </c>
      <c r="C752" s="1" t="s">
        <v>35</v>
      </c>
      <c r="D752" s="1" t="s">
        <v>36</v>
      </c>
      <c r="E752" s="1">
        <v>587</v>
      </c>
      <c r="F752" s="1" t="s">
        <v>2365</v>
      </c>
      <c r="G752" s="1" t="s">
        <v>2366</v>
      </c>
      <c r="H752" s="1" t="s">
        <v>2367</v>
      </c>
      <c r="I752" s="1" t="s">
        <v>29</v>
      </c>
      <c r="J752" s="1" t="s">
        <v>2368</v>
      </c>
      <c r="K752" s="1" t="b">
        <v>0</v>
      </c>
      <c r="L752" s="1" t="s">
        <v>22</v>
      </c>
      <c r="M752" s="1">
        <v>2022</v>
      </c>
      <c r="N752" s="1" t="s">
        <v>16</v>
      </c>
      <c r="O752" s="1" t="s">
        <v>9935</v>
      </c>
      <c r="P752" s="1" t="s">
        <v>16</v>
      </c>
      <c r="Q752" s="1">
        <v>100</v>
      </c>
      <c r="R752" s="1">
        <v>250000</v>
      </c>
      <c r="S752" s="1">
        <v>250000</v>
      </c>
    </row>
    <row r="753" spans="1:19" ht="12.5" x14ac:dyDescent="0.25">
      <c r="A753" s="1">
        <v>576</v>
      </c>
      <c r="B753" s="1" t="s">
        <v>2364</v>
      </c>
      <c r="C753" s="1" t="s">
        <v>35</v>
      </c>
      <c r="D753" s="1" t="s">
        <v>36</v>
      </c>
      <c r="E753" s="1">
        <v>587</v>
      </c>
      <c r="F753" s="1" t="s">
        <v>2365</v>
      </c>
      <c r="G753" s="1" t="s">
        <v>2366</v>
      </c>
      <c r="H753" s="1" t="s">
        <v>2367</v>
      </c>
      <c r="I753" s="1" t="s">
        <v>29</v>
      </c>
      <c r="J753" s="1" t="s">
        <v>2368</v>
      </c>
      <c r="K753" s="1" t="b">
        <v>0</v>
      </c>
      <c r="L753" s="1" t="s">
        <v>22</v>
      </c>
      <c r="M753" s="1" t="s">
        <v>16</v>
      </c>
      <c r="N753" s="1" t="s">
        <v>16</v>
      </c>
      <c r="O753" s="1" t="s">
        <v>9952</v>
      </c>
      <c r="P753" s="1" t="s">
        <v>16</v>
      </c>
      <c r="Q753" s="1">
        <v>100</v>
      </c>
      <c r="R753" s="1">
        <v>50000</v>
      </c>
      <c r="S753" s="1">
        <v>50000</v>
      </c>
    </row>
    <row r="754" spans="1:19" ht="12.5" x14ac:dyDescent="0.25">
      <c r="A754" s="1">
        <v>576</v>
      </c>
      <c r="B754" s="1" t="s">
        <v>2364</v>
      </c>
      <c r="C754" s="1" t="s">
        <v>35</v>
      </c>
      <c r="D754" s="1" t="s">
        <v>36</v>
      </c>
      <c r="E754" s="1">
        <v>587</v>
      </c>
      <c r="F754" s="1" t="s">
        <v>2365</v>
      </c>
      <c r="G754" s="1" t="s">
        <v>2366</v>
      </c>
      <c r="H754" s="1" t="s">
        <v>2367</v>
      </c>
      <c r="I754" s="1" t="s">
        <v>29</v>
      </c>
      <c r="J754" s="1" t="s">
        <v>2368</v>
      </c>
      <c r="K754" s="1" t="b">
        <v>0</v>
      </c>
      <c r="L754" s="1" t="s">
        <v>22</v>
      </c>
      <c r="M754" s="1" t="s">
        <v>16</v>
      </c>
      <c r="N754" s="1" t="s">
        <v>16</v>
      </c>
      <c r="O754" s="1" t="s">
        <v>9942</v>
      </c>
      <c r="P754" s="1" t="s">
        <v>16</v>
      </c>
      <c r="Q754" s="1">
        <v>100</v>
      </c>
      <c r="R754" s="1">
        <v>150000</v>
      </c>
      <c r="S754" s="1">
        <v>150000</v>
      </c>
    </row>
    <row r="755" spans="1:19" ht="12.5" x14ac:dyDescent="0.25">
      <c r="A755" s="1">
        <v>577</v>
      </c>
      <c r="B755" s="1" t="s">
        <v>2369</v>
      </c>
      <c r="C755" s="1" t="s">
        <v>35</v>
      </c>
      <c r="D755" s="1" t="s">
        <v>36</v>
      </c>
      <c r="E755" s="1">
        <v>588</v>
      </c>
      <c r="F755" s="1" t="s">
        <v>2370</v>
      </c>
      <c r="G755" s="1" t="s">
        <v>2371</v>
      </c>
      <c r="H755" s="1" t="s">
        <v>2372</v>
      </c>
      <c r="I755" s="1" t="s">
        <v>20</v>
      </c>
      <c r="J755" s="1" t="s">
        <v>16</v>
      </c>
      <c r="K755" s="1" t="b">
        <v>0</v>
      </c>
      <c r="L755" s="1" t="s">
        <v>22</v>
      </c>
      <c r="M755" s="1" t="s">
        <v>16</v>
      </c>
      <c r="N755" s="1" t="s">
        <v>16</v>
      </c>
      <c r="O755" s="1" t="s">
        <v>16</v>
      </c>
      <c r="P755" s="1" t="s">
        <v>16</v>
      </c>
      <c r="Q755" s="1">
        <v>100</v>
      </c>
    </row>
    <row r="756" spans="1:19" ht="12.5" x14ac:dyDescent="0.25">
      <c r="A756" s="1" t="s">
        <v>16</v>
      </c>
      <c r="B756" s="1" t="s">
        <v>16</v>
      </c>
      <c r="C756" s="1" t="s">
        <v>16</v>
      </c>
      <c r="D756" s="1" t="s">
        <v>16</v>
      </c>
      <c r="E756" s="1">
        <v>589</v>
      </c>
      <c r="F756" s="1" t="s">
        <v>2373</v>
      </c>
      <c r="G756" s="1" t="s">
        <v>2374</v>
      </c>
      <c r="H756" s="1" t="s">
        <v>1209</v>
      </c>
      <c r="I756" s="1" t="s">
        <v>29</v>
      </c>
      <c r="J756" s="1" t="s">
        <v>16</v>
      </c>
      <c r="K756" s="1" t="b">
        <v>0</v>
      </c>
      <c r="L756" s="1" t="s">
        <v>22</v>
      </c>
      <c r="M756" s="1" t="s">
        <v>16</v>
      </c>
      <c r="N756" s="1" t="s">
        <v>16</v>
      </c>
      <c r="O756" s="1" t="s">
        <v>9942</v>
      </c>
      <c r="P756" s="1" t="s">
        <v>16</v>
      </c>
      <c r="R756" s="1">
        <v>100000</v>
      </c>
    </row>
    <row r="757" spans="1:19" ht="12.5" x14ac:dyDescent="0.25">
      <c r="A757" s="1" t="s">
        <v>16</v>
      </c>
      <c r="B757" s="1" t="s">
        <v>16</v>
      </c>
      <c r="C757" s="1" t="s">
        <v>16</v>
      </c>
      <c r="D757" s="1" t="s">
        <v>16</v>
      </c>
      <c r="E757" s="1">
        <v>590</v>
      </c>
      <c r="F757" s="1" t="s">
        <v>2375</v>
      </c>
      <c r="G757" s="1" t="s">
        <v>2374</v>
      </c>
      <c r="H757" s="1" t="s">
        <v>2376</v>
      </c>
      <c r="I757" s="1" t="s">
        <v>20</v>
      </c>
      <c r="J757" s="1" t="s">
        <v>16</v>
      </c>
      <c r="K757" s="1" t="b">
        <v>0</v>
      </c>
      <c r="L757" s="1" t="s">
        <v>22</v>
      </c>
      <c r="M757" s="1">
        <v>2022</v>
      </c>
      <c r="N757" s="1" t="s">
        <v>16</v>
      </c>
      <c r="O757" s="1" t="s">
        <v>9956</v>
      </c>
      <c r="P757" s="1" t="s">
        <v>16</v>
      </c>
      <c r="R757" s="1">
        <v>2000000</v>
      </c>
    </row>
    <row r="758" spans="1:19" ht="12.5" x14ac:dyDescent="0.25">
      <c r="A758" s="1">
        <v>579</v>
      </c>
      <c r="B758" s="1" t="s">
        <v>2377</v>
      </c>
      <c r="C758" s="1" t="s">
        <v>35</v>
      </c>
      <c r="D758" s="1" t="s">
        <v>36</v>
      </c>
      <c r="E758" s="1">
        <v>591</v>
      </c>
      <c r="F758" s="1" t="s">
        <v>2378</v>
      </c>
      <c r="G758" s="1" t="s">
        <v>2379</v>
      </c>
      <c r="H758" s="1" t="s">
        <v>1084</v>
      </c>
      <c r="I758" s="1" t="s">
        <v>29</v>
      </c>
      <c r="J758" s="1" t="s">
        <v>2380</v>
      </c>
      <c r="K758" s="1" t="b">
        <v>0</v>
      </c>
      <c r="L758" s="1" t="s">
        <v>22</v>
      </c>
      <c r="M758" s="1" t="s">
        <v>16</v>
      </c>
      <c r="N758" s="1" t="s">
        <v>16</v>
      </c>
      <c r="O758" s="1" t="s">
        <v>9952</v>
      </c>
      <c r="P758" s="1" t="s">
        <v>16</v>
      </c>
      <c r="Q758" s="1">
        <v>100</v>
      </c>
      <c r="R758" s="1">
        <v>50000</v>
      </c>
      <c r="S758" s="1">
        <v>50000</v>
      </c>
    </row>
    <row r="759" spans="1:19" ht="12.5" x14ac:dyDescent="0.25">
      <c r="A759" s="1">
        <v>579</v>
      </c>
      <c r="B759" s="1" t="s">
        <v>2377</v>
      </c>
      <c r="C759" s="1" t="s">
        <v>35</v>
      </c>
      <c r="D759" s="1" t="s">
        <v>36</v>
      </c>
      <c r="E759" s="1">
        <v>591</v>
      </c>
      <c r="F759" s="1" t="s">
        <v>2378</v>
      </c>
      <c r="G759" s="1" t="s">
        <v>2379</v>
      </c>
      <c r="H759" s="1" t="s">
        <v>1084</v>
      </c>
      <c r="I759" s="1" t="s">
        <v>29</v>
      </c>
      <c r="J759" s="1" t="s">
        <v>2380</v>
      </c>
      <c r="K759" s="1" t="b">
        <v>0</v>
      </c>
      <c r="L759" s="1" t="s">
        <v>22</v>
      </c>
      <c r="M759" s="1">
        <v>2022</v>
      </c>
      <c r="N759" s="1" t="s">
        <v>16</v>
      </c>
      <c r="O759" s="1" t="s">
        <v>9942</v>
      </c>
      <c r="P759" s="1" t="s">
        <v>16</v>
      </c>
      <c r="Q759" s="1">
        <v>100</v>
      </c>
      <c r="R759" s="1">
        <v>201800</v>
      </c>
      <c r="S759" s="1">
        <v>201800</v>
      </c>
    </row>
    <row r="760" spans="1:19" ht="12.5" x14ac:dyDescent="0.25">
      <c r="A760" s="1">
        <v>579</v>
      </c>
      <c r="B760" s="1" t="s">
        <v>2377</v>
      </c>
      <c r="C760" s="1" t="s">
        <v>35</v>
      </c>
      <c r="D760" s="1" t="s">
        <v>36</v>
      </c>
      <c r="E760" s="1">
        <v>591</v>
      </c>
      <c r="F760" s="1" t="s">
        <v>2378</v>
      </c>
      <c r="G760" s="1" t="s">
        <v>2379</v>
      </c>
      <c r="H760" s="1" t="s">
        <v>1084</v>
      </c>
      <c r="I760" s="1" t="s">
        <v>29</v>
      </c>
      <c r="J760" s="1" t="s">
        <v>2380</v>
      </c>
      <c r="K760" s="1" t="b">
        <v>0</v>
      </c>
      <c r="L760" s="1" t="s">
        <v>22</v>
      </c>
      <c r="M760" s="1">
        <v>2022</v>
      </c>
      <c r="N760" s="1" t="s">
        <v>16</v>
      </c>
      <c r="O760" s="1" t="s">
        <v>9935</v>
      </c>
      <c r="P760" s="1" t="s">
        <v>16</v>
      </c>
      <c r="Q760" s="1">
        <v>100</v>
      </c>
      <c r="R760" s="1">
        <v>250000</v>
      </c>
      <c r="S760" s="1">
        <v>250000</v>
      </c>
    </row>
    <row r="761" spans="1:19" ht="12.5" x14ac:dyDescent="0.25">
      <c r="A761" s="1" t="s">
        <v>16</v>
      </c>
      <c r="B761" s="1" t="s">
        <v>16</v>
      </c>
      <c r="C761" s="1" t="s">
        <v>16</v>
      </c>
      <c r="D761" s="1" t="s">
        <v>16</v>
      </c>
      <c r="E761" s="1">
        <v>592</v>
      </c>
      <c r="F761" s="1" t="s">
        <v>2381</v>
      </c>
      <c r="G761" s="1" t="s">
        <v>2382</v>
      </c>
      <c r="H761" s="1" t="s">
        <v>2383</v>
      </c>
      <c r="I761" s="1" t="s">
        <v>20</v>
      </c>
      <c r="J761" s="1" t="s">
        <v>16</v>
      </c>
      <c r="K761" s="1" t="b">
        <v>0</v>
      </c>
      <c r="L761" s="1" t="s">
        <v>22</v>
      </c>
      <c r="M761" s="1" t="s">
        <v>16</v>
      </c>
      <c r="N761" s="1" t="s">
        <v>16</v>
      </c>
      <c r="O761" s="1" t="s">
        <v>16</v>
      </c>
      <c r="P761" s="1" t="s">
        <v>16</v>
      </c>
    </row>
    <row r="762" spans="1:19" ht="12.5" x14ac:dyDescent="0.25">
      <c r="A762" s="1">
        <v>580</v>
      </c>
      <c r="B762" s="1" t="s">
        <v>2384</v>
      </c>
      <c r="C762" s="1" t="s">
        <v>35</v>
      </c>
      <c r="D762" s="1" t="s">
        <v>36</v>
      </c>
      <c r="E762" s="1">
        <v>593</v>
      </c>
      <c r="F762" s="1" t="s">
        <v>2385</v>
      </c>
      <c r="G762" s="1" t="s">
        <v>2386</v>
      </c>
      <c r="H762" s="1" t="s">
        <v>1209</v>
      </c>
      <c r="I762" s="1" t="s">
        <v>29</v>
      </c>
      <c r="J762" s="1" t="s">
        <v>2387</v>
      </c>
      <c r="K762" s="1" t="b">
        <v>0</v>
      </c>
      <c r="L762" s="1" t="s">
        <v>22</v>
      </c>
      <c r="M762" s="1" t="s">
        <v>16</v>
      </c>
      <c r="N762" s="1" t="s">
        <v>16</v>
      </c>
      <c r="O762" s="1" t="s">
        <v>9942</v>
      </c>
      <c r="P762" s="1" t="s">
        <v>16</v>
      </c>
      <c r="Q762" s="1">
        <v>100</v>
      </c>
      <c r="R762" s="1">
        <v>175000</v>
      </c>
      <c r="S762" s="1">
        <v>175000</v>
      </c>
    </row>
    <row r="763" spans="1:19" ht="12.5" x14ac:dyDescent="0.25">
      <c r="A763" s="1">
        <v>581</v>
      </c>
      <c r="B763" s="1" t="s">
        <v>2388</v>
      </c>
      <c r="C763" s="1" t="s">
        <v>35</v>
      </c>
      <c r="D763" s="1" t="s">
        <v>36</v>
      </c>
      <c r="E763" s="1">
        <v>594</v>
      </c>
      <c r="F763" s="1" t="s">
        <v>2389</v>
      </c>
      <c r="G763" s="1" t="s">
        <v>2390</v>
      </c>
      <c r="H763" s="1" t="s">
        <v>1209</v>
      </c>
      <c r="I763" s="1" t="s">
        <v>29</v>
      </c>
      <c r="J763" s="1" t="s">
        <v>16</v>
      </c>
      <c r="K763" s="1" t="b">
        <v>0</v>
      </c>
      <c r="L763" s="1" t="s">
        <v>22</v>
      </c>
      <c r="M763" s="1">
        <v>2023</v>
      </c>
      <c r="N763" s="1" t="s">
        <v>16</v>
      </c>
      <c r="O763" s="1" t="s">
        <v>9942</v>
      </c>
      <c r="P763" s="1" t="s">
        <v>16</v>
      </c>
      <c r="Q763" s="1">
        <v>100</v>
      </c>
      <c r="R763" s="1">
        <v>250000</v>
      </c>
      <c r="S763" s="1">
        <v>250000</v>
      </c>
    </row>
    <row r="764" spans="1:19" ht="12.5" x14ac:dyDescent="0.25">
      <c r="A764" s="1">
        <v>581</v>
      </c>
      <c r="B764" s="1" t="s">
        <v>2388</v>
      </c>
      <c r="C764" s="1" t="s">
        <v>35</v>
      </c>
      <c r="D764" s="1" t="s">
        <v>36</v>
      </c>
      <c r="E764" s="1">
        <v>595</v>
      </c>
      <c r="F764" s="1" t="s">
        <v>2391</v>
      </c>
      <c r="G764" s="1" t="s">
        <v>2392</v>
      </c>
      <c r="H764" s="1" t="s">
        <v>2393</v>
      </c>
      <c r="I764" s="1" t="s">
        <v>20</v>
      </c>
      <c r="J764" s="1" t="s">
        <v>16</v>
      </c>
      <c r="K764" s="1" t="b">
        <v>0</v>
      </c>
      <c r="L764" s="1" t="s">
        <v>22</v>
      </c>
      <c r="M764" s="1" t="s">
        <v>16</v>
      </c>
      <c r="N764" s="1" t="s">
        <v>16</v>
      </c>
      <c r="O764" s="1" t="s">
        <v>16</v>
      </c>
      <c r="P764" s="1" t="s">
        <v>16</v>
      </c>
      <c r="Q764" s="1">
        <v>100</v>
      </c>
    </row>
    <row r="765" spans="1:19" ht="12.5" x14ac:dyDescent="0.25">
      <c r="A765" s="1">
        <v>583</v>
      </c>
      <c r="B765" s="1" t="s">
        <v>2394</v>
      </c>
      <c r="C765" s="1" t="s">
        <v>35</v>
      </c>
      <c r="D765" s="1" t="s">
        <v>36</v>
      </c>
      <c r="E765" s="1">
        <v>596</v>
      </c>
      <c r="F765" s="1" t="s">
        <v>2395</v>
      </c>
      <c r="G765" s="1" t="s">
        <v>2396</v>
      </c>
      <c r="H765" s="1" t="s">
        <v>2397</v>
      </c>
      <c r="I765" s="1" t="s">
        <v>29</v>
      </c>
      <c r="J765" s="1" t="s">
        <v>16</v>
      </c>
      <c r="K765" s="1" t="b">
        <v>0</v>
      </c>
      <c r="L765" s="1" t="s">
        <v>22</v>
      </c>
      <c r="M765" s="1" t="s">
        <v>16</v>
      </c>
      <c r="N765" s="1" t="s">
        <v>16</v>
      </c>
      <c r="O765" s="1" t="s">
        <v>9935</v>
      </c>
      <c r="P765" s="1" t="s">
        <v>16</v>
      </c>
      <c r="Q765" s="1">
        <v>100</v>
      </c>
      <c r="R765" s="1">
        <v>100000</v>
      </c>
      <c r="S765" s="1">
        <v>100000</v>
      </c>
    </row>
    <row r="766" spans="1:19" ht="12.5" x14ac:dyDescent="0.25">
      <c r="A766" s="1">
        <v>583</v>
      </c>
      <c r="B766" s="1" t="s">
        <v>2394</v>
      </c>
      <c r="C766" s="1" t="s">
        <v>35</v>
      </c>
      <c r="D766" s="1" t="s">
        <v>36</v>
      </c>
      <c r="E766" s="1">
        <v>597</v>
      </c>
      <c r="F766" s="1" t="s">
        <v>2398</v>
      </c>
      <c r="G766" s="1" t="s">
        <v>2399</v>
      </c>
      <c r="H766" s="1" t="s">
        <v>2400</v>
      </c>
      <c r="I766" s="1" t="s">
        <v>20</v>
      </c>
      <c r="J766" s="1" t="s">
        <v>16</v>
      </c>
      <c r="K766" s="1" t="b">
        <v>0</v>
      </c>
      <c r="L766" s="1" t="s">
        <v>22</v>
      </c>
      <c r="M766" s="1" t="s">
        <v>16</v>
      </c>
      <c r="N766" s="1" t="s">
        <v>16</v>
      </c>
      <c r="O766" s="1" t="s">
        <v>16</v>
      </c>
      <c r="P766" s="1" t="s">
        <v>16</v>
      </c>
      <c r="Q766" s="1">
        <v>100</v>
      </c>
    </row>
    <row r="767" spans="1:19" ht="12.5" x14ac:dyDescent="0.25">
      <c r="A767" s="1">
        <v>584</v>
      </c>
      <c r="B767" s="1" t="s">
        <v>2401</v>
      </c>
      <c r="C767" s="1" t="s">
        <v>35</v>
      </c>
      <c r="D767" s="1" t="s">
        <v>36</v>
      </c>
      <c r="E767" s="1">
        <v>598</v>
      </c>
      <c r="F767" s="1" t="s">
        <v>2402</v>
      </c>
      <c r="G767" s="1" t="s">
        <v>2403</v>
      </c>
      <c r="H767" s="1" t="s">
        <v>2404</v>
      </c>
      <c r="I767" s="1" t="s">
        <v>29</v>
      </c>
      <c r="J767" s="1" t="s">
        <v>16</v>
      </c>
      <c r="K767" s="1" t="b">
        <v>0</v>
      </c>
      <c r="L767" s="1" t="s">
        <v>22</v>
      </c>
      <c r="M767" s="1" t="s">
        <v>16</v>
      </c>
      <c r="N767" s="1" t="s">
        <v>16</v>
      </c>
      <c r="O767" s="1" t="s">
        <v>16</v>
      </c>
      <c r="P767" s="1" t="s">
        <v>16</v>
      </c>
      <c r="Q767" s="1">
        <v>100</v>
      </c>
    </row>
    <row r="768" spans="1:19" ht="12.5" x14ac:dyDescent="0.25">
      <c r="A768" s="1">
        <v>585</v>
      </c>
      <c r="B768" s="1" t="s">
        <v>2405</v>
      </c>
      <c r="C768" s="1" t="s">
        <v>35</v>
      </c>
      <c r="D768" s="1" t="s">
        <v>36</v>
      </c>
      <c r="E768" s="1">
        <v>599</v>
      </c>
      <c r="F768" s="1" t="s">
        <v>2406</v>
      </c>
      <c r="G768" s="1" t="s">
        <v>2407</v>
      </c>
      <c r="H768" s="1" t="s">
        <v>2408</v>
      </c>
      <c r="I768" s="1" t="s">
        <v>29</v>
      </c>
      <c r="J768" s="1" t="s">
        <v>16</v>
      </c>
      <c r="K768" s="1" t="b">
        <v>0</v>
      </c>
      <c r="L768" s="1" t="s">
        <v>22</v>
      </c>
      <c r="M768" s="1" t="s">
        <v>16</v>
      </c>
      <c r="N768" s="1" t="s">
        <v>16</v>
      </c>
      <c r="O768" s="1" t="s">
        <v>16</v>
      </c>
      <c r="P768" s="1" t="s">
        <v>16</v>
      </c>
      <c r="Q768" s="1">
        <v>100</v>
      </c>
    </row>
    <row r="769" spans="1:19" ht="12.5" x14ac:dyDescent="0.25">
      <c r="A769" s="1">
        <v>586</v>
      </c>
      <c r="B769" s="1" t="s">
        <v>2409</v>
      </c>
      <c r="C769" s="1" t="s">
        <v>35</v>
      </c>
      <c r="D769" s="1" t="s">
        <v>36</v>
      </c>
      <c r="E769" s="1">
        <v>600</v>
      </c>
      <c r="F769" s="1" t="s">
        <v>2410</v>
      </c>
      <c r="G769" s="1" t="s">
        <v>2411</v>
      </c>
      <c r="H769" s="1" t="s">
        <v>1878</v>
      </c>
      <c r="I769" s="1" t="s">
        <v>29</v>
      </c>
      <c r="J769" s="1" t="s">
        <v>16</v>
      </c>
      <c r="K769" s="1" t="b">
        <v>0</v>
      </c>
      <c r="L769" s="1" t="s">
        <v>22</v>
      </c>
      <c r="M769" s="1" t="s">
        <v>16</v>
      </c>
      <c r="N769" s="1" t="s">
        <v>16</v>
      </c>
      <c r="O769" s="1" t="s">
        <v>16</v>
      </c>
      <c r="P769" s="1" t="s">
        <v>16</v>
      </c>
      <c r="Q769" s="1">
        <v>100</v>
      </c>
    </row>
    <row r="770" spans="1:19" ht="12.5" x14ac:dyDescent="0.25">
      <c r="A770" s="1">
        <v>587</v>
      </c>
      <c r="B770" s="1" t="s">
        <v>2412</v>
      </c>
      <c r="C770" s="1" t="s">
        <v>35</v>
      </c>
      <c r="D770" s="1" t="s">
        <v>36</v>
      </c>
      <c r="E770" s="1">
        <v>601</v>
      </c>
      <c r="F770" s="1" t="s">
        <v>2413</v>
      </c>
      <c r="G770" s="1" t="s">
        <v>2414</v>
      </c>
      <c r="H770" s="1" t="s">
        <v>2415</v>
      </c>
      <c r="I770" s="1" t="s">
        <v>29</v>
      </c>
      <c r="J770" s="1" t="s">
        <v>2416</v>
      </c>
      <c r="K770" s="1" t="b">
        <v>1</v>
      </c>
      <c r="L770" s="1" t="s">
        <v>31</v>
      </c>
      <c r="M770" s="1">
        <v>2022</v>
      </c>
      <c r="N770" s="1" t="s">
        <v>45</v>
      </c>
      <c r="O770" s="1" t="s">
        <v>9935</v>
      </c>
      <c r="P770" s="1" t="s">
        <v>16</v>
      </c>
      <c r="Q770" s="1">
        <v>100</v>
      </c>
      <c r="R770" s="1">
        <v>100000</v>
      </c>
      <c r="S770" s="1">
        <v>100000</v>
      </c>
    </row>
    <row r="771" spans="1:19" ht="12.5" x14ac:dyDescent="0.25">
      <c r="A771" s="1">
        <v>587</v>
      </c>
      <c r="B771" s="1" t="s">
        <v>2412</v>
      </c>
      <c r="C771" s="1" t="s">
        <v>35</v>
      </c>
      <c r="D771" s="1" t="s">
        <v>36</v>
      </c>
      <c r="E771" s="1">
        <v>601</v>
      </c>
      <c r="F771" s="1" t="s">
        <v>2413</v>
      </c>
      <c r="G771" s="1" t="s">
        <v>2414</v>
      </c>
      <c r="H771" s="1" t="s">
        <v>2415</v>
      </c>
      <c r="I771" s="1" t="s">
        <v>29</v>
      </c>
      <c r="J771" s="1" t="s">
        <v>2416</v>
      </c>
      <c r="K771" s="1" t="b">
        <v>1</v>
      </c>
      <c r="L771" s="1" t="s">
        <v>31</v>
      </c>
      <c r="M771" s="1">
        <v>2022</v>
      </c>
      <c r="N771" s="1" t="s">
        <v>45</v>
      </c>
      <c r="O771" s="1" t="s">
        <v>9952</v>
      </c>
      <c r="P771" s="1" t="s">
        <v>16</v>
      </c>
      <c r="Q771" s="1">
        <v>100</v>
      </c>
      <c r="R771" s="1">
        <v>45000</v>
      </c>
      <c r="S771" s="1">
        <v>45000</v>
      </c>
    </row>
    <row r="772" spans="1:19" ht="12.5" x14ac:dyDescent="0.25">
      <c r="A772" s="1">
        <v>587</v>
      </c>
      <c r="B772" s="1" t="s">
        <v>2412</v>
      </c>
      <c r="C772" s="1" t="s">
        <v>35</v>
      </c>
      <c r="D772" s="1" t="s">
        <v>36</v>
      </c>
      <c r="E772" s="1">
        <v>601</v>
      </c>
      <c r="F772" s="1" t="s">
        <v>2413</v>
      </c>
      <c r="G772" s="1" t="s">
        <v>2414</v>
      </c>
      <c r="H772" s="1" t="s">
        <v>2415</v>
      </c>
      <c r="I772" s="1" t="s">
        <v>29</v>
      </c>
      <c r="J772" s="1" t="s">
        <v>2416</v>
      </c>
      <c r="K772" s="1" t="b">
        <v>1</v>
      </c>
      <c r="L772" s="1" t="s">
        <v>31</v>
      </c>
      <c r="M772" s="1">
        <v>2022</v>
      </c>
      <c r="N772" s="1" t="s">
        <v>45</v>
      </c>
      <c r="O772" s="1" t="s">
        <v>9942</v>
      </c>
      <c r="P772" s="1" t="s">
        <v>16</v>
      </c>
      <c r="Q772" s="1">
        <v>100</v>
      </c>
      <c r="R772" s="1">
        <v>200000</v>
      </c>
      <c r="S772" s="1">
        <v>200000</v>
      </c>
    </row>
    <row r="773" spans="1:19" ht="12.5" x14ac:dyDescent="0.25">
      <c r="A773" s="1">
        <v>588</v>
      </c>
      <c r="B773" s="1" t="s">
        <v>2417</v>
      </c>
      <c r="C773" s="1" t="s">
        <v>35</v>
      </c>
      <c r="D773" s="1" t="s">
        <v>36</v>
      </c>
      <c r="E773" s="1">
        <v>602</v>
      </c>
      <c r="F773" s="1" t="s">
        <v>2418</v>
      </c>
      <c r="G773" s="1" t="s">
        <v>2419</v>
      </c>
      <c r="H773" s="1" t="s">
        <v>2420</v>
      </c>
      <c r="I773" s="1" t="s">
        <v>29</v>
      </c>
      <c r="J773" s="1" t="s">
        <v>16</v>
      </c>
      <c r="K773" s="1" t="b">
        <v>0</v>
      </c>
      <c r="L773" s="1" t="s">
        <v>22</v>
      </c>
      <c r="M773" s="1" t="s">
        <v>16</v>
      </c>
      <c r="N773" s="1" t="s">
        <v>16</v>
      </c>
      <c r="O773" s="1" t="s">
        <v>9935</v>
      </c>
      <c r="P773" s="1" t="s">
        <v>16</v>
      </c>
      <c r="Q773" s="1">
        <v>100</v>
      </c>
      <c r="R773" s="1">
        <v>100000</v>
      </c>
      <c r="S773" s="1">
        <v>100000</v>
      </c>
    </row>
    <row r="774" spans="1:19" ht="12.5" x14ac:dyDescent="0.25">
      <c r="A774" s="1">
        <v>588</v>
      </c>
      <c r="B774" s="1" t="s">
        <v>2417</v>
      </c>
      <c r="C774" s="1" t="s">
        <v>35</v>
      </c>
      <c r="D774" s="1" t="s">
        <v>36</v>
      </c>
      <c r="E774" s="1">
        <v>602</v>
      </c>
      <c r="F774" s="1" t="s">
        <v>2418</v>
      </c>
      <c r="G774" s="1" t="s">
        <v>2419</v>
      </c>
      <c r="H774" s="1" t="s">
        <v>2420</v>
      </c>
      <c r="I774" s="1" t="s">
        <v>29</v>
      </c>
      <c r="J774" s="1" t="s">
        <v>16</v>
      </c>
      <c r="K774" s="1" t="b">
        <v>0</v>
      </c>
      <c r="L774" s="1" t="s">
        <v>22</v>
      </c>
      <c r="M774" s="1" t="s">
        <v>16</v>
      </c>
      <c r="N774" s="1" t="s">
        <v>16</v>
      </c>
      <c r="O774" s="1" t="s">
        <v>9940</v>
      </c>
      <c r="P774" s="1" t="s">
        <v>16</v>
      </c>
      <c r="Q774" s="1">
        <v>100</v>
      </c>
      <c r="R774" s="1">
        <v>25000</v>
      </c>
      <c r="S774" s="1">
        <v>25000</v>
      </c>
    </row>
    <row r="775" spans="1:19" ht="12.5" x14ac:dyDescent="0.25">
      <c r="A775" s="1">
        <v>588</v>
      </c>
      <c r="B775" s="1" t="s">
        <v>2417</v>
      </c>
      <c r="C775" s="1" t="s">
        <v>35</v>
      </c>
      <c r="D775" s="1" t="s">
        <v>36</v>
      </c>
      <c r="E775" s="1">
        <v>602</v>
      </c>
      <c r="F775" s="1" t="s">
        <v>2418</v>
      </c>
      <c r="G775" s="1" t="s">
        <v>2419</v>
      </c>
      <c r="H775" s="1" t="s">
        <v>2420</v>
      </c>
      <c r="I775" s="1" t="s">
        <v>29</v>
      </c>
      <c r="J775" s="1" t="s">
        <v>16</v>
      </c>
      <c r="K775" s="1" t="b">
        <v>0</v>
      </c>
      <c r="L775" s="1" t="s">
        <v>22</v>
      </c>
      <c r="M775" s="1" t="s">
        <v>16</v>
      </c>
      <c r="N775" s="1" t="s">
        <v>16</v>
      </c>
      <c r="O775" s="1" t="s">
        <v>9952</v>
      </c>
      <c r="P775" s="1" t="s">
        <v>16</v>
      </c>
      <c r="Q775" s="1">
        <v>100</v>
      </c>
      <c r="R775" s="1">
        <v>56250</v>
      </c>
      <c r="S775" s="1">
        <v>56250</v>
      </c>
    </row>
    <row r="776" spans="1:19" ht="12.5" x14ac:dyDescent="0.25">
      <c r="A776" s="1">
        <v>588</v>
      </c>
      <c r="B776" s="1" t="s">
        <v>2417</v>
      </c>
      <c r="C776" s="1" t="s">
        <v>35</v>
      </c>
      <c r="D776" s="1" t="s">
        <v>36</v>
      </c>
      <c r="E776" s="1">
        <v>602</v>
      </c>
      <c r="F776" s="1" t="s">
        <v>2418</v>
      </c>
      <c r="G776" s="1" t="s">
        <v>2419</v>
      </c>
      <c r="H776" s="1" t="s">
        <v>2420</v>
      </c>
      <c r="I776" s="1" t="s">
        <v>29</v>
      </c>
      <c r="J776" s="1" t="s">
        <v>16</v>
      </c>
      <c r="K776" s="1" t="b">
        <v>0</v>
      </c>
      <c r="L776" s="1" t="s">
        <v>22</v>
      </c>
      <c r="M776" s="1">
        <v>2022</v>
      </c>
      <c r="N776" s="1" t="s">
        <v>16</v>
      </c>
      <c r="O776" s="1" t="s">
        <v>9942</v>
      </c>
      <c r="P776" s="1" t="s">
        <v>16</v>
      </c>
      <c r="Q776" s="1">
        <v>100</v>
      </c>
      <c r="R776" s="1">
        <v>250000</v>
      </c>
      <c r="S776" s="1">
        <v>250000</v>
      </c>
    </row>
    <row r="777" spans="1:19" ht="12.5" x14ac:dyDescent="0.25">
      <c r="A777" s="1">
        <v>588</v>
      </c>
      <c r="B777" s="1" t="s">
        <v>2417</v>
      </c>
      <c r="C777" s="1" t="s">
        <v>35</v>
      </c>
      <c r="D777" s="1" t="s">
        <v>36</v>
      </c>
      <c r="E777" s="1">
        <v>603</v>
      </c>
      <c r="F777" s="1" t="s">
        <v>2421</v>
      </c>
      <c r="G777" s="1" t="s">
        <v>2419</v>
      </c>
      <c r="H777" s="1" t="s">
        <v>2422</v>
      </c>
      <c r="I777" s="1" t="s">
        <v>20</v>
      </c>
      <c r="J777" s="1" t="s">
        <v>16</v>
      </c>
      <c r="K777" s="1" t="b">
        <v>0</v>
      </c>
      <c r="L777" s="1" t="s">
        <v>22</v>
      </c>
      <c r="M777" s="1" t="s">
        <v>16</v>
      </c>
      <c r="N777" s="1" t="s">
        <v>16</v>
      </c>
      <c r="O777" s="1" t="s">
        <v>16</v>
      </c>
      <c r="P777" s="1" t="s">
        <v>16</v>
      </c>
      <c r="Q777" s="1">
        <v>100</v>
      </c>
    </row>
    <row r="778" spans="1:19" ht="12.5" x14ac:dyDescent="0.25">
      <c r="A778" s="1">
        <v>590</v>
      </c>
      <c r="B778" s="1" t="s">
        <v>2423</v>
      </c>
      <c r="C778" s="1" t="s">
        <v>35</v>
      </c>
      <c r="D778" s="1" t="s">
        <v>36</v>
      </c>
      <c r="E778" s="1">
        <v>604</v>
      </c>
      <c r="F778" s="1" t="s">
        <v>2424</v>
      </c>
      <c r="G778" s="1" t="s">
        <v>2425</v>
      </c>
      <c r="H778" s="1" t="s">
        <v>2426</v>
      </c>
      <c r="I778" s="1" t="s">
        <v>29</v>
      </c>
      <c r="J778" s="1" t="s">
        <v>2427</v>
      </c>
      <c r="K778" s="1" t="b">
        <v>0</v>
      </c>
      <c r="L778" s="1" t="s">
        <v>22</v>
      </c>
      <c r="M778" s="1" t="s">
        <v>16</v>
      </c>
      <c r="N778" s="1" t="s">
        <v>16</v>
      </c>
      <c r="O778" s="1" t="s">
        <v>9935</v>
      </c>
      <c r="P778" s="1" t="s">
        <v>16</v>
      </c>
      <c r="Q778" s="1">
        <v>100</v>
      </c>
      <c r="R778" s="1">
        <v>1</v>
      </c>
      <c r="S778" s="1">
        <v>1</v>
      </c>
    </row>
    <row r="779" spans="1:19" ht="12.5" x14ac:dyDescent="0.25">
      <c r="A779" s="1">
        <v>591</v>
      </c>
      <c r="B779" s="1" t="s">
        <v>2428</v>
      </c>
      <c r="C779" s="1" t="s">
        <v>35</v>
      </c>
      <c r="D779" s="1" t="s">
        <v>36</v>
      </c>
      <c r="E779" s="1">
        <v>605</v>
      </c>
      <c r="F779" s="1" t="s">
        <v>2429</v>
      </c>
      <c r="G779" s="1" t="s">
        <v>2430</v>
      </c>
      <c r="H779" s="1" t="s">
        <v>2431</v>
      </c>
      <c r="I779" s="1" t="s">
        <v>20</v>
      </c>
      <c r="J779" s="1" t="s">
        <v>16</v>
      </c>
      <c r="K779" s="1" t="b">
        <v>0</v>
      </c>
      <c r="L779" s="1" t="s">
        <v>22</v>
      </c>
      <c r="M779" s="1" t="s">
        <v>16</v>
      </c>
      <c r="N779" s="1" t="s">
        <v>16</v>
      </c>
      <c r="O779" s="1" t="s">
        <v>16</v>
      </c>
      <c r="P779" s="1" t="s">
        <v>16</v>
      </c>
      <c r="Q779" s="1">
        <v>100</v>
      </c>
    </row>
    <row r="780" spans="1:19" ht="12.5" x14ac:dyDescent="0.25">
      <c r="A780" s="1">
        <v>592</v>
      </c>
      <c r="B780" s="1" t="s">
        <v>2432</v>
      </c>
      <c r="C780" s="1" t="s">
        <v>35</v>
      </c>
      <c r="D780" s="1" t="s">
        <v>36</v>
      </c>
      <c r="E780" s="1">
        <v>606</v>
      </c>
      <c r="F780" s="1" t="s">
        <v>2433</v>
      </c>
      <c r="G780" s="1" t="s">
        <v>2434</v>
      </c>
      <c r="H780" s="1" t="s">
        <v>1209</v>
      </c>
      <c r="I780" s="1" t="s">
        <v>29</v>
      </c>
      <c r="J780" s="1" t="s">
        <v>16</v>
      </c>
      <c r="K780" s="1" t="b">
        <v>0</v>
      </c>
      <c r="L780" s="1" t="s">
        <v>22</v>
      </c>
      <c r="M780" s="1">
        <v>2022</v>
      </c>
      <c r="N780" s="1" t="s">
        <v>16</v>
      </c>
      <c r="O780" s="1" t="s">
        <v>9942</v>
      </c>
      <c r="P780" s="1" t="s">
        <v>16</v>
      </c>
      <c r="Q780" s="1">
        <v>100</v>
      </c>
      <c r="R780" s="1">
        <v>250000</v>
      </c>
      <c r="S780" s="1">
        <v>250000</v>
      </c>
    </row>
    <row r="781" spans="1:19" ht="12.5" x14ac:dyDescent="0.25">
      <c r="A781" s="1">
        <v>592</v>
      </c>
      <c r="B781" s="1" t="s">
        <v>2432</v>
      </c>
      <c r="C781" s="1" t="s">
        <v>35</v>
      </c>
      <c r="D781" s="1" t="s">
        <v>36</v>
      </c>
      <c r="E781" s="1">
        <v>606</v>
      </c>
      <c r="F781" s="1" t="s">
        <v>2433</v>
      </c>
      <c r="G781" s="1" t="s">
        <v>2434</v>
      </c>
      <c r="H781" s="1" t="s">
        <v>1209</v>
      </c>
      <c r="I781" s="1" t="s">
        <v>29</v>
      </c>
      <c r="J781" s="1" t="s">
        <v>16</v>
      </c>
      <c r="K781" s="1" t="b">
        <v>0</v>
      </c>
      <c r="L781" s="1" t="s">
        <v>22</v>
      </c>
      <c r="M781" s="1" t="s">
        <v>16</v>
      </c>
      <c r="N781" s="1" t="s">
        <v>16</v>
      </c>
      <c r="O781" s="1" t="s">
        <v>9952</v>
      </c>
      <c r="P781" s="1" t="s">
        <v>16</v>
      </c>
      <c r="Q781" s="1">
        <v>100</v>
      </c>
      <c r="R781" s="1">
        <v>63750</v>
      </c>
      <c r="S781" s="1">
        <v>63750</v>
      </c>
    </row>
    <row r="782" spans="1:19" ht="12.5" x14ac:dyDescent="0.25">
      <c r="A782" s="1">
        <v>592</v>
      </c>
      <c r="B782" s="1" t="s">
        <v>2432</v>
      </c>
      <c r="C782" s="1" t="s">
        <v>35</v>
      </c>
      <c r="D782" s="1" t="s">
        <v>36</v>
      </c>
      <c r="E782" s="1">
        <v>606</v>
      </c>
      <c r="F782" s="1" t="s">
        <v>2433</v>
      </c>
      <c r="G782" s="1" t="s">
        <v>2434</v>
      </c>
      <c r="H782" s="1" t="s">
        <v>1209</v>
      </c>
      <c r="I782" s="1" t="s">
        <v>29</v>
      </c>
      <c r="J782" s="1" t="s">
        <v>16</v>
      </c>
      <c r="K782" s="1" t="b">
        <v>0</v>
      </c>
      <c r="L782" s="1" t="s">
        <v>22</v>
      </c>
      <c r="M782" s="1" t="s">
        <v>16</v>
      </c>
      <c r="N782" s="1" t="s">
        <v>16</v>
      </c>
      <c r="O782" s="1" t="s">
        <v>9940</v>
      </c>
      <c r="P782" s="1" t="s">
        <v>16</v>
      </c>
      <c r="Q782" s="1">
        <v>100</v>
      </c>
      <c r="R782" s="1">
        <v>25000</v>
      </c>
      <c r="S782" s="1">
        <v>25000</v>
      </c>
    </row>
    <row r="783" spans="1:19" ht="12.5" x14ac:dyDescent="0.25">
      <c r="A783" s="1">
        <v>592</v>
      </c>
      <c r="B783" s="1" t="s">
        <v>2432</v>
      </c>
      <c r="C783" s="1" t="s">
        <v>35</v>
      </c>
      <c r="D783" s="1" t="s">
        <v>36</v>
      </c>
      <c r="E783" s="1">
        <v>606</v>
      </c>
      <c r="F783" s="1" t="s">
        <v>2433</v>
      </c>
      <c r="G783" s="1" t="s">
        <v>2434</v>
      </c>
      <c r="H783" s="1" t="s">
        <v>1209</v>
      </c>
      <c r="I783" s="1" t="s">
        <v>29</v>
      </c>
      <c r="J783" s="1" t="s">
        <v>16</v>
      </c>
      <c r="K783" s="1" t="b">
        <v>0</v>
      </c>
      <c r="L783" s="1" t="s">
        <v>22</v>
      </c>
      <c r="M783" s="1">
        <v>2022</v>
      </c>
      <c r="N783" s="1" t="s">
        <v>16</v>
      </c>
      <c r="O783" s="1" t="s">
        <v>9935</v>
      </c>
      <c r="P783" s="1" t="s">
        <v>16</v>
      </c>
      <c r="Q783" s="1">
        <v>100</v>
      </c>
      <c r="R783" s="1">
        <v>150000</v>
      </c>
      <c r="S783" s="1">
        <v>150000</v>
      </c>
    </row>
    <row r="784" spans="1:19" ht="12.5" x14ac:dyDescent="0.25">
      <c r="A784" s="1">
        <v>592</v>
      </c>
      <c r="B784" s="1" t="s">
        <v>2432</v>
      </c>
      <c r="C784" s="1" t="s">
        <v>35</v>
      </c>
      <c r="D784" s="1" t="s">
        <v>36</v>
      </c>
      <c r="E784" s="1">
        <v>607</v>
      </c>
      <c r="F784" s="1" t="s">
        <v>2435</v>
      </c>
      <c r="G784" s="1" t="s">
        <v>2434</v>
      </c>
      <c r="H784" s="1" t="s">
        <v>2436</v>
      </c>
      <c r="I784" s="1" t="s">
        <v>20</v>
      </c>
      <c r="J784" s="1" t="s">
        <v>16</v>
      </c>
      <c r="K784" s="1" t="b">
        <v>0</v>
      </c>
      <c r="L784" s="1" t="s">
        <v>22</v>
      </c>
      <c r="M784" s="1" t="s">
        <v>16</v>
      </c>
      <c r="N784" s="1" t="s">
        <v>16</v>
      </c>
      <c r="O784" s="1" t="s">
        <v>16</v>
      </c>
      <c r="P784" s="1" t="s">
        <v>16</v>
      </c>
      <c r="Q784" s="1">
        <v>100</v>
      </c>
    </row>
    <row r="785" spans="1:19" ht="12.5" x14ac:dyDescent="0.25">
      <c r="A785" s="1">
        <v>593</v>
      </c>
      <c r="B785" s="1" t="s">
        <v>2437</v>
      </c>
      <c r="C785" s="1" t="s">
        <v>35</v>
      </c>
      <c r="D785" s="1" t="s">
        <v>36</v>
      </c>
      <c r="E785" s="1">
        <v>608</v>
      </c>
      <c r="F785" s="1" t="s">
        <v>2438</v>
      </c>
      <c r="G785" s="1" t="s">
        <v>2439</v>
      </c>
      <c r="H785" s="1" t="s">
        <v>1209</v>
      </c>
      <c r="I785" s="1" t="s">
        <v>29</v>
      </c>
      <c r="J785" s="1" t="s">
        <v>16</v>
      </c>
      <c r="K785" s="1" t="b">
        <v>0</v>
      </c>
      <c r="L785" s="1" t="s">
        <v>22</v>
      </c>
      <c r="M785" s="1">
        <v>2022</v>
      </c>
      <c r="N785" s="1" t="s">
        <v>16</v>
      </c>
      <c r="O785" s="1" t="s">
        <v>9935</v>
      </c>
      <c r="P785" s="1" t="s">
        <v>16</v>
      </c>
      <c r="Q785" s="1">
        <v>100</v>
      </c>
      <c r="R785" s="1">
        <v>100000</v>
      </c>
      <c r="S785" s="1">
        <v>100000</v>
      </c>
    </row>
    <row r="786" spans="1:19" ht="12.5" x14ac:dyDescent="0.25">
      <c r="A786" s="1">
        <v>593</v>
      </c>
      <c r="B786" s="1" t="s">
        <v>2437</v>
      </c>
      <c r="C786" s="1" t="s">
        <v>35</v>
      </c>
      <c r="D786" s="1" t="s">
        <v>36</v>
      </c>
      <c r="E786" s="1">
        <v>608</v>
      </c>
      <c r="F786" s="1" t="s">
        <v>2438</v>
      </c>
      <c r="G786" s="1" t="s">
        <v>2439</v>
      </c>
      <c r="H786" s="1" t="s">
        <v>1209</v>
      </c>
      <c r="I786" s="1" t="s">
        <v>29</v>
      </c>
      <c r="J786" s="1" t="s">
        <v>16</v>
      </c>
      <c r="K786" s="1" t="b">
        <v>0</v>
      </c>
      <c r="L786" s="1" t="s">
        <v>22</v>
      </c>
      <c r="M786" s="1">
        <v>2022</v>
      </c>
      <c r="N786" s="1" t="s">
        <v>16</v>
      </c>
      <c r="O786" s="1" t="s">
        <v>9942</v>
      </c>
      <c r="P786" s="1" t="s">
        <v>16</v>
      </c>
      <c r="Q786" s="1">
        <v>100</v>
      </c>
      <c r="R786" s="1">
        <v>150000</v>
      </c>
      <c r="S786" s="1">
        <v>150000</v>
      </c>
    </row>
    <row r="787" spans="1:19" ht="12.5" x14ac:dyDescent="0.25">
      <c r="A787" s="1">
        <v>593</v>
      </c>
      <c r="B787" s="1" t="s">
        <v>2437</v>
      </c>
      <c r="C787" s="1" t="s">
        <v>35</v>
      </c>
      <c r="D787" s="1" t="s">
        <v>36</v>
      </c>
      <c r="E787" s="1">
        <v>608</v>
      </c>
      <c r="F787" s="1" t="s">
        <v>2438</v>
      </c>
      <c r="G787" s="1" t="s">
        <v>2439</v>
      </c>
      <c r="H787" s="1" t="s">
        <v>1209</v>
      </c>
      <c r="I787" s="1" t="s">
        <v>29</v>
      </c>
      <c r="J787" s="1" t="s">
        <v>16</v>
      </c>
      <c r="K787" s="1" t="b">
        <v>0</v>
      </c>
      <c r="L787" s="1" t="s">
        <v>22</v>
      </c>
      <c r="M787" s="1" t="s">
        <v>16</v>
      </c>
      <c r="N787" s="1" t="s">
        <v>16</v>
      </c>
      <c r="O787" s="1" t="s">
        <v>9940</v>
      </c>
      <c r="P787" s="1" t="s">
        <v>16</v>
      </c>
      <c r="Q787" s="1">
        <v>100</v>
      </c>
      <c r="R787" s="1">
        <v>25000</v>
      </c>
      <c r="S787" s="1">
        <v>25000</v>
      </c>
    </row>
    <row r="788" spans="1:19" ht="12.5" x14ac:dyDescent="0.25">
      <c r="A788" s="1">
        <v>593</v>
      </c>
      <c r="B788" s="1" t="s">
        <v>2437</v>
      </c>
      <c r="C788" s="1" t="s">
        <v>35</v>
      </c>
      <c r="D788" s="1" t="s">
        <v>36</v>
      </c>
      <c r="E788" s="1">
        <v>608</v>
      </c>
      <c r="F788" s="1" t="s">
        <v>2438</v>
      </c>
      <c r="G788" s="1" t="s">
        <v>2439</v>
      </c>
      <c r="H788" s="1" t="s">
        <v>1209</v>
      </c>
      <c r="I788" s="1" t="s">
        <v>29</v>
      </c>
      <c r="J788" s="1" t="s">
        <v>16</v>
      </c>
      <c r="K788" s="1" t="b">
        <v>0</v>
      </c>
      <c r="L788" s="1" t="s">
        <v>22</v>
      </c>
      <c r="M788" s="1" t="s">
        <v>16</v>
      </c>
      <c r="N788" s="1" t="s">
        <v>16</v>
      </c>
      <c r="O788" s="1" t="s">
        <v>9952</v>
      </c>
      <c r="P788" s="1" t="s">
        <v>16</v>
      </c>
      <c r="Q788" s="1">
        <v>100</v>
      </c>
      <c r="R788" s="1">
        <v>41250</v>
      </c>
      <c r="S788" s="1">
        <v>41250</v>
      </c>
    </row>
    <row r="789" spans="1:19" ht="12.5" x14ac:dyDescent="0.25">
      <c r="A789" s="1">
        <v>593</v>
      </c>
      <c r="B789" s="1" t="s">
        <v>2437</v>
      </c>
      <c r="C789" s="1" t="s">
        <v>35</v>
      </c>
      <c r="D789" s="1" t="s">
        <v>36</v>
      </c>
      <c r="E789" s="1">
        <v>609</v>
      </c>
      <c r="F789" s="1" t="s">
        <v>2440</v>
      </c>
      <c r="G789" s="1" t="s">
        <v>2439</v>
      </c>
      <c r="H789" s="1" t="s">
        <v>2436</v>
      </c>
      <c r="I789" s="1" t="s">
        <v>20</v>
      </c>
      <c r="J789" s="1" t="s">
        <v>16</v>
      </c>
      <c r="K789" s="1" t="b">
        <v>0</v>
      </c>
      <c r="L789" s="1" t="s">
        <v>22</v>
      </c>
      <c r="M789" s="1" t="s">
        <v>16</v>
      </c>
      <c r="N789" s="1" t="s">
        <v>16</v>
      </c>
      <c r="O789" s="1" t="s">
        <v>16</v>
      </c>
      <c r="P789" s="1" t="s">
        <v>16</v>
      </c>
      <c r="Q789" s="1">
        <v>100</v>
      </c>
    </row>
    <row r="790" spans="1:19" ht="12.5" x14ac:dyDescent="0.25">
      <c r="A790" s="1">
        <v>594</v>
      </c>
      <c r="B790" s="1" t="s">
        <v>2441</v>
      </c>
      <c r="C790" s="1" t="s">
        <v>35</v>
      </c>
      <c r="D790" s="1" t="s">
        <v>36</v>
      </c>
      <c r="E790" s="1">
        <v>610</v>
      </c>
      <c r="F790" s="1" t="s">
        <v>2442</v>
      </c>
      <c r="G790" s="1" t="s">
        <v>2443</v>
      </c>
      <c r="H790" s="1" t="s">
        <v>1209</v>
      </c>
      <c r="I790" s="1" t="s">
        <v>29</v>
      </c>
      <c r="J790" s="1" t="s">
        <v>16</v>
      </c>
      <c r="K790" s="1" t="b">
        <v>0</v>
      </c>
      <c r="L790" s="1" t="s">
        <v>22</v>
      </c>
      <c r="M790" s="1" t="s">
        <v>16</v>
      </c>
      <c r="N790" s="1" t="s">
        <v>16</v>
      </c>
      <c r="O790" s="1" t="s">
        <v>9940</v>
      </c>
      <c r="P790" s="1" t="s">
        <v>16</v>
      </c>
      <c r="Q790" s="1">
        <v>100</v>
      </c>
      <c r="R790" s="1">
        <v>25000</v>
      </c>
      <c r="S790" s="1">
        <v>25000</v>
      </c>
    </row>
    <row r="791" spans="1:19" ht="12.5" x14ac:dyDescent="0.25">
      <c r="A791" s="1">
        <v>594</v>
      </c>
      <c r="B791" s="1" t="s">
        <v>2441</v>
      </c>
      <c r="C791" s="1" t="s">
        <v>35</v>
      </c>
      <c r="D791" s="1" t="s">
        <v>36</v>
      </c>
      <c r="E791" s="1">
        <v>610</v>
      </c>
      <c r="F791" s="1" t="s">
        <v>2442</v>
      </c>
      <c r="G791" s="1" t="s">
        <v>2443</v>
      </c>
      <c r="H791" s="1" t="s">
        <v>1209</v>
      </c>
      <c r="I791" s="1" t="s">
        <v>29</v>
      </c>
      <c r="J791" s="1" t="s">
        <v>16</v>
      </c>
      <c r="K791" s="1" t="b">
        <v>0</v>
      </c>
      <c r="L791" s="1" t="s">
        <v>22</v>
      </c>
      <c r="M791" s="1">
        <v>2022</v>
      </c>
      <c r="N791" s="1" t="s">
        <v>16</v>
      </c>
      <c r="O791" s="1" t="s">
        <v>9935</v>
      </c>
      <c r="P791" s="1" t="s">
        <v>16</v>
      </c>
      <c r="Q791" s="1">
        <v>100</v>
      </c>
      <c r="R791" s="1">
        <v>100000</v>
      </c>
      <c r="S791" s="1">
        <v>100000</v>
      </c>
    </row>
    <row r="792" spans="1:19" ht="12.5" x14ac:dyDescent="0.25">
      <c r="A792" s="1">
        <v>594</v>
      </c>
      <c r="B792" s="1" t="s">
        <v>2441</v>
      </c>
      <c r="C792" s="1" t="s">
        <v>35</v>
      </c>
      <c r="D792" s="1" t="s">
        <v>36</v>
      </c>
      <c r="E792" s="1">
        <v>610</v>
      </c>
      <c r="F792" s="1" t="s">
        <v>2442</v>
      </c>
      <c r="G792" s="1" t="s">
        <v>2443</v>
      </c>
      <c r="H792" s="1" t="s">
        <v>1209</v>
      </c>
      <c r="I792" s="1" t="s">
        <v>29</v>
      </c>
      <c r="J792" s="1" t="s">
        <v>16</v>
      </c>
      <c r="K792" s="1" t="b">
        <v>0</v>
      </c>
      <c r="L792" s="1" t="s">
        <v>22</v>
      </c>
      <c r="M792" s="1">
        <v>2022</v>
      </c>
      <c r="N792" s="1" t="s">
        <v>16</v>
      </c>
      <c r="O792" s="1" t="s">
        <v>9942</v>
      </c>
      <c r="P792" s="1" t="s">
        <v>16</v>
      </c>
      <c r="Q792" s="1">
        <v>100</v>
      </c>
      <c r="R792" s="1">
        <v>250000</v>
      </c>
      <c r="S792" s="1">
        <v>250000</v>
      </c>
    </row>
    <row r="793" spans="1:19" ht="12.5" x14ac:dyDescent="0.25">
      <c r="A793" s="1">
        <v>594</v>
      </c>
      <c r="B793" s="1" t="s">
        <v>2441</v>
      </c>
      <c r="C793" s="1" t="s">
        <v>35</v>
      </c>
      <c r="D793" s="1" t="s">
        <v>36</v>
      </c>
      <c r="E793" s="1">
        <v>610</v>
      </c>
      <c r="F793" s="1" t="s">
        <v>2442</v>
      </c>
      <c r="G793" s="1" t="s">
        <v>2443</v>
      </c>
      <c r="H793" s="1" t="s">
        <v>1209</v>
      </c>
      <c r="I793" s="1" t="s">
        <v>29</v>
      </c>
      <c r="J793" s="1" t="s">
        <v>16</v>
      </c>
      <c r="K793" s="1" t="b">
        <v>0</v>
      </c>
      <c r="L793" s="1" t="s">
        <v>22</v>
      </c>
      <c r="M793" s="1" t="s">
        <v>16</v>
      </c>
      <c r="N793" s="1" t="s">
        <v>16</v>
      </c>
      <c r="O793" s="1" t="s">
        <v>9952</v>
      </c>
      <c r="P793" s="1" t="s">
        <v>16</v>
      </c>
      <c r="Q793" s="1">
        <v>100</v>
      </c>
      <c r="R793" s="1">
        <v>56250</v>
      </c>
      <c r="S793" s="1">
        <v>56250</v>
      </c>
    </row>
    <row r="794" spans="1:19" ht="12.5" x14ac:dyDescent="0.25">
      <c r="A794" s="1">
        <v>594</v>
      </c>
      <c r="B794" s="1" t="s">
        <v>2441</v>
      </c>
      <c r="C794" s="1" t="s">
        <v>35</v>
      </c>
      <c r="D794" s="1" t="s">
        <v>36</v>
      </c>
      <c r="E794" s="1">
        <v>611</v>
      </c>
      <c r="F794" s="1" t="s">
        <v>2444</v>
      </c>
      <c r="G794" s="1" t="s">
        <v>2443</v>
      </c>
      <c r="H794" s="1" t="s">
        <v>2436</v>
      </c>
      <c r="I794" s="1" t="s">
        <v>20</v>
      </c>
      <c r="J794" s="1" t="s">
        <v>16</v>
      </c>
      <c r="K794" s="1" t="b">
        <v>0</v>
      </c>
      <c r="L794" s="1" t="s">
        <v>22</v>
      </c>
      <c r="M794" s="1" t="s">
        <v>16</v>
      </c>
      <c r="N794" s="1" t="s">
        <v>16</v>
      </c>
      <c r="O794" s="1" t="s">
        <v>16</v>
      </c>
      <c r="P794" s="1" t="s">
        <v>16</v>
      </c>
      <c r="Q794" s="1">
        <v>100</v>
      </c>
    </row>
    <row r="795" spans="1:19" ht="12.5" x14ac:dyDescent="0.25">
      <c r="A795" s="1">
        <v>595</v>
      </c>
      <c r="B795" s="1" t="s">
        <v>2445</v>
      </c>
      <c r="C795" s="1" t="s">
        <v>35</v>
      </c>
      <c r="D795" s="1" t="s">
        <v>36</v>
      </c>
      <c r="E795" s="1">
        <v>612</v>
      </c>
      <c r="F795" s="1" t="s">
        <v>2446</v>
      </c>
      <c r="G795" s="1" t="s">
        <v>2447</v>
      </c>
      <c r="H795" s="1" t="s">
        <v>2448</v>
      </c>
      <c r="I795" s="1" t="s">
        <v>29</v>
      </c>
      <c r="J795" s="1" t="s">
        <v>16</v>
      </c>
      <c r="K795" s="1" t="b">
        <v>0</v>
      </c>
      <c r="L795" s="1" t="s">
        <v>22</v>
      </c>
      <c r="M795" s="1" t="s">
        <v>16</v>
      </c>
      <c r="N795" s="1" t="s">
        <v>16</v>
      </c>
      <c r="O795" s="1" t="s">
        <v>9956</v>
      </c>
      <c r="P795" s="1" t="s">
        <v>16</v>
      </c>
      <c r="Q795" s="1">
        <v>100</v>
      </c>
      <c r="R795" s="1">
        <v>1</v>
      </c>
      <c r="S795" s="1">
        <v>1</v>
      </c>
    </row>
    <row r="796" spans="1:19" ht="12.5" x14ac:dyDescent="0.25">
      <c r="A796" s="1">
        <v>596</v>
      </c>
      <c r="B796" s="1" t="s">
        <v>2449</v>
      </c>
      <c r="C796" s="1" t="s">
        <v>35</v>
      </c>
      <c r="D796" s="1" t="s">
        <v>36</v>
      </c>
      <c r="E796" s="1">
        <v>613</v>
      </c>
      <c r="F796" s="1" t="s">
        <v>2450</v>
      </c>
      <c r="G796" s="1" t="s">
        <v>2451</v>
      </c>
      <c r="H796" s="1" t="s">
        <v>2452</v>
      </c>
      <c r="I796" s="1" t="s">
        <v>20</v>
      </c>
      <c r="J796" s="1" t="s">
        <v>16</v>
      </c>
      <c r="K796" s="1" t="b">
        <v>0</v>
      </c>
      <c r="L796" s="1" t="s">
        <v>22</v>
      </c>
      <c r="M796" s="1" t="s">
        <v>16</v>
      </c>
      <c r="N796" s="1" t="s">
        <v>16</v>
      </c>
      <c r="O796" s="1" t="s">
        <v>16</v>
      </c>
      <c r="P796" s="1" t="s">
        <v>16</v>
      </c>
      <c r="Q796" s="1">
        <v>100</v>
      </c>
    </row>
    <row r="797" spans="1:19" ht="12.5" x14ac:dyDescent="0.25">
      <c r="A797" s="1">
        <v>597</v>
      </c>
      <c r="B797" s="1" t="s">
        <v>2453</v>
      </c>
      <c r="C797" s="1" t="s">
        <v>35</v>
      </c>
      <c r="D797" s="1" t="s">
        <v>36</v>
      </c>
      <c r="E797" s="1">
        <v>614</v>
      </c>
      <c r="F797" s="1" t="s">
        <v>2454</v>
      </c>
      <c r="G797" s="1" t="s">
        <v>2455</v>
      </c>
      <c r="H797" s="1" t="s">
        <v>2456</v>
      </c>
      <c r="I797" s="1" t="s">
        <v>29</v>
      </c>
      <c r="J797" s="1" t="s">
        <v>2457</v>
      </c>
      <c r="K797" s="1" t="b">
        <v>0</v>
      </c>
      <c r="L797" s="1" t="s">
        <v>22</v>
      </c>
      <c r="M797" s="1" t="s">
        <v>16</v>
      </c>
      <c r="N797" s="1" t="s">
        <v>16</v>
      </c>
      <c r="O797" s="1" t="s">
        <v>9935</v>
      </c>
      <c r="P797" s="1" t="s">
        <v>16</v>
      </c>
      <c r="Q797" s="1">
        <v>100</v>
      </c>
      <c r="R797" s="1">
        <v>180000</v>
      </c>
      <c r="S797" s="1">
        <v>180000</v>
      </c>
    </row>
    <row r="798" spans="1:19" ht="12.5" x14ac:dyDescent="0.25">
      <c r="A798" s="1">
        <v>600</v>
      </c>
      <c r="B798" s="1" t="s">
        <v>2458</v>
      </c>
      <c r="C798" s="1" t="s">
        <v>35</v>
      </c>
      <c r="D798" s="1" t="s">
        <v>36</v>
      </c>
      <c r="E798" s="1">
        <v>615</v>
      </c>
      <c r="F798" s="1" t="s">
        <v>2459</v>
      </c>
      <c r="G798" s="1" t="s">
        <v>2460</v>
      </c>
      <c r="H798" s="1" t="s">
        <v>2461</v>
      </c>
      <c r="I798" s="1" t="s">
        <v>29</v>
      </c>
      <c r="J798" s="1" t="s">
        <v>16</v>
      </c>
      <c r="K798" s="1" t="b">
        <v>0</v>
      </c>
      <c r="L798" s="1" t="s">
        <v>22</v>
      </c>
      <c r="M798" s="1" t="s">
        <v>16</v>
      </c>
      <c r="N798" s="1" t="s">
        <v>16</v>
      </c>
      <c r="O798" s="1" t="s">
        <v>16</v>
      </c>
      <c r="P798" s="1" t="s">
        <v>16</v>
      </c>
      <c r="Q798" s="1">
        <v>100</v>
      </c>
    </row>
    <row r="799" spans="1:19" ht="12.5" x14ac:dyDescent="0.25">
      <c r="A799" s="1">
        <v>600</v>
      </c>
      <c r="B799" s="1" t="s">
        <v>2458</v>
      </c>
      <c r="C799" s="1" t="s">
        <v>35</v>
      </c>
      <c r="D799" s="1" t="s">
        <v>36</v>
      </c>
      <c r="E799" s="1">
        <v>616</v>
      </c>
      <c r="F799" s="1" t="s">
        <v>2462</v>
      </c>
      <c r="G799" s="1" t="s">
        <v>2460</v>
      </c>
      <c r="H799" s="1" t="s">
        <v>2463</v>
      </c>
      <c r="I799" s="1" t="s">
        <v>20</v>
      </c>
      <c r="J799" s="1" t="s">
        <v>2464</v>
      </c>
      <c r="K799" s="1" t="b">
        <v>0</v>
      </c>
      <c r="L799" s="1" t="s">
        <v>22</v>
      </c>
      <c r="M799" s="1" t="s">
        <v>16</v>
      </c>
      <c r="N799" s="1" t="s">
        <v>16</v>
      </c>
      <c r="O799" s="1" t="s">
        <v>16</v>
      </c>
      <c r="P799" s="1" t="s">
        <v>16</v>
      </c>
      <c r="Q799" s="1">
        <v>100</v>
      </c>
    </row>
    <row r="800" spans="1:19" ht="12.5" x14ac:dyDescent="0.25">
      <c r="A800" s="1">
        <v>601</v>
      </c>
      <c r="B800" s="1" t="s">
        <v>2465</v>
      </c>
      <c r="C800" s="1" t="s">
        <v>35</v>
      </c>
      <c r="D800" s="1" t="s">
        <v>36</v>
      </c>
      <c r="E800" s="1">
        <v>617</v>
      </c>
      <c r="F800" s="1" t="s">
        <v>2466</v>
      </c>
      <c r="G800" s="1" t="s">
        <v>2467</v>
      </c>
      <c r="H800" s="1" t="s">
        <v>2468</v>
      </c>
      <c r="I800" s="1" t="s">
        <v>20</v>
      </c>
      <c r="J800" s="1" t="s">
        <v>2469</v>
      </c>
      <c r="K800" s="1" t="b">
        <v>0</v>
      </c>
      <c r="L800" s="1" t="s">
        <v>22</v>
      </c>
      <c r="M800" s="1" t="s">
        <v>16</v>
      </c>
      <c r="N800" s="1" t="s">
        <v>16</v>
      </c>
      <c r="O800" s="1" t="s">
        <v>16</v>
      </c>
      <c r="P800" s="1" t="s">
        <v>16</v>
      </c>
      <c r="Q800" s="1">
        <v>100</v>
      </c>
    </row>
    <row r="801" spans="1:19" ht="12.5" x14ac:dyDescent="0.25">
      <c r="A801" s="1">
        <v>602</v>
      </c>
      <c r="B801" s="1" t="s">
        <v>2470</v>
      </c>
      <c r="C801" s="1" t="s">
        <v>35</v>
      </c>
      <c r="D801" s="1" t="s">
        <v>36</v>
      </c>
      <c r="E801" s="1">
        <v>618</v>
      </c>
      <c r="F801" s="1" t="s">
        <v>2471</v>
      </c>
      <c r="G801" s="1" t="s">
        <v>2472</v>
      </c>
      <c r="H801" s="1" t="s">
        <v>2473</v>
      </c>
      <c r="I801" s="1" t="s">
        <v>29</v>
      </c>
      <c r="J801" s="1" t="s">
        <v>16</v>
      </c>
      <c r="K801" s="1" t="b">
        <v>0</v>
      </c>
      <c r="L801" s="1" t="s">
        <v>22</v>
      </c>
      <c r="M801" s="1" t="s">
        <v>16</v>
      </c>
      <c r="N801" s="1" t="s">
        <v>16</v>
      </c>
      <c r="O801" s="1" t="s">
        <v>9935</v>
      </c>
      <c r="P801" s="1" t="s">
        <v>16</v>
      </c>
      <c r="Q801" s="1">
        <v>100</v>
      </c>
      <c r="R801" s="1">
        <v>350000</v>
      </c>
      <c r="S801" s="1">
        <v>350000</v>
      </c>
    </row>
    <row r="802" spans="1:19" ht="12.5" x14ac:dyDescent="0.25">
      <c r="A802" s="1">
        <v>602</v>
      </c>
      <c r="B802" s="1" t="s">
        <v>2470</v>
      </c>
      <c r="C802" s="1" t="s">
        <v>35</v>
      </c>
      <c r="D802" s="1" t="s">
        <v>36</v>
      </c>
      <c r="E802" s="1">
        <v>619</v>
      </c>
      <c r="F802" s="1" t="s">
        <v>2474</v>
      </c>
      <c r="G802" s="1" t="s">
        <v>2475</v>
      </c>
      <c r="H802" s="1" t="s">
        <v>2476</v>
      </c>
      <c r="I802" s="1" t="s">
        <v>20</v>
      </c>
      <c r="J802" s="1" t="s">
        <v>2477</v>
      </c>
      <c r="K802" s="1" t="b">
        <v>0</v>
      </c>
      <c r="L802" s="1" t="s">
        <v>22</v>
      </c>
      <c r="M802" s="1" t="s">
        <v>16</v>
      </c>
      <c r="N802" s="1" t="s">
        <v>16</v>
      </c>
      <c r="O802" s="1" t="s">
        <v>9935</v>
      </c>
      <c r="P802" s="1" t="s">
        <v>9975</v>
      </c>
      <c r="Q802" s="1">
        <v>100</v>
      </c>
      <c r="R802" s="1">
        <v>600000</v>
      </c>
      <c r="S802" s="1">
        <v>600000</v>
      </c>
    </row>
    <row r="803" spans="1:19" ht="12.5" x14ac:dyDescent="0.25">
      <c r="A803" s="1">
        <v>602</v>
      </c>
      <c r="B803" s="1" t="s">
        <v>2470</v>
      </c>
      <c r="C803" s="1" t="s">
        <v>35</v>
      </c>
      <c r="D803" s="1" t="s">
        <v>36</v>
      </c>
      <c r="E803" s="1">
        <v>619</v>
      </c>
      <c r="F803" s="1" t="s">
        <v>2474</v>
      </c>
      <c r="G803" s="1" t="s">
        <v>2475</v>
      </c>
      <c r="H803" s="1" t="s">
        <v>2476</v>
      </c>
      <c r="I803" s="1" t="s">
        <v>20</v>
      </c>
      <c r="J803" s="1" t="s">
        <v>2477</v>
      </c>
      <c r="K803" s="1" t="b">
        <v>0</v>
      </c>
      <c r="L803" s="1" t="s">
        <v>22</v>
      </c>
      <c r="M803" s="1" t="s">
        <v>16</v>
      </c>
      <c r="N803" s="1" t="s">
        <v>16</v>
      </c>
      <c r="O803" s="1" t="s">
        <v>9956</v>
      </c>
      <c r="P803" s="1" t="s">
        <v>16</v>
      </c>
      <c r="Q803" s="1">
        <v>100</v>
      </c>
      <c r="R803" s="1">
        <v>500000</v>
      </c>
      <c r="S803" s="1">
        <v>500000</v>
      </c>
    </row>
    <row r="804" spans="1:19" ht="12.5" x14ac:dyDescent="0.25">
      <c r="A804" s="1">
        <v>603</v>
      </c>
      <c r="B804" s="1" t="s">
        <v>2478</v>
      </c>
      <c r="C804" s="1" t="s">
        <v>35</v>
      </c>
      <c r="D804" s="1" t="s">
        <v>36</v>
      </c>
      <c r="E804" s="1">
        <v>620</v>
      </c>
      <c r="F804" s="1" t="s">
        <v>2479</v>
      </c>
      <c r="G804" s="1" t="s">
        <v>2480</v>
      </c>
      <c r="H804" s="1" t="s">
        <v>2481</v>
      </c>
      <c r="I804" s="1" t="s">
        <v>29</v>
      </c>
      <c r="J804" s="1" t="s">
        <v>16</v>
      </c>
      <c r="K804" s="1" t="b">
        <v>0</v>
      </c>
      <c r="L804" s="1" t="s">
        <v>22</v>
      </c>
      <c r="M804" s="1" t="s">
        <v>16</v>
      </c>
      <c r="N804" s="1" t="s">
        <v>16</v>
      </c>
      <c r="O804" s="1" t="s">
        <v>16</v>
      </c>
      <c r="P804" s="1" t="s">
        <v>16</v>
      </c>
      <c r="Q804" s="1">
        <v>100</v>
      </c>
    </row>
    <row r="805" spans="1:19" ht="12.5" x14ac:dyDescent="0.25">
      <c r="A805" s="1">
        <v>605</v>
      </c>
      <c r="B805" s="1" t="s">
        <v>2482</v>
      </c>
      <c r="C805" s="1" t="s">
        <v>35</v>
      </c>
      <c r="D805" s="1" t="s">
        <v>36</v>
      </c>
      <c r="E805" s="1">
        <v>621</v>
      </c>
      <c r="F805" s="1" t="s">
        <v>2483</v>
      </c>
      <c r="G805" s="1" t="s">
        <v>2484</v>
      </c>
      <c r="H805" s="1" t="s">
        <v>2485</v>
      </c>
      <c r="I805" s="1" t="s">
        <v>29</v>
      </c>
      <c r="J805" s="1" t="s">
        <v>2486</v>
      </c>
      <c r="K805" s="1" t="b">
        <v>0</v>
      </c>
      <c r="L805" s="1" t="s">
        <v>22</v>
      </c>
      <c r="M805" s="1">
        <v>2022</v>
      </c>
      <c r="N805" s="1" t="s">
        <v>16</v>
      </c>
      <c r="O805" s="1" t="s">
        <v>9942</v>
      </c>
      <c r="P805" s="1" t="s">
        <v>16</v>
      </c>
      <c r="Q805" s="1">
        <v>100</v>
      </c>
      <c r="R805" s="1">
        <v>250000</v>
      </c>
      <c r="S805" s="1">
        <v>250000</v>
      </c>
    </row>
    <row r="806" spans="1:19" ht="12.5" x14ac:dyDescent="0.25">
      <c r="A806" s="1">
        <v>605</v>
      </c>
      <c r="B806" s="1" t="s">
        <v>2482</v>
      </c>
      <c r="C806" s="1" t="s">
        <v>35</v>
      </c>
      <c r="D806" s="1" t="s">
        <v>36</v>
      </c>
      <c r="E806" s="1">
        <v>621</v>
      </c>
      <c r="F806" s="1" t="s">
        <v>2483</v>
      </c>
      <c r="G806" s="1" t="s">
        <v>2484</v>
      </c>
      <c r="H806" s="1" t="s">
        <v>2485</v>
      </c>
      <c r="I806" s="1" t="s">
        <v>29</v>
      </c>
      <c r="J806" s="1" t="s">
        <v>2486</v>
      </c>
      <c r="K806" s="1" t="b">
        <v>0</v>
      </c>
      <c r="L806" s="1" t="s">
        <v>22</v>
      </c>
      <c r="M806" s="1">
        <v>2022</v>
      </c>
      <c r="N806" s="1" t="s">
        <v>16</v>
      </c>
      <c r="O806" s="1" t="s">
        <v>9935</v>
      </c>
      <c r="P806" s="1" t="s">
        <v>16</v>
      </c>
      <c r="Q806" s="1">
        <v>100</v>
      </c>
      <c r="R806" s="1">
        <v>50000</v>
      </c>
      <c r="S806" s="1">
        <v>50000</v>
      </c>
    </row>
    <row r="807" spans="1:19" ht="12.5" x14ac:dyDescent="0.25">
      <c r="A807" s="1">
        <v>607</v>
      </c>
      <c r="B807" s="1" t="s">
        <v>2487</v>
      </c>
      <c r="C807" s="1" t="s">
        <v>35</v>
      </c>
      <c r="D807" s="1" t="s">
        <v>36</v>
      </c>
      <c r="E807" s="1">
        <v>622</v>
      </c>
      <c r="F807" s="1" t="s">
        <v>2488</v>
      </c>
      <c r="G807" s="1" t="s">
        <v>2489</v>
      </c>
      <c r="H807" s="1" t="s">
        <v>2490</v>
      </c>
      <c r="I807" s="1" t="s">
        <v>29</v>
      </c>
      <c r="J807" s="1" t="s">
        <v>16</v>
      </c>
      <c r="K807" s="1" t="b">
        <v>0</v>
      </c>
      <c r="L807" s="1" t="s">
        <v>22</v>
      </c>
      <c r="M807" s="1" t="s">
        <v>16</v>
      </c>
      <c r="N807" s="1" t="s">
        <v>16</v>
      </c>
      <c r="O807" s="1" t="s">
        <v>16</v>
      </c>
      <c r="P807" s="1" t="s">
        <v>16</v>
      </c>
      <c r="Q807" s="1">
        <v>100</v>
      </c>
    </row>
    <row r="808" spans="1:19" ht="12.5" x14ac:dyDescent="0.25">
      <c r="A808" s="1">
        <v>608</v>
      </c>
      <c r="B808" s="1" t="s">
        <v>2491</v>
      </c>
      <c r="C808" s="1" t="s">
        <v>35</v>
      </c>
      <c r="D808" s="1" t="s">
        <v>36</v>
      </c>
      <c r="E808" s="1">
        <v>623</v>
      </c>
      <c r="F808" s="1" t="s">
        <v>2492</v>
      </c>
      <c r="G808" s="1" t="s">
        <v>2493</v>
      </c>
      <c r="H808" s="1" t="s">
        <v>2494</v>
      </c>
      <c r="I808" s="1" t="s">
        <v>29</v>
      </c>
      <c r="J808" s="1" t="s">
        <v>16</v>
      </c>
      <c r="K808" s="1" t="b">
        <v>0</v>
      </c>
      <c r="L808" s="1" t="s">
        <v>22</v>
      </c>
      <c r="M808" s="1" t="s">
        <v>16</v>
      </c>
      <c r="N808" s="1" t="s">
        <v>16</v>
      </c>
      <c r="O808" s="1" t="s">
        <v>16</v>
      </c>
      <c r="P808" s="1" t="s">
        <v>16</v>
      </c>
      <c r="Q808" s="1">
        <v>100</v>
      </c>
    </row>
    <row r="809" spans="1:19" ht="12.5" x14ac:dyDescent="0.25">
      <c r="A809" s="1">
        <v>609</v>
      </c>
      <c r="B809" s="1" t="s">
        <v>2495</v>
      </c>
      <c r="C809" s="1" t="s">
        <v>35</v>
      </c>
      <c r="D809" s="1" t="s">
        <v>36</v>
      </c>
      <c r="E809" s="1">
        <v>624</v>
      </c>
      <c r="F809" s="1" t="s">
        <v>2496</v>
      </c>
      <c r="G809" s="1" t="s">
        <v>2497</v>
      </c>
      <c r="H809" s="1" t="s">
        <v>2498</v>
      </c>
      <c r="I809" s="1" t="s">
        <v>29</v>
      </c>
      <c r="J809" s="1" t="s">
        <v>2499</v>
      </c>
      <c r="K809" s="1" t="b">
        <v>0</v>
      </c>
      <c r="L809" s="1" t="s">
        <v>22</v>
      </c>
      <c r="M809" s="1" t="s">
        <v>16</v>
      </c>
      <c r="N809" s="1" t="s">
        <v>16</v>
      </c>
      <c r="O809" s="1" t="s">
        <v>9952</v>
      </c>
      <c r="P809" s="1" t="s">
        <v>16</v>
      </c>
      <c r="Q809" s="1">
        <v>100</v>
      </c>
      <c r="R809" s="1">
        <v>157500</v>
      </c>
      <c r="S809" s="1">
        <v>157500</v>
      </c>
    </row>
    <row r="810" spans="1:19" ht="12.5" x14ac:dyDescent="0.25">
      <c r="A810" s="1">
        <v>609</v>
      </c>
      <c r="B810" s="1" t="s">
        <v>2495</v>
      </c>
      <c r="C810" s="1" t="s">
        <v>35</v>
      </c>
      <c r="D810" s="1" t="s">
        <v>36</v>
      </c>
      <c r="E810" s="1">
        <v>624</v>
      </c>
      <c r="F810" s="1" t="s">
        <v>2496</v>
      </c>
      <c r="G810" s="1" t="s">
        <v>2497</v>
      </c>
      <c r="H810" s="1" t="s">
        <v>2498</v>
      </c>
      <c r="I810" s="1" t="s">
        <v>29</v>
      </c>
      <c r="J810" s="1" t="s">
        <v>2499</v>
      </c>
      <c r="K810" s="1" t="b">
        <v>0</v>
      </c>
      <c r="L810" s="1" t="s">
        <v>22</v>
      </c>
      <c r="M810" s="1">
        <v>2022</v>
      </c>
      <c r="N810" s="1" t="s">
        <v>16</v>
      </c>
      <c r="O810" s="1" t="s">
        <v>9935</v>
      </c>
      <c r="P810" s="1" t="s">
        <v>16</v>
      </c>
      <c r="Q810" s="1">
        <v>100</v>
      </c>
      <c r="R810" s="1">
        <v>750000</v>
      </c>
      <c r="S810" s="1">
        <v>750000</v>
      </c>
    </row>
    <row r="811" spans="1:19" ht="12.5" x14ac:dyDescent="0.25">
      <c r="A811" s="1">
        <v>609</v>
      </c>
      <c r="B811" s="1" t="s">
        <v>2495</v>
      </c>
      <c r="C811" s="1" t="s">
        <v>35</v>
      </c>
      <c r="D811" s="1" t="s">
        <v>36</v>
      </c>
      <c r="E811" s="1">
        <v>624</v>
      </c>
      <c r="F811" s="1" t="s">
        <v>2496</v>
      </c>
      <c r="G811" s="1" t="s">
        <v>2497</v>
      </c>
      <c r="H811" s="1" t="s">
        <v>2498</v>
      </c>
      <c r="I811" s="1" t="s">
        <v>29</v>
      </c>
      <c r="J811" s="1" t="s">
        <v>2499</v>
      </c>
      <c r="K811" s="1" t="b">
        <v>0</v>
      </c>
      <c r="L811" s="1" t="s">
        <v>22</v>
      </c>
      <c r="M811" s="1" t="s">
        <v>16</v>
      </c>
      <c r="N811" s="1" t="s">
        <v>16</v>
      </c>
      <c r="O811" s="1" t="s">
        <v>9940</v>
      </c>
      <c r="P811" s="1" t="s">
        <v>16</v>
      </c>
      <c r="Q811" s="1">
        <v>100</v>
      </c>
      <c r="R811" s="1">
        <v>50000</v>
      </c>
      <c r="S811" s="1">
        <v>50000</v>
      </c>
    </row>
    <row r="812" spans="1:19" ht="12.5" x14ac:dyDescent="0.25">
      <c r="A812" s="1">
        <v>609</v>
      </c>
      <c r="B812" s="1" t="s">
        <v>2495</v>
      </c>
      <c r="C812" s="1" t="s">
        <v>35</v>
      </c>
      <c r="D812" s="1" t="s">
        <v>36</v>
      </c>
      <c r="E812" s="1">
        <v>624</v>
      </c>
      <c r="F812" s="1" t="s">
        <v>2496</v>
      </c>
      <c r="G812" s="1" t="s">
        <v>2497</v>
      </c>
      <c r="H812" s="1" t="s">
        <v>2498</v>
      </c>
      <c r="I812" s="1" t="s">
        <v>29</v>
      </c>
      <c r="J812" s="1" t="s">
        <v>2499</v>
      </c>
      <c r="K812" s="1" t="b">
        <v>0</v>
      </c>
      <c r="L812" s="1" t="s">
        <v>22</v>
      </c>
      <c r="M812" s="1">
        <v>2022</v>
      </c>
      <c r="N812" s="1" t="s">
        <v>16</v>
      </c>
      <c r="O812" s="1" t="s">
        <v>9942</v>
      </c>
      <c r="P812" s="1" t="s">
        <v>16</v>
      </c>
      <c r="Q812" s="1">
        <v>100</v>
      </c>
      <c r="R812" s="1">
        <v>250000</v>
      </c>
      <c r="S812" s="1">
        <v>250000</v>
      </c>
    </row>
    <row r="813" spans="1:19" ht="12.5" x14ac:dyDescent="0.25">
      <c r="A813" s="1">
        <v>610</v>
      </c>
      <c r="B813" s="1" t="s">
        <v>2500</v>
      </c>
      <c r="C813" s="1" t="s">
        <v>35</v>
      </c>
      <c r="D813" s="1" t="s">
        <v>36</v>
      </c>
      <c r="E813" s="1">
        <v>625</v>
      </c>
      <c r="F813" s="1" t="s">
        <v>2501</v>
      </c>
      <c r="G813" s="1" t="s">
        <v>2502</v>
      </c>
      <c r="H813" s="1" t="s">
        <v>2503</v>
      </c>
      <c r="I813" s="1" t="s">
        <v>29</v>
      </c>
      <c r="J813" s="1" t="s">
        <v>2504</v>
      </c>
      <c r="K813" s="1" t="b">
        <v>0</v>
      </c>
      <c r="L813" s="1" t="s">
        <v>22</v>
      </c>
      <c r="M813" s="1">
        <v>2022</v>
      </c>
      <c r="N813" s="1" t="s">
        <v>32</v>
      </c>
      <c r="O813" s="1" t="s">
        <v>9935</v>
      </c>
      <c r="P813" s="1" t="s">
        <v>16</v>
      </c>
      <c r="Q813" s="1">
        <v>100</v>
      </c>
      <c r="R813" s="1">
        <v>200000</v>
      </c>
      <c r="S813" s="1">
        <v>200000</v>
      </c>
    </row>
    <row r="814" spans="1:19" ht="12.5" x14ac:dyDescent="0.25">
      <c r="A814" s="1">
        <v>610</v>
      </c>
      <c r="B814" s="1" t="s">
        <v>2500</v>
      </c>
      <c r="C814" s="1" t="s">
        <v>35</v>
      </c>
      <c r="D814" s="1" t="s">
        <v>36</v>
      </c>
      <c r="E814" s="1">
        <v>625</v>
      </c>
      <c r="F814" s="1" t="s">
        <v>2501</v>
      </c>
      <c r="G814" s="1" t="s">
        <v>2502</v>
      </c>
      <c r="H814" s="1" t="s">
        <v>2503</v>
      </c>
      <c r="I814" s="1" t="s">
        <v>29</v>
      </c>
      <c r="J814" s="1" t="s">
        <v>2504</v>
      </c>
      <c r="K814" s="1" t="b">
        <v>0</v>
      </c>
      <c r="L814" s="1" t="s">
        <v>22</v>
      </c>
      <c r="M814" s="1">
        <v>2022</v>
      </c>
      <c r="N814" s="1" t="s">
        <v>32</v>
      </c>
      <c r="O814" s="1" t="s">
        <v>9942</v>
      </c>
      <c r="P814" s="1" t="s">
        <v>16</v>
      </c>
      <c r="Q814" s="1">
        <v>100</v>
      </c>
      <c r="R814" s="1">
        <v>250000</v>
      </c>
      <c r="S814" s="1">
        <v>250000</v>
      </c>
    </row>
    <row r="815" spans="1:19" ht="12.5" x14ac:dyDescent="0.25">
      <c r="A815" s="1" t="s">
        <v>16</v>
      </c>
      <c r="B815" s="1" t="s">
        <v>16</v>
      </c>
      <c r="C815" s="1" t="s">
        <v>16</v>
      </c>
      <c r="D815" s="1" t="s">
        <v>16</v>
      </c>
      <c r="E815" s="1">
        <v>626</v>
      </c>
      <c r="F815" s="1" t="s">
        <v>2505</v>
      </c>
      <c r="G815" s="1" t="s">
        <v>2506</v>
      </c>
      <c r="H815" s="1" t="s">
        <v>1209</v>
      </c>
      <c r="I815" s="1" t="s">
        <v>29</v>
      </c>
      <c r="J815" s="1" t="s">
        <v>16</v>
      </c>
      <c r="K815" s="1" t="b">
        <v>0</v>
      </c>
      <c r="L815" s="1" t="s">
        <v>22</v>
      </c>
      <c r="M815" s="1" t="s">
        <v>16</v>
      </c>
      <c r="N815" s="1" t="s">
        <v>16</v>
      </c>
      <c r="O815" s="1" t="s">
        <v>16</v>
      </c>
      <c r="P815" s="1" t="s">
        <v>16</v>
      </c>
    </row>
    <row r="816" spans="1:19" ht="12.5" x14ac:dyDescent="0.25">
      <c r="A816" s="1">
        <v>612</v>
      </c>
      <c r="B816" s="1" t="s">
        <v>2507</v>
      </c>
      <c r="C816" s="1" t="s">
        <v>35</v>
      </c>
      <c r="D816" s="1" t="s">
        <v>36</v>
      </c>
      <c r="E816" s="1">
        <v>627</v>
      </c>
      <c r="F816" s="1" t="s">
        <v>2508</v>
      </c>
      <c r="G816" s="1" t="s">
        <v>2509</v>
      </c>
      <c r="H816" s="1" t="s">
        <v>2510</v>
      </c>
      <c r="I816" s="1" t="s">
        <v>29</v>
      </c>
      <c r="J816" s="1" t="s">
        <v>16</v>
      </c>
      <c r="K816" s="1" t="b">
        <v>0</v>
      </c>
      <c r="L816" s="1" t="s">
        <v>22</v>
      </c>
      <c r="M816" s="1" t="s">
        <v>16</v>
      </c>
      <c r="N816" s="1" t="s">
        <v>16</v>
      </c>
      <c r="O816" s="1" t="s">
        <v>9956</v>
      </c>
      <c r="P816" s="1" t="s">
        <v>16</v>
      </c>
      <c r="Q816" s="1">
        <v>100</v>
      </c>
      <c r="R816" s="1">
        <v>1000</v>
      </c>
      <c r="S816" s="1">
        <v>1000</v>
      </c>
    </row>
    <row r="817" spans="1:19" ht="12.5" x14ac:dyDescent="0.25">
      <c r="A817" s="1">
        <v>613</v>
      </c>
      <c r="B817" s="1" t="s">
        <v>2511</v>
      </c>
      <c r="C817" s="1" t="s">
        <v>35</v>
      </c>
      <c r="D817" s="1" t="s">
        <v>36</v>
      </c>
      <c r="E817" s="1">
        <v>628</v>
      </c>
      <c r="F817" s="1" t="s">
        <v>2512</v>
      </c>
      <c r="G817" s="1" t="s">
        <v>2513</v>
      </c>
      <c r="H817" s="1" t="s">
        <v>2514</v>
      </c>
      <c r="I817" s="1" t="s">
        <v>29</v>
      </c>
      <c r="J817" s="1" t="s">
        <v>16</v>
      </c>
      <c r="K817" s="1" t="b">
        <v>0</v>
      </c>
      <c r="L817" s="1" t="s">
        <v>22</v>
      </c>
      <c r="M817" s="1">
        <v>2022</v>
      </c>
      <c r="N817" s="1" t="s">
        <v>52</v>
      </c>
      <c r="O817" s="1" t="s">
        <v>9935</v>
      </c>
      <c r="P817" s="1" t="s">
        <v>16</v>
      </c>
      <c r="Q817" s="1">
        <v>100</v>
      </c>
      <c r="R817" s="1">
        <v>200000</v>
      </c>
      <c r="S817" s="1">
        <v>200000</v>
      </c>
    </row>
    <row r="818" spans="1:19" ht="12.5" x14ac:dyDescent="0.25">
      <c r="A818" s="1">
        <v>615</v>
      </c>
      <c r="B818" s="1" t="s">
        <v>2515</v>
      </c>
      <c r="C818" s="1" t="s">
        <v>35</v>
      </c>
      <c r="D818" s="1" t="s">
        <v>36</v>
      </c>
      <c r="E818" s="1">
        <v>629</v>
      </c>
      <c r="F818" s="1" t="s">
        <v>2516</v>
      </c>
      <c r="G818" s="1" t="s">
        <v>2517</v>
      </c>
      <c r="H818" s="1" t="s">
        <v>2518</v>
      </c>
      <c r="I818" s="1" t="s">
        <v>29</v>
      </c>
      <c r="J818" s="1" t="s">
        <v>2519</v>
      </c>
      <c r="K818" s="1" t="b">
        <v>0</v>
      </c>
      <c r="L818" s="1" t="s">
        <v>22</v>
      </c>
      <c r="M818" s="1">
        <v>2022</v>
      </c>
      <c r="N818" s="1" t="s">
        <v>52</v>
      </c>
      <c r="O818" s="1" t="s">
        <v>9942</v>
      </c>
      <c r="P818" s="1" t="s">
        <v>16</v>
      </c>
      <c r="Q818" s="1">
        <v>100</v>
      </c>
      <c r="R818" s="1">
        <v>214200</v>
      </c>
      <c r="S818" s="1">
        <v>214200</v>
      </c>
    </row>
    <row r="819" spans="1:19" ht="12.5" x14ac:dyDescent="0.25">
      <c r="A819" s="1">
        <v>615</v>
      </c>
      <c r="B819" s="1" t="s">
        <v>2515</v>
      </c>
      <c r="C819" s="1" t="s">
        <v>35</v>
      </c>
      <c r="D819" s="1" t="s">
        <v>36</v>
      </c>
      <c r="E819" s="1">
        <v>629</v>
      </c>
      <c r="F819" s="1" t="s">
        <v>2516</v>
      </c>
      <c r="G819" s="1" t="s">
        <v>2517</v>
      </c>
      <c r="H819" s="1" t="s">
        <v>2518</v>
      </c>
      <c r="I819" s="1" t="s">
        <v>29</v>
      </c>
      <c r="J819" s="1" t="s">
        <v>2519</v>
      </c>
      <c r="K819" s="1" t="b">
        <v>0</v>
      </c>
      <c r="L819" s="1" t="s">
        <v>22</v>
      </c>
      <c r="M819" s="1">
        <v>2022</v>
      </c>
      <c r="N819" s="1" t="s">
        <v>52</v>
      </c>
      <c r="O819" s="1" t="s">
        <v>9935</v>
      </c>
      <c r="P819" s="1" t="s">
        <v>16</v>
      </c>
      <c r="Q819" s="1">
        <v>100</v>
      </c>
      <c r="R819" s="1">
        <v>400000</v>
      </c>
      <c r="S819" s="1">
        <v>400000</v>
      </c>
    </row>
    <row r="820" spans="1:19" ht="12.5" x14ac:dyDescent="0.25">
      <c r="A820" s="1">
        <v>615</v>
      </c>
      <c r="B820" s="1" t="s">
        <v>2515</v>
      </c>
      <c r="C820" s="1" t="s">
        <v>35</v>
      </c>
      <c r="D820" s="1" t="s">
        <v>36</v>
      </c>
      <c r="E820" s="1">
        <v>630</v>
      </c>
      <c r="F820" s="1" t="s">
        <v>2520</v>
      </c>
      <c r="G820" s="1" t="s">
        <v>2521</v>
      </c>
      <c r="H820" s="1" t="s">
        <v>2522</v>
      </c>
      <c r="I820" s="1" t="s">
        <v>20</v>
      </c>
      <c r="J820" s="1" t="s">
        <v>2523</v>
      </c>
      <c r="K820" s="1" t="b">
        <v>0</v>
      </c>
      <c r="L820" s="1" t="s">
        <v>22</v>
      </c>
      <c r="M820" s="1">
        <v>2023</v>
      </c>
      <c r="N820" s="1" t="s">
        <v>23</v>
      </c>
      <c r="O820" s="1" t="s">
        <v>9935</v>
      </c>
      <c r="P820" s="1" t="s">
        <v>9976</v>
      </c>
      <c r="Q820" s="1">
        <v>100</v>
      </c>
      <c r="R820" s="1">
        <v>600000</v>
      </c>
      <c r="S820" s="1">
        <v>600000</v>
      </c>
    </row>
    <row r="821" spans="1:19" ht="12.5" x14ac:dyDescent="0.25">
      <c r="A821" s="1">
        <v>618</v>
      </c>
      <c r="B821" s="1" t="s">
        <v>2524</v>
      </c>
      <c r="C821" s="1" t="s">
        <v>35</v>
      </c>
      <c r="D821" s="1" t="s">
        <v>36</v>
      </c>
      <c r="E821" s="1">
        <v>631</v>
      </c>
      <c r="F821" s="1" t="s">
        <v>2525</v>
      </c>
      <c r="G821" s="1" t="s">
        <v>2526</v>
      </c>
      <c r="H821" s="1" t="s">
        <v>2527</v>
      </c>
      <c r="I821" s="1" t="s">
        <v>29</v>
      </c>
      <c r="J821" s="1" t="s">
        <v>16</v>
      </c>
      <c r="K821" s="1" t="b">
        <v>0</v>
      </c>
      <c r="L821" s="1" t="s">
        <v>22</v>
      </c>
      <c r="M821" s="1">
        <v>2021</v>
      </c>
      <c r="N821" s="1" t="s">
        <v>45</v>
      </c>
      <c r="O821" s="1" t="s">
        <v>9942</v>
      </c>
      <c r="P821" s="1" t="s">
        <v>9977</v>
      </c>
      <c r="Q821" s="1">
        <v>100</v>
      </c>
      <c r="R821" s="1">
        <v>40000</v>
      </c>
      <c r="S821" s="1">
        <v>40000</v>
      </c>
    </row>
    <row r="822" spans="1:19" ht="12.5" x14ac:dyDescent="0.25">
      <c r="A822" s="1">
        <v>618</v>
      </c>
      <c r="B822" s="1" t="s">
        <v>2524</v>
      </c>
      <c r="C822" s="1" t="s">
        <v>35</v>
      </c>
      <c r="D822" s="1" t="s">
        <v>36</v>
      </c>
      <c r="E822" s="1">
        <v>632</v>
      </c>
      <c r="F822" s="1" t="s">
        <v>2528</v>
      </c>
      <c r="G822" s="1" t="s">
        <v>2526</v>
      </c>
      <c r="H822" s="1" t="s">
        <v>2529</v>
      </c>
      <c r="I822" s="1" t="s">
        <v>29</v>
      </c>
      <c r="J822" s="1" t="s">
        <v>16</v>
      </c>
      <c r="K822" s="1" t="b">
        <v>0</v>
      </c>
      <c r="L822" s="1" t="s">
        <v>22</v>
      </c>
      <c r="M822" s="1" t="s">
        <v>16</v>
      </c>
      <c r="N822" s="1" t="s">
        <v>16</v>
      </c>
      <c r="O822" s="1" t="s">
        <v>16</v>
      </c>
      <c r="P822" s="1" t="s">
        <v>16</v>
      </c>
      <c r="Q822" s="1">
        <v>100</v>
      </c>
    </row>
    <row r="823" spans="1:19" ht="12.5" x14ac:dyDescent="0.25">
      <c r="A823" s="1">
        <v>619</v>
      </c>
      <c r="B823" s="1" t="s">
        <v>2530</v>
      </c>
      <c r="C823" s="1" t="s">
        <v>35</v>
      </c>
      <c r="D823" s="1" t="s">
        <v>36</v>
      </c>
      <c r="E823" s="1">
        <v>633</v>
      </c>
      <c r="F823" s="1" t="s">
        <v>2531</v>
      </c>
      <c r="G823" s="1" t="s">
        <v>2532</v>
      </c>
      <c r="H823" s="1" t="s">
        <v>2533</v>
      </c>
      <c r="I823" s="1" t="s">
        <v>29</v>
      </c>
      <c r="J823" s="1" t="s">
        <v>16</v>
      </c>
      <c r="K823" s="1" t="b">
        <v>0</v>
      </c>
      <c r="L823" s="1" t="s">
        <v>22</v>
      </c>
      <c r="M823" s="1" t="s">
        <v>16</v>
      </c>
      <c r="N823" s="1" t="s">
        <v>16</v>
      </c>
      <c r="O823" s="1" t="s">
        <v>16</v>
      </c>
      <c r="P823" s="1" t="s">
        <v>16</v>
      </c>
      <c r="Q823" s="1">
        <v>100</v>
      </c>
    </row>
    <row r="824" spans="1:19" ht="12.5" x14ac:dyDescent="0.25">
      <c r="A824" s="1">
        <v>620</v>
      </c>
      <c r="B824" s="1" t="s">
        <v>2534</v>
      </c>
      <c r="C824" s="1" t="s">
        <v>35</v>
      </c>
      <c r="D824" s="1" t="s">
        <v>36</v>
      </c>
      <c r="E824" s="1">
        <v>634</v>
      </c>
      <c r="F824" s="1" t="s">
        <v>2535</v>
      </c>
      <c r="G824" s="1" t="s">
        <v>2536</v>
      </c>
      <c r="H824" s="1" t="s">
        <v>2537</v>
      </c>
      <c r="I824" s="1" t="s">
        <v>29</v>
      </c>
      <c r="J824" s="1" t="s">
        <v>16</v>
      </c>
      <c r="K824" s="1" t="b">
        <v>0</v>
      </c>
      <c r="L824" s="1" t="s">
        <v>22</v>
      </c>
      <c r="M824" s="1">
        <v>2024</v>
      </c>
      <c r="N824" s="1" t="s">
        <v>16</v>
      </c>
      <c r="O824" s="1" t="s">
        <v>9956</v>
      </c>
      <c r="P824" s="1" t="s">
        <v>16</v>
      </c>
      <c r="Q824" s="1">
        <v>100</v>
      </c>
      <c r="R824" s="1">
        <v>1200000</v>
      </c>
      <c r="S824" s="1">
        <v>1200000</v>
      </c>
    </row>
    <row r="825" spans="1:19" ht="12.5" x14ac:dyDescent="0.25">
      <c r="A825" s="1" t="s">
        <v>16</v>
      </c>
      <c r="B825" s="1" t="s">
        <v>16</v>
      </c>
      <c r="C825" s="1" t="s">
        <v>16</v>
      </c>
      <c r="D825" s="1" t="s">
        <v>16</v>
      </c>
      <c r="E825" s="1">
        <v>635</v>
      </c>
      <c r="F825" s="1" t="s">
        <v>2538</v>
      </c>
      <c r="G825" s="1" t="s">
        <v>2539</v>
      </c>
      <c r="H825" s="1" t="s">
        <v>2540</v>
      </c>
      <c r="I825" s="1" t="s">
        <v>29</v>
      </c>
      <c r="J825" s="1" t="s">
        <v>16</v>
      </c>
      <c r="K825" s="1" t="b">
        <v>0</v>
      </c>
      <c r="L825" s="1" t="s">
        <v>22</v>
      </c>
      <c r="M825" s="1" t="s">
        <v>16</v>
      </c>
      <c r="N825" s="1" t="s">
        <v>16</v>
      </c>
      <c r="O825" s="1" t="s">
        <v>16</v>
      </c>
      <c r="P825" s="1" t="s">
        <v>16</v>
      </c>
    </row>
    <row r="826" spans="1:19" ht="12.5" x14ac:dyDescent="0.25">
      <c r="A826" s="1">
        <v>622</v>
      </c>
      <c r="B826" s="1" t="s">
        <v>2541</v>
      </c>
      <c r="C826" s="1" t="s">
        <v>35</v>
      </c>
      <c r="D826" s="1" t="s">
        <v>36</v>
      </c>
      <c r="E826" s="1">
        <v>636</v>
      </c>
      <c r="F826" s="1" t="s">
        <v>2542</v>
      </c>
      <c r="G826" s="1" t="s">
        <v>2543</v>
      </c>
      <c r="H826" s="1"/>
      <c r="I826" s="1" t="s">
        <v>29</v>
      </c>
      <c r="J826" s="1" t="s">
        <v>16</v>
      </c>
      <c r="K826" s="1" t="b">
        <v>0</v>
      </c>
      <c r="L826" s="1" t="s">
        <v>22</v>
      </c>
      <c r="M826" s="1">
        <v>2021</v>
      </c>
      <c r="N826" s="1" t="s">
        <v>16</v>
      </c>
      <c r="O826" s="1" t="s">
        <v>9942</v>
      </c>
      <c r="P826" s="1" t="s">
        <v>16</v>
      </c>
      <c r="Q826" s="1">
        <v>100</v>
      </c>
      <c r="R826" s="1">
        <v>125000</v>
      </c>
      <c r="S826" s="1">
        <v>125000</v>
      </c>
    </row>
    <row r="827" spans="1:19" ht="12.5" x14ac:dyDescent="0.25">
      <c r="A827" s="1">
        <v>622</v>
      </c>
      <c r="B827" s="1" t="s">
        <v>2541</v>
      </c>
      <c r="C827" s="1" t="s">
        <v>35</v>
      </c>
      <c r="D827" s="1" t="s">
        <v>36</v>
      </c>
      <c r="E827" s="1">
        <v>636</v>
      </c>
      <c r="F827" s="1" t="s">
        <v>2542</v>
      </c>
      <c r="G827" s="1" t="s">
        <v>2543</v>
      </c>
      <c r="H827" s="1"/>
      <c r="I827" s="1" t="s">
        <v>29</v>
      </c>
      <c r="J827" s="1" t="s">
        <v>16</v>
      </c>
      <c r="K827" s="1" t="b">
        <v>0</v>
      </c>
      <c r="L827" s="1" t="s">
        <v>22</v>
      </c>
      <c r="M827" s="1" t="s">
        <v>16</v>
      </c>
      <c r="N827" s="1" t="s">
        <v>16</v>
      </c>
      <c r="O827" s="1" t="s">
        <v>9940</v>
      </c>
      <c r="P827" s="1" t="s">
        <v>16</v>
      </c>
      <c r="Q827" s="1">
        <v>100</v>
      </c>
      <c r="R827" s="1">
        <v>100000</v>
      </c>
      <c r="S827" s="1">
        <v>100000</v>
      </c>
    </row>
    <row r="828" spans="1:19" ht="12.5" x14ac:dyDescent="0.25">
      <c r="A828" s="1">
        <v>622</v>
      </c>
      <c r="B828" s="1" t="s">
        <v>2541</v>
      </c>
      <c r="C828" s="1" t="s">
        <v>35</v>
      </c>
      <c r="D828" s="1" t="s">
        <v>36</v>
      </c>
      <c r="E828" s="1">
        <v>636</v>
      </c>
      <c r="F828" s="1" t="s">
        <v>2542</v>
      </c>
      <c r="G828" s="1" t="s">
        <v>2543</v>
      </c>
      <c r="H828" s="1"/>
      <c r="I828" s="1" t="s">
        <v>29</v>
      </c>
      <c r="J828" s="1" t="s">
        <v>16</v>
      </c>
      <c r="K828" s="1" t="b">
        <v>0</v>
      </c>
      <c r="L828" s="1" t="s">
        <v>22</v>
      </c>
      <c r="M828" s="1">
        <v>2021</v>
      </c>
      <c r="N828" s="1" t="s">
        <v>16</v>
      </c>
      <c r="O828" s="1" t="s">
        <v>9935</v>
      </c>
      <c r="P828" s="1" t="s">
        <v>16</v>
      </c>
      <c r="Q828" s="1">
        <v>100</v>
      </c>
      <c r="R828" s="1">
        <v>0</v>
      </c>
      <c r="S828" s="1">
        <v>0</v>
      </c>
    </row>
    <row r="829" spans="1:19" ht="12.5" x14ac:dyDescent="0.25">
      <c r="A829" s="1">
        <v>622</v>
      </c>
      <c r="B829" s="1" t="s">
        <v>2541</v>
      </c>
      <c r="C829" s="1" t="s">
        <v>35</v>
      </c>
      <c r="D829" s="1" t="s">
        <v>36</v>
      </c>
      <c r="E829" s="1">
        <v>637</v>
      </c>
      <c r="F829" s="1" t="s">
        <v>2544</v>
      </c>
      <c r="G829" s="1" t="s">
        <v>2545</v>
      </c>
      <c r="H829" s="1" t="s">
        <v>2546</v>
      </c>
      <c r="I829" s="1" t="s">
        <v>20</v>
      </c>
      <c r="J829" s="1" t="s">
        <v>2547</v>
      </c>
      <c r="K829" s="1" t="b">
        <v>0</v>
      </c>
      <c r="L829" s="1" t="s">
        <v>22</v>
      </c>
      <c r="M829" s="1" t="s">
        <v>16</v>
      </c>
      <c r="N829" s="1" t="s">
        <v>16</v>
      </c>
      <c r="O829" s="1" t="s">
        <v>16</v>
      </c>
      <c r="P829" s="1" t="s">
        <v>16</v>
      </c>
      <c r="Q829" s="1">
        <v>100</v>
      </c>
    </row>
    <row r="830" spans="1:19" ht="12.5" x14ac:dyDescent="0.25">
      <c r="A830" s="1">
        <v>623</v>
      </c>
      <c r="B830" s="1" t="s">
        <v>2548</v>
      </c>
      <c r="C830" s="1" t="s">
        <v>35</v>
      </c>
      <c r="D830" s="1" t="s">
        <v>36</v>
      </c>
      <c r="E830" s="1">
        <v>638</v>
      </c>
      <c r="F830" s="1" t="s">
        <v>2549</v>
      </c>
      <c r="G830" s="1" t="s">
        <v>2550</v>
      </c>
      <c r="H830" s="1" t="s">
        <v>2551</v>
      </c>
      <c r="I830" s="1" t="s">
        <v>29</v>
      </c>
      <c r="J830" s="1" t="s">
        <v>2552</v>
      </c>
      <c r="K830" s="1" t="b">
        <v>1</v>
      </c>
      <c r="L830" s="1" t="s">
        <v>31</v>
      </c>
      <c r="M830" s="1">
        <v>2022</v>
      </c>
      <c r="N830" s="1" t="s">
        <v>23</v>
      </c>
      <c r="O830" s="1" t="s">
        <v>9935</v>
      </c>
      <c r="P830" s="1" t="s">
        <v>16</v>
      </c>
      <c r="Q830" s="1">
        <v>100</v>
      </c>
      <c r="R830" s="1">
        <v>250000</v>
      </c>
      <c r="S830" s="1">
        <v>250000</v>
      </c>
    </row>
    <row r="831" spans="1:19" ht="12.5" x14ac:dyDescent="0.25">
      <c r="A831" s="1">
        <v>623</v>
      </c>
      <c r="B831" s="1" t="s">
        <v>2548</v>
      </c>
      <c r="C831" s="1" t="s">
        <v>35</v>
      </c>
      <c r="D831" s="1" t="s">
        <v>36</v>
      </c>
      <c r="E831" s="1">
        <v>638</v>
      </c>
      <c r="F831" s="1" t="s">
        <v>2549</v>
      </c>
      <c r="G831" s="1" t="s">
        <v>2550</v>
      </c>
      <c r="H831" s="1" t="s">
        <v>2551</v>
      </c>
      <c r="I831" s="1" t="s">
        <v>29</v>
      </c>
      <c r="J831" s="1" t="s">
        <v>2552</v>
      </c>
      <c r="K831" s="1" t="b">
        <v>1</v>
      </c>
      <c r="L831" s="1" t="s">
        <v>31</v>
      </c>
      <c r="M831" s="1">
        <v>2022</v>
      </c>
      <c r="N831" s="1" t="s">
        <v>45</v>
      </c>
      <c r="O831" s="1" t="s">
        <v>9942</v>
      </c>
      <c r="P831" s="1" t="s">
        <v>16</v>
      </c>
      <c r="Q831" s="1">
        <v>100</v>
      </c>
      <c r="R831" s="1">
        <v>70000</v>
      </c>
      <c r="S831" s="1">
        <v>70000</v>
      </c>
    </row>
    <row r="832" spans="1:19" ht="12.5" x14ac:dyDescent="0.25">
      <c r="A832" s="1">
        <v>624</v>
      </c>
      <c r="B832" s="1" t="s">
        <v>2553</v>
      </c>
      <c r="C832" s="1" t="s">
        <v>35</v>
      </c>
      <c r="D832" s="1" t="s">
        <v>36</v>
      </c>
      <c r="E832" s="1">
        <v>639</v>
      </c>
      <c r="F832" s="1" t="s">
        <v>2554</v>
      </c>
      <c r="G832" s="1" t="s">
        <v>2555</v>
      </c>
      <c r="H832" s="1" t="s">
        <v>2556</v>
      </c>
      <c r="I832" s="1" t="s">
        <v>29</v>
      </c>
      <c r="J832" s="1" t="s">
        <v>2557</v>
      </c>
      <c r="K832" s="1" t="b">
        <v>0</v>
      </c>
      <c r="L832" s="1" t="s">
        <v>22</v>
      </c>
      <c r="M832" s="1" t="s">
        <v>16</v>
      </c>
      <c r="N832" s="1" t="s">
        <v>16</v>
      </c>
      <c r="O832" s="1" t="s">
        <v>9935</v>
      </c>
      <c r="P832" s="1" t="s">
        <v>16</v>
      </c>
      <c r="Q832" s="1">
        <v>100</v>
      </c>
      <c r="R832" s="1">
        <v>75000</v>
      </c>
      <c r="S832" s="1">
        <v>75000</v>
      </c>
    </row>
    <row r="833" spans="1:19" ht="12.5" x14ac:dyDescent="0.25">
      <c r="A833" s="1">
        <v>625</v>
      </c>
      <c r="B833" s="1" t="s">
        <v>2558</v>
      </c>
      <c r="C833" s="1" t="s">
        <v>35</v>
      </c>
      <c r="D833" s="1" t="s">
        <v>36</v>
      </c>
      <c r="E833" s="1">
        <v>640</v>
      </c>
      <c r="F833" s="1" t="s">
        <v>2559</v>
      </c>
      <c r="G833" s="1" t="s">
        <v>2560</v>
      </c>
      <c r="H833" s="1" t="s">
        <v>2561</v>
      </c>
      <c r="I833" s="1" t="s">
        <v>29</v>
      </c>
      <c r="J833" s="1" t="s">
        <v>16</v>
      </c>
      <c r="K833" s="1" t="b">
        <v>0</v>
      </c>
      <c r="L833" s="1" t="s">
        <v>22</v>
      </c>
      <c r="M833" s="1" t="s">
        <v>16</v>
      </c>
      <c r="N833" s="1" t="s">
        <v>16</v>
      </c>
      <c r="O833" s="1" t="s">
        <v>16</v>
      </c>
      <c r="P833" s="1" t="s">
        <v>16</v>
      </c>
      <c r="Q833" s="1">
        <v>100</v>
      </c>
    </row>
    <row r="834" spans="1:19" ht="12.5" x14ac:dyDescent="0.25">
      <c r="A834" s="1">
        <v>626</v>
      </c>
      <c r="B834" s="1" t="s">
        <v>2562</v>
      </c>
      <c r="C834" s="1" t="s">
        <v>35</v>
      </c>
      <c r="D834" s="1" t="s">
        <v>36</v>
      </c>
      <c r="E834" s="1">
        <v>641</v>
      </c>
      <c r="F834" s="1" t="s">
        <v>2563</v>
      </c>
      <c r="G834" s="1" t="s">
        <v>2564</v>
      </c>
      <c r="H834" s="1" t="s">
        <v>2565</v>
      </c>
      <c r="I834" s="1" t="s">
        <v>29</v>
      </c>
      <c r="J834" s="1" t="s">
        <v>16</v>
      </c>
      <c r="K834" s="1" t="b">
        <v>0</v>
      </c>
      <c r="L834" s="1" t="s">
        <v>22</v>
      </c>
      <c r="M834" s="1">
        <v>2021</v>
      </c>
      <c r="N834" s="1" t="s">
        <v>32</v>
      </c>
      <c r="O834" s="1" t="s">
        <v>9956</v>
      </c>
      <c r="P834" s="1" t="s">
        <v>9978</v>
      </c>
      <c r="Q834" s="1">
        <v>100</v>
      </c>
      <c r="R834" s="1">
        <v>1400</v>
      </c>
      <c r="S834" s="1">
        <v>1400</v>
      </c>
    </row>
    <row r="835" spans="1:19" ht="12.5" x14ac:dyDescent="0.25">
      <c r="A835" s="1">
        <v>628</v>
      </c>
      <c r="B835" s="1" t="s">
        <v>2566</v>
      </c>
      <c r="C835" s="1" t="s">
        <v>35</v>
      </c>
      <c r="D835" s="1" t="s">
        <v>36</v>
      </c>
      <c r="E835" s="1">
        <v>642</v>
      </c>
      <c r="F835" s="1" t="s">
        <v>2567</v>
      </c>
      <c r="G835" s="1" t="s">
        <v>2568</v>
      </c>
      <c r="H835" s="1" t="s">
        <v>1209</v>
      </c>
      <c r="I835" s="1" t="s">
        <v>29</v>
      </c>
      <c r="J835" s="1" t="s">
        <v>16</v>
      </c>
      <c r="K835" s="1" t="b">
        <v>0</v>
      </c>
      <c r="L835" s="1" t="s">
        <v>22</v>
      </c>
      <c r="M835" s="1" t="s">
        <v>16</v>
      </c>
      <c r="N835" s="1" t="s">
        <v>16</v>
      </c>
      <c r="O835" s="1" t="s">
        <v>9935</v>
      </c>
      <c r="P835" s="1" t="s">
        <v>16</v>
      </c>
      <c r="Q835" s="1">
        <v>100</v>
      </c>
      <c r="R835" s="1">
        <v>75000</v>
      </c>
      <c r="S835" s="1">
        <v>75000</v>
      </c>
    </row>
    <row r="836" spans="1:19" ht="12.5" x14ac:dyDescent="0.25">
      <c r="A836" s="1">
        <v>629</v>
      </c>
      <c r="B836" s="1" t="s">
        <v>2569</v>
      </c>
      <c r="C836" s="1" t="s">
        <v>35</v>
      </c>
      <c r="D836" s="1" t="s">
        <v>36</v>
      </c>
      <c r="E836" s="1">
        <v>643</v>
      </c>
      <c r="F836" s="1" t="s">
        <v>2570</v>
      </c>
      <c r="G836" s="1" t="s">
        <v>2571</v>
      </c>
      <c r="H836" s="1" t="s">
        <v>2572</v>
      </c>
      <c r="I836" s="1" t="s">
        <v>29</v>
      </c>
      <c r="J836" s="1" t="s">
        <v>2573</v>
      </c>
      <c r="K836" s="1" t="b">
        <v>0</v>
      </c>
      <c r="L836" s="1" t="s">
        <v>22</v>
      </c>
      <c r="M836" s="1">
        <v>2022</v>
      </c>
      <c r="N836" s="1" t="s">
        <v>16</v>
      </c>
      <c r="O836" s="1" t="s">
        <v>9935</v>
      </c>
      <c r="P836" s="1" t="s">
        <v>16</v>
      </c>
      <c r="Q836" s="1">
        <v>100</v>
      </c>
      <c r="R836" s="1">
        <v>200000</v>
      </c>
      <c r="S836" s="1">
        <v>200000</v>
      </c>
    </row>
    <row r="837" spans="1:19" ht="12.5" x14ac:dyDescent="0.25">
      <c r="A837" s="1">
        <v>630</v>
      </c>
      <c r="B837" s="1" t="s">
        <v>2574</v>
      </c>
      <c r="C837" s="1" t="s">
        <v>35</v>
      </c>
      <c r="D837" s="1" t="s">
        <v>36</v>
      </c>
      <c r="E837" s="1">
        <v>644</v>
      </c>
      <c r="F837" s="1" t="s">
        <v>2575</v>
      </c>
      <c r="G837" s="1" t="s">
        <v>2576</v>
      </c>
      <c r="H837" s="1" t="s">
        <v>2577</v>
      </c>
      <c r="I837" s="1" t="s">
        <v>29</v>
      </c>
      <c r="J837" s="1" t="s">
        <v>2578</v>
      </c>
      <c r="K837" s="1" t="b">
        <v>0</v>
      </c>
      <c r="L837" s="1" t="s">
        <v>22</v>
      </c>
      <c r="M837" s="1">
        <v>2022</v>
      </c>
      <c r="N837" s="1" t="s">
        <v>23</v>
      </c>
      <c r="O837" s="1" t="s">
        <v>9935</v>
      </c>
      <c r="P837" s="1" t="s">
        <v>16</v>
      </c>
      <c r="Q837" s="1">
        <v>100</v>
      </c>
      <c r="R837" s="1">
        <v>250000</v>
      </c>
      <c r="S837" s="1">
        <v>250000</v>
      </c>
    </row>
    <row r="838" spans="1:19" ht="12.5" x14ac:dyDescent="0.25">
      <c r="A838" s="1">
        <v>631</v>
      </c>
      <c r="B838" s="1" t="s">
        <v>2579</v>
      </c>
      <c r="C838" s="1" t="s">
        <v>35</v>
      </c>
      <c r="D838" s="1" t="s">
        <v>36</v>
      </c>
      <c r="E838" s="1">
        <v>645</v>
      </c>
      <c r="F838" s="1" t="s">
        <v>2580</v>
      </c>
      <c r="G838" s="1" t="s">
        <v>2581</v>
      </c>
      <c r="H838" s="1" t="s">
        <v>1255</v>
      </c>
      <c r="I838" s="1" t="s">
        <v>20</v>
      </c>
      <c r="J838" s="1" t="s">
        <v>16</v>
      </c>
      <c r="K838" s="1" t="b">
        <v>0</v>
      </c>
      <c r="L838" s="1" t="s">
        <v>22</v>
      </c>
      <c r="M838" s="1" t="s">
        <v>16</v>
      </c>
      <c r="N838" s="1" t="s">
        <v>16</v>
      </c>
      <c r="O838" s="1" t="s">
        <v>16</v>
      </c>
      <c r="P838" s="1" t="s">
        <v>16</v>
      </c>
      <c r="Q838" s="1">
        <v>100</v>
      </c>
    </row>
    <row r="839" spans="1:19" ht="12.5" x14ac:dyDescent="0.25">
      <c r="A839" s="1">
        <v>632</v>
      </c>
      <c r="B839" s="1" t="s">
        <v>2582</v>
      </c>
      <c r="C839" s="1" t="s">
        <v>35</v>
      </c>
      <c r="D839" s="1" t="s">
        <v>36</v>
      </c>
      <c r="E839" s="1">
        <v>646</v>
      </c>
      <c r="F839" s="1" t="s">
        <v>2583</v>
      </c>
      <c r="G839" s="1" t="s">
        <v>2584</v>
      </c>
      <c r="H839" s="1" t="s">
        <v>2585</v>
      </c>
      <c r="I839" s="1" t="s">
        <v>29</v>
      </c>
      <c r="J839" s="1" t="s">
        <v>16</v>
      </c>
      <c r="K839" s="1" t="b">
        <v>0</v>
      </c>
      <c r="L839" s="1" t="s">
        <v>22</v>
      </c>
      <c r="M839" s="1" t="s">
        <v>16</v>
      </c>
      <c r="N839" s="1" t="s">
        <v>16</v>
      </c>
      <c r="O839" s="1" t="s">
        <v>16</v>
      </c>
      <c r="P839" s="1" t="s">
        <v>16</v>
      </c>
      <c r="Q839" s="1">
        <v>100</v>
      </c>
    </row>
    <row r="840" spans="1:19" ht="12.5" x14ac:dyDescent="0.25">
      <c r="A840" s="1">
        <v>632</v>
      </c>
      <c r="B840" s="1" t="s">
        <v>2582</v>
      </c>
      <c r="C840" s="1" t="s">
        <v>35</v>
      </c>
      <c r="D840" s="1" t="s">
        <v>36</v>
      </c>
      <c r="E840" s="1">
        <v>647</v>
      </c>
      <c r="F840" s="1" t="s">
        <v>2586</v>
      </c>
      <c r="G840" s="1" t="s">
        <v>2587</v>
      </c>
      <c r="H840" s="1" t="s">
        <v>2588</v>
      </c>
      <c r="I840" s="1" t="s">
        <v>20</v>
      </c>
      <c r="J840" s="1" t="s">
        <v>2589</v>
      </c>
      <c r="K840" s="1" t="b">
        <v>0</v>
      </c>
      <c r="L840" s="1" t="s">
        <v>22</v>
      </c>
      <c r="M840" s="1" t="s">
        <v>16</v>
      </c>
      <c r="N840" s="1" t="s">
        <v>16</v>
      </c>
      <c r="O840" s="1" t="s">
        <v>16</v>
      </c>
      <c r="P840" s="1" t="s">
        <v>16</v>
      </c>
      <c r="Q840" s="1">
        <v>100</v>
      </c>
    </row>
    <row r="841" spans="1:19" ht="12.5" x14ac:dyDescent="0.25">
      <c r="A841" s="1">
        <v>633</v>
      </c>
      <c r="B841" s="1" t="s">
        <v>2590</v>
      </c>
      <c r="C841" s="1" t="s">
        <v>35</v>
      </c>
      <c r="D841" s="1" t="s">
        <v>36</v>
      </c>
      <c r="E841" s="1">
        <v>648</v>
      </c>
      <c r="F841" s="1" t="s">
        <v>2591</v>
      </c>
      <c r="G841" s="1" t="s">
        <v>2592</v>
      </c>
      <c r="H841" s="1" t="s">
        <v>2593</v>
      </c>
      <c r="I841" s="1" t="s">
        <v>29</v>
      </c>
      <c r="J841" s="1" t="s">
        <v>16</v>
      </c>
      <c r="K841" s="1" t="b">
        <v>0</v>
      </c>
      <c r="L841" s="1" t="s">
        <v>22</v>
      </c>
      <c r="M841" s="1" t="s">
        <v>16</v>
      </c>
      <c r="N841" s="1" t="s">
        <v>16</v>
      </c>
      <c r="O841" s="1" t="s">
        <v>16</v>
      </c>
      <c r="P841" s="1" t="s">
        <v>16</v>
      </c>
      <c r="Q841" s="1">
        <v>100</v>
      </c>
    </row>
    <row r="842" spans="1:19" ht="12.5" x14ac:dyDescent="0.25">
      <c r="A842" s="1">
        <v>634</v>
      </c>
      <c r="B842" s="1" t="s">
        <v>2594</v>
      </c>
      <c r="C842" s="1" t="s">
        <v>35</v>
      </c>
      <c r="D842" s="1" t="s">
        <v>36</v>
      </c>
      <c r="E842" s="1">
        <v>649</v>
      </c>
      <c r="F842" s="1" t="s">
        <v>2595</v>
      </c>
      <c r="G842" s="1" t="s">
        <v>2596</v>
      </c>
      <c r="H842" s="1" t="s">
        <v>2597</v>
      </c>
      <c r="I842" s="1" t="s">
        <v>29</v>
      </c>
      <c r="J842" s="1" t="s">
        <v>2598</v>
      </c>
      <c r="K842" s="1" t="b">
        <v>1</v>
      </c>
      <c r="L842" s="1" t="s">
        <v>31</v>
      </c>
      <c r="M842" s="1">
        <v>2022</v>
      </c>
      <c r="N842" s="1" t="s">
        <v>16</v>
      </c>
      <c r="O842" s="1" t="s">
        <v>9942</v>
      </c>
      <c r="P842" s="1" t="s">
        <v>16</v>
      </c>
      <c r="Q842" s="1">
        <v>100</v>
      </c>
      <c r="R842" s="1">
        <v>180000</v>
      </c>
      <c r="S842" s="1">
        <v>180000</v>
      </c>
    </row>
    <row r="843" spans="1:19" ht="12.5" x14ac:dyDescent="0.25">
      <c r="A843" s="1">
        <v>635</v>
      </c>
      <c r="B843" s="1" t="s">
        <v>2599</v>
      </c>
      <c r="C843" s="1" t="s">
        <v>35</v>
      </c>
      <c r="D843" s="1" t="s">
        <v>36</v>
      </c>
      <c r="E843" s="1">
        <v>650</v>
      </c>
      <c r="F843" s="1" t="s">
        <v>2600</v>
      </c>
      <c r="G843" s="1" t="s">
        <v>2601</v>
      </c>
      <c r="H843" s="1" t="s">
        <v>2602</v>
      </c>
      <c r="I843" s="1" t="s">
        <v>29</v>
      </c>
      <c r="J843" s="1" t="s">
        <v>16</v>
      </c>
      <c r="K843" s="1" t="b">
        <v>0</v>
      </c>
      <c r="L843" s="1" t="s">
        <v>22</v>
      </c>
      <c r="M843" s="1">
        <v>2022</v>
      </c>
      <c r="N843" s="1" t="s">
        <v>16</v>
      </c>
      <c r="O843" s="1" t="s">
        <v>9935</v>
      </c>
      <c r="P843" s="1" t="s">
        <v>16</v>
      </c>
      <c r="Q843" s="1">
        <v>100</v>
      </c>
      <c r="R843" s="1">
        <v>50000</v>
      </c>
      <c r="S843" s="1">
        <v>50000</v>
      </c>
    </row>
    <row r="844" spans="1:19" ht="12.5" x14ac:dyDescent="0.25">
      <c r="A844" s="1">
        <v>635</v>
      </c>
      <c r="B844" s="1" t="s">
        <v>2599</v>
      </c>
      <c r="C844" s="1" t="s">
        <v>35</v>
      </c>
      <c r="D844" s="1" t="s">
        <v>36</v>
      </c>
      <c r="E844" s="1">
        <v>650</v>
      </c>
      <c r="F844" s="1" t="s">
        <v>2600</v>
      </c>
      <c r="G844" s="1" t="s">
        <v>2601</v>
      </c>
      <c r="H844" s="1" t="s">
        <v>2602</v>
      </c>
      <c r="I844" s="1" t="s">
        <v>29</v>
      </c>
      <c r="J844" s="1" t="s">
        <v>16</v>
      </c>
      <c r="K844" s="1" t="b">
        <v>0</v>
      </c>
      <c r="L844" s="1" t="s">
        <v>22</v>
      </c>
      <c r="M844" s="1" t="s">
        <v>16</v>
      </c>
      <c r="N844" s="1" t="s">
        <v>16</v>
      </c>
      <c r="O844" s="1" t="s">
        <v>9940</v>
      </c>
      <c r="P844" s="1" t="s">
        <v>16</v>
      </c>
      <c r="Q844" s="1">
        <v>100</v>
      </c>
      <c r="R844" s="1">
        <v>25000</v>
      </c>
      <c r="S844" s="1">
        <v>25000</v>
      </c>
    </row>
    <row r="845" spans="1:19" ht="12.5" x14ac:dyDescent="0.25">
      <c r="A845" s="1">
        <v>635</v>
      </c>
      <c r="B845" s="1" t="s">
        <v>2599</v>
      </c>
      <c r="C845" s="1" t="s">
        <v>35</v>
      </c>
      <c r="D845" s="1" t="s">
        <v>36</v>
      </c>
      <c r="E845" s="1">
        <v>650</v>
      </c>
      <c r="F845" s="1" t="s">
        <v>2600</v>
      </c>
      <c r="G845" s="1" t="s">
        <v>2601</v>
      </c>
      <c r="H845" s="1" t="s">
        <v>2602</v>
      </c>
      <c r="I845" s="1" t="s">
        <v>29</v>
      </c>
      <c r="J845" s="1" t="s">
        <v>16</v>
      </c>
      <c r="K845" s="1" t="b">
        <v>0</v>
      </c>
      <c r="L845" s="1" t="s">
        <v>22</v>
      </c>
      <c r="M845" s="1" t="s">
        <v>16</v>
      </c>
      <c r="N845" s="1" t="s">
        <v>16</v>
      </c>
      <c r="O845" s="1" t="s">
        <v>9952</v>
      </c>
      <c r="P845" s="1" t="s">
        <v>16</v>
      </c>
      <c r="Q845" s="1">
        <v>100</v>
      </c>
      <c r="R845" s="1">
        <v>11250</v>
      </c>
      <c r="S845" s="1">
        <v>11250</v>
      </c>
    </row>
    <row r="846" spans="1:19" ht="12.5" x14ac:dyDescent="0.25">
      <c r="A846" s="1">
        <v>635</v>
      </c>
      <c r="B846" s="1" t="s">
        <v>2599</v>
      </c>
      <c r="C846" s="1" t="s">
        <v>35</v>
      </c>
      <c r="D846" s="1" t="s">
        <v>36</v>
      </c>
      <c r="E846" s="1">
        <v>651</v>
      </c>
      <c r="F846" s="1" t="s">
        <v>2603</v>
      </c>
      <c r="G846" s="1" t="s">
        <v>2601</v>
      </c>
      <c r="H846" s="1" t="s">
        <v>1070</v>
      </c>
      <c r="I846" s="1" t="s">
        <v>20</v>
      </c>
      <c r="J846" s="1" t="s">
        <v>16</v>
      </c>
      <c r="K846" s="1" t="b">
        <v>0</v>
      </c>
      <c r="L846" s="1" t="s">
        <v>22</v>
      </c>
      <c r="M846" s="1" t="s">
        <v>16</v>
      </c>
      <c r="N846" s="1" t="s">
        <v>16</v>
      </c>
      <c r="O846" s="1" t="s">
        <v>16</v>
      </c>
      <c r="P846" s="1" t="s">
        <v>16</v>
      </c>
      <c r="Q846" s="1">
        <v>100</v>
      </c>
    </row>
    <row r="847" spans="1:19" ht="12.5" x14ac:dyDescent="0.25">
      <c r="A847" s="1">
        <v>636</v>
      </c>
      <c r="B847" s="1" t="s">
        <v>2604</v>
      </c>
      <c r="C847" s="1" t="s">
        <v>35</v>
      </c>
      <c r="D847" s="1" t="s">
        <v>36</v>
      </c>
      <c r="E847" s="1">
        <v>652</v>
      </c>
      <c r="F847" s="1" t="s">
        <v>2605</v>
      </c>
      <c r="G847" s="1" t="s">
        <v>2606</v>
      </c>
      <c r="H847" s="1" t="s">
        <v>2607</v>
      </c>
      <c r="I847" s="1" t="s">
        <v>20</v>
      </c>
      <c r="J847" s="1" t="s">
        <v>2608</v>
      </c>
      <c r="K847" s="1" t="b">
        <v>0</v>
      </c>
      <c r="L847" s="1" t="s">
        <v>22</v>
      </c>
      <c r="M847" s="1" t="s">
        <v>16</v>
      </c>
      <c r="N847" s="1" t="s">
        <v>16</v>
      </c>
      <c r="O847" s="1" t="s">
        <v>16</v>
      </c>
      <c r="P847" s="1" t="s">
        <v>16</v>
      </c>
      <c r="Q847" s="1">
        <v>100</v>
      </c>
    </row>
    <row r="848" spans="1:19" ht="12.5" x14ac:dyDescent="0.25">
      <c r="A848" s="1">
        <v>637</v>
      </c>
      <c r="B848" s="1" t="s">
        <v>2609</v>
      </c>
      <c r="C848" s="1" t="s">
        <v>35</v>
      </c>
      <c r="D848" s="1" t="s">
        <v>36</v>
      </c>
      <c r="E848" s="1">
        <v>653</v>
      </c>
      <c r="F848" s="1" t="s">
        <v>2610</v>
      </c>
      <c r="G848" s="1" t="s">
        <v>2611</v>
      </c>
      <c r="H848" s="1" t="s">
        <v>2612</v>
      </c>
      <c r="I848" s="1" t="s">
        <v>29</v>
      </c>
      <c r="J848" s="1" t="s">
        <v>16</v>
      </c>
      <c r="K848" s="1" t="b">
        <v>0</v>
      </c>
      <c r="L848" s="1" t="s">
        <v>22</v>
      </c>
      <c r="M848" s="1" t="s">
        <v>16</v>
      </c>
      <c r="N848" s="1" t="s">
        <v>16</v>
      </c>
      <c r="O848" s="1" t="s">
        <v>16</v>
      </c>
      <c r="P848" s="1" t="s">
        <v>16</v>
      </c>
      <c r="Q848" s="1">
        <v>100</v>
      </c>
    </row>
    <row r="849" spans="1:19" ht="12.5" x14ac:dyDescent="0.25">
      <c r="A849" s="1">
        <v>637</v>
      </c>
      <c r="B849" s="1" t="s">
        <v>2609</v>
      </c>
      <c r="C849" s="1" t="s">
        <v>35</v>
      </c>
      <c r="D849" s="1" t="s">
        <v>36</v>
      </c>
      <c r="E849" s="1">
        <v>654</v>
      </c>
      <c r="F849" s="1" t="s">
        <v>2613</v>
      </c>
      <c r="G849" s="1" t="s">
        <v>2614</v>
      </c>
      <c r="H849" s="1" t="s">
        <v>2615</v>
      </c>
      <c r="I849" s="1" t="s">
        <v>20</v>
      </c>
      <c r="J849" s="1" t="s">
        <v>16</v>
      </c>
      <c r="K849" s="1" t="b">
        <v>0</v>
      </c>
      <c r="L849" s="1" t="s">
        <v>22</v>
      </c>
      <c r="M849" s="1" t="s">
        <v>16</v>
      </c>
      <c r="N849" s="1" t="s">
        <v>16</v>
      </c>
      <c r="O849" s="1" t="s">
        <v>16</v>
      </c>
      <c r="P849" s="1" t="s">
        <v>16</v>
      </c>
      <c r="Q849" s="1">
        <v>100</v>
      </c>
    </row>
    <row r="850" spans="1:19" ht="12.5" x14ac:dyDescent="0.25">
      <c r="A850" s="1">
        <v>639</v>
      </c>
      <c r="B850" s="1" t="s">
        <v>2616</v>
      </c>
      <c r="C850" s="1" t="s">
        <v>35</v>
      </c>
      <c r="D850" s="1" t="s">
        <v>36</v>
      </c>
      <c r="E850" s="1">
        <v>655</v>
      </c>
      <c r="F850" s="1" t="s">
        <v>2617</v>
      </c>
      <c r="G850" s="1" t="s">
        <v>2618</v>
      </c>
      <c r="H850" s="1" t="s">
        <v>2619</v>
      </c>
      <c r="I850" s="1" t="s">
        <v>29</v>
      </c>
      <c r="J850" s="1" t="s">
        <v>16</v>
      </c>
      <c r="K850" s="1" t="b">
        <v>0</v>
      </c>
      <c r="L850" s="1" t="s">
        <v>22</v>
      </c>
      <c r="M850" s="1" t="s">
        <v>16</v>
      </c>
      <c r="N850" s="1" t="s">
        <v>16</v>
      </c>
      <c r="O850" s="1" t="s">
        <v>16</v>
      </c>
      <c r="P850" s="1" t="s">
        <v>16</v>
      </c>
      <c r="Q850" s="1">
        <v>100</v>
      </c>
    </row>
    <row r="851" spans="1:19" ht="12.5" x14ac:dyDescent="0.25">
      <c r="A851" s="1">
        <v>639</v>
      </c>
      <c r="B851" s="1" t="s">
        <v>2616</v>
      </c>
      <c r="C851" s="1" t="s">
        <v>35</v>
      </c>
      <c r="D851" s="1" t="s">
        <v>36</v>
      </c>
      <c r="E851" s="1">
        <v>656</v>
      </c>
      <c r="F851" s="1" t="s">
        <v>2620</v>
      </c>
      <c r="G851" s="1" t="s">
        <v>2618</v>
      </c>
      <c r="H851" s="1" t="s">
        <v>2621</v>
      </c>
      <c r="I851" s="1" t="s">
        <v>29</v>
      </c>
      <c r="J851" s="1" t="s">
        <v>16</v>
      </c>
      <c r="K851" s="1" t="b">
        <v>0</v>
      </c>
      <c r="L851" s="1" t="s">
        <v>22</v>
      </c>
      <c r="M851" s="1">
        <v>2024</v>
      </c>
      <c r="N851" s="1" t="s">
        <v>16</v>
      </c>
      <c r="O851" s="1" t="s">
        <v>9956</v>
      </c>
      <c r="P851" s="1" t="s">
        <v>16</v>
      </c>
      <c r="Q851" s="1">
        <v>100</v>
      </c>
      <c r="R851" s="1">
        <v>2500000</v>
      </c>
      <c r="S851" s="1">
        <v>2500000</v>
      </c>
    </row>
    <row r="852" spans="1:19" ht="12.5" x14ac:dyDescent="0.25">
      <c r="A852" s="1">
        <v>640</v>
      </c>
      <c r="B852" s="1" t="s">
        <v>2622</v>
      </c>
      <c r="C852" s="1" t="s">
        <v>35</v>
      </c>
      <c r="D852" s="1" t="s">
        <v>36</v>
      </c>
      <c r="E852" s="1">
        <v>657</v>
      </c>
      <c r="F852" s="1" t="s">
        <v>2623</v>
      </c>
      <c r="G852" s="1" t="s">
        <v>2624</v>
      </c>
      <c r="H852" s="1" t="s">
        <v>2625</v>
      </c>
      <c r="I852" s="1" t="s">
        <v>20</v>
      </c>
      <c r="J852" s="1" t="s">
        <v>2626</v>
      </c>
      <c r="K852" s="1" t="b">
        <v>0</v>
      </c>
      <c r="L852" s="1" t="s">
        <v>22</v>
      </c>
      <c r="M852" s="1">
        <v>2023</v>
      </c>
      <c r="N852" s="1" t="s">
        <v>16</v>
      </c>
      <c r="O852" s="1" t="s">
        <v>9956</v>
      </c>
      <c r="P852" s="1" t="s">
        <v>16</v>
      </c>
      <c r="Q852" s="1">
        <v>100</v>
      </c>
      <c r="R852" s="1">
        <v>4698000</v>
      </c>
      <c r="S852" s="1">
        <v>4698000</v>
      </c>
    </row>
    <row r="853" spans="1:19" ht="12.5" x14ac:dyDescent="0.25">
      <c r="A853" s="1">
        <v>640</v>
      </c>
      <c r="B853" s="1" t="s">
        <v>2622</v>
      </c>
      <c r="C853" s="1" t="s">
        <v>35</v>
      </c>
      <c r="D853" s="1" t="s">
        <v>36</v>
      </c>
      <c r="E853" s="1">
        <v>657</v>
      </c>
      <c r="F853" s="1" t="s">
        <v>2623</v>
      </c>
      <c r="G853" s="1" t="s">
        <v>2624</v>
      </c>
      <c r="H853" s="1" t="s">
        <v>2625</v>
      </c>
      <c r="I853" s="1" t="s">
        <v>20</v>
      </c>
      <c r="J853" s="1" t="s">
        <v>2626</v>
      </c>
      <c r="K853" s="1" t="b">
        <v>0</v>
      </c>
      <c r="L853" s="1" t="s">
        <v>22</v>
      </c>
      <c r="M853" s="1">
        <v>2024</v>
      </c>
      <c r="N853" s="1" t="s">
        <v>16</v>
      </c>
      <c r="O853" s="1" t="s">
        <v>9956</v>
      </c>
      <c r="P853" s="1" t="s">
        <v>16</v>
      </c>
      <c r="Q853" s="1">
        <v>100</v>
      </c>
      <c r="R853" s="1">
        <v>5000000</v>
      </c>
      <c r="S853" s="1">
        <v>5000000</v>
      </c>
    </row>
    <row r="854" spans="1:19" ht="12.5" x14ac:dyDescent="0.25">
      <c r="A854" s="1">
        <v>641</v>
      </c>
      <c r="B854" s="1" t="s">
        <v>2627</v>
      </c>
      <c r="C854" s="1" t="s">
        <v>35</v>
      </c>
      <c r="D854" s="1" t="s">
        <v>36</v>
      </c>
      <c r="E854" s="1">
        <v>658</v>
      </c>
      <c r="F854" s="1" t="s">
        <v>2628</v>
      </c>
      <c r="G854" s="1" t="s">
        <v>2629</v>
      </c>
      <c r="H854" s="1" t="s">
        <v>2630</v>
      </c>
      <c r="I854" s="1" t="s">
        <v>29</v>
      </c>
      <c r="J854" s="1" t="s">
        <v>16</v>
      </c>
      <c r="K854" s="1" t="b">
        <v>0</v>
      </c>
      <c r="L854" s="1" t="s">
        <v>22</v>
      </c>
      <c r="M854" s="1" t="s">
        <v>16</v>
      </c>
      <c r="N854" s="1" t="s">
        <v>16</v>
      </c>
      <c r="O854" s="1" t="s">
        <v>16</v>
      </c>
      <c r="P854" s="1" t="s">
        <v>16</v>
      </c>
      <c r="Q854" s="1">
        <v>100</v>
      </c>
    </row>
    <row r="855" spans="1:19" ht="12.5" x14ac:dyDescent="0.25">
      <c r="A855" s="1">
        <v>641</v>
      </c>
      <c r="B855" s="1" t="s">
        <v>2627</v>
      </c>
      <c r="C855" s="1" t="s">
        <v>35</v>
      </c>
      <c r="D855" s="1" t="s">
        <v>36</v>
      </c>
      <c r="E855" s="1">
        <v>659</v>
      </c>
      <c r="F855" s="1" t="s">
        <v>2631</v>
      </c>
      <c r="G855" s="1" t="s">
        <v>2629</v>
      </c>
      <c r="H855" s="1" t="s">
        <v>2632</v>
      </c>
      <c r="I855" s="1" t="s">
        <v>29</v>
      </c>
      <c r="J855" s="1" t="s">
        <v>16</v>
      </c>
      <c r="K855" s="1" t="b">
        <v>0</v>
      </c>
      <c r="L855" s="1" t="s">
        <v>22</v>
      </c>
      <c r="M855" s="1">
        <v>2024</v>
      </c>
      <c r="N855" s="1" t="s">
        <v>16</v>
      </c>
      <c r="O855" s="1" t="s">
        <v>9956</v>
      </c>
      <c r="P855" s="1" t="s">
        <v>16</v>
      </c>
      <c r="Q855" s="1">
        <v>100</v>
      </c>
      <c r="R855" s="1">
        <v>2500000</v>
      </c>
      <c r="S855" s="1">
        <v>2500000</v>
      </c>
    </row>
    <row r="856" spans="1:19" ht="12.5" x14ac:dyDescent="0.25">
      <c r="A856" s="1">
        <v>642</v>
      </c>
      <c r="B856" s="1" t="s">
        <v>2633</v>
      </c>
      <c r="C856" s="1" t="s">
        <v>35</v>
      </c>
      <c r="D856" s="1" t="s">
        <v>36</v>
      </c>
      <c r="E856" s="1">
        <v>660</v>
      </c>
      <c r="F856" s="1" t="s">
        <v>2634</v>
      </c>
      <c r="G856" s="1" t="s">
        <v>2635</v>
      </c>
      <c r="H856" s="1" t="s">
        <v>2636</v>
      </c>
      <c r="I856" s="1" t="s">
        <v>20</v>
      </c>
      <c r="J856" s="1" t="s">
        <v>2637</v>
      </c>
      <c r="K856" s="1" t="b">
        <v>0</v>
      </c>
      <c r="L856" s="1" t="s">
        <v>22</v>
      </c>
      <c r="M856" s="1" t="s">
        <v>16</v>
      </c>
      <c r="N856" s="1" t="s">
        <v>16</v>
      </c>
      <c r="O856" s="1" t="s">
        <v>16</v>
      </c>
      <c r="P856" s="1" t="s">
        <v>16</v>
      </c>
      <c r="Q856" s="1">
        <v>100</v>
      </c>
    </row>
    <row r="857" spans="1:19" ht="12.5" x14ac:dyDescent="0.25">
      <c r="A857" s="1">
        <v>643</v>
      </c>
      <c r="B857" s="1" t="s">
        <v>2638</v>
      </c>
      <c r="C857" s="1" t="s">
        <v>35</v>
      </c>
      <c r="D857" s="1" t="s">
        <v>36</v>
      </c>
      <c r="E857" s="1">
        <v>661</v>
      </c>
      <c r="F857" s="1" t="s">
        <v>2639</v>
      </c>
      <c r="G857" s="1" t="s">
        <v>2640</v>
      </c>
      <c r="H857" s="1"/>
      <c r="I857" s="1" t="s">
        <v>29</v>
      </c>
      <c r="J857" s="1" t="s">
        <v>16</v>
      </c>
      <c r="K857" s="1" t="b">
        <v>0</v>
      </c>
      <c r="L857" s="1" t="s">
        <v>22</v>
      </c>
      <c r="M857" s="1" t="s">
        <v>16</v>
      </c>
      <c r="N857" s="1" t="s">
        <v>16</v>
      </c>
      <c r="O857" s="1" t="s">
        <v>9935</v>
      </c>
      <c r="P857" s="1" t="s">
        <v>16</v>
      </c>
      <c r="Q857" s="1">
        <v>100</v>
      </c>
      <c r="R857" s="1">
        <v>1</v>
      </c>
      <c r="S857" s="1">
        <v>1</v>
      </c>
    </row>
    <row r="858" spans="1:19" ht="12.5" x14ac:dyDescent="0.25">
      <c r="A858" s="1">
        <v>644</v>
      </c>
      <c r="B858" s="1" t="s">
        <v>2641</v>
      </c>
      <c r="C858" s="1" t="s">
        <v>35</v>
      </c>
      <c r="D858" s="1" t="s">
        <v>36</v>
      </c>
      <c r="E858" s="1">
        <v>662</v>
      </c>
      <c r="F858" s="1" t="s">
        <v>2642</v>
      </c>
      <c r="G858" s="1" t="s">
        <v>2643</v>
      </c>
      <c r="H858" s="1" t="s">
        <v>1209</v>
      </c>
      <c r="I858" s="1" t="s">
        <v>29</v>
      </c>
      <c r="J858" s="1" t="s">
        <v>16</v>
      </c>
      <c r="K858" s="1" t="b">
        <v>0</v>
      </c>
      <c r="L858" s="1" t="s">
        <v>22</v>
      </c>
      <c r="M858" s="1" t="s">
        <v>16</v>
      </c>
      <c r="N858" s="1" t="s">
        <v>16</v>
      </c>
      <c r="O858" s="1" t="s">
        <v>9940</v>
      </c>
      <c r="P858" s="1" t="s">
        <v>16</v>
      </c>
      <c r="Q858" s="1">
        <v>100</v>
      </c>
      <c r="R858" s="1">
        <v>25000</v>
      </c>
      <c r="S858" s="1">
        <v>25000</v>
      </c>
    </row>
    <row r="859" spans="1:19" ht="12.5" x14ac:dyDescent="0.25">
      <c r="A859" s="1">
        <v>644</v>
      </c>
      <c r="B859" s="1" t="s">
        <v>2641</v>
      </c>
      <c r="C859" s="1" t="s">
        <v>35</v>
      </c>
      <c r="D859" s="1" t="s">
        <v>36</v>
      </c>
      <c r="E859" s="1">
        <v>662</v>
      </c>
      <c r="F859" s="1" t="s">
        <v>2642</v>
      </c>
      <c r="G859" s="1" t="s">
        <v>2643</v>
      </c>
      <c r="H859" s="1" t="s">
        <v>1209</v>
      </c>
      <c r="I859" s="1" t="s">
        <v>29</v>
      </c>
      <c r="J859" s="1" t="s">
        <v>16</v>
      </c>
      <c r="K859" s="1" t="b">
        <v>0</v>
      </c>
      <c r="L859" s="1" t="s">
        <v>22</v>
      </c>
      <c r="M859" s="1">
        <v>2022</v>
      </c>
      <c r="N859" s="1" t="s">
        <v>16</v>
      </c>
      <c r="O859" s="1" t="s">
        <v>9942</v>
      </c>
      <c r="P859" s="1" t="s">
        <v>16</v>
      </c>
      <c r="Q859" s="1">
        <v>100</v>
      </c>
      <c r="R859" s="1">
        <v>250000</v>
      </c>
      <c r="S859" s="1">
        <v>250000</v>
      </c>
    </row>
    <row r="860" spans="1:19" ht="12.5" x14ac:dyDescent="0.25">
      <c r="A860" s="1">
        <v>645</v>
      </c>
      <c r="B860" s="1" t="s">
        <v>2644</v>
      </c>
      <c r="C860" s="1" t="s">
        <v>35</v>
      </c>
      <c r="D860" s="1" t="s">
        <v>36</v>
      </c>
      <c r="E860" s="1">
        <v>663</v>
      </c>
      <c r="F860" s="1" t="s">
        <v>2645</v>
      </c>
      <c r="G860" s="1" t="s">
        <v>2646</v>
      </c>
      <c r="H860" s="1" t="s">
        <v>2647</v>
      </c>
      <c r="I860" s="1" t="s">
        <v>29</v>
      </c>
      <c r="J860" s="1" t="s">
        <v>2648</v>
      </c>
      <c r="K860" s="1" t="b">
        <v>1</v>
      </c>
      <c r="L860" s="1" t="s">
        <v>31</v>
      </c>
      <c r="M860" s="1">
        <v>2023</v>
      </c>
      <c r="N860" s="1" t="s">
        <v>32</v>
      </c>
      <c r="O860" s="1" t="s">
        <v>9942</v>
      </c>
      <c r="P860" s="1" t="s">
        <v>16</v>
      </c>
      <c r="Q860" s="1">
        <v>100</v>
      </c>
      <c r="R860" s="1">
        <v>50000</v>
      </c>
      <c r="S860" s="1">
        <v>50000</v>
      </c>
    </row>
    <row r="861" spans="1:19" ht="12.5" x14ac:dyDescent="0.25">
      <c r="A861" s="1">
        <v>645</v>
      </c>
      <c r="B861" s="1" t="s">
        <v>2644</v>
      </c>
      <c r="C861" s="1" t="s">
        <v>35</v>
      </c>
      <c r="D861" s="1" t="s">
        <v>36</v>
      </c>
      <c r="E861" s="1">
        <v>663</v>
      </c>
      <c r="F861" s="1" t="s">
        <v>2645</v>
      </c>
      <c r="G861" s="1" t="s">
        <v>2646</v>
      </c>
      <c r="H861" s="1" t="s">
        <v>2647</v>
      </c>
      <c r="I861" s="1" t="s">
        <v>29</v>
      </c>
      <c r="J861" s="1" t="s">
        <v>2648</v>
      </c>
      <c r="K861" s="1" t="b">
        <v>1</v>
      </c>
      <c r="L861" s="1" t="s">
        <v>31</v>
      </c>
      <c r="M861" s="1">
        <v>2023</v>
      </c>
      <c r="N861" s="1" t="s">
        <v>32</v>
      </c>
      <c r="O861" s="1" t="s">
        <v>9935</v>
      </c>
      <c r="P861" s="1" t="s">
        <v>16</v>
      </c>
      <c r="Q861" s="1">
        <v>100</v>
      </c>
      <c r="R861" s="1">
        <v>150000</v>
      </c>
      <c r="S861" s="1">
        <v>150000</v>
      </c>
    </row>
    <row r="862" spans="1:19" ht="12.5" x14ac:dyDescent="0.25">
      <c r="A862" s="1">
        <v>648</v>
      </c>
      <c r="B862" s="1" t="s">
        <v>2649</v>
      </c>
      <c r="C862" s="1" t="s">
        <v>35</v>
      </c>
      <c r="D862" s="1" t="s">
        <v>36</v>
      </c>
      <c r="E862" s="1">
        <v>664</v>
      </c>
      <c r="F862" s="1" t="s">
        <v>2650</v>
      </c>
      <c r="G862" s="1" t="s">
        <v>2651</v>
      </c>
      <c r="H862" s="1" t="s">
        <v>2652</v>
      </c>
      <c r="I862" s="1" t="s">
        <v>29</v>
      </c>
      <c r="J862" s="1" t="s">
        <v>2653</v>
      </c>
      <c r="K862" s="1" t="b">
        <v>1</v>
      </c>
      <c r="L862" s="1" t="s">
        <v>31</v>
      </c>
      <c r="M862" s="1">
        <v>2022</v>
      </c>
      <c r="N862" s="1" t="s">
        <v>23</v>
      </c>
      <c r="O862" s="1" t="s">
        <v>9935</v>
      </c>
      <c r="P862" s="1" t="s">
        <v>16</v>
      </c>
      <c r="Q862" s="1">
        <v>100</v>
      </c>
      <c r="R862" s="1">
        <v>350000</v>
      </c>
      <c r="S862" s="1">
        <v>350000</v>
      </c>
    </row>
    <row r="863" spans="1:19" ht="12.5" x14ac:dyDescent="0.25">
      <c r="A863" s="1">
        <v>648</v>
      </c>
      <c r="B863" s="1" t="s">
        <v>2649</v>
      </c>
      <c r="C863" s="1" t="s">
        <v>35</v>
      </c>
      <c r="D863" s="1" t="s">
        <v>36</v>
      </c>
      <c r="E863" s="1">
        <v>664</v>
      </c>
      <c r="F863" s="1" t="s">
        <v>2650</v>
      </c>
      <c r="G863" s="1" t="s">
        <v>2651</v>
      </c>
      <c r="H863" s="1" t="s">
        <v>2652</v>
      </c>
      <c r="I863" s="1" t="s">
        <v>29</v>
      </c>
      <c r="J863" s="1" t="s">
        <v>2653</v>
      </c>
      <c r="K863" s="1" t="b">
        <v>1</v>
      </c>
      <c r="L863" s="1" t="s">
        <v>31</v>
      </c>
      <c r="M863" s="1">
        <v>2022</v>
      </c>
      <c r="N863" s="1" t="s">
        <v>23</v>
      </c>
      <c r="O863" s="1" t="s">
        <v>9952</v>
      </c>
      <c r="P863" s="1" t="s">
        <v>16</v>
      </c>
      <c r="Q863" s="1">
        <v>100</v>
      </c>
      <c r="R863" s="1">
        <v>93750</v>
      </c>
      <c r="S863" s="1">
        <v>93750</v>
      </c>
    </row>
    <row r="864" spans="1:19" ht="12.5" x14ac:dyDescent="0.25">
      <c r="A864" s="1">
        <v>648</v>
      </c>
      <c r="B864" s="1" t="s">
        <v>2649</v>
      </c>
      <c r="C864" s="1" t="s">
        <v>35</v>
      </c>
      <c r="D864" s="1" t="s">
        <v>36</v>
      </c>
      <c r="E864" s="1">
        <v>664</v>
      </c>
      <c r="F864" s="1" t="s">
        <v>2650</v>
      </c>
      <c r="G864" s="1" t="s">
        <v>2651</v>
      </c>
      <c r="H864" s="1" t="s">
        <v>2652</v>
      </c>
      <c r="I864" s="1" t="s">
        <v>29</v>
      </c>
      <c r="J864" s="1" t="s">
        <v>2653</v>
      </c>
      <c r="K864" s="1" t="b">
        <v>1</v>
      </c>
      <c r="L864" s="1" t="s">
        <v>31</v>
      </c>
      <c r="M864" s="1">
        <v>2022</v>
      </c>
      <c r="N864" s="1" t="s">
        <v>23</v>
      </c>
      <c r="O864" s="1" t="s">
        <v>9940</v>
      </c>
      <c r="P864" s="1" t="s">
        <v>16</v>
      </c>
      <c r="Q864" s="1">
        <v>100</v>
      </c>
      <c r="R864" s="1">
        <v>25000</v>
      </c>
      <c r="S864" s="1">
        <v>25000</v>
      </c>
    </row>
    <row r="865" spans="1:19" ht="12.5" x14ac:dyDescent="0.25">
      <c r="A865" s="1">
        <v>648</v>
      </c>
      <c r="B865" s="1" t="s">
        <v>2649</v>
      </c>
      <c r="C865" s="1" t="s">
        <v>35</v>
      </c>
      <c r="D865" s="1" t="s">
        <v>36</v>
      </c>
      <c r="E865" s="1">
        <v>664</v>
      </c>
      <c r="F865" s="1" t="s">
        <v>2650</v>
      </c>
      <c r="G865" s="1" t="s">
        <v>2651</v>
      </c>
      <c r="H865" s="1" t="s">
        <v>2652</v>
      </c>
      <c r="I865" s="1" t="s">
        <v>29</v>
      </c>
      <c r="J865" s="1" t="s">
        <v>2653</v>
      </c>
      <c r="K865" s="1" t="b">
        <v>1</v>
      </c>
      <c r="L865" s="1" t="s">
        <v>31</v>
      </c>
      <c r="M865" s="1">
        <v>2022</v>
      </c>
      <c r="N865" s="1" t="s">
        <v>23</v>
      </c>
      <c r="O865" s="1" t="s">
        <v>9942</v>
      </c>
      <c r="P865" s="1" t="s">
        <v>16</v>
      </c>
      <c r="Q865" s="1">
        <v>100</v>
      </c>
      <c r="R865" s="1">
        <v>250000</v>
      </c>
      <c r="S865" s="1">
        <v>250000</v>
      </c>
    </row>
    <row r="866" spans="1:19" ht="12.5" x14ac:dyDescent="0.25">
      <c r="A866" s="1">
        <v>651</v>
      </c>
      <c r="B866" s="1" t="s">
        <v>2654</v>
      </c>
      <c r="C866" s="1" t="s">
        <v>35</v>
      </c>
      <c r="D866" s="1" t="s">
        <v>36</v>
      </c>
      <c r="E866" s="1">
        <v>665</v>
      </c>
      <c r="F866" s="1" t="s">
        <v>2655</v>
      </c>
      <c r="G866" s="1" t="s">
        <v>2656</v>
      </c>
      <c r="H866" s="1" t="s">
        <v>2657</v>
      </c>
      <c r="I866" s="1" t="s">
        <v>29</v>
      </c>
      <c r="J866" s="1" t="s">
        <v>2658</v>
      </c>
      <c r="K866" s="1" t="b">
        <v>0</v>
      </c>
      <c r="L866" s="1" t="s">
        <v>22</v>
      </c>
      <c r="M866" s="1">
        <v>2021</v>
      </c>
      <c r="N866" s="1" t="s">
        <v>52</v>
      </c>
      <c r="O866" s="1" t="s">
        <v>9935</v>
      </c>
      <c r="P866" s="1" t="s">
        <v>16</v>
      </c>
      <c r="Q866" s="1">
        <v>100</v>
      </c>
      <c r="R866" s="1">
        <v>7800</v>
      </c>
      <c r="S866" s="1">
        <v>7800</v>
      </c>
    </row>
    <row r="867" spans="1:19" ht="12.5" x14ac:dyDescent="0.25">
      <c r="A867" s="1">
        <v>653</v>
      </c>
      <c r="B867" s="1" t="s">
        <v>2659</v>
      </c>
      <c r="C867" s="1" t="s">
        <v>35</v>
      </c>
      <c r="D867" s="1" t="s">
        <v>36</v>
      </c>
      <c r="E867" s="1">
        <v>666</v>
      </c>
      <c r="F867" s="1" t="s">
        <v>2660</v>
      </c>
      <c r="G867" s="1" t="s">
        <v>2661</v>
      </c>
      <c r="H867" s="1" t="s">
        <v>2662</v>
      </c>
      <c r="I867" s="1" t="s">
        <v>29</v>
      </c>
      <c r="J867" s="1" t="s">
        <v>16</v>
      </c>
      <c r="K867" s="1" t="b">
        <v>0</v>
      </c>
      <c r="L867" s="1" t="s">
        <v>22</v>
      </c>
      <c r="M867" s="1" t="s">
        <v>16</v>
      </c>
      <c r="N867" s="1" t="s">
        <v>16</v>
      </c>
      <c r="O867" s="1" t="s">
        <v>16</v>
      </c>
      <c r="P867" s="1" t="s">
        <v>16</v>
      </c>
      <c r="Q867" s="1">
        <v>100</v>
      </c>
    </row>
    <row r="868" spans="1:19" ht="12.5" x14ac:dyDescent="0.25">
      <c r="A868" s="1">
        <v>655</v>
      </c>
      <c r="B868" s="1" t="s">
        <v>2663</v>
      </c>
      <c r="C868" s="1" t="s">
        <v>35</v>
      </c>
      <c r="D868" s="1" t="s">
        <v>36</v>
      </c>
      <c r="E868" s="1">
        <v>667</v>
      </c>
      <c r="F868" s="1" t="s">
        <v>2664</v>
      </c>
      <c r="G868" s="1" t="s">
        <v>2665</v>
      </c>
      <c r="H868" s="1" t="s">
        <v>2666</v>
      </c>
      <c r="I868" s="1" t="s">
        <v>29</v>
      </c>
      <c r="J868" s="1" t="s">
        <v>2667</v>
      </c>
      <c r="K868" s="1" t="b">
        <v>1</v>
      </c>
      <c r="L868" s="1" t="s">
        <v>31</v>
      </c>
      <c r="M868" s="1">
        <v>2022</v>
      </c>
      <c r="N868" s="1" t="s">
        <v>45</v>
      </c>
      <c r="O868" s="1" t="s">
        <v>9942</v>
      </c>
      <c r="P868" s="1" t="s">
        <v>16</v>
      </c>
      <c r="Q868" s="1">
        <v>100</v>
      </c>
      <c r="R868" s="1">
        <v>124200</v>
      </c>
      <c r="S868" s="1">
        <v>124200</v>
      </c>
    </row>
    <row r="869" spans="1:19" ht="12.5" x14ac:dyDescent="0.25">
      <c r="A869" s="1">
        <v>656</v>
      </c>
      <c r="B869" s="1" t="s">
        <v>2668</v>
      </c>
      <c r="C869" s="1" t="s">
        <v>35</v>
      </c>
      <c r="D869" s="1" t="s">
        <v>36</v>
      </c>
      <c r="E869" s="1">
        <v>668</v>
      </c>
      <c r="F869" s="1" t="s">
        <v>2669</v>
      </c>
      <c r="G869" s="1" t="s">
        <v>2670</v>
      </c>
      <c r="H869" s="1" t="s">
        <v>2671</v>
      </c>
      <c r="I869" s="1" t="s">
        <v>29</v>
      </c>
      <c r="J869" s="1" t="s">
        <v>2672</v>
      </c>
      <c r="K869" s="1" t="b">
        <v>0</v>
      </c>
      <c r="L869" s="1" t="s">
        <v>22</v>
      </c>
      <c r="M869" s="1">
        <v>2021</v>
      </c>
      <c r="N869" s="1" t="s">
        <v>23</v>
      </c>
      <c r="O869" s="1" t="s">
        <v>9942</v>
      </c>
      <c r="P869" s="1" t="s">
        <v>16</v>
      </c>
      <c r="Q869" s="1">
        <v>100</v>
      </c>
      <c r="R869" s="1">
        <v>56000</v>
      </c>
      <c r="S869" s="1">
        <v>56000</v>
      </c>
    </row>
    <row r="870" spans="1:19" ht="12.5" x14ac:dyDescent="0.25">
      <c r="A870" s="1">
        <v>657</v>
      </c>
      <c r="B870" s="1" t="s">
        <v>2673</v>
      </c>
      <c r="C870" s="1" t="s">
        <v>35</v>
      </c>
      <c r="D870" s="1" t="s">
        <v>36</v>
      </c>
      <c r="E870" s="1">
        <v>669</v>
      </c>
      <c r="F870" s="1" t="s">
        <v>2674</v>
      </c>
      <c r="G870" s="1" t="s">
        <v>2675</v>
      </c>
      <c r="H870" s="1" t="s">
        <v>1209</v>
      </c>
      <c r="I870" s="1" t="s">
        <v>29</v>
      </c>
      <c r="J870" s="1" t="s">
        <v>16</v>
      </c>
      <c r="K870" s="1" t="b">
        <v>0</v>
      </c>
      <c r="L870" s="1" t="s">
        <v>22</v>
      </c>
      <c r="M870" s="1">
        <v>2023</v>
      </c>
      <c r="N870" s="1" t="s">
        <v>52</v>
      </c>
      <c r="O870" s="1" t="s">
        <v>9935</v>
      </c>
      <c r="P870" s="1" t="s">
        <v>16</v>
      </c>
      <c r="Q870" s="1">
        <v>100</v>
      </c>
      <c r="R870" s="1">
        <v>103000</v>
      </c>
      <c r="S870" s="1">
        <v>103000</v>
      </c>
    </row>
    <row r="871" spans="1:19" ht="12.5" x14ac:dyDescent="0.25">
      <c r="A871" s="1">
        <v>658</v>
      </c>
      <c r="B871" s="1" t="s">
        <v>2676</v>
      </c>
      <c r="C871" s="1" t="s">
        <v>35</v>
      </c>
      <c r="D871" s="1" t="s">
        <v>36</v>
      </c>
      <c r="E871" s="1">
        <v>670</v>
      </c>
      <c r="F871" s="1" t="s">
        <v>2677</v>
      </c>
      <c r="G871" s="1" t="s">
        <v>2678</v>
      </c>
      <c r="H871" s="1" t="s">
        <v>2679</v>
      </c>
      <c r="I871" s="1" t="s">
        <v>29</v>
      </c>
      <c r="J871" s="1" t="s">
        <v>16</v>
      </c>
      <c r="K871" s="1" t="b">
        <v>0</v>
      </c>
      <c r="L871" s="1" t="s">
        <v>22</v>
      </c>
      <c r="M871" s="1">
        <v>2022</v>
      </c>
      <c r="N871" s="1" t="s">
        <v>52</v>
      </c>
      <c r="O871" s="1" t="s">
        <v>9935</v>
      </c>
      <c r="P871" s="1" t="s">
        <v>16</v>
      </c>
      <c r="Q871" s="1">
        <v>100</v>
      </c>
      <c r="R871" s="1">
        <v>101700</v>
      </c>
      <c r="S871" s="1">
        <v>101700</v>
      </c>
    </row>
    <row r="872" spans="1:19" ht="12.5" x14ac:dyDescent="0.25">
      <c r="A872" s="1">
        <v>658</v>
      </c>
      <c r="B872" s="1" t="s">
        <v>2676</v>
      </c>
      <c r="C872" s="1" t="s">
        <v>35</v>
      </c>
      <c r="D872" s="1" t="s">
        <v>36</v>
      </c>
      <c r="E872" s="1">
        <v>670</v>
      </c>
      <c r="F872" s="1" t="s">
        <v>2677</v>
      </c>
      <c r="G872" s="1" t="s">
        <v>2678</v>
      </c>
      <c r="H872" s="1" t="s">
        <v>2679</v>
      </c>
      <c r="I872" s="1" t="s">
        <v>29</v>
      </c>
      <c r="J872" s="1" t="s">
        <v>16</v>
      </c>
      <c r="K872" s="1" t="b">
        <v>0</v>
      </c>
      <c r="L872" s="1" t="s">
        <v>22</v>
      </c>
      <c r="M872" s="1">
        <v>2022</v>
      </c>
      <c r="N872" s="1" t="s">
        <v>52</v>
      </c>
      <c r="O872" s="1" t="s">
        <v>9942</v>
      </c>
      <c r="P872" s="1" t="s">
        <v>16</v>
      </c>
      <c r="Q872" s="1">
        <v>100</v>
      </c>
      <c r="R872" s="1">
        <v>85300</v>
      </c>
      <c r="S872" s="1">
        <v>85300</v>
      </c>
    </row>
    <row r="873" spans="1:19" ht="12.5" x14ac:dyDescent="0.25">
      <c r="A873" s="1">
        <v>659</v>
      </c>
      <c r="B873" s="1" t="s">
        <v>2680</v>
      </c>
      <c r="C873" s="1" t="s">
        <v>35</v>
      </c>
      <c r="D873" s="1" t="s">
        <v>36</v>
      </c>
      <c r="E873" s="1">
        <v>671</v>
      </c>
      <c r="F873" s="1" t="s">
        <v>2681</v>
      </c>
      <c r="G873" s="1" t="s">
        <v>2682</v>
      </c>
      <c r="H873" s="1" t="s">
        <v>2683</v>
      </c>
      <c r="I873" s="1" t="s">
        <v>20</v>
      </c>
      <c r="J873" s="1" t="s">
        <v>16</v>
      </c>
      <c r="K873" s="1" t="b">
        <v>0</v>
      </c>
      <c r="L873" s="1" t="s">
        <v>22</v>
      </c>
      <c r="M873" s="1" t="s">
        <v>16</v>
      </c>
      <c r="N873" s="1" t="s">
        <v>16</v>
      </c>
      <c r="O873" s="1" t="s">
        <v>16</v>
      </c>
      <c r="P873" s="1" t="s">
        <v>16</v>
      </c>
      <c r="Q873" s="1">
        <v>100</v>
      </c>
    </row>
    <row r="874" spans="1:19" ht="12.5" x14ac:dyDescent="0.25">
      <c r="A874" s="1">
        <v>660</v>
      </c>
      <c r="B874" s="1" t="s">
        <v>2684</v>
      </c>
      <c r="C874" s="1" t="s">
        <v>35</v>
      </c>
      <c r="D874" s="1" t="s">
        <v>36</v>
      </c>
      <c r="E874" s="1">
        <v>672</v>
      </c>
      <c r="F874" s="1" t="s">
        <v>2685</v>
      </c>
      <c r="G874" s="1" t="s">
        <v>2686</v>
      </c>
      <c r="H874" s="1" t="s">
        <v>1337</v>
      </c>
      <c r="I874" s="1" t="s">
        <v>20</v>
      </c>
      <c r="J874" s="1" t="s">
        <v>16</v>
      </c>
      <c r="K874" s="1" t="b">
        <v>0</v>
      </c>
      <c r="L874" s="1" t="s">
        <v>22</v>
      </c>
      <c r="M874" s="1">
        <v>2021</v>
      </c>
      <c r="N874" s="1" t="s">
        <v>16</v>
      </c>
      <c r="O874" s="1" t="s">
        <v>9956</v>
      </c>
      <c r="P874" s="1" t="s">
        <v>16</v>
      </c>
      <c r="Q874" s="1">
        <v>100</v>
      </c>
      <c r="R874" s="1">
        <v>500000</v>
      </c>
      <c r="S874" s="1">
        <v>500000</v>
      </c>
    </row>
    <row r="875" spans="1:19" ht="12.5" x14ac:dyDescent="0.25">
      <c r="A875" s="1">
        <v>661</v>
      </c>
      <c r="B875" s="1" t="s">
        <v>2687</v>
      </c>
      <c r="C875" s="1" t="s">
        <v>35</v>
      </c>
      <c r="D875" s="1" t="s">
        <v>36</v>
      </c>
      <c r="E875" s="1">
        <v>673</v>
      </c>
      <c r="F875" s="1" t="s">
        <v>2688</v>
      </c>
      <c r="G875" s="1" t="s">
        <v>2689</v>
      </c>
      <c r="H875" s="1" t="s">
        <v>1209</v>
      </c>
      <c r="I875" s="1" t="s">
        <v>29</v>
      </c>
      <c r="J875" s="1" t="s">
        <v>16</v>
      </c>
      <c r="K875" s="1" t="b">
        <v>0</v>
      </c>
      <c r="L875" s="1" t="s">
        <v>22</v>
      </c>
      <c r="M875" s="1">
        <v>2022</v>
      </c>
      <c r="N875" s="1" t="s">
        <v>16</v>
      </c>
      <c r="O875" s="1" t="s">
        <v>9942</v>
      </c>
      <c r="P875" s="1" t="s">
        <v>16</v>
      </c>
      <c r="Q875" s="1">
        <v>100</v>
      </c>
      <c r="R875" s="1">
        <v>175000</v>
      </c>
      <c r="S875" s="1">
        <v>175000</v>
      </c>
    </row>
    <row r="876" spans="1:19" ht="12.5" x14ac:dyDescent="0.25">
      <c r="A876" s="1">
        <v>661</v>
      </c>
      <c r="B876" s="1" t="s">
        <v>2687</v>
      </c>
      <c r="C876" s="1" t="s">
        <v>35</v>
      </c>
      <c r="D876" s="1" t="s">
        <v>36</v>
      </c>
      <c r="E876" s="1">
        <v>674</v>
      </c>
      <c r="F876" s="1" t="s">
        <v>2690</v>
      </c>
      <c r="G876" s="1" t="s">
        <v>2691</v>
      </c>
      <c r="H876" s="1" t="s">
        <v>2692</v>
      </c>
      <c r="I876" s="1" t="s">
        <v>20</v>
      </c>
      <c r="J876" s="1" t="s">
        <v>16</v>
      </c>
      <c r="K876" s="1" t="b">
        <v>0</v>
      </c>
      <c r="L876" s="1" t="s">
        <v>22</v>
      </c>
      <c r="M876" s="1" t="s">
        <v>16</v>
      </c>
      <c r="N876" s="1" t="s">
        <v>16</v>
      </c>
      <c r="O876" s="1" t="s">
        <v>16</v>
      </c>
      <c r="P876" s="1" t="s">
        <v>16</v>
      </c>
      <c r="Q876" s="1">
        <v>100</v>
      </c>
    </row>
    <row r="877" spans="1:19" ht="12.5" x14ac:dyDescent="0.25">
      <c r="A877" s="1">
        <v>662</v>
      </c>
      <c r="B877" s="1" t="s">
        <v>2693</v>
      </c>
      <c r="C877" s="1" t="s">
        <v>35</v>
      </c>
      <c r="D877" s="1" t="s">
        <v>36</v>
      </c>
      <c r="E877" s="1">
        <v>675</v>
      </c>
      <c r="F877" s="1" t="s">
        <v>2694</v>
      </c>
      <c r="G877" s="1" t="s">
        <v>2695</v>
      </c>
      <c r="H877" s="1" t="s">
        <v>1209</v>
      </c>
      <c r="I877" s="1" t="s">
        <v>29</v>
      </c>
      <c r="J877" s="1" t="s">
        <v>16</v>
      </c>
      <c r="K877" s="1" t="b">
        <v>0</v>
      </c>
      <c r="L877" s="1" t="s">
        <v>22</v>
      </c>
      <c r="M877" s="1" t="s">
        <v>16</v>
      </c>
      <c r="N877" s="1" t="s">
        <v>16</v>
      </c>
      <c r="O877" s="1" t="s">
        <v>9952</v>
      </c>
      <c r="P877" s="1" t="s">
        <v>16</v>
      </c>
      <c r="Q877" s="1">
        <v>100</v>
      </c>
      <c r="R877" s="1">
        <v>100000</v>
      </c>
      <c r="S877" s="1">
        <v>100000</v>
      </c>
    </row>
    <row r="878" spans="1:19" ht="12.5" x14ac:dyDescent="0.25">
      <c r="A878" s="1">
        <v>662</v>
      </c>
      <c r="B878" s="1" t="s">
        <v>2693</v>
      </c>
      <c r="C878" s="1" t="s">
        <v>35</v>
      </c>
      <c r="D878" s="1" t="s">
        <v>36</v>
      </c>
      <c r="E878" s="1">
        <v>675</v>
      </c>
      <c r="F878" s="1" t="s">
        <v>2694</v>
      </c>
      <c r="G878" s="1" t="s">
        <v>2695</v>
      </c>
      <c r="H878" s="1" t="s">
        <v>1209</v>
      </c>
      <c r="I878" s="1" t="s">
        <v>29</v>
      </c>
      <c r="J878" s="1" t="s">
        <v>16</v>
      </c>
      <c r="K878" s="1" t="b">
        <v>0</v>
      </c>
      <c r="L878" s="1" t="s">
        <v>22</v>
      </c>
      <c r="M878" s="1">
        <v>2023</v>
      </c>
      <c r="N878" s="1" t="s">
        <v>16</v>
      </c>
      <c r="O878" s="1" t="s">
        <v>9935</v>
      </c>
      <c r="P878" s="1" t="s">
        <v>16</v>
      </c>
      <c r="Q878" s="1">
        <v>100</v>
      </c>
      <c r="R878" s="1">
        <v>450000</v>
      </c>
      <c r="S878" s="1">
        <v>450000</v>
      </c>
    </row>
    <row r="879" spans="1:19" ht="12.5" x14ac:dyDescent="0.25">
      <c r="A879" s="1">
        <v>48</v>
      </c>
      <c r="B879" s="1" t="s">
        <v>251</v>
      </c>
      <c r="C879" s="1" t="s">
        <v>15</v>
      </c>
      <c r="D879" s="1" t="s">
        <v>15</v>
      </c>
      <c r="E879" s="1">
        <v>676</v>
      </c>
      <c r="F879" s="1" t="s">
        <v>2696</v>
      </c>
      <c r="G879" s="1" t="s">
        <v>2697</v>
      </c>
      <c r="H879" s="1" t="s">
        <v>2698</v>
      </c>
      <c r="I879" s="1" t="s">
        <v>20</v>
      </c>
      <c r="J879" s="1" t="s">
        <v>2699</v>
      </c>
      <c r="K879" s="1" t="b">
        <v>0</v>
      </c>
      <c r="L879" s="1" t="s">
        <v>22</v>
      </c>
      <c r="M879" s="1">
        <v>2022</v>
      </c>
      <c r="N879" s="1" t="s">
        <v>16</v>
      </c>
      <c r="O879" s="1" t="s">
        <v>9935</v>
      </c>
      <c r="P879" s="1" t="s">
        <v>16</v>
      </c>
      <c r="Q879" s="1">
        <v>100</v>
      </c>
      <c r="R879" s="1">
        <v>1300000</v>
      </c>
      <c r="S879" s="1">
        <v>1300000</v>
      </c>
    </row>
    <row r="880" spans="1:19" ht="12.5" x14ac:dyDescent="0.25">
      <c r="A880" s="1">
        <v>662</v>
      </c>
      <c r="B880" s="1" t="s">
        <v>2693</v>
      </c>
      <c r="C880" s="1" t="s">
        <v>35</v>
      </c>
      <c r="D880" s="1" t="s">
        <v>36</v>
      </c>
      <c r="E880" s="1">
        <v>676</v>
      </c>
      <c r="F880" s="1" t="s">
        <v>2696</v>
      </c>
      <c r="G880" s="1" t="s">
        <v>2697</v>
      </c>
      <c r="H880" s="1" t="s">
        <v>2698</v>
      </c>
      <c r="I880" s="1" t="s">
        <v>20</v>
      </c>
      <c r="J880" s="1" t="s">
        <v>2699</v>
      </c>
      <c r="K880" s="1" t="b">
        <v>0</v>
      </c>
      <c r="L880" s="1" t="s">
        <v>22</v>
      </c>
      <c r="M880" s="1">
        <v>2022</v>
      </c>
      <c r="N880" s="1" t="s">
        <v>16</v>
      </c>
      <c r="O880" s="1" t="s">
        <v>9935</v>
      </c>
      <c r="P880" s="1" t="s">
        <v>16</v>
      </c>
      <c r="Q880" s="1">
        <v>0</v>
      </c>
      <c r="R880" s="1">
        <v>1300000</v>
      </c>
      <c r="S880" s="1">
        <v>0</v>
      </c>
    </row>
    <row r="881" spans="1:19" ht="12.5" x14ac:dyDescent="0.25">
      <c r="A881" s="1">
        <v>663</v>
      </c>
      <c r="B881" s="1" t="s">
        <v>2700</v>
      </c>
      <c r="C881" s="1" t="s">
        <v>35</v>
      </c>
      <c r="D881" s="1" t="s">
        <v>36</v>
      </c>
      <c r="E881" s="1">
        <v>677</v>
      </c>
      <c r="F881" s="1" t="s">
        <v>2701</v>
      </c>
      <c r="G881" s="1" t="s">
        <v>2702</v>
      </c>
      <c r="H881" s="1" t="s">
        <v>2703</v>
      </c>
      <c r="I881" s="1" t="s">
        <v>29</v>
      </c>
      <c r="J881" s="1" t="s">
        <v>16</v>
      </c>
      <c r="K881" s="1" t="b">
        <v>0</v>
      </c>
      <c r="L881" s="1" t="s">
        <v>22</v>
      </c>
      <c r="M881" s="1" t="s">
        <v>16</v>
      </c>
      <c r="N881" s="1" t="s">
        <v>16</v>
      </c>
      <c r="O881" s="1" t="s">
        <v>16</v>
      </c>
      <c r="P881" s="1" t="s">
        <v>16</v>
      </c>
      <c r="Q881" s="1">
        <v>100</v>
      </c>
    </row>
    <row r="882" spans="1:19" ht="12.5" x14ac:dyDescent="0.25">
      <c r="A882" s="1">
        <v>664</v>
      </c>
      <c r="B882" s="1" t="s">
        <v>2704</v>
      </c>
      <c r="C882" s="1" t="s">
        <v>35</v>
      </c>
      <c r="D882" s="1" t="s">
        <v>36</v>
      </c>
      <c r="E882" s="1">
        <v>678</v>
      </c>
      <c r="F882" s="1" t="s">
        <v>2705</v>
      </c>
      <c r="G882" s="1" t="s">
        <v>2706</v>
      </c>
      <c r="H882" s="1" t="s">
        <v>2707</v>
      </c>
      <c r="I882" s="1" t="s">
        <v>29</v>
      </c>
      <c r="J882" s="1" t="s">
        <v>2708</v>
      </c>
      <c r="K882" s="1" t="b">
        <v>0</v>
      </c>
      <c r="L882" s="1" t="s">
        <v>22</v>
      </c>
      <c r="M882" s="1" t="s">
        <v>16</v>
      </c>
      <c r="N882" s="1" t="s">
        <v>16</v>
      </c>
      <c r="O882" s="1" t="s">
        <v>16</v>
      </c>
      <c r="P882" s="1" t="s">
        <v>16</v>
      </c>
      <c r="Q882" s="1">
        <v>100</v>
      </c>
    </row>
    <row r="883" spans="1:19" ht="12.5" x14ac:dyDescent="0.25">
      <c r="A883" s="1">
        <v>665</v>
      </c>
      <c r="B883" s="1" t="s">
        <v>2709</v>
      </c>
      <c r="C883" s="1" t="s">
        <v>35</v>
      </c>
      <c r="D883" s="1" t="s">
        <v>36</v>
      </c>
      <c r="E883" s="1">
        <v>679</v>
      </c>
      <c r="F883" s="1" t="s">
        <v>2710</v>
      </c>
      <c r="G883" s="1" t="s">
        <v>2711</v>
      </c>
      <c r="H883" s="1" t="s">
        <v>2712</v>
      </c>
      <c r="I883" s="1" t="s">
        <v>29</v>
      </c>
      <c r="J883" s="1" t="s">
        <v>16</v>
      </c>
      <c r="K883" s="1" t="b">
        <v>0</v>
      </c>
      <c r="L883" s="1" t="s">
        <v>22</v>
      </c>
      <c r="M883" s="1" t="s">
        <v>16</v>
      </c>
      <c r="N883" s="1" t="s">
        <v>16</v>
      </c>
      <c r="O883" s="1" t="s">
        <v>16</v>
      </c>
      <c r="P883" s="1" t="s">
        <v>16</v>
      </c>
      <c r="Q883" s="1">
        <v>100</v>
      </c>
    </row>
    <row r="884" spans="1:19" ht="12.5" x14ac:dyDescent="0.25">
      <c r="A884" s="1">
        <v>666</v>
      </c>
      <c r="B884" s="1" t="s">
        <v>2713</v>
      </c>
      <c r="C884" s="1" t="s">
        <v>35</v>
      </c>
      <c r="D884" s="1" t="s">
        <v>36</v>
      </c>
      <c r="E884" s="1">
        <v>680</v>
      </c>
      <c r="F884" s="1" t="s">
        <v>2714</v>
      </c>
      <c r="G884" s="1" t="s">
        <v>2715</v>
      </c>
      <c r="H884" s="1" t="s">
        <v>2716</v>
      </c>
      <c r="I884" s="1" t="s">
        <v>20</v>
      </c>
      <c r="J884" s="1" t="s">
        <v>2717</v>
      </c>
      <c r="K884" s="1" t="b">
        <v>1</v>
      </c>
      <c r="L884" s="1" t="s">
        <v>31</v>
      </c>
      <c r="M884" s="1">
        <v>2022</v>
      </c>
      <c r="N884" s="1" t="s">
        <v>16</v>
      </c>
      <c r="O884" s="1" t="s">
        <v>9935</v>
      </c>
      <c r="P884" s="1" t="s">
        <v>16</v>
      </c>
      <c r="Q884" s="1">
        <v>100</v>
      </c>
      <c r="R884" s="1">
        <v>1904000</v>
      </c>
      <c r="S884" s="1">
        <v>1904000</v>
      </c>
    </row>
    <row r="885" spans="1:19" ht="12.5" x14ac:dyDescent="0.25">
      <c r="A885" s="1">
        <v>667</v>
      </c>
      <c r="B885" s="1" t="s">
        <v>2718</v>
      </c>
      <c r="C885" s="1" t="s">
        <v>35</v>
      </c>
      <c r="D885" s="1" t="s">
        <v>36</v>
      </c>
      <c r="E885" s="1">
        <v>681</v>
      </c>
      <c r="F885" s="1" t="s">
        <v>2719</v>
      </c>
      <c r="G885" s="1" t="s">
        <v>2720</v>
      </c>
      <c r="H885" s="1" t="s">
        <v>2721</v>
      </c>
      <c r="I885" s="1" t="s">
        <v>29</v>
      </c>
      <c r="J885" s="1" t="s">
        <v>16</v>
      </c>
      <c r="K885" s="1" t="b">
        <v>0</v>
      </c>
      <c r="L885" s="1" t="s">
        <v>22</v>
      </c>
      <c r="M885" s="1" t="s">
        <v>16</v>
      </c>
      <c r="N885" s="1" t="s">
        <v>16</v>
      </c>
      <c r="O885" s="1" t="s">
        <v>16</v>
      </c>
      <c r="P885" s="1" t="s">
        <v>16</v>
      </c>
      <c r="Q885" s="1">
        <v>100</v>
      </c>
    </row>
    <row r="886" spans="1:19" ht="12.5" x14ac:dyDescent="0.25">
      <c r="A886" s="1">
        <v>668</v>
      </c>
      <c r="B886" s="1" t="s">
        <v>2722</v>
      </c>
      <c r="C886" s="1" t="s">
        <v>35</v>
      </c>
      <c r="D886" s="1" t="s">
        <v>36</v>
      </c>
      <c r="E886" s="1">
        <v>682</v>
      </c>
      <c r="F886" s="1" t="s">
        <v>2723</v>
      </c>
      <c r="G886" s="1" t="s">
        <v>2724</v>
      </c>
      <c r="H886" s="1" t="s">
        <v>2725</v>
      </c>
      <c r="I886" s="1" t="s">
        <v>29</v>
      </c>
      <c r="J886" s="1" t="s">
        <v>2726</v>
      </c>
      <c r="K886" s="1" t="b">
        <v>1</v>
      </c>
      <c r="L886" s="1" t="s">
        <v>31</v>
      </c>
      <c r="M886" s="1">
        <v>2022</v>
      </c>
      <c r="N886" s="1" t="s">
        <v>52</v>
      </c>
      <c r="O886" s="1" t="s">
        <v>9952</v>
      </c>
      <c r="P886" s="1" t="s">
        <v>16</v>
      </c>
      <c r="Q886" s="1">
        <v>100</v>
      </c>
      <c r="R886" s="1">
        <v>85000</v>
      </c>
      <c r="S886" s="1">
        <v>85000</v>
      </c>
    </row>
    <row r="887" spans="1:19" ht="12.5" x14ac:dyDescent="0.25">
      <c r="A887" s="1">
        <v>668</v>
      </c>
      <c r="B887" s="1" t="s">
        <v>2722</v>
      </c>
      <c r="C887" s="1" t="s">
        <v>35</v>
      </c>
      <c r="D887" s="1" t="s">
        <v>36</v>
      </c>
      <c r="E887" s="1">
        <v>682</v>
      </c>
      <c r="F887" s="1" t="s">
        <v>2723</v>
      </c>
      <c r="G887" s="1" t="s">
        <v>2724</v>
      </c>
      <c r="H887" s="1" t="s">
        <v>2725</v>
      </c>
      <c r="I887" s="1" t="s">
        <v>29</v>
      </c>
      <c r="J887" s="1" t="s">
        <v>2726</v>
      </c>
      <c r="K887" s="1" t="b">
        <v>1</v>
      </c>
      <c r="L887" s="1" t="s">
        <v>31</v>
      </c>
      <c r="M887" s="1">
        <v>2022</v>
      </c>
      <c r="N887" s="1" t="s">
        <v>52</v>
      </c>
      <c r="O887" s="1" t="s">
        <v>9940</v>
      </c>
      <c r="P887" s="1" t="s">
        <v>16</v>
      </c>
      <c r="Q887" s="1">
        <v>100</v>
      </c>
      <c r="R887" s="1">
        <v>60000</v>
      </c>
      <c r="S887" s="1">
        <v>60000</v>
      </c>
    </row>
    <row r="888" spans="1:19" ht="12.5" x14ac:dyDescent="0.25">
      <c r="A888" s="1">
        <v>668</v>
      </c>
      <c r="B888" s="1" t="s">
        <v>2722</v>
      </c>
      <c r="C888" s="1" t="s">
        <v>35</v>
      </c>
      <c r="D888" s="1" t="s">
        <v>36</v>
      </c>
      <c r="E888" s="1">
        <v>682</v>
      </c>
      <c r="F888" s="1" t="s">
        <v>2723</v>
      </c>
      <c r="G888" s="1" t="s">
        <v>2724</v>
      </c>
      <c r="H888" s="1" t="s">
        <v>2725</v>
      </c>
      <c r="I888" s="1" t="s">
        <v>29</v>
      </c>
      <c r="J888" s="1" t="s">
        <v>2726</v>
      </c>
      <c r="K888" s="1" t="b">
        <v>1</v>
      </c>
      <c r="L888" s="1" t="s">
        <v>31</v>
      </c>
      <c r="M888" s="1">
        <v>2022</v>
      </c>
      <c r="N888" s="1" t="s">
        <v>52</v>
      </c>
      <c r="O888" s="1" t="s">
        <v>9942</v>
      </c>
      <c r="P888" s="1" t="s">
        <v>16</v>
      </c>
      <c r="Q888" s="1">
        <v>100</v>
      </c>
      <c r="R888" s="1">
        <v>125000</v>
      </c>
      <c r="S888" s="1">
        <v>125000</v>
      </c>
    </row>
    <row r="889" spans="1:19" ht="12.5" x14ac:dyDescent="0.25">
      <c r="A889" s="1">
        <v>668</v>
      </c>
      <c r="B889" s="1" t="s">
        <v>2722</v>
      </c>
      <c r="C889" s="1" t="s">
        <v>35</v>
      </c>
      <c r="D889" s="1" t="s">
        <v>36</v>
      </c>
      <c r="E889" s="1">
        <v>682</v>
      </c>
      <c r="F889" s="1" t="s">
        <v>2723</v>
      </c>
      <c r="G889" s="1" t="s">
        <v>2724</v>
      </c>
      <c r="H889" s="1" t="s">
        <v>2725</v>
      </c>
      <c r="I889" s="1" t="s">
        <v>29</v>
      </c>
      <c r="J889" s="1" t="s">
        <v>2726</v>
      </c>
      <c r="K889" s="1" t="b">
        <v>1</v>
      </c>
      <c r="L889" s="1" t="s">
        <v>31</v>
      </c>
      <c r="M889" s="1">
        <v>2022</v>
      </c>
      <c r="N889" s="1" t="s">
        <v>52</v>
      </c>
      <c r="O889" s="1" t="s">
        <v>9935</v>
      </c>
      <c r="P889" s="1" t="s">
        <v>16</v>
      </c>
      <c r="Q889" s="1">
        <v>100</v>
      </c>
      <c r="R889" s="1">
        <v>470000</v>
      </c>
      <c r="S889" s="1">
        <v>470000</v>
      </c>
    </row>
    <row r="890" spans="1:19" ht="12.5" x14ac:dyDescent="0.25">
      <c r="A890" s="1">
        <v>668</v>
      </c>
      <c r="B890" s="1" t="s">
        <v>2722</v>
      </c>
      <c r="C890" s="1" t="s">
        <v>35</v>
      </c>
      <c r="D890" s="1" t="s">
        <v>36</v>
      </c>
      <c r="E890" s="1">
        <v>683</v>
      </c>
      <c r="F890" s="1" t="s">
        <v>2727</v>
      </c>
      <c r="G890" s="1" t="s">
        <v>2728</v>
      </c>
      <c r="H890" s="1" t="s">
        <v>2729</v>
      </c>
      <c r="I890" s="1" t="s">
        <v>29</v>
      </c>
      <c r="J890" s="1" t="s">
        <v>2730</v>
      </c>
      <c r="K890" s="1" t="b">
        <v>0</v>
      </c>
      <c r="L890" s="1" t="s">
        <v>22</v>
      </c>
      <c r="M890" s="1">
        <v>2021</v>
      </c>
      <c r="N890" s="1" t="s">
        <v>23</v>
      </c>
      <c r="O890" s="1" t="s">
        <v>9935</v>
      </c>
      <c r="P890" s="1" t="s">
        <v>16</v>
      </c>
      <c r="Q890" s="1">
        <v>100</v>
      </c>
      <c r="R890" s="1">
        <v>7000</v>
      </c>
      <c r="S890" s="1">
        <v>7000</v>
      </c>
    </row>
    <row r="891" spans="1:19" ht="12.5" x14ac:dyDescent="0.25">
      <c r="A891" s="1">
        <v>670</v>
      </c>
      <c r="B891" s="1" t="s">
        <v>2731</v>
      </c>
      <c r="C891" s="1" t="s">
        <v>35</v>
      </c>
      <c r="D891" s="1" t="s">
        <v>36</v>
      </c>
      <c r="E891" s="1">
        <v>684</v>
      </c>
      <c r="F891" s="1" t="s">
        <v>2732</v>
      </c>
      <c r="G891" s="1" t="s">
        <v>2733</v>
      </c>
      <c r="H891" s="1" t="s">
        <v>2734</v>
      </c>
      <c r="I891" s="1" t="s">
        <v>29</v>
      </c>
      <c r="J891" s="1" t="s">
        <v>16</v>
      </c>
      <c r="K891" s="1" t="b">
        <v>0</v>
      </c>
      <c r="L891" s="1" t="s">
        <v>22</v>
      </c>
      <c r="M891" s="1" t="s">
        <v>16</v>
      </c>
      <c r="N891" s="1" t="s">
        <v>16</v>
      </c>
      <c r="O891" s="1" t="s">
        <v>16</v>
      </c>
      <c r="P891" s="1" t="s">
        <v>16</v>
      </c>
      <c r="Q891" s="1">
        <v>100</v>
      </c>
    </row>
    <row r="892" spans="1:19" ht="12.5" x14ac:dyDescent="0.25">
      <c r="A892" s="1">
        <v>671</v>
      </c>
      <c r="B892" s="1" t="s">
        <v>2735</v>
      </c>
      <c r="C892" s="1" t="s">
        <v>35</v>
      </c>
      <c r="D892" s="1" t="s">
        <v>36</v>
      </c>
      <c r="E892" s="1">
        <v>685</v>
      </c>
      <c r="F892" s="1" t="s">
        <v>2736</v>
      </c>
      <c r="G892" s="1" t="s">
        <v>2737</v>
      </c>
      <c r="H892" s="1" t="s">
        <v>2738</v>
      </c>
      <c r="I892" s="1" t="s">
        <v>29</v>
      </c>
      <c r="J892" s="1" t="s">
        <v>16</v>
      </c>
      <c r="K892" s="1" t="b">
        <v>0</v>
      </c>
      <c r="L892" s="1" t="s">
        <v>22</v>
      </c>
      <c r="M892" s="1" t="s">
        <v>16</v>
      </c>
      <c r="N892" s="1" t="s">
        <v>16</v>
      </c>
      <c r="O892" s="1" t="s">
        <v>16</v>
      </c>
      <c r="P892" s="1" t="s">
        <v>16</v>
      </c>
      <c r="Q892" s="1">
        <v>100</v>
      </c>
    </row>
    <row r="893" spans="1:19" ht="12.5" x14ac:dyDescent="0.25">
      <c r="A893" s="1">
        <v>672</v>
      </c>
      <c r="B893" s="1" t="s">
        <v>2739</v>
      </c>
      <c r="C893" s="1" t="s">
        <v>35</v>
      </c>
      <c r="D893" s="1" t="s">
        <v>36</v>
      </c>
      <c r="E893" s="1">
        <v>686</v>
      </c>
      <c r="F893" s="1" t="s">
        <v>2740</v>
      </c>
      <c r="G893" s="1" t="s">
        <v>2741</v>
      </c>
      <c r="H893" s="1" t="s">
        <v>1209</v>
      </c>
      <c r="I893" s="1" t="s">
        <v>29</v>
      </c>
      <c r="J893" s="1" t="s">
        <v>16</v>
      </c>
      <c r="K893" s="1" t="b">
        <v>0</v>
      </c>
      <c r="L893" s="1" t="s">
        <v>22</v>
      </c>
      <c r="M893" s="1">
        <v>2022</v>
      </c>
      <c r="N893" s="1" t="s">
        <v>16</v>
      </c>
      <c r="O893" s="1" t="s">
        <v>9935</v>
      </c>
      <c r="P893" s="1" t="s">
        <v>16</v>
      </c>
      <c r="Q893" s="1">
        <v>100</v>
      </c>
      <c r="R893" s="1">
        <v>100000</v>
      </c>
      <c r="S893" s="1">
        <v>100000</v>
      </c>
    </row>
    <row r="894" spans="1:19" ht="12.5" x14ac:dyDescent="0.25">
      <c r="A894" s="1">
        <v>673</v>
      </c>
      <c r="B894" s="1" t="s">
        <v>2742</v>
      </c>
      <c r="C894" s="1" t="s">
        <v>35</v>
      </c>
      <c r="D894" s="1" t="s">
        <v>36</v>
      </c>
      <c r="E894" s="1">
        <v>687</v>
      </c>
      <c r="F894" s="1" t="s">
        <v>2743</v>
      </c>
      <c r="G894" s="1" t="s">
        <v>2744</v>
      </c>
      <c r="H894" s="1" t="s">
        <v>2745</v>
      </c>
      <c r="I894" s="1" t="s">
        <v>29</v>
      </c>
      <c r="J894" s="1" t="s">
        <v>2746</v>
      </c>
      <c r="K894" s="1" t="b">
        <v>0</v>
      </c>
      <c r="L894" s="1" t="s">
        <v>22</v>
      </c>
      <c r="M894" s="1">
        <v>2021</v>
      </c>
      <c r="N894" s="1" t="s">
        <v>16</v>
      </c>
      <c r="O894" s="1" t="s">
        <v>9935</v>
      </c>
      <c r="P894" s="1" t="s">
        <v>16</v>
      </c>
      <c r="Q894" s="1">
        <v>99</v>
      </c>
      <c r="R894" s="1">
        <v>100000</v>
      </c>
      <c r="S894" s="1">
        <v>99000</v>
      </c>
    </row>
    <row r="895" spans="1:19" ht="12.5" x14ac:dyDescent="0.25">
      <c r="A895" s="1">
        <v>944</v>
      </c>
      <c r="B895" s="1" t="s">
        <v>2747</v>
      </c>
      <c r="C895" s="1" t="s">
        <v>35</v>
      </c>
      <c r="D895" s="1" t="s">
        <v>152</v>
      </c>
      <c r="E895" s="1">
        <v>687</v>
      </c>
      <c r="F895" s="1" t="s">
        <v>2743</v>
      </c>
      <c r="G895" s="1" t="s">
        <v>2744</v>
      </c>
      <c r="H895" s="1" t="s">
        <v>2745</v>
      </c>
      <c r="I895" s="1" t="s">
        <v>29</v>
      </c>
      <c r="J895" s="1" t="s">
        <v>2746</v>
      </c>
      <c r="K895" s="1" t="b">
        <v>0</v>
      </c>
      <c r="L895" s="1" t="s">
        <v>22</v>
      </c>
      <c r="M895" s="1">
        <v>2021</v>
      </c>
      <c r="N895" s="1" t="s">
        <v>16</v>
      </c>
      <c r="O895" s="1" t="s">
        <v>9935</v>
      </c>
      <c r="P895" s="1" t="s">
        <v>16</v>
      </c>
      <c r="Q895" s="1">
        <v>1</v>
      </c>
      <c r="R895" s="1">
        <v>100000</v>
      </c>
      <c r="S895" s="1">
        <v>1000</v>
      </c>
    </row>
    <row r="896" spans="1:19" ht="12.5" x14ac:dyDescent="0.25">
      <c r="A896" s="1">
        <v>674</v>
      </c>
      <c r="B896" s="1" t="s">
        <v>2748</v>
      </c>
      <c r="C896" s="1" t="s">
        <v>35</v>
      </c>
      <c r="D896" s="1" t="s">
        <v>36</v>
      </c>
      <c r="E896" s="1">
        <v>688</v>
      </c>
      <c r="F896" s="1" t="s">
        <v>2749</v>
      </c>
      <c r="G896" s="1" t="s">
        <v>2750</v>
      </c>
      <c r="H896" s="1" t="s">
        <v>2751</v>
      </c>
      <c r="I896" s="1" t="s">
        <v>29</v>
      </c>
      <c r="J896" s="1" t="s">
        <v>16</v>
      </c>
      <c r="K896" s="1" t="b">
        <v>0</v>
      </c>
      <c r="L896" s="1" t="s">
        <v>22</v>
      </c>
      <c r="M896" s="1">
        <v>2021</v>
      </c>
      <c r="N896" s="1" t="s">
        <v>32</v>
      </c>
      <c r="O896" s="1" t="s">
        <v>9935</v>
      </c>
      <c r="P896" s="1" t="s">
        <v>16</v>
      </c>
      <c r="Q896" s="1">
        <v>100</v>
      </c>
      <c r="R896" s="1">
        <v>100000</v>
      </c>
      <c r="S896" s="1">
        <v>100000</v>
      </c>
    </row>
    <row r="897" spans="1:19" ht="12.5" x14ac:dyDescent="0.25">
      <c r="A897" s="1">
        <v>675</v>
      </c>
      <c r="B897" s="1" t="s">
        <v>2752</v>
      </c>
      <c r="C897" s="1" t="s">
        <v>35</v>
      </c>
      <c r="D897" s="1" t="s">
        <v>36</v>
      </c>
      <c r="E897" s="1">
        <v>689</v>
      </c>
      <c r="F897" s="1" t="s">
        <v>2753</v>
      </c>
      <c r="G897" s="1" t="s">
        <v>2754</v>
      </c>
      <c r="H897" s="1" t="s">
        <v>1209</v>
      </c>
      <c r="I897" s="1" t="s">
        <v>29</v>
      </c>
      <c r="J897" s="1" t="s">
        <v>16</v>
      </c>
      <c r="K897" s="1" t="b">
        <v>0</v>
      </c>
      <c r="L897" s="1" t="s">
        <v>22</v>
      </c>
      <c r="M897" s="1" t="s">
        <v>16</v>
      </c>
      <c r="N897" s="1" t="s">
        <v>16</v>
      </c>
      <c r="O897" s="1" t="s">
        <v>9935</v>
      </c>
      <c r="P897" s="1" t="s">
        <v>16</v>
      </c>
      <c r="Q897" s="1">
        <v>100</v>
      </c>
      <c r="R897" s="1">
        <v>650000</v>
      </c>
      <c r="S897" s="1">
        <v>650000</v>
      </c>
    </row>
    <row r="898" spans="1:19" ht="12.5" x14ac:dyDescent="0.25">
      <c r="A898" s="1">
        <v>675</v>
      </c>
      <c r="B898" s="1" t="s">
        <v>2752</v>
      </c>
      <c r="C898" s="1" t="s">
        <v>35</v>
      </c>
      <c r="D898" s="1" t="s">
        <v>36</v>
      </c>
      <c r="E898" s="1">
        <v>689</v>
      </c>
      <c r="F898" s="1" t="s">
        <v>2753</v>
      </c>
      <c r="G898" s="1" t="s">
        <v>2754</v>
      </c>
      <c r="H898" s="1" t="s">
        <v>1209</v>
      </c>
      <c r="I898" s="1" t="s">
        <v>29</v>
      </c>
      <c r="J898" s="1" t="s">
        <v>16</v>
      </c>
      <c r="K898" s="1" t="b">
        <v>0</v>
      </c>
      <c r="L898" s="1" t="s">
        <v>22</v>
      </c>
      <c r="M898" s="1">
        <v>2022</v>
      </c>
      <c r="N898" s="1" t="s">
        <v>16</v>
      </c>
      <c r="O898" s="1" t="s">
        <v>9942</v>
      </c>
      <c r="P898" s="1" t="s">
        <v>16</v>
      </c>
      <c r="Q898" s="1">
        <v>100</v>
      </c>
      <c r="R898" s="1">
        <v>250000</v>
      </c>
      <c r="S898" s="1">
        <v>250000</v>
      </c>
    </row>
    <row r="899" spans="1:19" ht="12.5" x14ac:dyDescent="0.25">
      <c r="A899" s="1">
        <v>675</v>
      </c>
      <c r="B899" s="1" t="s">
        <v>2752</v>
      </c>
      <c r="C899" s="1" t="s">
        <v>35</v>
      </c>
      <c r="D899" s="1" t="s">
        <v>36</v>
      </c>
      <c r="E899" s="1">
        <v>689</v>
      </c>
      <c r="F899" s="1" t="s">
        <v>2753</v>
      </c>
      <c r="G899" s="1" t="s">
        <v>2754</v>
      </c>
      <c r="H899" s="1" t="s">
        <v>1209</v>
      </c>
      <c r="I899" s="1" t="s">
        <v>29</v>
      </c>
      <c r="J899" s="1" t="s">
        <v>16</v>
      </c>
      <c r="K899" s="1" t="b">
        <v>0</v>
      </c>
      <c r="L899" s="1" t="s">
        <v>22</v>
      </c>
      <c r="M899" s="1" t="s">
        <v>16</v>
      </c>
      <c r="N899" s="1" t="s">
        <v>16</v>
      </c>
      <c r="O899" s="1" t="s">
        <v>9940</v>
      </c>
      <c r="P899" s="1" t="s">
        <v>16</v>
      </c>
      <c r="Q899" s="1">
        <v>100</v>
      </c>
      <c r="R899" s="1">
        <v>50000</v>
      </c>
      <c r="S899" s="1">
        <v>50000</v>
      </c>
    </row>
    <row r="900" spans="1:19" ht="12.5" x14ac:dyDescent="0.25">
      <c r="A900" s="1">
        <v>676</v>
      </c>
      <c r="B900" s="1" t="s">
        <v>2755</v>
      </c>
      <c r="C900" s="1" t="s">
        <v>35</v>
      </c>
      <c r="D900" s="1" t="s">
        <v>36</v>
      </c>
      <c r="E900" s="1">
        <v>690</v>
      </c>
      <c r="F900" s="1" t="s">
        <v>2756</v>
      </c>
      <c r="G900" s="1" t="s">
        <v>2757</v>
      </c>
      <c r="H900" s="1" t="s">
        <v>1209</v>
      </c>
      <c r="I900" s="1" t="s">
        <v>29</v>
      </c>
      <c r="J900" s="1" t="s">
        <v>16</v>
      </c>
      <c r="K900" s="1" t="b">
        <v>0</v>
      </c>
      <c r="L900" s="1" t="s">
        <v>22</v>
      </c>
      <c r="M900" s="1" t="s">
        <v>16</v>
      </c>
      <c r="N900" s="1" t="s">
        <v>16</v>
      </c>
      <c r="O900" s="1" t="s">
        <v>9952</v>
      </c>
      <c r="P900" s="1" t="s">
        <v>16</v>
      </c>
      <c r="Q900" s="1">
        <v>100</v>
      </c>
      <c r="R900" s="1">
        <v>131250</v>
      </c>
      <c r="S900" s="1">
        <v>131250</v>
      </c>
    </row>
    <row r="901" spans="1:19" ht="12.5" x14ac:dyDescent="0.25">
      <c r="A901" s="1">
        <v>676</v>
      </c>
      <c r="B901" s="1" t="s">
        <v>2755</v>
      </c>
      <c r="C901" s="1" t="s">
        <v>35</v>
      </c>
      <c r="D901" s="1" t="s">
        <v>36</v>
      </c>
      <c r="E901" s="1">
        <v>690</v>
      </c>
      <c r="F901" s="1" t="s">
        <v>2756</v>
      </c>
      <c r="G901" s="1" t="s">
        <v>2757</v>
      </c>
      <c r="H901" s="1" t="s">
        <v>1209</v>
      </c>
      <c r="I901" s="1" t="s">
        <v>29</v>
      </c>
      <c r="J901" s="1" t="s">
        <v>16</v>
      </c>
      <c r="K901" s="1" t="b">
        <v>0</v>
      </c>
      <c r="L901" s="1" t="s">
        <v>22</v>
      </c>
      <c r="M901" s="1">
        <v>2022</v>
      </c>
      <c r="N901" s="1" t="s">
        <v>16</v>
      </c>
      <c r="O901" s="1" t="s">
        <v>9935</v>
      </c>
      <c r="P901" s="1" t="s">
        <v>16</v>
      </c>
      <c r="Q901" s="1">
        <v>100</v>
      </c>
      <c r="R901" s="1">
        <v>500000</v>
      </c>
      <c r="S901" s="1">
        <v>500000</v>
      </c>
    </row>
    <row r="902" spans="1:19" ht="12.5" x14ac:dyDescent="0.25">
      <c r="A902" s="1">
        <v>676</v>
      </c>
      <c r="B902" s="1" t="s">
        <v>2755</v>
      </c>
      <c r="C902" s="1" t="s">
        <v>35</v>
      </c>
      <c r="D902" s="1" t="s">
        <v>36</v>
      </c>
      <c r="E902" s="1">
        <v>690</v>
      </c>
      <c r="F902" s="1" t="s">
        <v>2756</v>
      </c>
      <c r="G902" s="1" t="s">
        <v>2757</v>
      </c>
      <c r="H902" s="1" t="s">
        <v>1209</v>
      </c>
      <c r="I902" s="1" t="s">
        <v>29</v>
      </c>
      <c r="J902" s="1" t="s">
        <v>16</v>
      </c>
      <c r="K902" s="1" t="b">
        <v>0</v>
      </c>
      <c r="L902" s="1" t="s">
        <v>22</v>
      </c>
      <c r="M902" s="1">
        <v>2022</v>
      </c>
      <c r="N902" s="1" t="s">
        <v>16</v>
      </c>
      <c r="O902" s="1" t="s">
        <v>9942</v>
      </c>
      <c r="P902" s="1" t="s">
        <v>16</v>
      </c>
      <c r="Q902" s="1">
        <v>100</v>
      </c>
      <c r="R902" s="1">
        <v>350000</v>
      </c>
      <c r="S902" s="1">
        <v>350000</v>
      </c>
    </row>
    <row r="903" spans="1:19" ht="12.5" x14ac:dyDescent="0.25">
      <c r="A903" s="1">
        <v>676</v>
      </c>
      <c r="B903" s="1" t="s">
        <v>2755</v>
      </c>
      <c r="C903" s="1" t="s">
        <v>35</v>
      </c>
      <c r="D903" s="1" t="s">
        <v>36</v>
      </c>
      <c r="E903" s="1">
        <v>690</v>
      </c>
      <c r="F903" s="1" t="s">
        <v>2756</v>
      </c>
      <c r="G903" s="1" t="s">
        <v>2757</v>
      </c>
      <c r="H903" s="1" t="s">
        <v>1209</v>
      </c>
      <c r="I903" s="1" t="s">
        <v>29</v>
      </c>
      <c r="J903" s="1" t="s">
        <v>16</v>
      </c>
      <c r="K903" s="1" t="b">
        <v>0</v>
      </c>
      <c r="L903" s="1" t="s">
        <v>22</v>
      </c>
      <c r="M903" s="1" t="s">
        <v>16</v>
      </c>
      <c r="N903" s="1" t="s">
        <v>16</v>
      </c>
      <c r="O903" s="1" t="s">
        <v>9940</v>
      </c>
      <c r="P903" s="1" t="s">
        <v>16</v>
      </c>
      <c r="Q903" s="1">
        <v>100</v>
      </c>
      <c r="R903" s="1">
        <v>25000</v>
      </c>
      <c r="S903" s="1">
        <v>25000</v>
      </c>
    </row>
    <row r="904" spans="1:19" ht="12.5" x14ac:dyDescent="0.25">
      <c r="A904" s="1">
        <v>676</v>
      </c>
      <c r="B904" s="1" t="s">
        <v>2755</v>
      </c>
      <c r="C904" s="1" t="s">
        <v>35</v>
      </c>
      <c r="D904" s="1" t="s">
        <v>36</v>
      </c>
      <c r="E904" s="1">
        <v>691</v>
      </c>
      <c r="F904" s="1" t="s">
        <v>2758</v>
      </c>
      <c r="G904" s="1" t="s">
        <v>2757</v>
      </c>
      <c r="H904" s="1" t="s">
        <v>2759</v>
      </c>
      <c r="I904" s="1" t="s">
        <v>20</v>
      </c>
      <c r="J904" s="1" t="s">
        <v>2760</v>
      </c>
      <c r="K904" s="1" t="b">
        <v>0</v>
      </c>
      <c r="L904" s="1" t="s">
        <v>22</v>
      </c>
      <c r="M904" s="1" t="s">
        <v>16</v>
      </c>
      <c r="N904" s="1" t="s">
        <v>16</v>
      </c>
      <c r="O904" s="1" t="s">
        <v>16</v>
      </c>
      <c r="P904" s="1" t="s">
        <v>16</v>
      </c>
      <c r="Q904" s="1">
        <v>100</v>
      </c>
    </row>
    <row r="905" spans="1:19" ht="12.5" x14ac:dyDescent="0.25">
      <c r="A905" s="1">
        <v>677</v>
      </c>
      <c r="B905" s="1" t="s">
        <v>2761</v>
      </c>
      <c r="C905" s="1" t="s">
        <v>35</v>
      </c>
      <c r="D905" s="1" t="s">
        <v>36</v>
      </c>
      <c r="E905" s="1">
        <v>692</v>
      </c>
      <c r="F905" s="1" t="s">
        <v>2762</v>
      </c>
      <c r="G905" s="1" t="s">
        <v>2763</v>
      </c>
      <c r="H905" s="1" t="s">
        <v>2764</v>
      </c>
      <c r="I905" s="1" t="s">
        <v>29</v>
      </c>
      <c r="J905" s="1" t="s">
        <v>2765</v>
      </c>
      <c r="K905" s="1" t="b">
        <v>1</v>
      </c>
      <c r="L905" s="1" t="s">
        <v>31</v>
      </c>
      <c r="M905" s="1">
        <v>2022</v>
      </c>
      <c r="N905" s="1" t="s">
        <v>16</v>
      </c>
      <c r="O905" s="1" t="s">
        <v>9942</v>
      </c>
      <c r="P905" s="1" t="s">
        <v>16</v>
      </c>
      <c r="Q905" s="1">
        <v>50</v>
      </c>
      <c r="R905" s="1">
        <v>250000</v>
      </c>
      <c r="S905" s="1">
        <v>125000</v>
      </c>
    </row>
    <row r="906" spans="1:19" ht="12.5" x14ac:dyDescent="0.25">
      <c r="A906" s="1">
        <v>680</v>
      </c>
      <c r="B906" s="1" t="s">
        <v>2766</v>
      </c>
      <c r="C906" s="1" t="s">
        <v>35</v>
      </c>
      <c r="D906" s="1" t="s">
        <v>36</v>
      </c>
      <c r="E906" s="1">
        <v>692</v>
      </c>
      <c r="F906" s="1" t="s">
        <v>2762</v>
      </c>
      <c r="G906" s="1" t="s">
        <v>2763</v>
      </c>
      <c r="H906" s="1" t="s">
        <v>2764</v>
      </c>
      <c r="I906" s="1" t="s">
        <v>29</v>
      </c>
      <c r="J906" s="1" t="s">
        <v>2765</v>
      </c>
      <c r="K906" s="1" t="b">
        <v>1</v>
      </c>
      <c r="L906" s="1" t="s">
        <v>31</v>
      </c>
      <c r="M906" s="1">
        <v>2022</v>
      </c>
      <c r="N906" s="1" t="s">
        <v>16</v>
      </c>
      <c r="O906" s="1" t="s">
        <v>9942</v>
      </c>
      <c r="P906" s="1" t="s">
        <v>16</v>
      </c>
      <c r="Q906" s="1">
        <v>50</v>
      </c>
      <c r="R906" s="1">
        <v>250000</v>
      </c>
      <c r="S906" s="1">
        <v>125000</v>
      </c>
    </row>
    <row r="907" spans="1:19" ht="12.5" x14ac:dyDescent="0.25">
      <c r="A907" s="1">
        <v>677</v>
      </c>
      <c r="B907" s="1" t="s">
        <v>2761</v>
      </c>
      <c r="C907" s="1" t="s">
        <v>35</v>
      </c>
      <c r="D907" s="1" t="s">
        <v>36</v>
      </c>
      <c r="E907" s="1">
        <v>693</v>
      </c>
      <c r="F907" s="1" t="s">
        <v>2767</v>
      </c>
      <c r="G907" s="1" t="s">
        <v>2768</v>
      </c>
      <c r="H907" s="1" t="s">
        <v>2769</v>
      </c>
      <c r="I907" s="1" t="s">
        <v>29</v>
      </c>
      <c r="J907" s="1" t="s">
        <v>16</v>
      </c>
      <c r="K907" s="1" t="b">
        <v>0</v>
      </c>
      <c r="L907" s="1" t="s">
        <v>22</v>
      </c>
      <c r="M907" s="1" t="s">
        <v>16</v>
      </c>
      <c r="N907" s="1" t="s">
        <v>16</v>
      </c>
      <c r="O907" s="1" t="s">
        <v>16</v>
      </c>
      <c r="P907" s="1" t="s">
        <v>16</v>
      </c>
      <c r="Q907" s="1">
        <v>100</v>
      </c>
    </row>
    <row r="908" spans="1:19" ht="12.5" x14ac:dyDescent="0.25">
      <c r="A908" s="1">
        <v>680</v>
      </c>
      <c r="B908" s="1" t="s">
        <v>2766</v>
      </c>
      <c r="C908" s="1" t="s">
        <v>35</v>
      </c>
      <c r="D908" s="1" t="s">
        <v>36</v>
      </c>
      <c r="E908" s="1">
        <v>693</v>
      </c>
      <c r="F908" s="1" t="s">
        <v>2767</v>
      </c>
      <c r="G908" s="1" t="s">
        <v>2768</v>
      </c>
      <c r="H908" s="1" t="s">
        <v>2769</v>
      </c>
      <c r="I908" s="1" t="s">
        <v>29</v>
      </c>
      <c r="J908" s="1" t="s">
        <v>16</v>
      </c>
      <c r="K908" s="1" t="b">
        <v>0</v>
      </c>
      <c r="L908" s="1" t="s">
        <v>22</v>
      </c>
      <c r="M908" s="1" t="s">
        <v>16</v>
      </c>
      <c r="N908" s="1" t="s">
        <v>16</v>
      </c>
      <c r="O908" s="1" t="s">
        <v>16</v>
      </c>
      <c r="P908" s="1" t="s">
        <v>16</v>
      </c>
      <c r="Q908" s="1">
        <v>0</v>
      </c>
    </row>
    <row r="909" spans="1:19" ht="12.5" x14ac:dyDescent="0.25">
      <c r="A909" s="1">
        <v>678</v>
      </c>
      <c r="B909" s="1" t="s">
        <v>2770</v>
      </c>
      <c r="C909" s="1" t="s">
        <v>35</v>
      </c>
      <c r="D909" s="1" t="s">
        <v>36</v>
      </c>
      <c r="E909" s="1">
        <v>694</v>
      </c>
      <c r="F909" s="1" t="s">
        <v>2771</v>
      </c>
      <c r="G909" s="1" t="s">
        <v>2772</v>
      </c>
      <c r="H909" s="1" t="s">
        <v>1209</v>
      </c>
      <c r="I909" s="1" t="s">
        <v>29</v>
      </c>
      <c r="J909" s="1" t="s">
        <v>16</v>
      </c>
      <c r="K909" s="1" t="b">
        <v>0</v>
      </c>
      <c r="L909" s="1" t="s">
        <v>22</v>
      </c>
      <c r="M909" s="1">
        <v>2022</v>
      </c>
      <c r="N909" s="1" t="s">
        <v>16</v>
      </c>
      <c r="O909" s="1" t="s">
        <v>9935</v>
      </c>
      <c r="P909" s="1" t="s">
        <v>16</v>
      </c>
      <c r="Q909" s="1">
        <v>100</v>
      </c>
      <c r="R909" s="1">
        <v>75000</v>
      </c>
      <c r="S909" s="1">
        <v>75000</v>
      </c>
    </row>
    <row r="910" spans="1:19" ht="12.5" x14ac:dyDescent="0.25">
      <c r="A910" s="1">
        <v>678</v>
      </c>
      <c r="B910" s="1" t="s">
        <v>2770</v>
      </c>
      <c r="C910" s="1" t="s">
        <v>35</v>
      </c>
      <c r="D910" s="1" t="s">
        <v>36</v>
      </c>
      <c r="E910" s="1">
        <v>694</v>
      </c>
      <c r="F910" s="1" t="s">
        <v>2771</v>
      </c>
      <c r="G910" s="1" t="s">
        <v>2772</v>
      </c>
      <c r="H910" s="1" t="s">
        <v>1209</v>
      </c>
      <c r="I910" s="1" t="s">
        <v>29</v>
      </c>
      <c r="J910" s="1" t="s">
        <v>16</v>
      </c>
      <c r="K910" s="1" t="b">
        <v>0</v>
      </c>
      <c r="L910" s="1" t="s">
        <v>22</v>
      </c>
      <c r="M910" s="1">
        <v>2022</v>
      </c>
      <c r="N910" s="1" t="s">
        <v>16</v>
      </c>
      <c r="O910" s="1" t="s">
        <v>9942</v>
      </c>
      <c r="P910" s="1" t="s">
        <v>16</v>
      </c>
      <c r="Q910" s="1">
        <v>100</v>
      </c>
      <c r="R910" s="1">
        <v>250000</v>
      </c>
      <c r="S910" s="1">
        <v>250000</v>
      </c>
    </row>
    <row r="911" spans="1:19" ht="12.5" x14ac:dyDescent="0.25">
      <c r="A911" s="1">
        <v>678</v>
      </c>
      <c r="B911" s="1" t="s">
        <v>2770</v>
      </c>
      <c r="C911" s="1" t="s">
        <v>35</v>
      </c>
      <c r="D911" s="1" t="s">
        <v>36</v>
      </c>
      <c r="E911" s="1">
        <v>694</v>
      </c>
      <c r="F911" s="1" t="s">
        <v>2771</v>
      </c>
      <c r="G911" s="1" t="s">
        <v>2772</v>
      </c>
      <c r="H911" s="1" t="s">
        <v>1209</v>
      </c>
      <c r="I911" s="1" t="s">
        <v>29</v>
      </c>
      <c r="J911" s="1" t="s">
        <v>16</v>
      </c>
      <c r="K911" s="1" t="b">
        <v>0</v>
      </c>
      <c r="L911" s="1" t="s">
        <v>22</v>
      </c>
      <c r="M911" s="1" t="s">
        <v>16</v>
      </c>
      <c r="N911" s="1" t="s">
        <v>16</v>
      </c>
      <c r="O911" s="1" t="s">
        <v>9940</v>
      </c>
      <c r="P911" s="1" t="s">
        <v>16</v>
      </c>
      <c r="Q911" s="1">
        <v>100</v>
      </c>
      <c r="R911" s="1">
        <v>75000</v>
      </c>
      <c r="S911" s="1">
        <v>75000</v>
      </c>
    </row>
    <row r="912" spans="1:19" ht="12.5" x14ac:dyDescent="0.25">
      <c r="A912" s="1">
        <v>678</v>
      </c>
      <c r="B912" s="1" t="s">
        <v>2770</v>
      </c>
      <c r="C912" s="1" t="s">
        <v>35</v>
      </c>
      <c r="D912" s="1" t="s">
        <v>36</v>
      </c>
      <c r="E912" s="1">
        <v>694</v>
      </c>
      <c r="F912" s="1" t="s">
        <v>2771</v>
      </c>
      <c r="G912" s="1" t="s">
        <v>2772</v>
      </c>
      <c r="H912" s="1" t="s">
        <v>1209</v>
      </c>
      <c r="I912" s="1" t="s">
        <v>29</v>
      </c>
      <c r="J912" s="1" t="s">
        <v>16</v>
      </c>
      <c r="K912" s="1" t="b">
        <v>0</v>
      </c>
      <c r="L912" s="1" t="s">
        <v>22</v>
      </c>
      <c r="M912" s="1" t="s">
        <v>16</v>
      </c>
      <c r="N912" s="1" t="s">
        <v>16</v>
      </c>
      <c r="O912" s="1" t="s">
        <v>9952</v>
      </c>
      <c r="P912" s="1" t="s">
        <v>16</v>
      </c>
      <c r="Q912" s="1">
        <v>100</v>
      </c>
      <c r="R912" s="1">
        <v>60000</v>
      </c>
      <c r="S912" s="1">
        <v>60000</v>
      </c>
    </row>
    <row r="913" spans="1:19" ht="12.5" x14ac:dyDescent="0.25">
      <c r="A913" s="1">
        <v>678</v>
      </c>
      <c r="B913" s="1" t="s">
        <v>2770</v>
      </c>
      <c r="C913" s="1" t="s">
        <v>35</v>
      </c>
      <c r="D913" s="1" t="s">
        <v>36</v>
      </c>
      <c r="E913" s="1">
        <v>695</v>
      </c>
      <c r="F913" s="1" t="s">
        <v>2773</v>
      </c>
      <c r="G913" s="1" t="s">
        <v>2774</v>
      </c>
      <c r="H913" s="1" t="s">
        <v>2775</v>
      </c>
      <c r="I913" s="1" t="s">
        <v>20</v>
      </c>
      <c r="J913" s="1" t="s">
        <v>2776</v>
      </c>
      <c r="K913" s="1" t="b">
        <v>0</v>
      </c>
      <c r="L913" s="1" t="s">
        <v>22</v>
      </c>
      <c r="M913" s="1">
        <v>2022</v>
      </c>
      <c r="N913" s="1" t="s">
        <v>16</v>
      </c>
      <c r="O913" s="1" t="s">
        <v>9956</v>
      </c>
      <c r="P913" s="1" t="s">
        <v>16</v>
      </c>
      <c r="Q913" s="1">
        <v>100</v>
      </c>
      <c r="R913" s="1">
        <v>1150000</v>
      </c>
      <c r="S913" s="1">
        <v>1150000</v>
      </c>
    </row>
    <row r="914" spans="1:19" ht="12.5" x14ac:dyDescent="0.25">
      <c r="A914" s="1">
        <v>679</v>
      </c>
      <c r="B914" s="1" t="s">
        <v>2777</v>
      </c>
      <c r="C914" s="1" t="s">
        <v>35</v>
      </c>
      <c r="D914" s="1" t="s">
        <v>36</v>
      </c>
      <c r="E914" s="1">
        <v>696</v>
      </c>
      <c r="F914" s="1" t="s">
        <v>2778</v>
      </c>
      <c r="G914" s="1" t="s">
        <v>2779</v>
      </c>
      <c r="H914" s="1" t="s">
        <v>2780</v>
      </c>
      <c r="I914" s="1" t="s">
        <v>29</v>
      </c>
      <c r="J914" s="1" t="s">
        <v>2781</v>
      </c>
      <c r="K914" s="1" t="b">
        <v>1</v>
      </c>
      <c r="L914" s="1" t="s">
        <v>31</v>
      </c>
      <c r="M914" s="1">
        <v>2022</v>
      </c>
      <c r="N914" s="1" t="s">
        <v>23</v>
      </c>
      <c r="O914" s="1" t="s">
        <v>9942</v>
      </c>
      <c r="P914" s="1" t="s">
        <v>16</v>
      </c>
      <c r="Q914" s="1">
        <v>100</v>
      </c>
      <c r="R914" s="1">
        <v>250000</v>
      </c>
      <c r="S914" s="1">
        <v>250000</v>
      </c>
    </row>
    <row r="915" spans="1:19" ht="12.5" x14ac:dyDescent="0.25">
      <c r="A915" s="1">
        <v>679</v>
      </c>
      <c r="B915" s="1" t="s">
        <v>2777</v>
      </c>
      <c r="C915" s="1" t="s">
        <v>35</v>
      </c>
      <c r="D915" s="1" t="s">
        <v>36</v>
      </c>
      <c r="E915" s="1">
        <v>696</v>
      </c>
      <c r="F915" s="1" t="s">
        <v>2778</v>
      </c>
      <c r="G915" s="1" t="s">
        <v>2779</v>
      </c>
      <c r="H915" s="1" t="s">
        <v>2780</v>
      </c>
      <c r="I915" s="1" t="s">
        <v>29</v>
      </c>
      <c r="J915" s="1" t="s">
        <v>2781</v>
      </c>
      <c r="K915" s="1" t="b">
        <v>1</v>
      </c>
      <c r="L915" s="1" t="s">
        <v>31</v>
      </c>
      <c r="M915" s="1">
        <v>2022</v>
      </c>
      <c r="N915" s="1" t="s">
        <v>23</v>
      </c>
      <c r="O915" s="1" t="s">
        <v>9935</v>
      </c>
      <c r="P915" s="1" t="s">
        <v>16</v>
      </c>
      <c r="Q915" s="1">
        <v>100</v>
      </c>
      <c r="R915" s="1">
        <v>200000</v>
      </c>
      <c r="S915" s="1">
        <v>200000</v>
      </c>
    </row>
    <row r="916" spans="1:19" ht="12.5" x14ac:dyDescent="0.25">
      <c r="A916" s="1">
        <v>1132</v>
      </c>
      <c r="B916" s="1" t="s">
        <v>2782</v>
      </c>
      <c r="C916" s="1" t="s">
        <v>35</v>
      </c>
      <c r="D916" s="1" t="s">
        <v>152</v>
      </c>
      <c r="E916" s="1">
        <v>696</v>
      </c>
      <c r="F916" s="1" t="s">
        <v>2778</v>
      </c>
      <c r="G916" s="1" t="s">
        <v>2779</v>
      </c>
      <c r="H916" s="1" t="s">
        <v>2780</v>
      </c>
      <c r="I916" s="1" t="s">
        <v>29</v>
      </c>
      <c r="J916" s="1" t="s">
        <v>2781</v>
      </c>
      <c r="K916" s="1" t="b">
        <v>1</v>
      </c>
      <c r="L916" s="1" t="s">
        <v>31</v>
      </c>
      <c r="M916" s="1">
        <v>2022</v>
      </c>
      <c r="N916" s="1" t="s">
        <v>23</v>
      </c>
      <c r="O916" s="1" t="s">
        <v>9942</v>
      </c>
      <c r="P916" s="1" t="s">
        <v>16</v>
      </c>
      <c r="Q916" s="1">
        <v>0</v>
      </c>
      <c r="R916" s="1">
        <v>250000</v>
      </c>
      <c r="S916" s="1">
        <v>0</v>
      </c>
    </row>
    <row r="917" spans="1:19" ht="12.5" x14ac:dyDescent="0.25">
      <c r="A917" s="1">
        <v>1132</v>
      </c>
      <c r="B917" s="1" t="s">
        <v>2782</v>
      </c>
      <c r="C917" s="1" t="s">
        <v>35</v>
      </c>
      <c r="D917" s="1" t="s">
        <v>152</v>
      </c>
      <c r="E917" s="1">
        <v>696</v>
      </c>
      <c r="F917" s="1" t="s">
        <v>2778</v>
      </c>
      <c r="G917" s="1" t="s">
        <v>2779</v>
      </c>
      <c r="H917" s="1" t="s">
        <v>2780</v>
      </c>
      <c r="I917" s="1" t="s">
        <v>29</v>
      </c>
      <c r="J917" s="1" t="s">
        <v>2781</v>
      </c>
      <c r="K917" s="1" t="b">
        <v>1</v>
      </c>
      <c r="L917" s="1" t="s">
        <v>31</v>
      </c>
      <c r="M917" s="1">
        <v>2022</v>
      </c>
      <c r="N917" s="1" t="s">
        <v>23</v>
      </c>
      <c r="O917" s="1" t="s">
        <v>9935</v>
      </c>
      <c r="P917" s="1" t="s">
        <v>16</v>
      </c>
      <c r="Q917" s="1">
        <v>0</v>
      </c>
      <c r="R917" s="1">
        <v>200000</v>
      </c>
      <c r="S917" s="1">
        <v>0</v>
      </c>
    </row>
    <row r="918" spans="1:19" ht="12.5" x14ac:dyDescent="0.25">
      <c r="A918" s="1">
        <v>680</v>
      </c>
      <c r="B918" s="1" t="s">
        <v>2766</v>
      </c>
      <c r="C918" s="1" t="s">
        <v>35</v>
      </c>
      <c r="D918" s="1" t="s">
        <v>36</v>
      </c>
      <c r="E918" s="1">
        <v>697</v>
      </c>
      <c r="F918" s="1" t="s">
        <v>2784</v>
      </c>
      <c r="G918" s="1" t="s">
        <v>2785</v>
      </c>
      <c r="H918" s="1" t="s">
        <v>1209</v>
      </c>
      <c r="I918" s="1" t="s">
        <v>29</v>
      </c>
      <c r="J918" s="1" t="s">
        <v>16</v>
      </c>
      <c r="K918" s="1" t="b">
        <v>0</v>
      </c>
      <c r="L918" s="1" t="s">
        <v>22</v>
      </c>
      <c r="M918" s="1" t="s">
        <v>16</v>
      </c>
      <c r="N918" s="1" t="s">
        <v>16</v>
      </c>
      <c r="O918" s="1" t="s">
        <v>16</v>
      </c>
      <c r="P918" s="1" t="s">
        <v>16</v>
      </c>
      <c r="Q918" s="1">
        <v>100</v>
      </c>
    </row>
    <row r="919" spans="1:19" ht="12.5" x14ac:dyDescent="0.25">
      <c r="A919" s="1">
        <v>680</v>
      </c>
      <c r="B919" s="1" t="s">
        <v>2766</v>
      </c>
      <c r="C919" s="1" t="s">
        <v>35</v>
      </c>
      <c r="D919" s="1" t="s">
        <v>36</v>
      </c>
      <c r="E919" s="1">
        <v>698</v>
      </c>
      <c r="F919" s="1" t="s">
        <v>2786</v>
      </c>
      <c r="G919" s="1" t="s">
        <v>2787</v>
      </c>
      <c r="H919" s="1" t="s">
        <v>2788</v>
      </c>
      <c r="I919" s="1" t="s">
        <v>20</v>
      </c>
      <c r="J919" s="1" t="s">
        <v>16</v>
      </c>
      <c r="K919" s="1" t="b">
        <v>0</v>
      </c>
      <c r="L919" s="1" t="s">
        <v>22</v>
      </c>
      <c r="M919" s="1">
        <v>2021</v>
      </c>
      <c r="N919" s="1" t="s">
        <v>23</v>
      </c>
      <c r="O919" s="1" t="s">
        <v>9935</v>
      </c>
      <c r="P919" s="1" t="s">
        <v>9979</v>
      </c>
      <c r="Q919" s="1">
        <v>100</v>
      </c>
      <c r="R919" s="1">
        <v>100000</v>
      </c>
      <c r="S919" s="1">
        <v>100000</v>
      </c>
    </row>
    <row r="920" spans="1:19" ht="12.5" x14ac:dyDescent="0.25">
      <c r="A920" s="1">
        <v>680</v>
      </c>
      <c r="B920" s="1" t="s">
        <v>2766</v>
      </c>
      <c r="C920" s="1" t="s">
        <v>35</v>
      </c>
      <c r="D920" s="1" t="s">
        <v>36</v>
      </c>
      <c r="E920" s="1">
        <v>698</v>
      </c>
      <c r="F920" s="1" t="s">
        <v>2786</v>
      </c>
      <c r="G920" s="1" t="s">
        <v>2787</v>
      </c>
      <c r="H920" s="1" t="s">
        <v>2788</v>
      </c>
      <c r="I920" s="1" t="s">
        <v>20</v>
      </c>
      <c r="J920" s="1" t="s">
        <v>16</v>
      </c>
      <c r="K920" s="1" t="b">
        <v>0</v>
      </c>
      <c r="L920" s="1" t="s">
        <v>22</v>
      </c>
      <c r="M920" s="1">
        <v>2021</v>
      </c>
      <c r="N920" s="1" t="s">
        <v>23</v>
      </c>
      <c r="O920" s="1" t="s">
        <v>9942</v>
      </c>
      <c r="P920" s="1" t="s">
        <v>9980</v>
      </c>
      <c r="Q920" s="1">
        <v>100</v>
      </c>
      <c r="R920" s="1">
        <v>250000</v>
      </c>
      <c r="S920" s="1">
        <v>250000</v>
      </c>
    </row>
    <row r="921" spans="1:19" ht="12.5" x14ac:dyDescent="0.25">
      <c r="A921" s="1">
        <v>681</v>
      </c>
      <c r="B921" s="1" t="s">
        <v>2789</v>
      </c>
      <c r="C921" s="1" t="s">
        <v>35</v>
      </c>
      <c r="D921" s="1" t="s">
        <v>36</v>
      </c>
      <c r="E921" s="1">
        <v>699</v>
      </c>
      <c r="F921" s="1" t="s">
        <v>2790</v>
      </c>
      <c r="G921" s="1" t="s">
        <v>2791</v>
      </c>
      <c r="H921" s="1" t="s">
        <v>2764</v>
      </c>
      <c r="I921" s="1" t="s">
        <v>29</v>
      </c>
      <c r="J921" s="1" t="s">
        <v>16</v>
      </c>
      <c r="K921" s="1" t="b">
        <v>0</v>
      </c>
      <c r="L921" s="1" t="s">
        <v>22</v>
      </c>
      <c r="M921" s="1" t="s">
        <v>16</v>
      </c>
      <c r="N921" s="1" t="s">
        <v>16</v>
      </c>
      <c r="O921" s="1" t="s">
        <v>9952</v>
      </c>
      <c r="P921" s="1" t="s">
        <v>16</v>
      </c>
      <c r="Q921" s="1">
        <v>100</v>
      </c>
      <c r="R921" s="1">
        <v>142500</v>
      </c>
      <c r="S921" s="1">
        <v>142500</v>
      </c>
    </row>
    <row r="922" spans="1:19" ht="12.5" x14ac:dyDescent="0.25">
      <c r="A922" s="1">
        <v>681</v>
      </c>
      <c r="B922" s="1" t="s">
        <v>2789</v>
      </c>
      <c r="C922" s="1" t="s">
        <v>35</v>
      </c>
      <c r="D922" s="1" t="s">
        <v>36</v>
      </c>
      <c r="E922" s="1">
        <v>699</v>
      </c>
      <c r="F922" s="1" t="s">
        <v>2790</v>
      </c>
      <c r="G922" s="1" t="s">
        <v>2791</v>
      </c>
      <c r="H922" s="1" t="s">
        <v>2764</v>
      </c>
      <c r="I922" s="1" t="s">
        <v>29</v>
      </c>
      <c r="J922" s="1" t="s">
        <v>16</v>
      </c>
      <c r="K922" s="1" t="b">
        <v>0</v>
      </c>
      <c r="L922" s="1" t="s">
        <v>22</v>
      </c>
      <c r="M922" s="1">
        <v>2024</v>
      </c>
      <c r="N922" s="1" t="s">
        <v>16</v>
      </c>
      <c r="O922" s="1" t="s">
        <v>9935</v>
      </c>
      <c r="P922" s="1" t="s">
        <v>16</v>
      </c>
      <c r="Q922" s="1">
        <v>100</v>
      </c>
      <c r="R922" s="1">
        <v>660000</v>
      </c>
      <c r="S922" s="1">
        <v>660000</v>
      </c>
    </row>
    <row r="923" spans="1:19" ht="12.5" x14ac:dyDescent="0.25">
      <c r="A923" s="1">
        <v>681</v>
      </c>
      <c r="B923" s="1" t="s">
        <v>2789</v>
      </c>
      <c r="C923" s="1" t="s">
        <v>35</v>
      </c>
      <c r="D923" s="1" t="s">
        <v>36</v>
      </c>
      <c r="E923" s="1">
        <v>699</v>
      </c>
      <c r="F923" s="1" t="s">
        <v>2790</v>
      </c>
      <c r="G923" s="1" t="s">
        <v>2791</v>
      </c>
      <c r="H923" s="1" t="s">
        <v>2764</v>
      </c>
      <c r="I923" s="1" t="s">
        <v>29</v>
      </c>
      <c r="J923" s="1" t="s">
        <v>16</v>
      </c>
      <c r="K923" s="1" t="b">
        <v>0</v>
      </c>
      <c r="L923" s="1" t="s">
        <v>22</v>
      </c>
      <c r="M923" s="1">
        <v>2024</v>
      </c>
      <c r="N923" s="1" t="s">
        <v>16</v>
      </c>
      <c r="O923" s="1" t="s">
        <v>9942</v>
      </c>
      <c r="P923" s="1" t="s">
        <v>16</v>
      </c>
      <c r="Q923" s="1">
        <v>100</v>
      </c>
      <c r="R923" s="1">
        <v>250000</v>
      </c>
      <c r="S923" s="1">
        <v>250000</v>
      </c>
    </row>
    <row r="924" spans="1:19" ht="12.5" x14ac:dyDescent="0.25">
      <c r="A924" s="1">
        <v>681</v>
      </c>
      <c r="B924" s="1" t="s">
        <v>2789</v>
      </c>
      <c r="C924" s="1" t="s">
        <v>35</v>
      </c>
      <c r="D924" s="1" t="s">
        <v>36</v>
      </c>
      <c r="E924" s="1">
        <v>699</v>
      </c>
      <c r="F924" s="1" t="s">
        <v>2790</v>
      </c>
      <c r="G924" s="1" t="s">
        <v>2791</v>
      </c>
      <c r="H924" s="1" t="s">
        <v>2764</v>
      </c>
      <c r="I924" s="1" t="s">
        <v>29</v>
      </c>
      <c r="J924" s="1" t="s">
        <v>16</v>
      </c>
      <c r="K924" s="1" t="b">
        <v>0</v>
      </c>
      <c r="L924" s="1" t="s">
        <v>22</v>
      </c>
      <c r="M924" s="1" t="s">
        <v>16</v>
      </c>
      <c r="N924" s="1" t="s">
        <v>16</v>
      </c>
      <c r="O924" s="1" t="s">
        <v>9940</v>
      </c>
      <c r="P924" s="1" t="s">
        <v>16</v>
      </c>
      <c r="Q924" s="1">
        <v>100</v>
      </c>
      <c r="R924" s="1">
        <v>40000</v>
      </c>
      <c r="S924" s="1">
        <v>40000</v>
      </c>
    </row>
    <row r="925" spans="1:19" ht="12.5" x14ac:dyDescent="0.25">
      <c r="A925" s="1">
        <v>681</v>
      </c>
      <c r="B925" s="1" t="s">
        <v>2789</v>
      </c>
      <c r="C925" s="1" t="s">
        <v>35</v>
      </c>
      <c r="D925" s="1" t="s">
        <v>36</v>
      </c>
      <c r="E925" s="1">
        <v>700</v>
      </c>
      <c r="F925" s="1" t="s">
        <v>2792</v>
      </c>
      <c r="G925" s="1" t="s">
        <v>2793</v>
      </c>
      <c r="H925" s="1" t="s">
        <v>2794</v>
      </c>
      <c r="I925" s="1" t="s">
        <v>20</v>
      </c>
      <c r="J925" s="1" t="s">
        <v>2795</v>
      </c>
      <c r="K925" s="1" t="b">
        <v>0</v>
      </c>
      <c r="L925" s="1" t="s">
        <v>22</v>
      </c>
      <c r="M925" s="1" t="s">
        <v>16</v>
      </c>
      <c r="N925" s="1" t="s">
        <v>16</v>
      </c>
      <c r="O925" s="1" t="s">
        <v>16</v>
      </c>
      <c r="P925" s="1" t="s">
        <v>16</v>
      </c>
      <c r="Q925" s="1">
        <v>100</v>
      </c>
    </row>
    <row r="926" spans="1:19" ht="12.5" x14ac:dyDescent="0.25">
      <c r="A926" s="1">
        <v>682</v>
      </c>
      <c r="B926" s="1" t="s">
        <v>2796</v>
      </c>
      <c r="C926" s="1" t="s">
        <v>35</v>
      </c>
      <c r="D926" s="1" t="s">
        <v>36</v>
      </c>
      <c r="E926" s="1">
        <v>701</v>
      </c>
      <c r="F926" s="1" t="s">
        <v>2797</v>
      </c>
      <c r="G926" s="1" t="s">
        <v>2798</v>
      </c>
      <c r="H926" s="1" t="s">
        <v>2799</v>
      </c>
      <c r="I926" s="1" t="s">
        <v>29</v>
      </c>
      <c r="J926" s="1" t="s">
        <v>16</v>
      </c>
      <c r="K926" s="1" t="b">
        <v>0</v>
      </c>
      <c r="L926" s="1" t="s">
        <v>22</v>
      </c>
      <c r="M926" s="1" t="s">
        <v>16</v>
      </c>
      <c r="N926" s="1" t="s">
        <v>16</v>
      </c>
      <c r="O926" s="1" t="s">
        <v>16</v>
      </c>
      <c r="P926" s="1" t="s">
        <v>16</v>
      </c>
      <c r="Q926" s="1">
        <v>100</v>
      </c>
    </row>
    <row r="927" spans="1:19" ht="12.5" x14ac:dyDescent="0.25">
      <c r="A927" s="1">
        <v>683</v>
      </c>
      <c r="B927" s="1" t="s">
        <v>2800</v>
      </c>
      <c r="C927" s="1" t="s">
        <v>35</v>
      </c>
      <c r="D927" s="1" t="s">
        <v>36</v>
      </c>
      <c r="E927" s="1">
        <v>702</v>
      </c>
      <c r="F927" s="1" t="s">
        <v>2801</v>
      </c>
      <c r="G927" s="1" t="s">
        <v>2802</v>
      </c>
      <c r="H927" s="1" t="s">
        <v>2803</v>
      </c>
      <c r="I927" s="1" t="s">
        <v>29</v>
      </c>
      <c r="J927" s="1" t="s">
        <v>2804</v>
      </c>
      <c r="K927" s="1" t="b">
        <v>1</v>
      </c>
      <c r="L927" s="1" t="s">
        <v>31</v>
      </c>
      <c r="M927" s="1">
        <v>2021</v>
      </c>
      <c r="N927" s="1" t="s">
        <v>16</v>
      </c>
      <c r="O927" s="1" t="s">
        <v>9935</v>
      </c>
      <c r="P927" s="1" t="s">
        <v>16</v>
      </c>
      <c r="Q927" s="1">
        <v>100</v>
      </c>
      <c r="R927" s="1">
        <v>15000</v>
      </c>
      <c r="S927" s="1">
        <v>15000</v>
      </c>
    </row>
    <row r="928" spans="1:19" ht="12.5" x14ac:dyDescent="0.25">
      <c r="A928" s="1">
        <v>684</v>
      </c>
      <c r="B928" s="1" t="s">
        <v>2805</v>
      </c>
      <c r="C928" s="1" t="s">
        <v>35</v>
      </c>
      <c r="D928" s="1" t="s">
        <v>36</v>
      </c>
      <c r="E928" s="1">
        <v>703</v>
      </c>
      <c r="F928" s="1" t="s">
        <v>2806</v>
      </c>
      <c r="G928" s="1" t="s">
        <v>2807</v>
      </c>
      <c r="H928" s="1" t="s">
        <v>2808</v>
      </c>
      <c r="I928" s="1" t="s">
        <v>29</v>
      </c>
      <c r="J928" s="1" t="s">
        <v>16</v>
      </c>
      <c r="K928" s="1" t="b">
        <v>0</v>
      </c>
      <c r="L928" s="1" t="s">
        <v>22</v>
      </c>
      <c r="M928" s="1" t="s">
        <v>16</v>
      </c>
      <c r="N928" s="1" t="s">
        <v>16</v>
      </c>
      <c r="O928" s="1" t="s">
        <v>16</v>
      </c>
      <c r="P928" s="1" t="s">
        <v>16</v>
      </c>
      <c r="Q928" s="1">
        <v>100</v>
      </c>
    </row>
    <row r="929" spans="1:19" ht="12.5" x14ac:dyDescent="0.25">
      <c r="A929" s="1">
        <v>685</v>
      </c>
      <c r="B929" s="1" t="s">
        <v>2809</v>
      </c>
      <c r="C929" s="1" t="s">
        <v>35</v>
      </c>
      <c r="D929" s="1" t="s">
        <v>36</v>
      </c>
      <c r="E929" s="1">
        <v>704</v>
      </c>
      <c r="F929" s="1" t="s">
        <v>2810</v>
      </c>
      <c r="G929" s="1" t="s">
        <v>2811</v>
      </c>
      <c r="H929" s="1" t="s">
        <v>2812</v>
      </c>
      <c r="I929" s="1" t="s">
        <v>29</v>
      </c>
      <c r="J929" s="1" t="s">
        <v>16</v>
      </c>
      <c r="K929" s="1" t="b">
        <v>0</v>
      </c>
      <c r="L929" s="1" t="s">
        <v>22</v>
      </c>
      <c r="M929" s="1">
        <v>2021</v>
      </c>
      <c r="N929" s="1" t="s">
        <v>16</v>
      </c>
      <c r="O929" s="1" t="s">
        <v>9935</v>
      </c>
      <c r="P929" s="1" t="s">
        <v>16</v>
      </c>
      <c r="Q929" s="1">
        <v>100</v>
      </c>
      <c r="R929" s="1">
        <v>50000</v>
      </c>
      <c r="S929" s="1">
        <v>50000</v>
      </c>
    </row>
    <row r="930" spans="1:19" ht="12.5" x14ac:dyDescent="0.25">
      <c r="A930" s="1">
        <v>686</v>
      </c>
      <c r="B930" s="1" t="s">
        <v>2813</v>
      </c>
      <c r="C930" s="1" t="s">
        <v>35</v>
      </c>
      <c r="D930" s="1" t="s">
        <v>36</v>
      </c>
      <c r="E930" s="1">
        <v>705</v>
      </c>
      <c r="F930" s="1" t="s">
        <v>2814</v>
      </c>
      <c r="G930" s="1" t="s">
        <v>2815</v>
      </c>
      <c r="H930" s="1" t="s">
        <v>2816</v>
      </c>
      <c r="I930" s="1" t="s">
        <v>29</v>
      </c>
      <c r="J930" s="1" t="s">
        <v>16</v>
      </c>
      <c r="K930" s="1" t="b">
        <v>0</v>
      </c>
      <c r="L930" s="1" t="s">
        <v>22</v>
      </c>
      <c r="M930" s="1" t="s">
        <v>16</v>
      </c>
      <c r="N930" s="1" t="s">
        <v>16</v>
      </c>
      <c r="O930" s="1" t="s">
        <v>16</v>
      </c>
      <c r="P930" s="1" t="s">
        <v>16</v>
      </c>
      <c r="Q930" s="1">
        <v>100</v>
      </c>
    </row>
    <row r="931" spans="1:19" ht="12.5" x14ac:dyDescent="0.25">
      <c r="A931" s="1">
        <v>687</v>
      </c>
      <c r="B931" s="1" t="s">
        <v>2817</v>
      </c>
      <c r="C931" s="1" t="s">
        <v>35</v>
      </c>
      <c r="D931" s="1" t="s">
        <v>36</v>
      </c>
      <c r="E931" s="1">
        <v>706</v>
      </c>
      <c r="F931" s="1" t="s">
        <v>2818</v>
      </c>
      <c r="G931" s="1" t="s">
        <v>2819</v>
      </c>
      <c r="H931" s="1" t="s">
        <v>2820</v>
      </c>
      <c r="I931" s="1" t="s">
        <v>29</v>
      </c>
      <c r="J931" s="1" t="s">
        <v>16</v>
      </c>
      <c r="K931" s="1" t="b">
        <v>0</v>
      </c>
      <c r="L931" s="1" t="s">
        <v>22</v>
      </c>
      <c r="M931" s="1" t="s">
        <v>16</v>
      </c>
      <c r="N931" s="1" t="s">
        <v>16</v>
      </c>
      <c r="O931" s="1" t="s">
        <v>9942</v>
      </c>
      <c r="P931" s="1" t="s">
        <v>9981</v>
      </c>
      <c r="Q931" s="1">
        <v>100</v>
      </c>
      <c r="R931" s="1">
        <v>11942</v>
      </c>
      <c r="S931" s="1">
        <v>11942</v>
      </c>
    </row>
    <row r="932" spans="1:19" ht="12.5" x14ac:dyDescent="0.25">
      <c r="A932" s="1">
        <v>688</v>
      </c>
      <c r="B932" s="1" t="s">
        <v>2821</v>
      </c>
      <c r="C932" s="1" t="s">
        <v>35</v>
      </c>
      <c r="D932" s="1" t="s">
        <v>36</v>
      </c>
      <c r="E932" s="1">
        <v>707</v>
      </c>
      <c r="F932" s="1" t="s">
        <v>2822</v>
      </c>
      <c r="G932" s="1" t="s">
        <v>2823</v>
      </c>
      <c r="H932" s="1" t="s">
        <v>1764</v>
      </c>
      <c r="I932" s="1" t="s">
        <v>29</v>
      </c>
      <c r="J932" s="1" t="s">
        <v>16</v>
      </c>
      <c r="K932" s="1" t="b">
        <v>0</v>
      </c>
      <c r="L932" s="1" t="s">
        <v>22</v>
      </c>
      <c r="M932" s="1" t="s">
        <v>16</v>
      </c>
      <c r="N932" s="1" t="s">
        <v>16</v>
      </c>
      <c r="O932" s="1" t="s">
        <v>16</v>
      </c>
      <c r="P932" s="1" t="s">
        <v>16</v>
      </c>
      <c r="Q932" s="1">
        <v>100</v>
      </c>
    </row>
    <row r="933" spans="1:19" ht="12.5" x14ac:dyDescent="0.25">
      <c r="A933" s="1">
        <v>688</v>
      </c>
      <c r="B933" s="1" t="s">
        <v>2821</v>
      </c>
      <c r="C933" s="1" t="s">
        <v>35</v>
      </c>
      <c r="D933" s="1" t="s">
        <v>36</v>
      </c>
      <c r="E933" s="1">
        <v>708</v>
      </c>
      <c r="F933" s="1" t="s">
        <v>2824</v>
      </c>
      <c r="G933" s="1" t="s">
        <v>2823</v>
      </c>
      <c r="H933" s="1" t="s">
        <v>2825</v>
      </c>
      <c r="I933" s="1" t="s">
        <v>29</v>
      </c>
      <c r="J933" s="1" t="s">
        <v>16</v>
      </c>
      <c r="K933" s="1" t="b">
        <v>0</v>
      </c>
      <c r="L933" s="1" t="s">
        <v>22</v>
      </c>
      <c r="M933" s="1" t="s">
        <v>16</v>
      </c>
      <c r="N933" s="1" t="s">
        <v>16</v>
      </c>
      <c r="O933" s="1" t="s">
        <v>16</v>
      </c>
      <c r="P933" s="1" t="s">
        <v>16</v>
      </c>
      <c r="Q933" s="1">
        <v>100</v>
      </c>
    </row>
    <row r="934" spans="1:19" ht="12.5" x14ac:dyDescent="0.25">
      <c r="A934" s="1">
        <v>689</v>
      </c>
      <c r="B934" s="1" t="s">
        <v>2826</v>
      </c>
      <c r="C934" s="1" t="s">
        <v>35</v>
      </c>
      <c r="D934" s="1" t="s">
        <v>36</v>
      </c>
      <c r="E934" s="1">
        <v>709</v>
      </c>
      <c r="F934" s="1" t="s">
        <v>2827</v>
      </c>
      <c r="G934" s="1" t="s">
        <v>2828</v>
      </c>
      <c r="H934" s="1" t="s">
        <v>2829</v>
      </c>
      <c r="I934" s="1" t="s">
        <v>29</v>
      </c>
      <c r="J934" s="1" t="s">
        <v>16</v>
      </c>
      <c r="K934" s="1" t="b">
        <v>0</v>
      </c>
      <c r="L934" s="1" t="s">
        <v>22</v>
      </c>
      <c r="M934" s="1" t="s">
        <v>16</v>
      </c>
      <c r="N934" s="1" t="s">
        <v>16</v>
      </c>
      <c r="O934" s="1" t="s">
        <v>9935</v>
      </c>
      <c r="P934" s="1" t="s">
        <v>16</v>
      </c>
      <c r="Q934" s="1">
        <v>100</v>
      </c>
      <c r="R934" s="1">
        <v>1</v>
      </c>
      <c r="S934" s="1">
        <v>1</v>
      </c>
    </row>
    <row r="935" spans="1:19" ht="12.5" x14ac:dyDescent="0.25">
      <c r="A935" s="1">
        <v>690</v>
      </c>
      <c r="B935" s="1" t="s">
        <v>2830</v>
      </c>
      <c r="C935" s="1" t="s">
        <v>35</v>
      </c>
      <c r="D935" s="1" t="s">
        <v>36</v>
      </c>
      <c r="E935" s="1">
        <v>710</v>
      </c>
      <c r="F935" s="1" t="s">
        <v>2831</v>
      </c>
      <c r="G935" s="1" t="s">
        <v>2823</v>
      </c>
      <c r="H935" s="1" t="s">
        <v>1764</v>
      </c>
      <c r="I935" s="1" t="s">
        <v>29</v>
      </c>
      <c r="J935" s="1" t="s">
        <v>16</v>
      </c>
      <c r="K935" s="1" t="b">
        <v>0</v>
      </c>
      <c r="L935" s="1" t="s">
        <v>22</v>
      </c>
      <c r="M935" s="1" t="s">
        <v>16</v>
      </c>
      <c r="N935" s="1" t="s">
        <v>16</v>
      </c>
      <c r="O935" s="1" t="s">
        <v>16</v>
      </c>
      <c r="P935" s="1" t="s">
        <v>16</v>
      </c>
      <c r="Q935" s="1">
        <v>100</v>
      </c>
    </row>
    <row r="936" spans="1:19" ht="12.5" x14ac:dyDescent="0.25">
      <c r="A936" s="1">
        <v>690</v>
      </c>
      <c r="B936" s="1" t="s">
        <v>2830</v>
      </c>
      <c r="C936" s="1" t="s">
        <v>35</v>
      </c>
      <c r="D936" s="1" t="s">
        <v>36</v>
      </c>
      <c r="E936" s="1">
        <v>711</v>
      </c>
      <c r="F936" s="1" t="s">
        <v>2832</v>
      </c>
      <c r="G936" s="1" t="s">
        <v>2823</v>
      </c>
      <c r="H936" s="1" t="s">
        <v>2825</v>
      </c>
      <c r="I936" s="1" t="s">
        <v>29</v>
      </c>
      <c r="J936" s="1" t="s">
        <v>16</v>
      </c>
      <c r="K936" s="1" t="b">
        <v>0</v>
      </c>
      <c r="L936" s="1" t="s">
        <v>22</v>
      </c>
      <c r="M936" s="1" t="s">
        <v>16</v>
      </c>
      <c r="N936" s="1" t="s">
        <v>16</v>
      </c>
      <c r="O936" s="1" t="s">
        <v>16</v>
      </c>
      <c r="P936" s="1" t="s">
        <v>16</v>
      </c>
      <c r="Q936" s="1">
        <v>100</v>
      </c>
    </row>
    <row r="937" spans="1:19" ht="12.5" x14ac:dyDescent="0.25">
      <c r="A937" s="1">
        <v>691</v>
      </c>
      <c r="B937" s="1" t="s">
        <v>2833</v>
      </c>
      <c r="C937" s="1" t="s">
        <v>35</v>
      </c>
      <c r="D937" s="1" t="s">
        <v>36</v>
      </c>
      <c r="E937" s="1">
        <v>712</v>
      </c>
      <c r="F937" s="1" t="s">
        <v>2834</v>
      </c>
      <c r="G937" s="1" t="s">
        <v>2835</v>
      </c>
      <c r="H937" s="1" t="s">
        <v>2836</v>
      </c>
      <c r="I937" s="1" t="s">
        <v>29</v>
      </c>
      <c r="J937" s="1" t="s">
        <v>2837</v>
      </c>
      <c r="K937" s="1" t="b">
        <v>0</v>
      </c>
      <c r="L937" s="1" t="s">
        <v>22</v>
      </c>
      <c r="M937" s="1" t="s">
        <v>16</v>
      </c>
      <c r="N937" s="1" t="s">
        <v>16</v>
      </c>
      <c r="O937" s="1" t="s">
        <v>16</v>
      </c>
      <c r="P937" s="1" t="s">
        <v>16</v>
      </c>
      <c r="Q937" s="1">
        <v>100</v>
      </c>
    </row>
    <row r="938" spans="1:19" ht="12.5" x14ac:dyDescent="0.25">
      <c r="A938" s="1">
        <v>692</v>
      </c>
      <c r="B938" s="1" t="s">
        <v>2838</v>
      </c>
      <c r="C938" s="1" t="s">
        <v>35</v>
      </c>
      <c r="D938" s="1" t="s">
        <v>36</v>
      </c>
      <c r="E938" s="1">
        <v>713</v>
      </c>
      <c r="F938" s="1" t="s">
        <v>2839</v>
      </c>
      <c r="G938" s="1" t="s">
        <v>2840</v>
      </c>
      <c r="H938" s="1" t="s">
        <v>2841</v>
      </c>
      <c r="I938" s="1" t="s">
        <v>29</v>
      </c>
      <c r="J938" s="1" t="s">
        <v>16</v>
      </c>
      <c r="K938" s="1" t="b">
        <v>0</v>
      </c>
      <c r="L938" s="1" t="s">
        <v>22</v>
      </c>
      <c r="M938" s="1">
        <v>2021</v>
      </c>
      <c r="N938" s="1" t="s">
        <v>32</v>
      </c>
      <c r="O938" s="1" t="s">
        <v>9935</v>
      </c>
      <c r="P938" s="1" t="s">
        <v>9982</v>
      </c>
      <c r="Q938" s="1">
        <v>100</v>
      </c>
      <c r="R938" s="1">
        <v>6600</v>
      </c>
      <c r="S938" s="1">
        <v>6600</v>
      </c>
    </row>
    <row r="939" spans="1:19" ht="12.5" x14ac:dyDescent="0.25">
      <c r="A939" s="1">
        <v>694</v>
      </c>
      <c r="B939" s="1" t="s">
        <v>2842</v>
      </c>
      <c r="C939" s="1" t="s">
        <v>35</v>
      </c>
      <c r="D939" s="1" t="s">
        <v>36</v>
      </c>
      <c r="E939" s="1">
        <v>714</v>
      </c>
      <c r="F939" s="1" t="s">
        <v>2843</v>
      </c>
      <c r="G939" s="1" t="s">
        <v>2844</v>
      </c>
      <c r="H939" s="1" t="s">
        <v>2845</v>
      </c>
      <c r="I939" s="1" t="s">
        <v>20</v>
      </c>
      <c r="J939" s="1" t="s">
        <v>16</v>
      </c>
      <c r="K939" s="1" t="b">
        <v>0</v>
      </c>
      <c r="L939" s="1" t="s">
        <v>22</v>
      </c>
      <c r="M939" s="1" t="s">
        <v>16</v>
      </c>
      <c r="N939" s="1" t="s">
        <v>16</v>
      </c>
      <c r="O939" s="1" t="s">
        <v>16</v>
      </c>
      <c r="P939" s="1" t="s">
        <v>16</v>
      </c>
      <c r="Q939" s="1">
        <v>100</v>
      </c>
    </row>
    <row r="940" spans="1:19" ht="12.5" x14ac:dyDescent="0.25">
      <c r="A940" s="1">
        <v>695</v>
      </c>
      <c r="B940" s="1" t="s">
        <v>2846</v>
      </c>
      <c r="C940" s="1" t="s">
        <v>35</v>
      </c>
      <c r="D940" s="1" t="s">
        <v>36</v>
      </c>
      <c r="E940" s="1">
        <v>715</v>
      </c>
      <c r="F940" s="1" t="s">
        <v>2847</v>
      </c>
      <c r="G940" s="1" t="s">
        <v>2848</v>
      </c>
      <c r="H940" s="1" t="s">
        <v>2849</v>
      </c>
      <c r="I940" s="1" t="s">
        <v>20</v>
      </c>
      <c r="J940" s="1" t="s">
        <v>2850</v>
      </c>
      <c r="K940" s="1" t="b">
        <v>0</v>
      </c>
      <c r="L940" s="1" t="s">
        <v>22</v>
      </c>
      <c r="M940" s="1" t="s">
        <v>16</v>
      </c>
      <c r="N940" s="1" t="s">
        <v>16</v>
      </c>
      <c r="O940" s="1" t="s">
        <v>16</v>
      </c>
      <c r="P940" s="1" t="s">
        <v>16</v>
      </c>
      <c r="Q940" s="1">
        <v>100</v>
      </c>
    </row>
    <row r="941" spans="1:19" ht="12.5" x14ac:dyDescent="0.25">
      <c r="A941" s="1">
        <v>696</v>
      </c>
      <c r="B941" s="1" t="s">
        <v>2851</v>
      </c>
      <c r="C941" s="1" t="s">
        <v>35</v>
      </c>
      <c r="D941" s="1" t="s">
        <v>36</v>
      </c>
      <c r="E941" s="1">
        <v>716</v>
      </c>
      <c r="F941" s="1" t="s">
        <v>2852</v>
      </c>
      <c r="G941" s="1" t="s">
        <v>2853</v>
      </c>
      <c r="H941" s="1" t="s">
        <v>2854</v>
      </c>
      <c r="I941" s="1" t="s">
        <v>29</v>
      </c>
      <c r="J941" s="1" t="s">
        <v>2855</v>
      </c>
      <c r="K941" s="1" t="b">
        <v>0</v>
      </c>
      <c r="L941" s="1" t="s">
        <v>22</v>
      </c>
      <c r="M941" s="1">
        <v>2023</v>
      </c>
      <c r="N941" s="1" t="s">
        <v>32</v>
      </c>
      <c r="O941" s="1" t="s">
        <v>9935</v>
      </c>
      <c r="P941" s="1" t="s">
        <v>16</v>
      </c>
      <c r="Q941" s="1">
        <v>100</v>
      </c>
      <c r="R941" s="1">
        <v>76300</v>
      </c>
      <c r="S941" s="1">
        <v>76300</v>
      </c>
    </row>
    <row r="942" spans="1:19" ht="12.5" x14ac:dyDescent="0.25">
      <c r="A942" s="1">
        <v>697</v>
      </c>
      <c r="B942" s="1" t="s">
        <v>2856</v>
      </c>
      <c r="C942" s="1" t="s">
        <v>35</v>
      </c>
      <c r="D942" s="1" t="s">
        <v>36</v>
      </c>
      <c r="E942" s="1">
        <v>717</v>
      </c>
      <c r="F942" s="1" t="s">
        <v>2857</v>
      </c>
      <c r="G942" s="1" t="s">
        <v>2858</v>
      </c>
      <c r="H942" s="1" t="s">
        <v>2859</v>
      </c>
      <c r="I942" s="1" t="s">
        <v>29</v>
      </c>
      <c r="J942" s="1" t="s">
        <v>2860</v>
      </c>
      <c r="K942" s="1" t="b">
        <v>1</v>
      </c>
      <c r="L942" s="1" t="s">
        <v>31</v>
      </c>
      <c r="M942" s="1">
        <v>2022</v>
      </c>
      <c r="N942" s="1" t="s">
        <v>32</v>
      </c>
      <c r="O942" s="1" t="s">
        <v>9935</v>
      </c>
      <c r="P942" s="1" t="s">
        <v>16</v>
      </c>
      <c r="Q942" s="1">
        <v>100</v>
      </c>
      <c r="R942" s="1">
        <v>101600</v>
      </c>
      <c r="S942" s="1">
        <v>101600</v>
      </c>
    </row>
    <row r="943" spans="1:19" ht="12.5" x14ac:dyDescent="0.25">
      <c r="A943" s="1">
        <v>697</v>
      </c>
      <c r="B943" s="1" t="s">
        <v>2856</v>
      </c>
      <c r="C943" s="1" t="s">
        <v>35</v>
      </c>
      <c r="D943" s="1" t="s">
        <v>36</v>
      </c>
      <c r="E943" s="1">
        <v>717</v>
      </c>
      <c r="F943" s="1" t="s">
        <v>2857</v>
      </c>
      <c r="G943" s="1" t="s">
        <v>2858</v>
      </c>
      <c r="H943" s="1" t="s">
        <v>2859</v>
      </c>
      <c r="I943" s="1" t="s">
        <v>29</v>
      </c>
      <c r="J943" s="1" t="s">
        <v>2860</v>
      </c>
      <c r="K943" s="1" t="b">
        <v>1</v>
      </c>
      <c r="L943" s="1" t="s">
        <v>31</v>
      </c>
      <c r="M943" s="1">
        <v>2022</v>
      </c>
      <c r="N943" s="1" t="s">
        <v>32</v>
      </c>
      <c r="O943" s="1" t="s">
        <v>9942</v>
      </c>
      <c r="P943" s="1" t="s">
        <v>16</v>
      </c>
      <c r="Q943" s="1">
        <v>100</v>
      </c>
      <c r="R943" s="1">
        <v>166500</v>
      </c>
      <c r="S943" s="1">
        <v>166500</v>
      </c>
    </row>
    <row r="944" spans="1:19" ht="12.5" x14ac:dyDescent="0.25">
      <c r="A944" s="1">
        <v>17</v>
      </c>
      <c r="B944" s="1" t="s">
        <v>2861</v>
      </c>
      <c r="C944" s="1" t="s">
        <v>15</v>
      </c>
      <c r="D944" s="1" t="s">
        <v>15</v>
      </c>
      <c r="E944" s="1">
        <v>718</v>
      </c>
      <c r="F944" s="1" t="s">
        <v>2862</v>
      </c>
      <c r="G944" s="1" t="s">
        <v>2863</v>
      </c>
      <c r="H944" s="1" t="s">
        <v>2864</v>
      </c>
      <c r="I944" s="1" t="s">
        <v>20</v>
      </c>
      <c r="J944" s="1" t="s">
        <v>115</v>
      </c>
      <c r="K944" s="1" t="b">
        <v>0</v>
      </c>
      <c r="L944" s="1" t="s">
        <v>22</v>
      </c>
      <c r="M944" s="1" t="s">
        <v>16</v>
      </c>
      <c r="N944" s="1" t="s">
        <v>16</v>
      </c>
      <c r="O944" s="1" t="s">
        <v>16</v>
      </c>
      <c r="P944" s="1" t="s">
        <v>16</v>
      </c>
      <c r="Q944" s="1">
        <v>33.340000000000003</v>
      </c>
    </row>
    <row r="945" spans="1:19" ht="12.5" x14ac:dyDescent="0.25">
      <c r="A945" s="1">
        <v>694</v>
      </c>
      <c r="B945" s="1" t="s">
        <v>2842</v>
      </c>
      <c r="C945" s="1" t="s">
        <v>35</v>
      </c>
      <c r="D945" s="1" t="s">
        <v>36</v>
      </c>
      <c r="E945" s="1">
        <v>718</v>
      </c>
      <c r="F945" s="1" t="s">
        <v>2862</v>
      </c>
      <c r="G945" s="1" t="s">
        <v>2863</v>
      </c>
      <c r="H945" s="1" t="s">
        <v>2864</v>
      </c>
      <c r="I945" s="1" t="s">
        <v>20</v>
      </c>
      <c r="J945" s="1" t="s">
        <v>115</v>
      </c>
      <c r="K945" s="1" t="b">
        <v>0</v>
      </c>
      <c r="L945" s="1" t="s">
        <v>22</v>
      </c>
      <c r="M945" s="1" t="s">
        <v>16</v>
      </c>
      <c r="N945" s="1" t="s">
        <v>16</v>
      </c>
      <c r="O945" s="1" t="s">
        <v>16</v>
      </c>
      <c r="P945" s="1" t="s">
        <v>16</v>
      </c>
      <c r="Q945" s="1">
        <v>33.33</v>
      </c>
    </row>
    <row r="946" spans="1:19" ht="12.5" x14ac:dyDescent="0.25">
      <c r="A946" s="1">
        <v>698</v>
      </c>
      <c r="B946" s="1" t="s">
        <v>2865</v>
      </c>
      <c r="C946" s="1" t="s">
        <v>35</v>
      </c>
      <c r="D946" s="1" t="s">
        <v>36</v>
      </c>
      <c r="E946" s="1">
        <v>718</v>
      </c>
      <c r="F946" s="1" t="s">
        <v>2862</v>
      </c>
      <c r="G946" s="1" t="s">
        <v>2863</v>
      </c>
      <c r="H946" s="1" t="s">
        <v>2864</v>
      </c>
      <c r="I946" s="1" t="s">
        <v>20</v>
      </c>
      <c r="J946" s="1" t="s">
        <v>115</v>
      </c>
      <c r="K946" s="1" t="b">
        <v>0</v>
      </c>
      <c r="L946" s="1" t="s">
        <v>22</v>
      </c>
      <c r="M946" s="1" t="s">
        <v>16</v>
      </c>
      <c r="N946" s="1" t="s">
        <v>16</v>
      </c>
      <c r="O946" s="1" t="s">
        <v>16</v>
      </c>
      <c r="P946" s="1" t="s">
        <v>16</v>
      </c>
      <c r="Q946" s="1">
        <v>33.33</v>
      </c>
    </row>
    <row r="947" spans="1:19" ht="12.5" x14ac:dyDescent="0.25">
      <c r="A947" s="1">
        <v>699</v>
      </c>
      <c r="B947" s="1" t="s">
        <v>2866</v>
      </c>
      <c r="C947" s="1" t="s">
        <v>35</v>
      </c>
      <c r="D947" s="1" t="s">
        <v>36</v>
      </c>
      <c r="E947" s="1">
        <v>719</v>
      </c>
      <c r="F947" s="1" t="s">
        <v>2867</v>
      </c>
      <c r="G947" s="1" t="s">
        <v>2868</v>
      </c>
      <c r="H947" s="1" t="s">
        <v>2868</v>
      </c>
      <c r="I947" s="1" t="s">
        <v>29</v>
      </c>
      <c r="J947" s="1" t="s">
        <v>2869</v>
      </c>
      <c r="K947" s="1" t="b">
        <v>1</v>
      </c>
      <c r="L947" s="1" t="s">
        <v>31</v>
      </c>
      <c r="M947" s="1">
        <v>2022</v>
      </c>
      <c r="N947" s="1" t="s">
        <v>16</v>
      </c>
      <c r="O947" s="1" t="s">
        <v>9935</v>
      </c>
      <c r="P947" s="1" t="s">
        <v>16</v>
      </c>
      <c r="Q947" s="1">
        <v>100</v>
      </c>
      <c r="R947" s="1">
        <v>125000</v>
      </c>
      <c r="S947" s="1">
        <v>125000</v>
      </c>
    </row>
    <row r="948" spans="1:19" ht="12.5" x14ac:dyDescent="0.25">
      <c r="A948" s="1">
        <v>699</v>
      </c>
      <c r="B948" s="1" t="s">
        <v>2866</v>
      </c>
      <c r="C948" s="1" t="s">
        <v>35</v>
      </c>
      <c r="D948" s="1" t="s">
        <v>36</v>
      </c>
      <c r="E948" s="1">
        <v>720</v>
      </c>
      <c r="F948" s="1" t="s">
        <v>2870</v>
      </c>
      <c r="G948" s="1" t="s">
        <v>2868</v>
      </c>
      <c r="H948" s="1" t="s">
        <v>2871</v>
      </c>
      <c r="I948" s="1" t="s">
        <v>29</v>
      </c>
      <c r="J948" s="1" t="s">
        <v>16</v>
      </c>
      <c r="K948" s="1" t="b">
        <v>0</v>
      </c>
      <c r="L948" s="1" t="s">
        <v>22</v>
      </c>
      <c r="M948" s="1" t="s">
        <v>16</v>
      </c>
      <c r="N948" s="1" t="s">
        <v>16</v>
      </c>
      <c r="O948" s="1" t="s">
        <v>16</v>
      </c>
      <c r="P948" s="1" t="s">
        <v>16</v>
      </c>
      <c r="Q948" s="1">
        <v>100</v>
      </c>
    </row>
    <row r="949" spans="1:19" ht="12.5" x14ac:dyDescent="0.25">
      <c r="A949" s="1">
        <v>701</v>
      </c>
      <c r="B949" s="1" t="s">
        <v>2872</v>
      </c>
      <c r="C949" s="1" t="s">
        <v>35</v>
      </c>
      <c r="D949" s="1" t="s">
        <v>36</v>
      </c>
      <c r="E949" s="1">
        <v>721</v>
      </c>
      <c r="F949" s="1" t="s">
        <v>2873</v>
      </c>
      <c r="G949" s="1" t="s">
        <v>2874</v>
      </c>
      <c r="H949" s="1" t="s">
        <v>2875</v>
      </c>
      <c r="I949" s="1" t="s">
        <v>29</v>
      </c>
      <c r="J949" s="1" t="s">
        <v>2876</v>
      </c>
      <c r="K949" s="1" t="b">
        <v>1</v>
      </c>
      <c r="L949" s="1" t="s">
        <v>31</v>
      </c>
      <c r="M949" s="1">
        <v>2022</v>
      </c>
      <c r="N949" s="1" t="s">
        <v>52</v>
      </c>
      <c r="O949" s="1" t="s">
        <v>9952</v>
      </c>
      <c r="P949" s="1" t="s">
        <v>16</v>
      </c>
      <c r="Q949" s="1">
        <v>100</v>
      </c>
      <c r="R949" s="1">
        <v>67500</v>
      </c>
      <c r="S949" s="1">
        <v>67500</v>
      </c>
    </row>
    <row r="950" spans="1:19" ht="12.5" x14ac:dyDescent="0.25">
      <c r="A950" s="1">
        <v>701</v>
      </c>
      <c r="B950" s="1" t="s">
        <v>2872</v>
      </c>
      <c r="C950" s="1" t="s">
        <v>35</v>
      </c>
      <c r="D950" s="1" t="s">
        <v>36</v>
      </c>
      <c r="E950" s="1">
        <v>721</v>
      </c>
      <c r="F950" s="1" t="s">
        <v>2873</v>
      </c>
      <c r="G950" s="1" t="s">
        <v>2874</v>
      </c>
      <c r="H950" s="1" t="s">
        <v>2875</v>
      </c>
      <c r="I950" s="1" t="s">
        <v>29</v>
      </c>
      <c r="J950" s="1" t="s">
        <v>2876</v>
      </c>
      <c r="K950" s="1" t="b">
        <v>1</v>
      </c>
      <c r="L950" s="1" t="s">
        <v>31</v>
      </c>
      <c r="M950" s="1">
        <v>2022</v>
      </c>
      <c r="N950" s="1" t="s">
        <v>52</v>
      </c>
      <c r="O950" s="1" t="s">
        <v>9942</v>
      </c>
      <c r="P950" s="1" t="s">
        <v>16</v>
      </c>
      <c r="Q950" s="1">
        <v>100</v>
      </c>
      <c r="R950" s="1">
        <v>250000</v>
      </c>
      <c r="S950" s="1">
        <v>250000</v>
      </c>
    </row>
    <row r="951" spans="1:19" ht="12.5" x14ac:dyDescent="0.25">
      <c r="A951" s="1">
        <v>701</v>
      </c>
      <c r="B951" s="1" t="s">
        <v>2872</v>
      </c>
      <c r="C951" s="1" t="s">
        <v>35</v>
      </c>
      <c r="D951" s="1" t="s">
        <v>36</v>
      </c>
      <c r="E951" s="1">
        <v>721</v>
      </c>
      <c r="F951" s="1" t="s">
        <v>2873</v>
      </c>
      <c r="G951" s="1" t="s">
        <v>2874</v>
      </c>
      <c r="H951" s="1" t="s">
        <v>2875</v>
      </c>
      <c r="I951" s="1" t="s">
        <v>29</v>
      </c>
      <c r="J951" s="1" t="s">
        <v>2876</v>
      </c>
      <c r="K951" s="1" t="b">
        <v>1</v>
      </c>
      <c r="L951" s="1" t="s">
        <v>31</v>
      </c>
      <c r="M951" s="1">
        <v>2022</v>
      </c>
      <c r="N951" s="1" t="s">
        <v>52</v>
      </c>
      <c r="O951" s="1" t="s">
        <v>9935</v>
      </c>
      <c r="P951" s="1" t="s">
        <v>16</v>
      </c>
      <c r="Q951" s="1">
        <v>100</v>
      </c>
      <c r="R951" s="1">
        <v>150000</v>
      </c>
      <c r="S951" s="1">
        <v>150000</v>
      </c>
    </row>
    <row r="952" spans="1:19" ht="12.5" x14ac:dyDescent="0.25">
      <c r="A952" s="1">
        <v>701</v>
      </c>
      <c r="B952" s="1" t="s">
        <v>2872</v>
      </c>
      <c r="C952" s="1" t="s">
        <v>35</v>
      </c>
      <c r="D952" s="1" t="s">
        <v>36</v>
      </c>
      <c r="E952" s="1">
        <v>721</v>
      </c>
      <c r="F952" s="1" t="s">
        <v>2873</v>
      </c>
      <c r="G952" s="1" t="s">
        <v>2874</v>
      </c>
      <c r="H952" s="1" t="s">
        <v>2875</v>
      </c>
      <c r="I952" s="1" t="s">
        <v>29</v>
      </c>
      <c r="J952" s="1" t="s">
        <v>2876</v>
      </c>
      <c r="K952" s="1" t="b">
        <v>1</v>
      </c>
      <c r="L952" s="1" t="s">
        <v>31</v>
      </c>
      <c r="M952" s="1">
        <v>2022</v>
      </c>
      <c r="N952" s="1" t="s">
        <v>52</v>
      </c>
      <c r="O952" s="1" t="s">
        <v>9940</v>
      </c>
      <c r="P952" s="1" t="s">
        <v>16</v>
      </c>
      <c r="Q952" s="1">
        <v>100</v>
      </c>
      <c r="R952" s="1">
        <v>50000</v>
      </c>
      <c r="S952" s="1">
        <v>50000</v>
      </c>
    </row>
    <row r="953" spans="1:19" ht="12.5" x14ac:dyDescent="0.25">
      <c r="A953" s="1">
        <v>702</v>
      </c>
      <c r="B953" s="1" t="s">
        <v>2877</v>
      </c>
      <c r="C953" s="1" t="s">
        <v>35</v>
      </c>
      <c r="D953" s="1" t="s">
        <v>36</v>
      </c>
      <c r="E953" s="1">
        <v>722</v>
      </c>
      <c r="F953" s="1" t="s">
        <v>2878</v>
      </c>
      <c r="G953" s="1" t="s">
        <v>2879</v>
      </c>
      <c r="H953" s="1" t="s">
        <v>2880</v>
      </c>
      <c r="I953" s="1" t="s">
        <v>29</v>
      </c>
      <c r="J953" s="1" t="s">
        <v>16</v>
      </c>
      <c r="K953" s="1" t="b">
        <v>0</v>
      </c>
      <c r="L953" s="1" t="s">
        <v>22</v>
      </c>
      <c r="M953" s="1" t="s">
        <v>16</v>
      </c>
      <c r="N953" s="1" t="s">
        <v>16</v>
      </c>
      <c r="O953" s="1" t="s">
        <v>16</v>
      </c>
      <c r="P953" s="1" t="s">
        <v>16</v>
      </c>
      <c r="Q953" s="1">
        <v>100</v>
      </c>
    </row>
    <row r="954" spans="1:19" ht="12.5" x14ac:dyDescent="0.25">
      <c r="A954" s="1">
        <v>703</v>
      </c>
      <c r="B954" s="1" t="s">
        <v>2881</v>
      </c>
      <c r="C954" s="1" t="s">
        <v>35</v>
      </c>
      <c r="D954" s="1" t="s">
        <v>36</v>
      </c>
      <c r="E954" s="1">
        <v>723</v>
      </c>
      <c r="F954" s="1" t="s">
        <v>2882</v>
      </c>
      <c r="G954" s="1" t="s">
        <v>2883</v>
      </c>
      <c r="H954" s="1" t="s">
        <v>2884</v>
      </c>
      <c r="I954" s="1" t="s">
        <v>29</v>
      </c>
      <c r="J954" s="1" t="s">
        <v>16</v>
      </c>
      <c r="K954" s="1" t="b">
        <v>0</v>
      </c>
      <c r="L954" s="1" t="s">
        <v>22</v>
      </c>
      <c r="M954" s="1" t="s">
        <v>16</v>
      </c>
      <c r="N954" s="1" t="s">
        <v>16</v>
      </c>
      <c r="O954" s="1" t="s">
        <v>16</v>
      </c>
      <c r="P954" s="1" t="s">
        <v>16</v>
      </c>
      <c r="Q954" s="1">
        <v>100</v>
      </c>
    </row>
    <row r="955" spans="1:19" ht="12.5" x14ac:dyDescent="0.25">
      <c r="A955" s="1">
        <v>703</v>
      </c>
      <c r="B955" s="1" t="s">
        <v>2881</v>
      </c>
      <c r="C955" s="1" t="s">
        <v>35</v>
      </c>
      <c r="D955" s="1" t="s">
        <v>36</v>
      </c>
      <c r="E955" s="1">
        <v>724</v>
      </c>
      <c r="F955" s="1" t="s">
        <v>2885</v>
      </c>
      <c r="G955" s="1" t="s">
        <v>2883</v>
      </c>
      <c r="H955" s="1" t="s">
        <v>2886</v>
      </c>
      <c r="I955" s="1" t="s">
        <v>20</v>
      </c>
      <c r="J955" s="1" t="s">
        <v>2887</v>
      </c>
      <c r="K955" s="1" t="b">
        <v>0</v>
      </c>
      <c r="L955" s="1" t="s">
        <v>22</v>
      </c>
      <c r="M955" s="1" t="s">
        <v>16</v>
      </c>
      <c r="N955" s="1" t="s">
        <v>16</v>
      </c>
      <c r="O955" s="1" t="s">
        <v>16</v>
      </c>
      <c r="P955" s="1" t="s">
        <v>16</v>
      </c>
      <c r="Q955" s="1">
        <v>100</v>
      </c>
    </row>
    <row r="956" spans="1:19" ht="12.5" x14ac:dyDescent="0.25">
      <c r="A956" s="1">
        <v>704</v>
      </c>
      <c r="B956" s="1" t="s">
        <v>2888</v>
      </c>
      <c r="C956" s="1" t="s">
        <v>35</v>
      </c>
      <c r="D956" s="1" t="s">
        <v>36</v>
      </c>
      <c r="E956" s="1">
        <v>725</v>
      </c>
      <c r="F956" s="1" t="s">
        <v>2889</v>
      </c>
      <c r="G956" s="1" t="s">
        <v>2890</v>
      </c>
      <c r="H956" s="1" t="s">
        <v>2891</v>
      </c>
      <c r="I956" s="1" t="s">
        <v>29</v>
      </c>
      <c r="J956" s="1" t="s">
        <v>2892</v>
      </c>
      <c r="K956" s="1" t="b">
        <v>0</v>
      </c>
      <c r="L956" s="1" t="s">
        <v>22</v>
      </c>
      <c r="M956" s="1">
        <v>2021</v>
      </c>
      <c r="N956" s="1" t="s">
        <v>16</v>
      </c>
      <c r="O956" s="1" t="s">
        <v>9935</v>
      </c>
      <c r="P956" s="1" t="s">
        <v>16</v>
      </c>
      <c r="Q956" s="1">
        <v>100</v>
      </c>
      <c r="R956" s="1">
        <v>1</v>
      </c>
      <c r="S956" s="1">
        <v>1</v>
      </c>
    </row>
    <row r="957" spans="1:19" ht="12.5" x14ac:dyDescent="0.25">
      <c r="A957" s="1">
        <v>705</v>
      </c>
      <c r="B957" s="1" t="s">
        <v>2893</v>
      </c>
      <c r="C957" s="1" t="s">
        <v>35</v>
      </c>
      <c r="D957" s="1" t="s">
        <v>36</v>
      </c>
      <c r="E957" s="1">
        <v>726</v>
      </c>
      <c r="F957" s="1" t="s">
        <v>2894</v>
      </c>
      <c r="G957" s="1" t="s">
        <v>2895</v>
      </c>
      <c r="H957" s="1" t="s">
        <v>2896</v>
      </c>
      <c r="I957" s="1" t="s">
        <v>29</v>
      </c>
      <c r="J957" s="1" t="s">
        <v>2897</v>
      </c>
      <c r="K957" s="1" t="b">
        <v>0</v>
      </c>
      <c r="L957" s="1" t="s">
        <v>22</v>
      </c>
      <c r="M957" s="1" t="s">
        <v>16</v>
      </c>
      <c r="N957" s="1" t="s">
        <v>16</v>
      </c>
      <c r="O957" s="1" t="s">
        <v>16</v>
      </c>
      <c r="P957" s="1" t="s">
        <v>16</v>
      </c>
      <c r="Q957" s="1">
        <v>100</v>
      </c>
    </row>
    <row r="958" spans="1:19" ht="12.5" x14ac:dyDescent="0.25">
      <c r="A958" s="1">
        <v>705</v>
      </c>
      <c r="B958" s="1" t="s">
        <v>2893</v>
      </c>
      <c r="C958" s="1" t="s">
        <v>35</v>
      </c>
      <c r="D958" s="1" t="s">
        <v>36</v>
      </c>
      <c r="E958" s="1">
        <v>727</v>
      </c>
      <c r="F958" s="1" t="s">
        <v>2898</v>
      </c>
      <c r="G958" s="1" t="s">
        <v>2899</v>
      </c>
      <c r="H958" s="1" t="s">
        <v>2900</v>
      </c>
      <c r="I958" s="1" t="s">
        <v>20</v>
      </c>
      <c r="J958" s="1" t="s">
        <v>16</v>
      </c>
      <c r="K958" s="1" t="b">
        <v>0</v>
      </c>
      <c r="L958" s="1" t="s">
        <v>22</v>
      </c>
      <c r="M958" s="1" t="s">
        <v>16</v>
      </c>
      <c r="N958" s="1" t="s">
        <v>16</v>
      </c>
      <c r="O958" s="1" t="s">
        <v>16</v>
      </c>
      <c r="P958" s="1" t="s">
        <v>16</v>
      </c>
      <c r="Q958" s="1">
        <v>100</v>
      </c>
    </row>
    <row r="959" spans="1:19" ht="12.5" x14ac:dyDescent="0.25">
      <c r="A959" s="1">
        <v>707</v>
      </c>
      <c r="B959" s="1" t="s">
        <v>2901</v>
      </c>
      <c r="C959" s="1" t="s">
        <v>35</v>
      </c>
      <c r="D959" s="1" t="s">
        <v>36</v>
      </c>
      <c r="E959" s="1">
        <v>728</v>
      </c>
      <c r="F959" s="1" t="s">
        <v>2902</v>
      </c>
      <c r="G959" s="1" t="s">
        <v>2903</v>
      </c>
      <c r="H959" s="1" t="s">
        <v>2904</v>
      </c>
      <c r="I959" s="1" t="s">
        <v>20</v>
      </c>
      <c r="J959" s="1" t="s">
        <v>16</v>
      </c>
      <c r="K959" s="1" t="b">
        <v>0</v>
      </c>
      <c r="L959" s="1" t="s">
        <v>22</v>
      </c>
      <c r="M959" s="1" t="s">
        <v>16</v>
      </c>
      <c r="N959" s="1" t="s">
        <v>16</v>
      </c>
      <c r="O959" s="1" t="s">
        <v>16</v>
      </c>
      <c r="P959" s="1" t="s">
        <v>16</v>
      </c>
      <c r="Q959" s="1">
        <v>100</v>
      </c>
    </row>
    <row r="960" spans="1:19" ht="12.5" x14ac:dyDescent="0.25">
      <c r="A960" s="1">
        <v>708</v>
      </c>
      <c r="B960" s="1" t="s">
        <v>2905</v>
      </c>
      <c r="C960" s="1" t="s">
        <v>35</v>
      </c>
      <c r="D960" s="1" t="s">
        <v>36</v>
      </c>
      <c r="E960" s="1">
        <v>729</v>
      </c>
      <c r="F960" s="1" t="s">
        <v>2906</v>
      </c>
      <c r="G960" s="1" t="s">
        <v>2907</v>
      </c>
      <c r="H960" s="1" t="s">
        <v>2908</v>
      </c>
      <c r="I960" s="1" t="s">
        <v>29</v>
      </c>
      <c r="J960" s="1" t="s">
        <v>2909</v>
      </c>
      <c r="K960" s="1" t="b">
        <v>0</v>
      </c>
      <c r="L960" s="1" t="s">
        <v>22</v>
      </c>
      <c r="M960" s="1">
        <v>2022</v>
      </c>
      <c r="N960" s="1" t="s">
        <v>32</v>
      </c>
      <c r="O960" s="1" t="s">
        <v>9935</v>
      </c>
      <c r="P960" s="1" t="s">
        <v>16</v>
      </c>
      <c r="Q960" s="1">
        <v>100</v>
      </c>
      <c r="R960" s="1">
        <v>50000</v>
      </c>
      <c r="S960" s="1">
        <v>50000</v>
      </c>
    </row>
    <row r="961" spans="1:19" ht="12.5" x14ac:dyDescent="0.25">
      <c r="A961" s="1">
        <v>709</v>
      </c>
      <c r="B961" s="1" t="s">
        <v>2910</v>
      </c>
      <c r="C961" s="1" t="s">
        <v>35</v>
      </c>
      <c r="D961" s="1" t="s">
        <v>36</v>
      </c>
      <c r="E961" s="1">
        <v>730</v>
      </c>
      <c r="F961" s="1" t="s">
        <v>2911</v>
      </c>
      <c r="G961" s="1" t="s">
        <v>2912</v>
      </c>
      <c r="H961" s="1" t="s">
        <v>2913</v>
      </c>
      <c r="I961" s="1" t="s">
        <v>29</v>
      </c>
      <c r="J961" s="1" t="s">
        <v>2914</v>
      </c>
      <c r="K961" s="1" t="b">
        <v>1</v>
      </c>
      <c r="L961" s="1" t="s">
        <v>31</v>
      </c>
      <c r="M961" s="1">
        <v>2022</v>
      </c>
      <c r="N961" s="1" t="s">
        <v>32</v>
      </c>
      <c r="O961" s="1" t="s">
        <v>9942</v>
      </c>
      <c r="P961" s="1" t="s">
        <v>16</v>
      </c>
      <c r="Q961" s="1">
        <v>100</v>
      </c>
      <c r="R961" s="1">
        <v>150000</v>
      </c>
      <c r="S961" s="1">
        <v>150000</v>
      </c>
    </row>
    <row r="962" spans="1:19" ht="12.5" x14ac:dyDescent="0.25">
      <c r="A962" s="1">
        <v>709</v>
      </c>
      <c r="B962" s="1" t="s">
        <v>2910</v>
      </c>
      <c r="C962" s="1" t="s">
        <v>35</v>
      </c>
      <c r="D962" s="1" t="s">
        <v>36</v>
      </c>
      <c r="E962" s="1">
        <v>730</v>
      </c>
      <c r="F962" s="1" t="s">
        <v>2911</v>
      </c>
      <c r="G962" s="1" t="s">
        <v>2912</v>
      </c>
      <c r="H962" s="1" t="s">
        <v>2913</v>
      </c>
      <c r="I962" s="1" t="s">
        <v>29</v>
      </c>
      <c r="J962" s="1" t="s">
        <v>2914</v>
      </c>
      <c r="K962" s="1" t="b">
        <v>1</v>
      </c>
      <c r="L962" s="1" t="s">
        <v>31</v>
      </c>
      <c r="M962" s="1">
        <v>2022</v>
      </c>
      <c r="N962" s="1" t="s">
        <v>32</v>
      </c>
      <c r="O962" s="1" t="s">
        <v>9935</v>
      </c>
      <c r="P962" s="1" t="s">
        <v>16</v>
      </c>
      <c r="Q962" s="1">
        <v>100</v>
      </c>
      <c r="R962" s="1">
        <v>100000</v>
      </c>
      <c r="S962" s="1">
        <v>100000</v>
      </c>
    </row>
    <row r="963" spans="1:19" ht="12.5" x14ac:dyDescent="0.25">
      <c r="A963" s="1">
        <v>710</v>
      </c>
      <c r="B963" s="1" t="s">
        <v>2915</v>
      </c>
      <c r="C963" s="1" t="s">
        <v>35</v>
      </c>
      <c r="D963" s="1" t="s">
        <v>36</v>
      </c>
      <c r="E963" s="1">
        <v>731</v>
      </c>
      <c r="F963" s="1" t="s">
        <v>2916</v>
      </c>
      <c r="G963" s="1" t="s">
        <v>2917</v>
      </c>
      <c r="H963" s="1" t="s">
        <v>2918</v>
      </c>
      <c r="I963" s="1" t="s">
        <v>29</v>
      </c>
      <c r="J963" s="1" t="s">
        <v>16</v>
      </c>
      <c r="K963" s="1" t="b">
        <v>0</v>
      </c>
      <c r="L963" s="1" t="s">
        <v>22</v>
      </c>
      <c r="M963" s="1" t="s">
        <v>16</v>
      </c>
      <c r="N963" s="1" t="s">
        <v>16</v>
      </c>
      <c r="O963" s="1" t="s">
        <v>16</v>
      </c>
      <c r="P963" s="1" t="s">
        <v>16</v>
      </c>
      <c r="Q963" s="1">
        <v>100</v>
      </c>
    </row>
    <row r="964" spans="1:19" ht="12.5" x14ac:dyDescent="0.25">
      <c r="A964" s="1">
        <v>710</v>
      </c>
      <c r="B964" s="1" t="s">
        <v>2915</v>
      </c>
      <c r="C964" s="1" t="s">
        <v>35</v>
      </c>
      <c r="D964" s="1" t="s">
        <v>36</v>
      </c>
      <c r="E964" s="1">
        <v>732</v>
      </c>
      <c r="F964" s="1" t="s">
        <v>2919</v>
      </c>
      <c r="G964" s="1" t="s">
        <v>2920</v>
      </c>
      <c r="H964" s="1" t="s">
        <v>1489</v>
      </c>
      <c r="I964" s="1" t="s">
        <v>20</v>
      </c>
      <c r="J964" s="1" t="s">
        <v>16</v>
      </c>
      <c r="K964" s="1" t="b">
        <v>0</v>
      </c>
      <c r="L964" s="1" t="s">
        <v>22</v>
      </c>
      <c r="M964" s="1" t="s">
        <v>16</v>
      </c>
      <c r="N964" s="1" t="s">
        <v>16</v>
      </c>
      <c r="O964" s="1" t="s">
        <v>16</v>
      </c>
      <c r="P964" s="1" t="s">
        <v>16</v>
      </c>
      <c r="Q964" s="1">
        <v>100</v>
      </c>
    </row>
    <row r="965" spans="1:19" ht="12.5" x14ac:dyDescent="0.25">
      <c r="A965" s="1">
        <v>711</v>
      </c>
      <c r="B965" s="1" t="s">
        <v>2921</v>
      </c>
      <c r="C965" s="1" t="s">
        <v>35</v>
      </c>
      <c r="D965" s="1" t="s">
        <v>36</v>
      </c>
      <c r="E965" s="1">
        <v>733</v>
      </c>
      <c r="F965" s="1" t="s">
        <v>2922</v>
      </c>
      <c r="G965" s="1" t="s">
        <v>2923</v>
      </c>
      <c r="H965" s="1" t="s">
        <v>2924</v>
      </c>
      <c r="I965" s="1" t="s">
        <v>29</v>
      </c>
      <c r="J965" s="1" t="s">
        <v>2925</v>
      </c>
      <c r="K965" s="1" t="b">
        <v>0</v>
      </c>
      <c r="L965" s="1" t="s">
        <v>22</v>
      </c>
      <c r="M965" s="1" t="s">
        <v>16</v>
      </c>
      <c r="N965" s="1" t="s">
        <v>16</v>
      </c>
      <c r="O965" s="1" t="s">
        <v>16</v>
      </c>
      <c r="P965" s="1" t="s">
        <v>16</v>
      </c>
      <c r="Q965" s="1">
        <v>100</v>
      </c>
    </row>
    <row r="966" spans="1:19" ht="12.5" x14ac:dyDescent="0.25">
      <c r="A966" s="1">
        <v>711</v>
      </c>
      <c r="B966" s="1" t="s">
        <v>2921</v>
      </c>
      <c r="C966" s="1" t="s">
        <v>35</v>
      </c>
      <c r="D966" s="1" t="s">
        <v>36</v>
      </c>
      <c r="E966" s="1">
        <v>734</v>
      </c>
      <c r="F966" s="1" t="s">
        <v>2926</v>
      </c>
      <c r="G966" s="1" t="s">
        <v>2927</v>
      </c>
      <c r="H966" s="1" t="s">
        <v>1489</v>
      </c>
      <c r="I966" s="1" t="s">
        <v>20</v>
      </c>
      <c r="J966" s="1" t="s">
        <v>16</v>
      </c>
      <c r="K966" s="1" t="b">
        <v>0</v>
      </c>
      <c r="L966" s="1" t="s">
        <v>22</v>
      </c>
      <c r="M966" s="1" t="s">
        <v>16</v>
      </c>
      <c r="N966" s="1" t="s">
        <v>16</v>
      </c>
      <c r="O966" s="1" t="s">
        <v>16</v>
      </c>
      <c r="P966" s="1" t="s">
        <v>16</v>
      </c>
      <c r="Q966" s="1">
        <v>100</v>
      </c>
    </row>
    <row r="967" spans="1:19" ht="12.5" x14ac:dyDescent="0.25">
      <c r="A967" s="1">
        <v>712</v>
      </c>
      <c r="B967" s="1" t="s">
        <v>2928</v>
      </c>
      <c r="C967" s="1" t="s">
        <v>35</v>
      </c>
      <c r="D967" s="1" t="s">
        <v>36</v>
      </c>
      <c r="E967" s="1">
        <v>735</v>
      </c>
      <c r="F967" s="1" t="s">
        <v>2929</v>
      </c>
      <c r="G967" s="1" t="s">
        <v>2930</v>
      </c>
      <c r="H967" s="1" t="s">
        <v>1209</v>
      </c>
      <c r="I967" s="1" t="s">
        <v>29</v>
      </c>
      <c r="J967" s="1" t="s">
        <v>2931</v>
      </c>
      <c r="K967" s="1" t="b">
        <v>1</v>
      </c>
      <c r="L967" s="1" t="s">
        <v>31</v>
      </c>
      <c r="M967" s="1">
        <v>2022</v>
      </c>
      <c r="N967" s="1" t="s">
        <v>23</v>
      </c>
      <c r="O967" s="1" t="s">
        <v>9935</v>
      </c>
      <c r="P967" s="1" t="s">
        <v>16</v>
      </c>
      <c r="Q967" s="1">
        <v>100</v>
      </c>
      <c r="R967" s="1">
        <v>350000</v>
      </c>
      <c r="S967" s="1">
        <v>350000</v>
      </c>
    </row>
    <row r="968" spans="1:19" ht="12.5" x14ac:dyDescent="0.25">
      <c r="A968" s="1">
        <v>712</v>
      </c>
      <c r="B968" s="1" t="s">
        <v>2928</v>
      </c>
      <c r="C968" s="1" t="s">
        <v>35</v>
      </c>
      <c r="D968" s="1" t="s">
        <v>36</v>
      </c>
      <c r="E968" s="1">
        <v>735</v>
      </c>
      <c r="F968" s="1" t="s">
        <v>2929</v>
      </c>
      <c r="G968" s="1" t="s">
        <v>2930</v>
      </c>
      <c r="H968" s="1" t="s">
        <v>1209</v>
      </c>
      <c r="I968" s="1" t="s">
        <v>29</v>
      </c>
      <c r="J968" s="1" t="s">
        <v>2931</v>
      </c>
      <c r="K968" s="1" t="b">
        <v>1</v>
      </c>
      <c r="L968" s="1" t="s">
        <v>31</v>
      </c>
      <c r="M968" s="1">
        <v>2022</v>
      </c>
      <c r="N968" s="1" t="s">
        <v>23</v>
      </c>
      <c r="O968" s="1" t="s">
        <v>9942</v>
      </c>
      <c r="P968" s="1" t="s">
        <v>16</v>
      </c>
      <c r="Q968" s="1">
        <v>100</v>
      </c>
      <c r="R968" s="1">
        <v>250000</v>
      </c>
      <c r="S968" s="1">
        <v>250000</v>
      </c>
    </row>
    <row r="969" spans="1:19" ht="12.5" x14ac:dyDescent="0.25">
      <c r="A969" s="1">
        <v>714</v>
      </c>
      <c r="B969" s="1" t="s">
        <v>2932</v>
      </c>
      <c r="C969" s="1" t="s">
        <v>35</v>
      </c>
      <c r="D969" s="1" t="s">
        <v>36</v>
      </c>
      <c r="E969" s="1">
        <v>736</v>
      </c>
      <c r="F969" s="1" t="s">
        <v>2933</v>
      </c>
      <c r="G969" s="1" t="s">
        <v>2934</v>
      </c>
      <c r="H969" s="1" t="s">
        <v>2935</v>
      </c>
      <c r="I969" s="1" t="s">
        <v>29</v>
      </c>
      <c r="J969" s="1" t="s">
        <v>2936</v>
      </c>
      <c r="K969" s="1" t="b">
        <v>1</v>
      </c>
      <c r="L969" s="1" t="s">
        <v>31</v>
      </c>
      <c r="M969" s="1" t="s">
        <v>16</v>
      </c>
      <c r="N969" s="1" t="s">
        <v>16</v>
      </c>
      <c r="O969" s="1" t="s">
        <v>9935</v>
      </c>
      <c r="P969" s="1" t="s">
        <v>16</v>
      </c>
      <c r="Q969" s="1">
        <v>100</v>
      </c>
      <c r="R969" s="1">
        <v>1240000</v>
      </c>
      <c r="S969" s="1">
        <v>1240000</v>
      </c>
    </row>
    <row r="970" spans="1:19" ht="12.5" x14ac:dyDescent="0.25">
      <c r="A970" s="1">
        <v>715</v>
      </c>
      <c r="B970" s="1" t="s">
        <v>2937</v>
      </c>
      <c r="C970" s="1" t="s">
        <v>35</v>
      </c>
      <c r="D970" s="1" t="s">
        <v>36</v>
      </c>
      <c r="E970" s="1">
        <v>737</v>
      </c>
      <c r="F970" s="1" t="s">
        <v>2938</v>
      </c>
      <c r="G970" s="1" t="s">
        <v>2939</v>
      </c>
      <c r="H970" s="1" t="s">
        <v>2940</v>
      </c>
      <c r="I970" s="1" t="s">
        <v>29</v>
      </c>
      <c r="J970" s="1" t="s">
        <v>16</v>
      </c>
      <c r="K970" s="1" t="b">
        <v>0</v>
      </c>
      <c r="L970" s="1" t="s">
        <v>22</v>
      </c>
      <c r="M970" s="1" t="s">
        <v>16</v>
      </c>
      <c r="N970" s="1" t="s">
        <v>16</v>
      </c>
      <c r="O970" s="1" t="s">
        <v>16</v>
      </c>
      <c r="P970" s="1" t="s">
        <v>16</v>
      </c>
      <c r="Q970" s="1">
        <v>100</v>
      </c>
    </row>
    <row r="971" spans="1:19" ht="12.5" x14ac:dyDescent="0.25">
      <c r="A971" s="1">
        <v>715</v>
      </c>
      <c r="B971" s="1" t="s">
        <v>2937</v>
      </c>
      <c r="C971" s="1" t="s">
        <v>35</v>
      </c>
      <c r="D971" s="1" t="s">
        <v>36</v>
      </c>
      <c r="E971" s="1">
        <v>738</v>
      </c>
      <c r="F971" s="1" t="s">
        <v>2941</v>
      </c>
      <c r="G971" s="1" t="s">
        <v>2942</v>
      </c>
      <c r="H971" s="1" t="s">
        <v>1798</v>
      </c>
      <c r="I971" s="1" t="s">
        <v>20</v>
      </c>
      <c r="J971" s="1" t="s">
        <v>16</v>
      </c>
      <c r="K971" s="1" t="b">
        <v>0</v>
      </c>
      <c r="L971" s="1" t="s">
        <v>22</v>
      </c>
      <c r="M971" s="1" t="s">
        <v>16</v>
      </c>
      <c r="N971" s="1" t="s">
        <v>16</v>
      </c>
      <c r="O971" s="1" t="s">
        <v>16</v>
      </c>
      <c r="P971" s="1" t="s">
        <v>16</v>
      </c>
      <c r="Q971" s="1">
        <v>100</v>
      </c>
    </row>
    <row r="972" spans="1:19" ht="12.5" x14ac:dyDescent="0.25">
      <c r="A972" s="1">
        <v>716</v>
      </c>
      <c r="B972" s="1" t="s">
        <v>2943</v>
      </c>
      <c r="C972" s="1" t="s">
        <v>35</v>
      </c>
      <c r="D972" s="1" t="s">
        <v>36</v>
      </c>
      <c r="E972" s="1">
        <v>739</v>
      </c>
      <c r="F972" s="1" t="s">
        <v>2944</v>
      </c>
      <c r="G972" s="1" t="s">
        <v>2945</v>
      </c>
      <c r="H972" s="1" t="s">
        <v>2023</v>
      </c>
      <c r="I972" s="1" t="s">
        <v>29</v>
      </c>
      <c r="J972" s="1" t="s">
        <v>2946</v>
      </c>
      <c r="K972" s="1" t="b">
        <v>0</v>
      </c>
      <c r="L972" s="1" t="s">
        <v>22</v>
      </c>
      <c r="M972" s="1">
        <v>2022</v>
      </c>
      <c r="N972" s="1" t="s">
        <v>16</v>
      </c>
      <c r="O972" s="1" t="s">
        <v>9942</v>
      </c>
      <c r="P972" s="1" t="s">
        <v>16</v>
      </c>
      <c r="Q972" s="1">
        <v>100</v>
      </c>
      <c r="R972" s="1">
        <v>198500</v>
      </c>
      <c r="S972" s="1">
        <v>198500</v>
      </c>
    </row>
    <row r="973" spans="1:19" ht="12.5" x14ac:dyDescent="0.25">
      <c r="A973" s="1">
        <v>716</v>
      </c>
      <c r="B973" s="1" t="s">
        <v>2943</v>
      </c>
      <c r="C973" s="1" t="s">
        <v>35</v>
      </c>
      <c r="D973" s="1" t="s">
        <v>36</v>
      </c>
      <c r="E973" s="1">
        <v>739</v>
      </c>
      <c r="F973" s="1" t="s">
        <v>2944</v>
      </c>
      <c r="G973" s="1" t="s">
        <v>2945</v>
      </c>
      <c r="H973" s="1" t="s">
        <v>2023</v>
      </c>
      <c r="I973" s="1" t="s">
        <v>29</v>
      </c>
      <c r="J973" s="1" t="s">
        <v>2946</v>
      </c>
      <c r="K973" s="1" t="b">
        <v>0</v>
      </c>
      <c r="L973" s="1" t="s">
        <v>22</v>
      </c>
      <c r="M973" s="1">
        <v>2022</v>
      </c>
      <c r="N973" s="1" t="s">
        <v>16</v>
      </c>
      <c r="O973" s="1" t="s">
        <v>9935</v>
      </c>
      <c r="P973" s="1" t="s">
        <v>16</v>
      </c>
      <c r="Q973" s="1">
        <v>100</v>
      </c>
      <c r="R973" s="1">
        <v>42900</v>
      </c>
      <c r="S973" s="1">
        <v>42900</v>
      </c>
    </row>
    <row r="974" spans="1:19" ht="12.5" x14ac:dyDescent="0.25">
      <c r="A974" s="1">
        <v>716</v>
      </c>
      <c r="B974" s="1" t="s">
        <v>2943</v>
      </c>
      <c r="C974" s="1" t="s">
        <v>35</v>
      </c>
      <c r="D974" s="1" t="s">
        <v>36</v>
      </c>
      <c r="E974" s="1">
        <v>740</v>
      </c>
      <c r="F974" s="1" t="s">
        <v>2947</v>
      </c>
      <c r="G974" s="1" t="s">
        <v>2945</v>
      </c>
      <c r="H974" s="1" t="s">
        <v>1819</v>
      </c>
      <c r="I974" s="1" t="s">
        <v>29</v>
      </c>
      <c r="J974" s="1" t="s">
        <v>16</v>
      </c>
      <c r="K974" s="1" t="b">
        <v>0</v>
      </c>
      <c r="L974" s="1" t="s">
        <v>22</v>
      </c>
      <c r="M974" s="1" t="s">
        <v>16</v>
      </c>
      <c r="N974" s="1" t="s">
        <v>16</v>
      </c>
      <c r="O974" s="1" t="s">
        <v>16</v>
      </c>
      <c r="P974" s="1" t="s">
        <v>16</v>
      </c>
      <c r="Q974" s="1">
        <v>100</v>
      </c>
    </row>
    <row r="975" spans="1:19" ht="12.5" x14ac:dyDescent="0.25">
      <c r="A975" s="1">
        <v>717</v>
      </c>
      <c r="B975" s="1" t="s">
        <v>2948</v>
      </c>
      <c r="C975" s="1" t="s">
        <v>35</v>
      </c>
      <c r="D975" s="1" t="s">
        <v>36</v>
      </c>
      <c r="E975" s="1">
        <v>741</v>
      </c>
      <c r="F975" s="1" t="s">
        <v>2949</v>
      </c>
      <c r="G975" s="1" t="s">
        <v>2950</v>
      </c>
      <c r="H975" s="1" t="s">
        <v>2951</v>
      </c>
      <c r="I975" s="1" t="s">
        <v>29</v>
      </c>
      <c r="J975" s="1" t="s">
        <v>16</v>
      </c>
      <c r="K975" s="1" t="b">
        <v>0</v>
      </c>
      <c r="L975" s="1" t="s">
        <v>22</v>
      </c>
      <c r="M975" s="1" t="s">
        <v>16</v>
      </c>
      <c r="N975" s="1" t="s">
        <v>16</v>
      </c>
      <c r="O975" s="1" t="s">
        <v>16</v>
      </c>
      <c r="P975" s="1" t="s">
        <v>16</v>
      </c>
      <c r="Q975" s="1">
        <v>100</v>
      </c>
    </row>
    <row r="976" spans="1:19" ht="12.5" x14ac:dyDescent="0.25">
      <c r="A976" s="1">
        <v>719</v>
      </c>
      <c r="B976" s="1" t="s">
        <v>2952</v>
      </c>
      <c r="C976" s="1" t="s">
        <v>35</v>
      </c>
      <c r="D976" s="1" t="s">
        <v>36</v>
      </c>
      <c r="E976" s="1">
        <v>742</v>
      </c>
      <c r="F976" s="1" t="s">
        <v>2953</v>
      </c>
      <c r="G976" s="1" t="s">
        <v>2954</v>
      </c>
      <c r="H976" s="1" t="s">
        <v>2955</v>
      </c>
      <c r="I976" s="1" t="s">
        <v>29</v>
      </c>
      <c r="J976" s="1" t="s">
        <v>16</v>
      </c>
      <c r="K976" s="1" t="b">
        <v>0</v>
      </c>
      <c r="L976" s="1" t="s">
        <v>22</v>
      </c>
      <c r="M976" s="1" t="s">
        <v>16</v>
      </c>
      <c r="N976" s="1" t="s">
        <v>16</v>
      </c>
      <c r="O976" s="1" t="s">
        <v>16</v>
      </c>
      <c r="P976" s="1" t="s">
        <v>16</v>
      </c>
      <c r="Q976" s="1">
        <v>100</v>
      </c>
    </row>
    <row r="977" spans="1:19" ht="12.5" x14ac:dyDescent="0.25">
      <c r="A977" s="1">
        <v>722</v>
      </c>
      <c r="B977" s="1" t="s">
        <v>2956</v>
      </c>
      <c r="C977" s="1" t="s">
        <v>35</v>
      </c>
      <c r="D977" s="1" t="s">
        <v>36</v>
      </c>
      <c r="E977" s="1">
        <v>743</v>
      </c>
      <c r="F977" s="1" t="s">
        <v>2957</v>
      </c>
      <c r="G977" s="1" t="s">
        <v>2958</v>
      </c>
      <c r="H977" s="1" t="s">
        <v>2959</v>
      </c>
      <c r="I977" s="1" t="s">
        <v>29</v>
      </c>
      <c r="J977" s="1" t="s">
        <v>16</v>
      </c>
      <c r="K977" s="1" t="b">
        <v>0</v>
      </c>
      <c r="L977" s="1" t="s">
        <v>22</v>
      </c>
      <c r="M977" s="1" t="s">
        <v>16</v>
      </c>
      <c r="N977" s="1" t="s">
        <v>16</v>
      </c>
      <c r="O977" s="1" t="s">
        <v>16</v>
      </c>
      <c r="P977" s="1" t="s">
        <v>16</v>
      </c>
      <c r="Q977" s="1">
        <v>100</v>
      </c>
    </row>
    <row r="978" spans="1:19" ht="12.5" x14ac:dyDescent="0.25">
      <c r="A978" s="1">
        <v>723</v>
      </c>
      <c r="B978" s="1" t="s">
        <v>2960</v>
      </c>
      <c r="C978" s="1" t="s">
        <v>35</v>
      </c>
      <c r="D978" s="1" t="s">
        <v>36</v>
      </c>
      <c r="E978" s="1">
        <v>744</v>
      </c>
      <c r="F978" s="1" t="s">
        <v>2961</v>
      </c>
      <c r="G978" s="1" t="s">
        <v>2962</v>
      </c>
      <c r="H978" s="1" t="s">
        <v>2963</v>
      </c>
      <c r="I978" s="1" t="s">
        <v>20</v>
      </c>
      <c r="J978" s="1" t="s">
        <v>2964</v>
      </c>
      <c r="K978" s="1" t="b">
        <v>0</v>
      </c>
      <c r="L978" s="1" t="s">
        <v>22</v>
      </c>
      <c r="M978" s="1" t="s">
        <v>16</v>
      </c>
      <c r="N978" s="1" t="s">
        <v>16</v>
      </c>
      <c r="O978" s="1" t="s">
        <v>16</v>
      </c>
      <c r="P978" s="1" t="s">
        <v>16</v>
      </c>
      <c r="Q978" s="1">
        <v>100</v>
      </c>
    </row>
    <row r="979" spans="1:19" ht="12.5" x14ac:dyDescent="0.25">
      <c r="A979" s="1">
        <v>724</v>
      </c>
      <c r="B979" s="1" t="s">
        <v>2965</v>
      </c>
      <c r="C979" s="1" t="s">
        <v>35</v>
      </c>
      <c r="D979" s="1" t="s">
        <v>36</v>
      </c>
      <c r="E979" s="1">
        <v>745</v>
      </c>
      <c r="F979" s="1" t="s">
        <v>2966</v>
      </c>
      <c r="G979" s="1" t="s">
        <v>2967</v>
      </c>
      <c r="H979" s="1" t="s">
        <v>2968</v>
      </c>
      <c r="I979" s="1" t="s">
        <v>29</v>
      </c>
      <c r="J979" s="1" t="s">
        <v>16</v>
      </c>
      <c r="K979" s="1" t="b">
        <v>0</v>
      </c>
      <c r="L979" s="1" t="s">
        <v>22</v>
      </c>
      <c r="M979" s="1" t="s">
        <v>16</v>
      </c>
      <c r="N979" s="1" t="s">
        <v>16</v>
      </c>
      <c r="O979" s="1" t="s">
        <v>16</v>
      </c>
      <c r="P979" s="1" t="s">
        <v>16</v>
      </c>
      <c r="Q979" s="1">
        <v>100</v>
      </c>
    </row>
    <row r="980" spans="1:19" ht="12.5" x14ac:dyDescent="0.25">
      <c r="A980" s="1">
        <v>725</v>
      </c>
      <c r="B980" s="1" t="s">
        <v>2969</v>
      </c>
      <c r="C980" s="1" t="s">
        <v>35</v>
      </c>
      <c r="D980" s="1" t="s">
        <v>36</v>
      </c>
      <c r="E980" s="1">
        <v>746</v>
      </c>
      <c r="F980" s="1" t="s">
        <v>2970</v>
      </c>
      <c r="G980" s="1" t="s">
        <v>2971</v>
      </c>
      <c r="H980" s="1" t="s">
        <v>2972</v>
      </c>
      <c r="I980" s="1" t="s">
        <v>29</v>
      </c>
      <c r="J980" s="1" t="s">
        <v>16</v>
      </c>
      <c r="K980" s="1" t="b">
        <v>0</v>
      </c>
      <c r="L980" s="1" t="s">
        <v>22</v>
      </c>
      <c r="M980" s="1" t="s">
        <v>16</v>
      </c>
      <c r="N980" s="1" t="s">
        <v>16</v>
      </c>
      <c r="O980" s="1" t="s">
        <v>16</v>
      </c>
      <c r="P980" s="1" t="s">
        <v>16</v>
      </c>
      <c r="Q980" s="1">
        <v>100</v>
      </c>
    </row>
    <row r="981" spans="1:19" ht="12.5" x14ac:dyDescent="0.25">
      <c r="A981" s="1">
        <v>726</v>
      </c>
      <c r="B981" s="1" t="s">
        <v>2973</v>
      </c>
      <c r="C981" s="1" t="s">
        <v>35</v>
      </c>
      <c r="D981" s="1" t="s">
        <v>36</v>
      </c>
      <c r="E981" s="1">
        <v>747</v>
      </c>
      <c r="F981" s="1" t="s">
        <v>2974</v>
      </c>
      <c r="G981" s="1" t="s">
        <v>2975</v>
      </c>
      <c r="H981" s="1" t="s">
        <v>2976</v>
      </c>
      <c r="I981" s="1" t="s">
        <v>29</v>
      </c>
      <c r="J981" s="1" t="s">
        <v>16</v>
      </c>
      <c r="K981" s="1" t="b">
        <v>0</v>
      </c>
      <c r="L981" s="1" t="s">
        <v>22</v>
      </c>
      <c r="M981" s="1" t="s">
        <v>16</v>
      </c>
      <c r="N981" s="1" t="s">
        <v>16</v>
      </c>
      <c r="O981" s="1" t="s">
        <v>16</v>
      </c>
      <c r="P981" s="1" t="s">
        <v>16</v>
      </c>
      <c r="Q981" s="1">
        <v>100</v>
      </c>
    </row>
    <row r="982" spans="1:19" ht="12.5" x14ac:dyDescent="0.25">
      <c r="A982" s="1">
        <v>727</v>
      </c>
      <c r="B982" s="1" t="s">
        <v>2977</v>
      </c>
      <c r="C982" s="1" t="s">
        <v>35</v>
      </c>
      <c r="D982" s="1" t="s">
        <v>36</v>
      </c>
      <c r="E982" s="1">
        <v>748</v>
      </c>
      <c r="F982" s="1" t="s">
        <v>2978</v>
      </c>
      <c r="G982" s="1" t="s">
        <v>2979</v>
      </c>
      <c r="H982" s="1" t="s">
        <v>2980</v>
      </c>
      <c r="I982" s="1" t="s">
        <v>20</v>
      </c>
      <c r="J982" s="1" t="s">
        <v>2981</v>
      </c>
      <c r="K982" s="1" t="b">
        <v>0</v>
      </c>
      <c r="L982" s="1" t="s">
        <v>22</v>
      </c>
      <c r="M982" s="1" t="s">
        <v>16</v>
      </c>
      <c r="N982" s="1" t="s">
        <v>16</v>
      </c>
      <c r="O982" s="1" t="s">
        <v>16</v>
      </c>
      <c r="P982" s="1" t="s">
        <v>16</v>
      </c>
      <c r="Q982" s="1">
        <v>0</v>
      </c>
    </row>
    <row r="983" spans="1:19" ht="12.5" x14ac:dyDescent="0.25">
      <c r="A983" s="1">
        <v>4583</v>
      </c>
      <c r="B983" s="1" t="s">
        <v>2982</v>
      </c>
      <c r="C983" s="1" t="s">
        <v>35</v>
      </c>
      <c r="D983" s="1" t="s">
        <v>36</v>
      </c>
      <c r="E983" s="1">
        <v>748</v>
      </c>
      <c r="F983" s="1" t="s">
        <v>2978</v>
      </c>
      <c r="G983" s="1" t="s">
        <v>2979</v>
      </c>
      <c r="H983" s="1" t="s">
        <v>2980</v>
      </c>
      <c r="I983" s="1" t="s">
        <v>20</v>
      </c>
      <c r="J983" s="1" t="s">
        <v>2981</v>
      </c>
      <c r="K983" s="1" t="b">
        <v>0</v>
      </c>
      <c r="L983" s="1" t="s">
        <v>22</v>
      </c>
      <c r="M983" s="1" t="s">
        <v>16</v>
      </c>
      <c r="N983" s="1" t="s">
        <v>16</v>
      </c>
      <c r="O983" s="1" t="s">
        <v>16</v>
      </c>
      <c r="P983" s="1" t="s">
        <v>16</v>
      </c>
      <c r="Q983" s="1">
        <v>0</v>
      </c>
    </row>
    <row r="984" spans="1:19" ht="12.5" x14ac:dyDescent="0.25">
      <c r="A984" s="1">
        <v>728</v>
      </c>
      <c r="B984" s="1" t="s">
        <v>2983</v>
      </c>
      <c r="C984" s="1" t="s">
        <v>35</v>
      </c>
      <c r="D984" s="1" t="s">
        <v>36</v>
      </c>
      <c r="E984" s="1">
        <v>749</v>
      </c>
      <c r="F984" s="1" t="s">
        <v>2984</v>
      </c>
      <c r="G984" s="1" t="s">
        <v>2985</v>
      </c>
      <c r="H984" s="1" t="s">
        <v>2986</v>
      </c>
      <c r="I984" s="1" t="s">
        <v>20</v>
      </c>
      <c r="J984" s="1" t="s">
        <v>16</v>
      </c>
      <c r="K984" s="1" t="b">
        <v>0</v>
      </c>
      <c r="L984" s="1" t="s">
        <v>22</v>
      </c>
      <c r="M984" s="1" t="s">
        <v>16</v>
      </c>
      <c r="N984" s="1" t="s">
        <v>16</v>
      </c>
      <c r="O984" s="1" t="s">
        <v>16</v>
      </c>
      <c r="P984" s="1" t="s">
        <v>16</v>
      </c>
      <c r="Q984" s="1">
        <v>100</v>
      </c>
    </row>
    <row r="985" spans="1:19" ht="12.5" x14ac:dyDescent="0.25">
      <c r="A985" s="1">
        <v>729</v>
      </c>
      <c r="B985" s="1" t="s">
        <v>2987</v>
      </c>
      <c r="C985" s="1" t="s">
        <v>35</v>
      </c>
      <c r="D985" s="1" t="s">
        <v>36</v>
      </c>
      <c r="E985" s="1">
        <v>750</v>
      </c>
      <c r="F985" s="1" t="s">
        <v>2988</v>
      </c>
      <c r="G985" s="1" t="s">
        <v>2989</v>
      </c>
      <c r="H985" s="1" t="s">
        <v>2986</v>
      </c>
      <c r="I985" s="1" t="s">
        <v>20</v>
      </c>
      <c r="J985" s="1" t="s">
        <v>16</v>
      </c>
      <c r="K985" s="1" t="b">
        <v>0</v>
      </c>
      <c r="L985" s="1" t="s">
        <v>22</v>
      </c>
      <c r="M985" s="1" t="s">
        <v>16</v>
      </c>
      <c r="N985" s="1" t="s">
        <v>16</v>
      </c>
      <c r="O985" s="1" t="s">
        <v>16</v>
      </c>
      <c r="P985" s="1" t="s">
        <v>16</v>
      </c>
      <c r="Q985" s="1">
        <v>100</v>
      </c>
    </row>
    <row r="986" spans="1:19" ht="12.5" x14ac:dyDescent="0.25">
      <c r="A986" s="1">
        <v>771</v>
      </c>
      <c r="B986" s="1" t="s">
        <v>2990</v>
      </c>
      <c r="C986" s="1" t="s">
        <v>35</v>
      </c>
      <c r="D986" s="1" t="s">
        <v>36</v>
      </c>
      <c r="E986" s="1">
        <v>752</v>
      </c>
      <c r="F986" s="1" t="s">
        <v>2991</v>
      </c>
      <c r="G986" s="1" t="s">
        <v>2959</v>
      </c>
      <c r="H986" s="1" t="s">
        <v>16</v>
      </c>
      <c r="I986" s="1" t="s">
        <v>29</v>
      </c>
      <c r="J986" s="1" t="s">
        <v>2992</v>
      </c>
      <c r="K986" s="1" t="b">
        <v>0</v>
      </c>
      <c r="L986" s="1" t="s">
        <v>22</v>
      </c>
      <c r="M986" s="1">
        <v>2021</v>
      </c>
      <c r="N986" s="1" t="s">
        <v>52</v>
      </c>
      <c r="O986" s="1" t="s">
        <v>9942</v>
      </c>
      <c r="P986" s="1" t="s">
        <v>16</v>
      </c>
      <c r="Q986" s="1">
        <v>100</v>
      </c>
      <c r="R986" s="1">
        <v>1000</v>
      </c>
      <c r="S986" s="1">
        <v>1000</v>
      </c>
    </row>
    <row r="987" spans="1:19" ht="12.5" x14ac:dyDescent="0.25">
      <c r="A987" s="1">
        <v>790</v>
      </c>
      <c r="B987" s="1" t="s">
        <v>2993</v>
      </c>
      <c r="C987" s="1" t="s">
        <v>35</v>
      </c>
      <c r="D987" s="1" t="s">
        <v>36</v>
      </c>
      <c r="E987" s="1">
        <v>753</v>
      </c>
      <c r="F987" s="1" t="s">
        <v>2994</v>
      </c>
      <c r="G987" s="1" t="s">
        <v>2995</v>
      </c>
      <c r="H987" s="1" t="s">
        <v>2995</v>
      </c>
      <c r="I987" s="1" t="s">
        <v>20</v>
      </c>
      <c r="J987" s="1" t="s">
        <v>2996</v>
      </c>
      <c r="K987" s="1" t="b">
        <v>0</v>
      </c>
      <c r="L987" s="1" t="s">
        <v>22</v>
      </c>
      <c r="M987" s="1" t="s">
        <v>16</v>
      </c>
      <c r="N987" s="1" t="s">
        <v>16</v>
      </c>
      <c r="O987" s="1" t="s">
        <v>16</v>
      </c>
      <c r="P987" s="1" t="s">
        <v>16</v>
      </c>
      <c r="Q987" s="1">
        <v>50</v>
      </c>
    </row>
    <row r="988" spans="1:19" ht="12.5" x14ac:dyDescent="0.25">
      <c r="A988" s="1">
        <v>1194</v>
      </c>
      <c r="B988" s="1" t="s">
        <v>2997</v>
      </c>
      <c r="C988" s="1" t="s">
        <v>35</v>
      </c>
      <c r="D988" s="1" t="s">
        <v>152</v>
      </c>
      <c r="E988" s="1">
        <v>753</v>
      </c>
      <c r="F988" s="1" t="s">
        <v>2994</v>
      </c>
      <c r="G988" s="1" t="s">
        <v>2995</v>
      </c>
      <c r="H988" s="1" t="s">
        <v>2995</v>
      </c>
      <c r="I988" s="1" t="s">
        <v>20</v>
      </c>
      <c r="J988" s="1" t="s">
        <v>2996</v>
      </c>
      <c r="K988" s="1" t="b">
        <v>0</v>
      </c>
      <c r="L988" s="1" t="s">
        <v>22</v>
      </c>
      <c r="M988" s="1" t="s">
        <v>16</v>
      </c>
      <c r="N988" s="1" t="s">
        <v>16</v>
      </c>
      <c r="O988" s="1" t="s">
        <v>16</v>
      </c>
      <c r="P988" s="1" t="s">
        <v>16</v>
      </c>
      <c r="Q988" s="1">
        <v>50</v>
      </c>
    </row>
    <row r="989" spans="1:19" ht="12.5" x14ac:dyDescent="0.25">
      <c r="A989" s="1">
        <v>659</v>
      </c>
      <c r="B989" s="1" t="s">
        <v>2680</v>
      </c>
      <c r="C989" s="1" t="s">
        <v>35</v>
      </c>
      <c r="D989" s="1" t="s">
        <v>36</v>
      </c>
      <c r="E989" s="1">
        <v>754</v>
      </c>
      <c r="F989" s="1" t="s">
        <v>2998</v>
      </c>
      <c r="G989" s="1" t="s">
        <v>2999</v>
      </c>
      <c r="H989" s="1" t="s">
        <v>16</v>
      </c>
      <c r="I989" s="1" t="s">
        <v>20</v>
      </c>
      <c r="J989" s="1" t="s">
        <v>3000</v>
      </c>
      <c r="K989" s="1" t="b">
        <v>1</v>
      </c>
      <c r="L989" s="1" t="s">
        <v>31</v>
      </c>
      <c r="M989" s="1" t="s">
        <v>16</v>
      </c>
      <c r="N989" s="1" t="s">
        <v>16</v>
      </c>
      <c r="O989" s="1" t="s">
        <v>16</v>
      </c>
      <c r="P989" s="1" t="s">
        <v>16</v>
      </c>
      <c r="Q989" s="1">
        <v>25</v>
      </c>
    </row>
    <row r="990" spans="1:19" ht="12.5" x14ac:dyDescent="0.25">
      <c r="A990" s="1">
        <v>660</v>
      </c>
      <c r="B990" s="1" t="s">
        <v>2684</v>
      </c>
      <c r="C990" s="1" t="s">
        <v>35</v>
      </c>
      <c r="D990" s="1" t="s">
        <v>36</v>
      </c>
      <c r="E990" s="1">
        <v>754</v>
      </c>
      <c r="F990" s="1" t="s">
        <v>2998</v>
      </c>
      <c r="G990" s="1" t="s">
        <v>2999</v>
      </c>
      <c r="H990" s="1" t="s">
        <v>16</v>
      </c>
      <c r="I990" s="1" t="s">
        <v>20</v>
      </c>
      <c r="J990" s="1" t="s">
        <v>3000</v>
      </c>
      <c r="K990" s="1" t="b">
        <v>1</v>
      </c>
      <c r="L990" s="1" t="s">
        <v>31</v>
      </c>
      <c r="M990" s="1" t="s">
        <v>16</v>
      </c>
      <c r="N990" s="1" t="s">
        <v>16</v>
      </c>
      <c r="O990" s="1" t="s">
        <v>16</v>
      </c>
      <c r="P990" s="1" t="s">
        <v>16</v>
      </c>
      <c r="Q990" s="1">
        <v>25</v>
      </c>
    </row>
    <row r="991" spans="1:19" ht="12.5" x14ac:dyDescent="0.25">
      <c r="A991" s="1">
        <v>661</v>
      </c>
      <c r="B991" s="1" t="s">
        <v>2687</v>
      </c>
      <c r="C991" s="1" t="s">
        <v>35</v>
      </c>
      <c r="D991" s="1" t="s">
        <v>36</v>
      </c>
      <c r="E991" s="1">
        <v>754</v>
      </c>
      <c r="F991" s="1" t="s">
        <v>2998</v>
      </c>
      <c r="G991" s="1" t="s">
        <v>2999</v>
      </c>
      <c r="H991" s="1" t="s">
        <v>16</v>
      </c>
      <c r="I991" s="1" t="s">
        <v>20</v>
      </c>
      <c r="J991" s="1" t="s">
        <v>3000</v>
      </c>
      <c r="K991" s="1" t="b">
        <v>1</v>
      </c>
      <c r="L991" s="1" t="s">
        <v>31</v>
      </c>
      <c r="M991" s="1" t="s">
        <v>16</v>
      </c>
      <c r="N991" s="1" t="s">
        <v>16</v>
      </c>
      <c r="O991" s="1" t="s">
        <v>16</v>
      </c>
      <c r="P991" s="1" t="s">
        <v>16</v>
      </c>
      <c r="Q991" s="1">
        <v>25</v>
      </c>
    </row>
    <row r="992" spans="1:19" ht="12.5" x14ac:dyDescent="0.25">
      <c r="A992" s="1">
        <v>823</v>
      </c>
      <c r="B992" s="1" t="s">
        <v>3001</v>
      </c>
      <c r="C992" s="1" t="s">
        <v>35</v>
      </c>
      <c r="D992" s="1" t="s">
        <v>36</v>
      </c>
      <c r="E992" s="1">
        <v>754</v>
      </c>
      <c r="F992" s="1" t="s">
        <v>2998</v>
      </c>
      <c r="G992" s="1" t="s">
        <v>2999</v>
      </c>
      <c r="H992" s="1" t="s">
        <v>16</v>
      </c>
      <c r="I992" s="1" t="s">
        <v>20</v>
      </c>
      <c r="J992" s="1" t="s">
        <v>3000</v>
      </c>
      <c r="K992" s="1" t="b">
        <v>1</v>
      </c>
      <c r="L992" s="1" t="s">
        <v>31</v>
      </c>
      <c r="M992" s="1" t="s">
        <v>16</v>
      </c>
      <c r="N992" s="1" t="s">
        <v>16</v>
      </c>
      <c r="O992" s="1" t="s">
        <v>16</v>
      </c>
      <c r="P992" s="1" t="s">
        <v>16</v>
      </c>
      <c r="Q992" s="1">
        <v>25</v>
      </c>
    </row>
    <row r="993" spans="1:19" ht="12.5" x14ac:dyDescent="0.25">
      <c r="A993" s="1">
        <v>760</v>
      </c>
      <c r="B993" s="1" t="s">
        <v>3002</v>
      </c>
      <c r="C993" s="1" t="s">
        <v>35</v>
      </c>
      <c r="D993" s="1" t="s">
        <v>36</v>
      </c>
      <c r="E993" s="1">
        <v>755</v>
      </c>
      <c r="F993" s="1" t="s">
        <v>3003</v>
      </c>
      <c r="G993" s="1" t="s">
        <v>2959</v>
      </c>
      <c r="H993" s="1" t="s">
        <v>3004</v>
      </c>
      <c r="I993" s="1" t="s">
        <v>29</v>
      </c>
      <c r="J993" s="1" t="s">
        <v>3005</v>
      </c>
      <c r="K993" s="1" t="b">
        <v>0</v>
      </c>
      <c r="L993" s="1" t="s">
        <v>22</v>
      </c>
      <c r="M993" s="1" t="s">
        <v>16</v>
      </c>
      <c r="N993" s="1" t="s">
        <v>16</v>
      </c>
      <c r="O993" s="1" t="s">
        <v>16</v>
      </c>
      <c r="P993" s="1" t="s">
        <v>16</v>
      </c>
      <c r="Q993" s="1">
        <v>100</v>
      </c>
    </row>
    <row r="994" spans="1:19" ht="12.5" x14ac:dyDescent="0.25">
      <c r="A994" s="1">
        <v>796</v>
      </c>
      <c r="B994" s="1" t="s">
        <v>3006</v>
      </c>
      <c r="C994" s="1" t="s">
        <v>35</v>
      </c>
      <c r="D994" s="1" t="s">
        <v>36</v>
      </c>
      <c r="E994" s="1">
        <v>756</v>
      </c>
      <c r="F994" s="1" t="s">
        <v>3007</v>
      </c>
      <c r="G994" s="1" t="s">
        <v>1084</v>
      </c>
      <c r="H994" s="1" t="s">
        <v>1084</v>
      </c>
      <c r="I994" s="1" t="s">
        <v>29</v>
      </c>
      <c r="J994" s="1" t="s">
        <v>16</v>
      </c>
      <c r="K994" s="1" t="b">
        <v>0</v>
      </c>
      <c r="L994" s="1" t="s">
        <v>22</v>
      </c>
      <c r="M994" s="1" t="s">
        <v>16</v>
      </c>
      <c r="N994" s="1" t="s">
        <v>16</v>
      </c>
      <c r="O994" s="1" t="s">
        <v>16</v>
      </c>
      <c r="P994" s="1" t="s">
        <v>16</v>
      </c>
      <c r="Q994" s="1">
        <v>100</v>
      </c>
    </row>
    <row r="995" spans="1:19" ht="12.5" x14ac:dyDescent="0.25">
      <c r="A995" s="1">
        <v>588</v>
      </c>
      <c r="B995" s="1" t="s">
        <v>2417</v>
      </c>
      <c r="C995" s="1" t="s">
        <v>35</v>
      </c>
      <c r="D995" s="1" t="s">
        <v>36</v>
      </c>
      <c r="E995" s="1">
        <v>757</v>
      </c>
      <c r="F995" s="1" t="s">
        <v>3008</v>
      </c>
      <c r="G995" s="1" t="s">
        <v>3009</v>
      </c>
      <c r="H995" s="1" t="s">
        <v>3010</v>
      </c>
      <c r="I995" s="1" t="s">
        <v>20</v>
      </c>
      <c r="J995" s="1" t="s">
        <v>3011</v>
      </c>
      <c r="K995" s="1" t="b">
        <v>1</v>
      </c>
      <c r="L995" s="1" t="s">
        <v>31</v>
      </c>
      <c r="M995" s="1">
        <v>2022</v>
      </c>
      <c r="N995" s="1" t="s">
        <v>32</v>
      </c>
      <c r="O995" s="1" t="s">
        <v>9935</v>
      </c>
      <c r="P995" s="1" t="s">
        <v>16</v>
      </c>
      <c r="Q995" s="1">
        <v>20</v>
      </c>
      <c r="R995" s="1">
        <v>1228000</v>
      </c>
      <c r="S995" s="1">
        <v>245600</v>
      </c>
    </row>
    <row r="996" spans="1:19" ht="12.5" x14ac:dyDescent="0.25">
      <c r="A996" s="1">
        <v>588</v>
      </c>
      <c r="B996" s="1" t="s">
        <v>2417</v>
      </c>
      <c r="C996" s="1" t="s">
        <v>35</v>
      </c>
      <c r="D996" s="1" t="s">
        <v>36</v>
      </c>
      <c r="E996" s="1">
        <v>757</v>
      </c>
      <c r="F996" s="1" t="s">
        <v>3008</v>
      </c>
      <c r="G996" s="1" t="s">
        <v>3009</v>
      </c>
      <c r="H996" s="1" t="s">
        <v>3010</v>
      </c>
      <c r="I996" s="1" t="s">
        <v>20</v>
      </c>
      <c r="J996" s="1" t="s">
        <v>3011</v>
      </c>
      <c r="K996" s="1" t="b">
        <v>1</v>
      </c>
      <c r="L996" s="1" t="s">
        <v>31</v>
      </c>
      <c r="M996" s="1">
        <v>2021</v>
      </c>
      <c r="N996" s="1" t="s">
        <v>52</v>
      </c>
      <c r="O996" s="1" t="s">
        <v>9942</v>
      </c>
      <c r="P996" s="1" t="s">
        <v>16</v>
      </c>
      <c r="Q996" s="1">
        <v>20</v>
      </c>
      <c r="R996" s="1">
        <v>1500000</v>
      </c>
      <c r="S996" s="1">
        <v>300000</v>
      </c>
    </row>
    <row r="997" spans="1:19" ht="12.5" x14ac:dyDescent="0.25">
      <c r="A997" s="1">
        <v>588</v>
      </c>
      <c r="B997" s="1" t="s">
        <v>2417</v>
      </c>
      <c r="C997" s="1" t="s">
        <v>35</v>
      </c>
      <c r="D997" s="1" t="s">
        <v>36</v>
      </c>
      <c r="E997" s="1">
        <v>757</v>
      </c>
      <c r="F997" s="1" t="s">
        <v>3008</v>
      </c>
      <c r="G997" s="1" t="s">
        <v>3009</v>
      </c>
      <c r="H997" s="1" t="s">
        <v>3010</v>
      </c>
      <c r="I997" s="1" t="s">
        <v>20</v>
      </c>
      <c r="J997" s="1" t="s">
        <v>3011</v>
      </c>
      <c r="K997" s="1" t="b">
        <v>1</v>
      </c>
      <c r="L997" s="1" t="s">
        <v>31</v>
      </c>
      <c r="M997" s="1">
        <v>2022</v>
      </c>
      <c r="N997" s="1" t="s">
        <v>32</v>
      </c>
      <c r="O997" s="1" t="s">
        <v>9942</v>
      </c>
      <c r="P997" s="1" t="s">
        <v>16</v>
      </c>
      <c r="Q997" s="1">
        <v>20</v>
      </c>
      <c r="R997" s="1">
        <v>500000</v>
      </c>
      <c r="S997" s="1">
        <v>100000</v>
      </c>
    </row>
    <row r="998" spans="1:19" ht="12.5" x14ac:dyDescent="0.25">
      <c r="A998" s="1">
        <v>590</v>
      </c>
      <c r="B998" s="1" t="s">
        <v>2423</v>
      </c>
      <c r="C998" s="1" t="s">
        <v>35</v>
      </c>
      <c r="D998" s="1" t="s">
        <v>36</v>
      </c>
      <c r="E998" s="1">
        <v>757</v>
      </c>
      <c r="F998" s="1" t="s">
        <v>3008</v>
      </c>
      <c r="G998" s="1" t="s">
        <v>3009</v>
      </c>
      <c r="H998" s="1" t="s">
        <v>3010</v>
      </c>
      <c r="I998" s="1" t="s">
        <v>20</v>
      </c>
      <c r="J998" s="1" t="s">
        <v>3011</v>
      </c>
      <c r="K998" s="1" t="b">
        <v>1</v>
      </c>
      <c r="L998" s="1" t="s">
        <v>31</v>
      </c>
      <c r="M998" s="1">
        <v>2021</v>
      </c>
      <c r="N998" s="1" t="s">
        <v>52</v>
      </c>
      <c r="O998" s="1" t="s">
        <v>9942</v>
      </c>
      <c r="P998" s="1" t="s">
        <v>16</v>
      </c>
      <c r="Q998" s="1">
        <v>16</v>
      </c>
      <c r="R998" s="1">
        <v>1500000</v>
      </c>
      <c r="S998" s="1">
        <v>240000</v>
      </c>
    </row>
    <row r="999" spans="1:19" ht="12.5" x14ac:dyDescent="0.25">
      <c r="A999" s="1">
        <v>590</v>
      </c>
      <c r="B999" s="1" t="s">
        <v>2423</v>
      </c>
      <c r="C999" s="1" t="s">
        <v>35</v>
      </c>
      <c r="D999" s="1" t="s">
        <v>36</v>
      </c>
      <c r="E999" s="1">
        <v>757</v>
      </c>
      <c r="F999" s="1" t="s">
        <v>3008</v>
      </c>
      <c r="G999" s="1" t="s">
        <v>3009</v>
      </c>
      <c r="H999" s="1" t="s">
        <v>3010</v>
      </c>
      <c r="I999" s="1" t="s">
        <v>20</v>
      </c>
      <c r="J999" s="1" t="s">
        <v>3011</v>
      </c>
      <c r="K999" s="1" t="b">
        <v>1</v>
      </c>
      <c r="L999" s="1" t="s">
        <v>31</v>
      </c>
      <c r="M999" s="1">
        <v>2022</v>
      </c>
      <c r="N999" s="1" t="s">
        <v>32</v>
      </c>
      <c r="O999" s="1" t="s">
        <v>9942</v>
      </c>
      <c r="P999" s="1" t="s">
        <v>16</v>
      </c>
      <c r="Q999" s="1">
        <v>16</v>
      </c>
      <c r="R999" s="1">
        <v>500000</v>
      </c>
      <c r="S999" s="1">
        <v>80000</v>
      </c>
    </row>
    <row r="1000" spans="1:19" ht="12.5" x14ac:dyDescent="0.25">
      <c r="A1000" s="1">
        <v>590</v>
      </c>
      <c r="B1000" s="1" t="s">
        <v>2423</v>
      </c>
      <c r="C1000" s="1" t="s">
        <v>35</v>
      </c>
      <c r="D1000" s="1" t="s">
        <v>36</v>
      </c>
      <c r="E1000" s="1">
        <v>757</v>
      </c>
      <c r="F1000" s="1" t="s">
        <v>3008</v>
      </c>
      <c r="G1000" s="1" t="s">
        <v>3009</v>
      </c>
      <c r="H1000" s="1" t="s">
        <v>3010</v>
      </c>
      <c r="I1000" s="1" t="s">
        <v>20</v>
      </c>
      <c r="J1000" s="1" t="s">
        <v>3011</v>
      </c>
      <c r="K1000" s="1" t="b">
        <v>1</v>
      </c>
      <c r="L1000" s="1" t="s">
        <v>31</v>
      </c>
      <c r="M1000" s="1">
        <v>2022</v>
      </c>
      <c r="N1000" s="1" t="s">
        <v>32</v>
      </c>
      <c r="O1000" s="1" t="s">
        <v>9935</v>
      </c>
      <c r="P1000" s="1" t="s">
        <v>16</v>
      </c>
      <c r="Q1000" s="1">
        <v>16</v>
      </c>
      <c r="R1000" s="1">
        <v>1228000</v>
      </c>
      <c r="S1000" s="1">
        <v>196480</v>
      </c>
    </row>
    <row r="1001" spans="1:19" ht="12.5" x14ac:dyDescent="0.25">
      <c r="A1001" s="1">
        <v>592</v>
      </c>
      <c r="B1001" s="1" t="s">
        <v>2432</v>
      </c>
      <c r="C1001" s="1" t="s">
        <v>35</v>
      </c>
      <c r="D1001" s="1" t="s">
        <v>36</v>
      </c>
      <c r="E1001" s="1">
        <v>757</v>
      </c>
      <c r="F1001" s="1" t="s">
        <v>3008</v>
      </c>
      <c r="G1001" s="1" t="s">
        <v>3009</v>
      </c>
      <c r="H1001" s="1" t="s">
        <v>3010</v>
      </c>
      <c r="I1001" s="1" t="s">
        <v>20</v>
      </c>
      <c r="J1001" s="1" t="s">
        <v>3011</v>
      </c>
      <c r="K1001" s="1" t="b">
        <v>1</v>
      </c>
      <c r="L1001" s="1" t="s">
        <v>31</v>
      </c>
      <c r="M1001" s="1">
        <v>2022</v>
      </c>
      <c r="N1001" s="1" t="s">
        <v>32</v>
      </c>
      <c r="O1001" s="1" t="s">
        <v>9942</v>
      </c>
      <c r="P1001" s="1" t="s">
        <v>16</v>
      </c>
      <c r="Q1001" s="1">
        <v>16</v>
      </c>
      <c r="R1001" s="1">
        <v>500000</v>
      </c>
      <c r="S1001" s="1">
        <v>80000</v>
      </c>
    </row>
    <row r="1002" spans="1:19" ht="12.5" x14ac:dyDescent="0.25">
      <c r="A1002" s="1">
        <v>592</v>
      </c>
      <c r="B1002" s="1" t="s">
        <v>2432</v>
      </c>
      <c r="C1002" s="1" t="s">
        <v>35</v>
      </c>
      <c r="D1002" s="1" t="s">
        <v>36</v>
      </c>
      <c r="E1002" s="1">
        <v>757</v>
      </c>
      <c r="F1002" s="1" t="s">
        <v>3008</v>
      </c>
      <c r="G1002" s="1" t="s">
        <v>3009</v>
      </c>
      <c r="H1002" s="1" t="s">
        <v>3010</v>
      </c>
      <c r="I1002" s="1" t="s">
        <v>20</v>
      </c>
      <c r="J1002" s="1" t="s">
        <v>3011</v>
      </c>
      <c r="K1002" s="1" t="b">
        <v>1</v>
      </c>
      <c r="L1002" s="1" t="s">
        <v>31</v>
      </c>
      <c r="M1002" s="1">
        <v>2022</v>
      </c>
      <c r="N1002" s="1" t="s">
        <v>32</v>
      </c>
      <c r="O1002" s="1" t="s">
        <v>9935</v>
      </c>
      <c r="P1002" s="1" t="s">
        <v>16</v>
      </c>
      <c r="Q1002" s="1">
        <v>16</v>
      </c>
      <c r="R1002" s="1">
        <v>1228000</v>
      </c>
      <c r="S1002" s="1">
        <v>196480</v>
      </c>
    </row>
    <row r="1003" spans="1:19" ht="12.5" x14ac:dyDescent="0.25">
      <c r="A1003" s="1">
        <v>592</v>
      </c>
      <c r="B1003" s="1" t="s">
        <v>2432</v>
      </c>
      <c r="C1003" s="1" t="s">
        <v>35</v>
      </c>
      <c r="D1003" s="1" t="s">
        <v>36</v>
      </c>
      <c r="E1003" s="1">
        <v>757</v>
      </c>
      <c r="F1003" s="1" t="s">
        <v>3008</v>
      </c>
      <c r="G1003" s="1" t="s">
        <v>3009</v>
      </c>
      <c r="H1003" s="1" t="s">
        <v>3010</v>
      </c>
      <c r="I1003" s="1" t="s">
        <v>20</v>
      </c>
      <c r="J1003" s="1" t="s">
        <v>3011</v>
      </c>
      <c r="K1003" s="1" t="b">
        <v>1</v>
      </c>
      <c r="L1003" s="1" t="s">
        <v>31</v>
      </c>
      <c r="M1003" s="1">
        <v>2021</v>
      </c>
      <c r="N1003" s="1" t="s">
        <v>52</v>
      </c>
      <c r="O1003" s="1" t="s">
        <v>9942</v>
      </c>
      <c r="P1003" s="1" t="s">
        <v>16</v>
      </c>
      <c r="Q1003" s="1">
        <v>16</v>
      </c>
      <c r="R1003" s="1">
        <v>1500000</v>
      </c>
      <c r="S1003" s="1">
        <v>240000</v>
      </c>
    </row>
    <row r="1004" spans="1:19" ht="12.5" x14ac:dyDescent="0.25">
      <c r="A1004" s="1">
        <v>593</v>
      </c>
      <c r="B1004" s="1" t="s">
        <v>2437</v>
      </c>
      <c r="C1004" s="1" t="s">
        <v>35</v>
      </c>
      <c r="D1004" s="1" t="s">
        <v>36</v>
      </c>
      <c r="E1004" s="1">
        <v>757</v>
      </c>
      <c r="F1004" s="1" t="s">
        <v>3008</v>
      </c>
      <c r="G1004" s="1" t="s">
        <v>3009</v>
      </c>
      <c r="H1004" s="1" t="s">
        <v>3010</v>
      </c>
      <c r="I1004" s="1" t="s">
        <v>20</v>
      </c>
      <c r="J1004" s="1" t="s">
        <v>3011</v>
      </c>
      <c r="K1004" s="1" t="b">
        <v>1</v>
      </c>
      <c r="L1004" s="1" t="s">
        <v>31</v>
      </c>
      <c r="M1004" s="1">
        <v>2022</v>
      </c>
      <c r="N1004" s="1" t="s">
        <v>32</v>
      </c>
      <c r="O1004" s="1" t="s">
        <v>9935</v>
      </c>
      <c r="P1004" s="1" t="s">
        <v>16</v>
      </c>
      <c r="Q1004" s="1">
        <v>16</v>
      </c>
      <c r="R1004" s="1">
        <v>1228000</v>
      </c>
      <c r="S1004" s="1">
        <v>196480</v>
      </c>
    </row>
    <row r="1005" spans="1:19" ht="12.5" x14ac:dyDescent="0.25">
      <c r="A1005" s="1">
        <v>593</v>
      </c>
      <c r="B1005" s="1" t="s">
        <v>2437</v>
      </c>
      <c r="C1005" s="1" t="s">
        <v>35</v>
      </c>
      <c r="D1005" s="1" t="s">
        <v>36</v>
      </c>
      <c r="E1005" s="1">
        <v>757</v>
      </c>
      <c r="F1005" s="1" t="s">
        <v>3008</v>
      </c>
      <c r="G1005" s="1" t="s">
        <v>3009</v>
      </c>
      <c r="H1005" s="1" t="s">
        <v>3010</v>
      </c>
      <c r="I1005" s="1" t="s">
        <v>20</v>
      </c>
      <c r="J1005" s="1" t="s">
        <v>3011</v>
      </c>
      <c r="K1005" s="1" t="b">
        <v>1</v>
      </c>
      <c r="L1005" s="1" t="s">
        <v>31</v>
      </c>
      <c r="M1005" s="1">
        <v>2021</v>
      </c>
      <c r="N1005" s="1" t="s">
        <v>52</v>
      </c>
      <c r="O1005" s="1" t="s">
        <v>9942</v>
      </c>
      <c r="P1005" s="1" t="s">
        <v>16</v>
      </c>
      <c r="Q1005" s="1">
        <v>16</v>
      </c>
      <c r="R1005" s="1">
        <v>1500000</v>
      </c>
      <c r="S1005" s="1">
        <v>240000</v>
      </c>
    </row>
    <row r="1006" spans="1:19" ht="12.5" x14ac:dyDescent="0.25">
      <c r="A1006" s="1">
        <v>593</v>
      </c>
      <c r="B1006" s="1" t="s">
        <v>2437</v>
      </c>
      <c r="C1006" s="1" t="s">
        <v>35</v>
      </c>
      <c r="D1006" s="1" t="s">
        <v>36</v>
      </c>
      <c r="E1006" s="1">
        <v>757</v>
      </c>
      <c r="F1006" s="1" t="s">
        <v>3008</v>
      </c>
      <c r="G1006" s="1" t="s">
        <v>3009</v>
      </c>
      <c r="H1006" s="1" t="s">
        <v>3010</v>
      </c>
      <c r="I1006" s="1" t="s">
        <v>20</v>
      </c>
      <c r="J1006" s="1" t="s">
        <v>3011</v>
      </c>
      <c r="K1006" s="1" t="b">
        <v>1</v>
      </c>
      <c r="L1006" s="1" t="s">
        <v>31</v>
      </c>
      <c r="M1006" s="1">
        <v>2022</v>
      </c>
      <c r="N1006" s="1" t="s">
        <v>32</v>
      </c>
      <c r="O1006" s="1" t="s">
        <v>9942</v>
      </c>
      <c r="P1006" s="1" t="s">
        <v>16</v>
      </c>
      <c r="Q1006" s="1">
        <v>16</v>
      </c>
      <c r="R1006" s="1">
        <v>500000</v>
      </c>
      <c r="S1006" s="1">
        <v>80000</v>
      </c>
    </row>
    <row r="1007" spans="1:19" ht="12.5" x14ac:dyDescent="0.25">
      <c r="A1007" s="1">
        <v>594</v>
      </c>
      <c r="B1007" s="1" t="s">
        <v>2441</v>
      </c>
      <c r="C1007" s="1" t="s">
        <v>35</v>
      </c>
      <c r="D1007" s="1" t="s">
        <v>36</v>
      </c>
      <c r="E1007" s="1">
        <v>757</v>
      </c>
      <c r="F1007" s="1" t="s">
        <v>3008</v>
      </c>
      <c r="G1007" s="1" t="s">
        <v>3009</v>
      </c>
      <c r="H1007" s="1" t="s">
        <v>3010</v>
      </c>
      <c r="I1007" s="1" t="s">
        <v>20</v>
      </c>
      <c r="J1007" s="1" t="s">
        <v>3011</v>
      </c>
      <c r="K1007" s="1" t="b">
        <v>1</v>
      </c>
      <c r="L1007" s="1" t="s">
        <v>31</v>
      </c>
      <c r="M1007" s="1">
        <v>2022</v>
      </c>
      <c r="N1007" s="1" t="s">
        <v>32</v>
      </c>
      <c r="O1007" s="1" t="s">
        <v>9942</v>
      </c>
      <c r="P1007" s="1" t="s">
        <v>16</v>
      </c>
      <c r="Q1007" s="1">
        <v>16</v>
      </c>
      <c r="R1007" s="1">
        <v>500000</v>
      </c>
      <c r="S1007" s="1">
        <v>80000</v>
      </c>
    </row>
    <row r="1008" spans="1:19" ht="12.5" x14ac:dyDescent="0.25">
      <c r="A1008" s="1">
        <v>594</v>
      </c>
      <c r="B1008" s="1" t="s">
        <v>2441</v>
      </c>
      <c r="C1008" s="1" t="s">
        <v>35</v>
      </c>
      <c r="D1008" s="1" t="s">
        <v>36</v>
      </c>
      <c r="E1008" s="1">
        <v>757</v>
      </c>
      <c r="F1008" s="1" t="s">
        <v>3008</v>
      </c>
      <c r="G1008" s="1" t="s">
        <v>3009</v>
      </c>
      <c r="H1008" s="1" t="s">
        <v>3010</v>
      </c>
      <c r="I1008" s="1" t="s">
        <v>20</v>
      </c>
      <c r="J1008" s="1" t="s">
        <v>3011</v>
      </c>
      <c r="K1008" s="1" t="b">
        <v>1</v>
      </c>
      <c r="L1008" s="1" t="s">
        <v>31</v>
      </c>
      <c r="M1008" s="1">
        <v>2022</v>
      </c>
      <c r="N1008" s="1" t="s">
        <v>32</v>
      </c>
      <c r="O1008" s="1" t="s">
        <v>9935</v>
      </c>
      <c r="P1008" s="1" t="s">
        <v>16</v>
      </c>
      <c r="Q1008" s="1">
        <v>16</v>
      </c>
      <c r="R1008" s="1">
        <v>1228000</v>
      </c>
      <c r="S1008" s="1">
        <v>196480</v>
      </c>
    </row>
    <row r="1009" spans="1:19" ht="12.5" x14ac:dyDescent="0.25">
      <c r="A1009" s="1">
        <v>594</v>
      </c>
      <c r="B1009" s="1" t="s">
        <v>2441</v>
      </c>
      <c r="C1009" s="1" t="s">
        <v>35</v>
      </c>
      <c r="D1009" s="1" t="s">
        <v>36</v>
      </c>
      <c r="E1009" s="1">
        <v>757</v>
      </c>
      <c r="F1009" s="1" t="s">
        <v>3008</v>
      </c>
      <c r="G1009" s="1" t="s">
        <v>3009</v>
      </c>
      <c r="H1009" s="1" t="s">
        <v>3010</v>
      </c>
      <c r="I1009" s="1" t="s">
        <v>20</v>
      </c>
      <c r="J1009" s="1" t="s">
        <v>3011</v>
      </c>
      <c r="K1009" s="1" t="b">
        <v>1</v>
      </c>
      <c r="L1009" s="1" t="s">
        <v>31</v>
      </c>
      <c r="M1009" s="1">
        <v>2021</v>
      </c>
      <c r="N1009" s="1" t="s">
        <v>52</v>
      </c>
      <c r="O1009" s="1" t="s">
        <v>9942</v>
      </c>
      <c r="P1009" s="1" t="s">
        <v>16</v>
      </c>
      <c r="Q1009" s="1">
        <v>16</v>
      </c>
      <c r="R1009" s="1">
        <v>1500000</v>
      </c>
      <c r="S1009" s="1">
        <v>240000</v>
      </c>
    </row>
    <row r="1010" spans="1:19" ht="12.5" x14ac:dyDescent="0.25">
      <c r="A1010" s="1">
        <v>806</v>
      </c>
      <c r="B1010" s="1" t="s">
        <v>3012</v>
      </c>
      <c r="C1010" s="1" t="s">
        <v>35</v>
      </c>
      <c r="D1010" s="1" t="s">
        <v>36</v>
      </c>
      <c r="E1010" s="1">
        <v>757</v>
      </c>
      <c r="F1010" s="1" t="s">
        <v>3008</v>
      </c>
      <c r="G1010" s="1" t="s">
        <v>3009</v>
      </c>
      <c r="H1010" s="1" t="s">
        <v>3010</v>
      </c>
      <c r="I1010" s="1" t="s">
        <v>20</v>
      </c>
      <c r="J1010" s="1" t="s">
        <v>3011</v>
      </c>
      <c r="K1010" s="1" t="b">
        <v>1</v>
      </c>
      <c r="L1010" s="1" t="s">
        <v>31</v>
      </c>
      <c r="M1010" s="1">
        <v>2021</v>
      </c>
      <c r="N1010" s="1" t="s">
        <v>52</v>
      </c>
      <c r="O1010" s="1" t="s">
        <v>9942</v>
      </c>
      <c r="P1010" s="1" t="s">
        <v>16</v>
      </c>
      <c r="Q1010" s="1">
        <v>16</v>
      </c>
      <c r="R1010" s="1">
        <v>1500000</v>
      </c>
      <c r="S1010" s="1">
        <v>240000</v>
      </c>
    </row>
    <row r="1011" spans="1:19" ht="12.5" x14ac:dyDescent="0.25">
      <c r="A1011" s="1">
        <v>806</v>
      </c>
      <c r="B1011" s="1" t="s">
        <v>3012</v>
      </c>
      <c r="C1011" s="1" t="s">
        <v>35</v>
      </c>
      <c r="D1011" s="1" t="s">
        <v>36</v>
      </c>
      <c r="E1011" s="1">
        <v>757</v>
      </c>
      <c r="F1011" s="1" t="s">
        <v>3008</v>
      </c>
      <c r="G1011" s="1" t="s">
        <v>3009</v>
      </c>
      <c r="H1011" s="1" t="s">
        <v>3010</v>
      </c>
      <c r="I1011" s="1" t="s">
        <v>20</v>
      </c>
      <c r="J1011" s="1" t="s">
        <v>3011</v>
      </c>
      <c r="K1011" s="1" t="b">
        <v>1</v>
      </c>
      <c r="L1011" s="1" t="s">
        <v>31</v>
      </c>
      <c r="M1011" s="1">
        <v>2022</v>
      </c>
      <c r="N1011" s="1" t="s">
        <v>32</v>
      </c>
      <c r="O1011" s="1" t="s">
        <v>9942</v>
      </c>
      <c r="P1011" s="1" t="s">
        <v>16</v>
      </c>
      <c r="Q1011" s="1">
        <v>16</v>
      </c>
      <c r="R1011" s="1">
        <v>500000</v>
      </c>
      <c r="S1011" s="1">
        <v>80000</v>
      </c>
    </row>
    <row r="1012" spans="1:19" ht="12.5" x14ac:dyDescent="0.25">
      <c r="A1012" s="1">
        <v>806</v>
      </c>
      <c r="B1012" s="1" t="s">
        <v>3012</v>
      </c>
      <c r="C1012" s="1" t="s">
        <v>35</v>
      </c>
      <c r="D1012" s="1" t="s">
        <v>36</v>
      </c>
      <c r="E1012" s="1">
        <v>757</v>
      </c>
      <c r="F1012" s="1" t="s">
        <v>3008</v>
      </c>
      <c r="G1012" s="1" t="s">
        <v>3009</v>
      </c>
      <c r="H1012" s="1" t="s">
        <v>3010</v>
      </c>
      <c r="I1012" s="1" t="s">
        <v>20</v>
      </c>
      <c r="J1012" s="1" t="s">
        <v>3011</v>
      </c>
      <c r="K1012" s="1" t="b">
        <v>1</v>
      </c>
      <c r="L1012" s="1" t="s">
        <v>31</v>
      </c>
      <c r="M1012" s="1">
        <v>2022</v>
      </c>
      <c r="N1012" s="1" t="s">
        <v>32</v>
      </c>
      <c r="O1012" s="1" t="s">
        <v>9935</v>
      </c>
      <c r="P1012" s="1" t="s">
        <v>16</v>
      </c>
      <c r="Q1012" s="1">
        <v>16</v>
      </c>
      <c r="R1012" s="1">
        <v>1228000</v>
      </c>
      <c r="S1012" s="1">
        <v>196480</v>
      </c>
    </row>
    <row r="1013" spans="1:19" ht="12.5" x14ac:dyDescent="0.25">
      <c r="A1013" s="1">
        <v>1091</v>
      </c>
      <c r="B1013" s="1" t="s">
        <v>3013</v>
      </c>
      <c r="C1013" s="1" t="s">
        <v>35</v>
      </c>
      <c r="D1013" s="1" t="s">
        <v>152</v>
      </c>
      <c r="E1013" s="1">
        <v>757</v>
      </c>
      <c r="F1013" s="1" t="s">
        <v>3008</v>
      </c>
      <c r="G1013" s="1" t="s">
        <v>3009</v>
      </c>
      <c r="H1013" s="1" t="s">
        <v>3010</v>
      </c>
      <c r="I1013" s="1" t="s">
        <v>20</v>
      </c>
      <c r="J1013" s="1" t="s">
        <v>3011</v>
      </c>
      <c r="K1013" s="1" t="b">
        <v>1</v>
      </c>
      <c r="L1013" s="1" t="s">
        <v>31</v>
      </c>
      <c r="M1013" s="1">
        <v>2022</v>
      </c>
      <c r="N1013" s="1" t="s">
        <v>32</v>
      </c>
      <c r="O1013" s="1" t="s">
        <v>9942</v>
      </c>
      <c r="P1013" s="1" t="s">
        <v>16</v>
      </c>
      <c r="Q1013" s="1">
        <v>0</v>
      </c>
      <c r="R1013" s="1">
        <v>500000</v>
      </c>
      <c r="S1013" s="1">
        <v>0</v>
      </c>
    </row>
    <row r="1014" spans="1:19" ht="12.5" x14ac:dyDescent="0.25">
      <c r="A1014" s="1">
        <v>1091</v>
      </c>
      <c r="B1014" s="1" t="s">
        <v>3013</v>
      </c>
      <c r="C1014" s="1" t="s">
        <v>35</v>
      </c>
      <c r="D1014" s="1" t="s">
        <v>152</v>
      </c>
      <c r="E1014" s="1">
        <v>757</v>
      </c>
      <c r="F1014" s="1" t="s">
        <v>3008</v>
      </c>
      <c r="G1014" s="1" t="s">
        <v>3009</v>
      </c>
      <c r="H1014" s="1" t="s">
        <v>3010</v>
      </c>
      <c r="I1014" s="1" t="s">
        <v>20</v>
      </c>
      <c r="J1014" s="1" t="s">
        <v>3011</v>
      </c>
      <c r="K1014" s="1" t="b">
        <v>1</v>
      </c>
      <c r="L1014" s="1" t="s">
        <v>31</v>
      </c>
      <c r="M1014" s="1">
        <v>2022</v>
      </c>
      <c r="N1014" s="1" t="s">
        <v>32</v>
      </c>
      <c r="O1014" s="1" t="s">
        <v>9935</v>
      </c>
      <c r="P1014" s="1" t="s">
        <v>16</v>
      </c>
      <c r="Q1014" s="1">
        <v>0</v>
      </c>
      <c r="R1014" s="1">
        <v>1228000</v>
      </c>
      <c r="S1014" s="1">
        <v>0</v>
      </c>
    </row>
    <row r="1015" spans="1:19" ht="12.5" x14ac:dyDescent="0.25">
      <c r="A1015" s="1">
        <v>1091</v>
      </c>
      <c r="B1015" s="1" t="s">
        <v>3013</v>
      </c>
      <c r="C1015" s="1" t="s">
        <v>35</v>
      </c>
      <c r="D1015" s="1" t="s">
        <v>152</v>
      </c>
      <c r="E1015" s="1">
        <v>757</v>
      </c>
      <c r="F1015" s="1" t="s">
        <v>3008</v>
      </c>
      <c r="G1015" s="1" t="s">
        <v>3009</v>
      </c>
      <c r="H1015" s="1" t="s">
        <v>3010</v>
      </c>
      <c r="I1015" s="1" t="s">
        <v>20</v>
      </c>
      <c r="J1015" s="1" t="s">
        <v>3011</v>
      </c>
      <c r="K1015" s="1" t="b">
        <v>1</v>
      </c>
      <c r="L1015" s="1" t="s">
        <v>31</v>
      </c>
      <c r="M1015" s="1">
        <v>2021</v>
      </c>
      <c r="N1015" s="1" t="s">
        <v>52</v>
      </c>
      <c r="O1015" s="1" t="s">
        <v>9942</v>
      </c>
      <c r="P1015" s="1" t="s">
        <v>16</v>
      </c>
      <c r="Q1015" s="1">
        <v>0</v>
      </c>
      <c r="R1015" s="1">
        <v>1500000</v>
      </c>
      <c r="S1015" s="1">
        <v>0</v>
      </c>
    </row>
    <row r="1016" spans="1:19" ht="12.5" x14ac:dyDescent="0.25">
      <c r="A1016" s="1">
        <v>1092</v>
      </c>
      <c r="B1016" s="1" t="s">
        <v>3015</v>
      </c>
      <c r="C1016" s="1" t="s">
        <v>35</v>
      </c>
      <c r="D1016" s="1" t="s">
        <v>152</v>
      </c>
      <c r="E1016" s="1">
        <v>757</v>
      </c>
      <c r="F1016" s="1" t="s">
        <v>3008</v>
      </c>
      <c r="G1016" s="1" t="s">
        <v>3009</v>
      </c>
      <c r="H1016" s="1" t="s">
        <v>3010</v>
      </c>
      <c r="I1016" s="1" t="s">
        <v>20</v>
      </c>
      <c r="J1016" s="1" t="s">
        <v>3011</v>
      </c>
      <c r="K1016" s="1" t="b">
        <v>1</v>
      </c>
      <c r="L1016" s="1" t="s">
        <v>31</v>
      </c>
      <c r="M1016" s="1">
        <v>2022</v>
      </c>
      <c r="N1016" s="1" t="s">
        <v>32</v>
      </c>
      <c r="O1016" s="1" t="s">
        <v>9942</v>
      </c>
      <c r="P1016" s="1" t="s">
        <v>16</v>
      </c>
      <c r="Q1016" s="1">
        <v>0</v>
      </c>
      <c r="R1016" s="1">
        <v>500000</v>
      </c>
      <c r="S1016" s="1">
        <v>0</v>
      </c>
    </row>
    <row r="1017" spans="1:19" ht="12.5" x14ac:dyDescent="0.25">
      <c r="A1017" s="1">
        <v>1092</v>
      </c>
      <c r="B1017" s="1" t="s">
        <v>3015</v>
      </c>
      <c r="C1017" s="1" t="s">
        <v>35</v>
      </c>
      <c r="D1017" s="1" t="s">
        <v>152</v>
      </c>
      <c r="E1017" s="1">
        <v>757</v>
      </c>
      <c r="F1017" s="1" t="s">
        <v>3008</v>
      </c>
      <c r="G1017" s="1" t="s">
        <v>3009</v>
      </c>
      <c r="H1017" s="1" t="s">
        <v>3010</v>
      </c>
      <c r="I1017" s="1" t="s">
        <v>20</v>
      </c>
      <c r="J1017" s="1" t="s">
        <v>3011</v>
      </c>
      <c r="K1017" s="1" t="b">
        <v>1</v>
      </c>
      <c r="L1017" s="1" t="s">
        <v>31</v>
      </c>
      <c r="M1017" s="1">
        <v>2022</v>
      </c>
      <c r="N1017" s="1" t="s">
        <v>32</v>
      </c>
      <c r="O1017" s="1" t="s">
        <v>9935</v>
      </c>
      <c r="P1017" s="1" t="s">
        <v>16</v>
      </c>
      <c r="Q1017" s="1">
        <v>0</v>
      </c>
      <c r="R1017" s="1">
        <v>1228000</v>
      </c>
      <c r="S1017" s="1">
        <v>0</v>
      </c>
    </row>
    <row r="1018" spans="1:19" ht="12.5" x14ac:dyDescent="0.25">
      <c r="A1018" s="1">
        <v>1092</v>
      </c>
      <c r="B1018" s="1" t="s">
        <v>3015</v>
      </c>
      <c r="C1018" s="1" t="s">
        <v>35</v>
      </c>
      <c r="D1018" s="1" t="s">
        <v>152</v>
      </c>
      <c r="E1018" s="1">
        <v>757</v>
      </c>
      <c r="F1018" s="1" t="s">
        <v>3008</v>
      </c>
      <c r="G1018" s="1" t="s">
        <v>3009</v>
      </c>
      <c r="H1018" s="1" t="s">
        <v>3010</v>
      </c>
      <c r="I1018" s="1" t="s">
        <v>20</v>
      </c>
      <c r="J1018" s="1" t="s">
        <v>3011</v>
      </c>
      <c r="K1018" s="1" t="b">
        <v>1</v>
      </c>
      <c r="L1018" s="1" t="s">
        <v>31</v>
      </c>
      <c r="M1018" s="1">
        <v>2021</v>
      </c>
      <c r="N1018" s="1" t="s">
        <v>52</v>
      </c>
      <c r="O1018" s="1" t="s">
        <v>9942</v>
      </c>
      <c r="P1018" s="1" t="s">
        <v>16</v>
      </c>
      <c r="Q1018" s="1">
        <v>0</v>
      </c>
      <c r="R1018" s="1">
        <v>1500000</v>
      </c>
      <c r="S1018" s="1">
        <v>0</v>
      </c>
    </row>
    <row r="1019" spans="1:19" ht="12.5" x14ac:dyDescent="0.25">
      <c r="A1019" s="1">
        <v>1093</v>
      </c>
      <c r="B1019" s="1" t="s">
        <v>3017</v>
      </c>
      <c r="C1019" s="1" t="s">
        <v>35</v>
      </c>
      <c r="D1019" s="1" t="s">
        <v>152</v>
      </c>
      <c r="E1019" s="1">
        <v>757</v>
      </c>
      <c r="F1019" s="1" t="s">
        <v>3008</v>
      </c>
      <c r="G1019" s="1" t="s">
        <v>3009</v>
      </c>
      <c r="H1019" s="1" t="s">
        <v>3010</v>
      </c>
      <c r="I1019" s="1" t="s">
        <v>20</v>
      </c>
      <c r="J1019" s="1" t="s">
        <v>3011</v>
      </c>
      <c r="K1019" s="1" t="b">
        <v>1</v>
      </c>
      <c r="L1019" s="1" t="s">
        <v>31</v>
      </c>
      <c r="M1019" s="1">
        <v>2022</v>
      </c>
      <c r="N1019" s="1" t="s">
        <v>32</v>
      </c>
      <c r="O1019" s="1" t="s">
        <v>9935</v>
      </c>
      <c r="P1019" s="1" t="s">
        <v>16</v>
      </c>
      <c r="Q1019" s="1">
        <v>0</v>
      </c>
      <c r="R1019" s="1">
        <v>1228000</v>
      </c>
      <c r="S1019" s="1">
        <v>0</v>
      </c>
    </row>
    <row r="1020" spans="1:19" ht="12.5" x14ac:dyDescent="0.25">
      <c r="A1020" s="1">
        <v>1093</v>
      </c>
      <c r="B1020" s="1" t="s">
        <v>3017</v>
      </c>
      <c r="C1020" s="1" t="s">
        <v>35</v>
      </c>
      <c r="D1020" s="1" t="s">
        <v>152</v>
      </c>
      <c r="E1020" s="1">
        <v>757</v>
      </c>
      <c r="F1020" s="1" t="s">
        <v>3008</v>
      </c>
      <c r="G1020" s="1" t="s">
        <v>3009</v>
      </c>
      <c r="H1020" s="1" t="s">
        <v>3010</v>
      </c>
      <c r="I1020" s="1" t="s">
        <v>20</v>
      </c>
      <c r="J1020" s="1" t="s">
        <v>3011</v>
      </c>
      <c r="K1020" s="1" t="b">
        <v>1</v>
      </c>
      <c r="L1020" s="1" t="s">
        <v>31</v>
      </c>
      <c r="M1020" s="1">
        <v>2022</v>
      </c>
      <c r="N1020" s="1" t="s">
        <v>32</v>
      </c>
      <c r="O1020" s="1" t="s">
        <v>9942</v>
      </c>
      <c r="P1020" s="1" t="s">
        <v>16</v>
      </c>
      <c r="Q1020" s="1">
        <v>0</v>
      </c>
      <c r="R1020" s="1">
        <v>500000</v>
      </c>
      <c r="S1020" s="1">
        <v>0</v>
      </c>
    </row>
    <row r="1021" spans="1:19" ht="12.5" x14ac:dyDescent="0.25">
      <c r="A1021" s="1">
        <v>1093</v>
      </c>
      <c r="B1021" s="1" t="s">
        <v>3017</v>
      </c>
      <c r="C1021" s="1" t="s">
        <v>35</v>
      </c>
      <c r="D1021" s="1" t="s">
        <v>152</v>
      </c>
      <c r="E1021" s="1">
        <v>757</v>
      </c>
      <c r="F1021" s="1" t="s">
        <v>3008</v>
      </c>
      <c r="G1021" s="1" t="s">
        <v>3009</v>
      </c>
      <c r="H1021" s="1" t="s">
        <v>3010</v>
      </c>
      <c r="I1021" s="1" t="s">
        <v>20</v>
      </c>
      <c r="J1021" s="1" t="s">
        <v>3011</v>
      </c>
      <c r="K1021" s="1" t="b">
        <v>1</v>
      </c>
      <c r="L1021" s="1" t="s">
        <v>31</v>
      </c>
      <c r="M1021" s="1">
        <v>2021</v>
      </c>
      <c r="N1021" s="1" t="s">
        <v>52</v>
      </c>
      <c r="O1021" s="1" t="s">
        <v>9942</v>
      </c>
      <c r="P1021" s="1" t="s">
        <v>16</v>
      </c>
      <c r="Q1021" s="1">
        <v>0</v>
      </c>
      <c r="R1021" s="1">
        <v>1500000</v>
      </c>
      <c r="S1021" s="1">
        <v>0</v>
      </c>
    </row>
    <row r="1022" spans="1:19" ht="12.5" x14ac:dyDescent="0.25">
      <c r="A1022" s="1">
        <v>1423</v>
      </c>
      <c r="B1022" s="1" t="s">
        <v>3019</v>
      </c>
      <c r="C1022" s="1" t="s">
        <v>35</v>
      </c>
      <c r="D1022" s="1" t="s">
        <v>152</v>
      </c>
      <c r="E1022" s="1">
        <v>757</v>
      </c>
      <c r="F1022" s="1" t="s">
        <v>3008</v>
      </c>
      <c r="G1022" s="1" t="s">
        <v>3009</v>
      </c>
      <c r="H1022" s="1" t="s">
        <v>3010</v>
      </c>
      <c r="I1022" s="1" t="s">
        <v>20</v>
      </c>
      <c r="J1022" s="1" t="s">
        <v>3011</v>
      </c>
      <c r="K1022" s="1" t="b">
        <v>1</v>
      </c>
      <c r="L1022" s="1" t="s">
        <v>31</v>
      </c>
      <c r="M1022" s="1">
        <v>2022</v>
      </c>
      <c r="N1022" s="1" t="s">
        <v>32</v>
      </c>
      <c r="O1022" s="1" t="s">
        <v>9942</v>
      </c>
      <c r="P1022" s="1" t="s">
        <v>16</v>
      </c>
      <c r="Q1022" s="1">
        <v>0</v>
      </c>
      <c r="R1022" s="1">
        <v>500000</v>
      </c>
      <c r="S1022" s="1">
        <v>0</v>
      </c>
    </row>
    <row r="1023" spans="1:19" ht="12.5" x14ac:dyDescent="0.25">
      <c r="A1023" s="1">
        <v>1423</v>
      </c>
      <c r="B1023" s="1" t="s">
        <v>3019</v>
      </c>
      <c r="C1023" s="1" t="s">
        <v>35</v>
      </c>
      <c r="D1023" s="1" t="s">
        <v>152</v>
      </c>
      <c r="E1023" s="1">
        <v>757</v>
      </c>
      <c r="F1023" s="1" t="s">
        <v>3008</v>
      </c>
      <c r="G1023" s="1" t="s">
        <v>3009</v>
      </c>
      <c r="H1023" s="1" t="s">
        <v>3010</v>
      </c>
      <c r="I1023" s="1" t="s">
        <v>20</v>
      </c>
      <c r="J1023" s="1" t="s">
        <v>3011</v>
      </c>
      <c r="K1023" s="1" t="b">
        <v>1</v>
      </c>
      <c r="L1023" s="1" t="s">
        <v>31</v>
      </c>
      <c r="M1023" s="1">
        <v>2022</v>
      </c>
      <c r="N1023" s="1" t="s">
        <v>32</v>
      </c>
      <c r="O1023" s="1" t="s">
        <v>9935</v>
      </c>
      <c r="P1023" s="1" t="s">
        <v>16</v>
      </c>
      <c r="Q1023" s="1">
        <v>0</v>
      </c>
      <c r="R1023" s="1">
        <v>1228000</v>
      </c>
      <c r="S1023" s="1">
        <v>0</v>
      </c>
    </row>
    <row r="1024" spans="1:19" ht="12.5" x14ac:dyDescent="0.25">
      <c r="A1024" s="1">
        <v>1423</v>
      </c>
      <c r="B1024" s="1" t="s">
        <v>3019</v>
      </c>
      <c r="C1024" s="1" t="s">
        <v>35</v>
      </c>
      <c r="D1024" s="1" t="s">
        <v>152</v>
      </c>
      <c r="E1024" s="1">
        <v>757</v>
      </c>
      <c r="F1024" s="1" t="s">
        <v>3008</v>
      </c>
      <c r="G1024" s="1" t="s">
        <v>3009</v>
      </c>
      <c r="H1024" s="1" t="s">
        <v>3010</v>
      </c>
      <c r="I1024" s="1" t="s">
        <v>20</v>
      </c>
      <c r="J1024" s="1" t="s">
        <v>3011</v>
      </c>
      <c r="K1024" s="1" t="b">
        <v>1</v>
      </c>
      <c r="L1024" s="1" t="s">
        <v>31</v>
      </c>
      <c r="M1024" s="1">
        <v>2021</v>
      </c>
      <c r="N1024" s="1" t="s">
        <v>52</v>
      </c>
      <c r="O1024" s="1" t="s">
        <v>9942</v>
      </c>
      <c r="P1024" s="1" t="s">
        <v>16</v>
      </c>
      <c r="Q1024" s="1">
        <v>0</v>
      </c>
      <c r="R1024" s="1">
        <v>1500000</v>
      </c>
      <c r="S1024" s="1">
        <v>0</v>
      </c>
    </row>
    <row r="1025" spans="1:19" ht="12.5" x14ac:dyDescent="0.25">
      <c r="A1025" s="1">
        <v>1424</v>
      </c>
      <c r="B1025" s="1" t="s">
        <v>3021</v>
      </c>
      <c r="C1025" s="1" t="s">
        <v>35</v>
      </c>
      <c r="D1025" s="1" t="s">
        <v>152</v>
      </c>
      <c r="E1025" s="1">
        <v>757</v>
      </c>
      <c r="F1025" s="1" t="s">
        <v>3008</v>
      </c>
      <c r="G1025" s="1" t="s">
        <v>3009</v>
      </c>
      <c r="H1025" s="1" t="s">
        <v>3010</v>
      </c>
      <c r="I1025" s="1" t="s">
        <v>20</v>
      </c>
      <c r="J1025" s="1" t="s">
        <v>3011</v>
      </c>
      <c r="K1025" s="1" t="b">
        <v>1</v>
      </c>
      <c r="L1025" s="1" t="s">
        <v>31</v>
      </c>
      <c r="M1025" s="1">
        <v>2022</v>
      </c>
      <c r="N1025" s="1" t="s">
        <v>32</v>
      </c>
      <c r="O1025" s="1" t="s">
        <v>9935</v>
      </c>
      <c r="P1025" s="1" t="s">
        <v>16</v>
      </c>
      <c r="Q1025" s="1">
        <v>0</v>
      </c>
      <c r="R1025" s="1">
        <v>1228000</v>
      </c>
      <c r="S1025" s="1">
        <v>0</v>
      </c>
    </row>
    <row r="1026" spans="1:19" ht="12.5" x14ac:dyDescent="0.25">
      <c r="A1026" s="1">
        <v>1424</v>
      </c>
      <c r="B1026" s="1" t="s">
        <v>3021</v>
      </c>
      <c r="C1026" s="1" t="s">
        <v>35</v>
      </c>
      <c r="D1026" s="1" t="s">
        <v>152</v>
      </c>
      <c r="E1026" s="1">
        <v>757</v>
      </c>
      <c r="F1026" s="1" t="s">
        <v>3008</v>
      </c>
      <c r="G1026" s="1" t="s">
        <v>3009</v>
      </c>
      <c r="H1026" s="1" t="s">
        <v>3010</v>
      </c>
      <c r="I1026" s="1" t="s">
        <v>20</v>
      </c>
      <c r="J1026" s="1" t="s">
        <v>3011</v>
      </c>
      <c r="K1026" s="1" t="b">
        <v>1</v>
      </c>
      <c r="L1026" s="1" t="s">
        <v>31</v>
      </c>
      <c r="M1026" s="1">
        <v>2021</v>
      </c>
      <c r="N1026" s="1" t="s">
        <v>52</v>
      </c>
      <c r="O1026" s="1" t="s">
        <v>9942</v>
      </c>
      <c r="P1026" s="1" t="s">
        <v>16</v>
      </c>
      <c r="Q1026" s="1">
        <v>0</v>
      </c>
      <c r="R1026" s="1">
        <v>1500000</v>
      </c>
      <c r="S1026" s="1">
        <v>0</v>
      </c>
    </row>
    <row r="1027" spans="1:19" ht="12.5" x14ac:dyDescent="0.25">
      <c r="A1027" s="1">
        <v>1424</v>
      </c>
      <c r="B1027" s="1" t="s">
        <v>3021</v>
      </c>
      <c r="C1027" s="1" t="s">
        <v>35</v>
      </c>
      <c r="D1027" s="1" t="s">
        <v>152</v>
      </c>
      <c r="E1027" s="1">
        <v>757</v>
      </c>
      <c r="F1027" s="1" t="s">
        <v>3008</v>
      </c>
      <c r="G1027" s="1" t="s">
        <v>3009</v>
      </c>
      <c r="H1027" s="1" t="s">
        <v>3010</v>
      </c>
      <c r="I1027" s="1" t="s">
        <v>20</v>
      </c>
      <c r="J1027" s="1" t="s">
        <v>3011</v>
      </c>
      <c r="K1027" s="1" t="b">
        <v>1</v>
      </c>
      <c r="L1027" s="1" t="s">
        <v>31</v>
      </c>
      <c r="M1027" s="1">
        <v>2022</v>
      </c>
      <c r="N1027" s="1" t="s">
        <v>32</v>
      </c>
      <c r="O1027" s="1" t="s">
        <v>9942</v>
      </c>
      <c r="P1027" s="1" t="s">
        <v>16</v>
      </c>
      <c r="Q1027" s="1">
        <v>0</v>
      </c>
      <c r="R1027" s="1">
        <v>500000</v>
      </c>
      <c r="S1027" s="1">
        <v>0</v>
      </c>
    </row>
    <row r="1028" spans="1:19" ht="12.5" x14ac:dyDescent="0.25">
      <c r="A1028" s="1">
        <v>776</v>
      </c>
      <c r="B1028" s="1" t="s">
        <v>3023</v>
      </c>
      <c r="C1028" s="1" t="s">
        <v>35</v>
      </c>
      <c r="D1028" s="1" t="s">
        <v>36</v>
      </c>
      <c r="E1028" s="1">
        <v>758</v>
      </c>
      <c r="F1028" s="1" t="s">
        <v>3024</v>
      </c>
      <c r="G1028" s="1" t="s">
        <v>3025</v>
      </c>
      <c r="H1028" s="1" t="s">
        <v>3026</v>
      </c>
      <c r="I1028" s="1" t="s">
        <v>20</v>
      </c>
      <c r="J1028" s="1" t="s">
        <v>3027</v>
      </c>
      <c r="K1028" s="1" t="b">
        <v>0</v>
      </c>
      <c r="L1028" s="1" t="s">
        <v>22</v>
      </c>
      <c r="M1028" s="1" t="s">
        <v>16</v>
      </c>
      <c r="N1028" s="1" t="s">
        <v>16</v>
      </c>
      <c r="O1028" s="1" t="s">
        <v>16</v>
      </c>
      <c r="P1028" s="1" t="s">
        <v>16</v>
      </c>
      <c r="Q1028" s="1">
        <v>100</v>
      </c>
    </row>
    <row r="1029" spans="1:19" ht="12.5" x14ac:dyDescent="0.25">
      <c r="A1029" s="1">
        <v>753</v>
      </c>
      <c r="B1029" s="1" t="s">
        <v>3028</v>
      </c>
      <c r="C1029" s="1" t="s">
        <v>35</v>
      </c>
      <c r="D1029" s="1" t="s">
        <v>36</v>
      </c>
      <c r="E1029" s="1">
        <v>759</v>
      </c>
      <c r="F1029" s="1" t="s">
        <v>3029</v>
      </c>
      <c r="G1029" s="1" t="s">
        <v>3030</v>
      </c>
      <c r="H1029" s="1" t="s">
        <v>3031</v>
      </c>
      <c r="I1029" s="1" t="s">
        <v>29</v>
      </c>
      <c r="J1029" s="1" t="s">
        <v>16</v>
      </c>
      <c r="K1029" s="1" t="b">
        <v>0</v>
      </c>
      <c r="L1029" s="1" t="s">
        <v>22</v>
      </c>
      <c r="M1029" s="1" t="s">
        <v>16</v>
      </c>
      <c r="N1029" s="1" t="s">
        <v>16</v>
      </c>
      <c r="O1029" s="1" t="s">
        <v>16</v>
      </c>
      <c r="P1029" s="1" t="s">
        <v>16</v>
      </c>
      <c r="Q1029" s="1">
        <v>100</v>
      </c>
    </row>
    <row r="1030" spans="1:19" ht="12.5" x14ac:dyDescent="0.25">
      <c r="A1030" s="1">
        <v>826</v>
      </c>
      <c r="B1030" s="1" t="s">
        <v>3032</v>
      </c>
      <c r="C1030" s="1" t="s">
        <v>35</v>
      </c>
      <c r="D1030" s="1" t="s">
        <v>36</v>
      </c>
      <c r="E1030" s="1">
        <v>760</v>
      </c>
      <c r="F1030" s="1" t="s">
        <v>3033</v>
      </c>
      <c r="G1030" s="1" t="s">
        <v>3034</v>
      </c>
      <c r="H1030" s="1" t="s">
        <v>3035</v>
      </c>
      <c r="I1030" s="1" t="s">
        <v>20</v>
      </c>
      <c r="J1030" s="1" t="s">
        <v>3036</v>
      </c>
      <c r="K1030" s="1" t="b">
        <v>0</v>
      </c>
      <c r="L1030" s="1" t="s">
        <v>22</v>
      </c>
      <c r="M1030" s="1" t="s">
        <v>16</v>
      </c>
      <c r="N1030" s="1" t="s">
        <v>16</v>
      </c>
      <c r="O1030" s="1" t="s">
        <v>16</v>
      </c>
      <c r="P1030" s="1" t="s">
        <v>16</v>
      </c>
      <c r="Q1030" s="1">
        <v>100</v>
      </c>
    </row>
    <row r="1031" spans="1:19" ht="12.5" x14ac:dyDescent="0.25">
      <c r="A1031" s="1">
        <v>812</v>
      </c>
      <c r="B1031" s="1" t="s">
        <v>3037</v>
      </c>
      <c r="C1031" s="1" t="s">
        <v>35</v>
      </c>
      <c r="D1031" s="1" t="s">
        <v>36</v>
      </c>
      <c r="E1031" s="1">
        <v>761</v>
      </c>
      <c r="F1031" s="1" t="s">
        <v>3038</v>
      </c>
      <c r="G1031" s="1" t="s">
        <v>3039</v>
      </c>
      <c r="H1031" s="1" t="s">
        <v>3040</v>
      </c>
      <c r="I1031" s="1" t="s">
        <v>29</v>
      </c>
      <c r="J1031" s="1" t="s">
        <v>16</v>
      </c>
      <c r="K1031" s="1" t="b">
        <v>0</v>
      </c>
      <c r="L1031" s="1" t="s">
        <v>22</v>
      </c>
      <c r="M1031" s="1" t="s">
        <v>16</v>
      </c>
      <c r="N1031" s="1" t="s">
        <v>16</v>
      </c>
      <c r="O1031" s="1" t="s">
        <v>16</v>
      </c>
      <c r="P1031" s="1" t="s">
        <v>16</v>
      </c>
      <c r="Q1031" s="1">
        <v>100</v>
      </c>
    </row>
    <row r="1032" spans="1:19" ht="12.5" x14ac:dyDescent="0.25">
      <c r="A1032" s="1">
        <v>757</v>
      </c>
      <c r="B1032" s="1" t="s">
        <v>3041</v>
      </c>
      <c r="C1032" s="1" t="s">
        <v>35</v>
      </c>
      <c r="D1032" s="1" t="s">
        <v>36</v>
      </c>
      <c r="E1032" s="1">
        <v>762</v>
      </c>
      <c r="F1032" s="1" t="s">
        <v>3042</v>
      </c>
      <c r="G1032" s="1" t="s">
        <v>3043</v>
      </c>
      <c r="H1032" s="1" t="s">
        <v>3044</v>
      </c>
      <c r="I1032" s="1" t="s">
        <v>20</v>
      </c>
      <c r="J1032" s="1" t="s">
        <v>3045</v>
      </c>
      <c r="K1032" s="1" t="b">
        <v>0</v>
      </c>
      <c r="L1032" s="1" t="s">
        <v>22</v>
      </c>
      <c r="M1032" s="1" t="s">
        <v>16</v>
      </c>
      <c r="N1032" s="1" t="s">
        <v>16</v>
      </c>
      <c r="O1032" s="1" t="s">
        <v>16</v>
      </c>
      <c r="P1032" s="1" t="s">
        <v>16</v>
      </c>
      <c r="Q1032" s="1">
        <v>100</v>
      </c>
    </row>
    <row r="1033" spans="1:19" ht="12.5" x14ac:dyDescent="0.25">
      <c r="A1033" s="1">
        <v>675</v>
      </c>
      <c r="B1033" s="1" t="s">
        <v>2752</v>
      </c>
      <c r="C1033" s="1" t="s">
        <v>35</v>
      </c>
      <c r="D1033" s="1" t="s">
        <v>36</v>
      </c>
      <c r="E1033" s="1">
        <v>763</v>
      </c>
      <c r="F1033" s="1" t="s">
        <v>3046</v>
      </c>
      <c r="G1033" s="1" t="s">
        <v>3047</v>
      </c>
      <c r="H1033" s="1" t="s">
        <v>3048</v>
      </c>
      <c r="I1033" s="1" t="s">
        <v>20</v>
      </c>
      <c r="J1033" s="1" t="s">
        <v>3049</v>
      </c>
      <c r="K1033" s="1" t="b">
        <v>0</v>
      </c>
      <c r="L1033" s="1" t="s">
        <v>22</v>
      </c>
      <c r="M1033" s="1" t="s">
        <v>16</v>
      </c>
      <c r="N1033" s="1" t="s">
        <v>16</v>
      </c>
      <c r="O1033" s="1" t="s">
        <v>16</v>
      </c>
      <c r="P1033" s="1" t="s">
        <v>16</v>
      </c>
      <c r="Q1033" s="1">
        <v>100</v>
      </c>
    </row>
    <row r="1034" spans="1:19" ht="12.5" x14ac:dyDescent="0.25">
      <c r="A1034" s="1">
        <v>782</v>
      </c>
      <c r="B1034" s="1" t="s">
        <v>3050</v>
      </c>
      <c r="C1034" s="1" t="s">
        <v>35</v>
      </c>
      <c r="D1034" s="1" t="s">
        <v>36</v>
      </c>
      <c r="E1034" s="1">
        <v>764</v>
      </c>
      <c r="F1034" s="1" t="s">
        <v>3051</v>
      </c>
      <c r="G1034" s="1" t="s">
        <v>3052</v>
      </c>
      <c r="H1034" s="1" t="s">
        <v>3053</v>
      </c>
      <c r="I1034" s="1" t="s">
        <v>20</v>
      </c>
      <c r="J1034" s="1" t="s">
        <v>3054</v>
      </c>
      <c r="K1034" s="1" t="b">
        <v>0</v>
      </c>
      <c r="L1034" s="1" t="s">
        <v>22</v>
      </c>
      <c r="M1034" s="1" t="s">
        <v>16</v>
      </c>
      <c r="N1034" s="1" t="s">
        <v>16</v>
      </c>
      <c r="O1034" s="1" t="s">
        <v>16</v>
      </c>
      <c r="P1034" s="1" t="s">
        <v>16</v>
      </c>
      <c r="Q1034" s="1">
        <v>100</v>
      </c>
    </row>
    <row r="1035" spans="1:19" ht="12.5" x14ac:dyDescent="0.25">
      <c r="A1035" s="1">
        <v>787</v>
      </c>
      <c r="B1035" s="1" t="s">
        <v>3055</v>
      </c>
      <c r="C1035" s="1" t="s">
        <v>35</v>
      </c>
      <c r="D1035" s="1" t="s">
        <v>36</v>
      </c>
      <c r="E1035" s="1">
        <v>765</v>
      </c>
      <c r="F1035" s="1" t="s">
        <v>3056</v>
      </c>
      <c r="G1035" s="1" t="s">
        <v>3057</v>
      </c>
      <c r="H1035" s="1" t="s">
        <v>3058</v>
      </c>
      <c r="I1035" s="1" t="s">
        <v>29</v>
      </c>
      <c r="J1035" s="1" t="s">
        <v>16</v>
      </c>
      <c r="K1035" s="1" t="b">
        <v>0</v>
      </c>
      <c r="L1035" s="1" t="s">
        <v>22</v>
      </c>
      <c r="M1035" s="1">
        <v>2021</v>
      </c>
      <c r="N1035" s="1" t="s">
        <v>32</v>
      </c>
      <c r="O1035" s="1" t="s">
        <v>9956</v>
      </c>
      <c r="P1035" s="1" t="s">
        <v>9978</v>
      </c>
      <c r="Q1035" s="1">
        <v>100</v>
      </c>
      <c r="R1035" s="1">
        <v>600</v>
      </c>
      <c r="S1035" s="1">
        <v>600</v>
      </c>
    </row>
    <row r="1036" spans="1:19" ht="12.5" x14ac:dyDescent="0.25">
      <c r="A1036" s="1">
        <v>788</v>
      </c>
      <c r="B1036" s="1" t="s">
        <v>3059</v>
      </c>
      <c r="C1036" s="1" t="s">
        <v>35</v>
      </c>
      <c r="D1036" s="1" t="s">
        <v>36</v>
      </c>
      <c r="E1036" s="1">
        <v>766</v>
      </c>
      <c r="F1036" s="1" t="s">
        <v>3060</v>
      </c>
      <c r="G1036" s="1" t="s">
        <v>3061</v>
      </c>
      <c r="H1036" s="1" t="s">
        <v>3062</v>
      </c>
      <c r="I1036" s="1" t="s">
        <v>29</v>
      </c>
      <c r="J1036" s="1" t="s">
        <v>16</v>
      </c>
      <c r="K1036" s="1" t="b">
        <v>0</v>
      </c>
      <c r="L1036" s="1" t="s">
        <v>22</v>
      </c>
      <c r="M1036" s="1">
        <v>2021</v>
      </c>
      <c r="N1036" s="1" t="s">
        <v>32</v>
      </c>
      <c r="O1036" s="1" t="s">
        <v>9935</v>
      </c>
      <c r="P1036" s="1" t="s">
        <v>9978</v>
      </c>
      <c r="Q1036" s="1">
        <v>100</v>
      </c>
      <c r="R1036" s="1">
        <v>15000</v>
      </c>
      <c r="S1036" s="1">
        <v>15000</v>
      </c>
    </row>
    <row r="1037" spans="1:19" ht="12.5" x14ac:dyDescent="0.25">
      <c r="A1037" s="1">
        <v>619</v>
      </c>
      <c r="B1037" s="1" t="s">
        <v>2530</v>
      </c>
      <c r="C1037" s="1" t="s">
        <v>35</v>
      </c>
      <c r="D1037" s="1" t="s">
        <v>36</v>
      </c>
      <c r="E1037" s="1">
        <v>767</v>
      </c>
      <c r="F1037" s="1" t="s">
        <v>3063</v>
      </c>
      <c r="G1037" s="1" t="s">
        <v>3064</v>
      </c>
      <c r="H1037" s="1" t="s">
        <v>3065</v>
      </c>
      <c r="I1037" s="1" t="s">
        <v>20</v>
      </c>
      <c r="J1037" s="1" t="s">
        <v>3066</v>
      </c>
      <c r="K1037" s="1" t="b">
        <v>0</v>
      </c>
      <c r="L1037" s="1" t="s">
        <v>22</v>
      </c>
      <c r="M1037" s="1" t="s">
        <v>16</v>
      </c>
      <c r="N1037" s="1" t="s">
        <v>16</v>
      </c>
      <c r="O1037" s="1" t="s">
        <v>16</v>
      </c>
      <c r="P1037" s="1" t="s">
        <v>16</v>
      </c>
      <c r="Q1037" s="1">
        <v>50</v>
      </c>
    </row>
    <row r="1038" spans="1:19" ht="12.5" x14ac:dyDescent="0.25">
      <c r="A1038" s="1">
        <v>764</v>
      </c>
      <c r="B1038" s="1" t="s">
        <v>3067</v>
      </c>
      <c r="C1038" s="1" t="s">
        <v>35</v>
      </c>
      <c r="D1038" s="1" t="s">
        <v>36</v>
      </c>
      <c r="E1038" s="1">
        <v>767</v>
      </c>
      <c r="F1038" s="1" t="s">
        <v>3063</v>
      </c>
      <c r="G1038" s="1" t="s">
        <v>3064</v>
      </c>
      <c r="H1038" s="1" t="s">
        <v>3065</v>
      </c>
      <c r="I1038" s="1" t="s">
        <v>20</v>
      </c>
      <c r="J1038" s="1" t="s">
        <v>3066</v>
      </c>
      <c r="K1038" s="1" t="b">
        <v>0</v>
      </c>
      <c r="L1038" s="1" t="s">
        <v>22</v>
      </c>
      <c r="M1038" s="1" t="s">
        <v>16</v>
      </c>
      <c r="N1038" s="1" t="s">
        <v>16</v>
      </c>
      <c r="O1038" s="1" t="s">
        <v>16</v>
      </c>
      <c r="P1038" s="1" t="s">
        <v>16</v>
      </c>
      <c r="Q1038" s="1">
        <v>50</v>
      </c>
    </row>
    <row r="1039" spans="1:19" ht="12.5" x14ac:dyDescent="0.25">
      <c r="A1039" s="1">
        <v>852</v>
      </c>
      <c r="B1039" s="1" t="s">
        <v>3068</v>
      </c>
      <c r="C1039" s="1" t="s">
        <v>35</v>
      </c>
      <c r="D1039" s="1" t="s">
        <v>152</v>
      </c>
      <c r="E1039" s="1">
        <v>802</v>
      </c>
      <c r="F1039" s="1" t="s">
        <v>3070</v>
      </c>
      <c r="G1039" s="1" t="s">
        <v>3071</v>
      </c>
      <c r="H1039" s="1" t="s">
        <v>16</v>
      </c>
      <c r="I1039" s="1" t="s">
        <v>29</v>
      </c>
      <c r="J1039" s="1" t="s">
        <v>3072</v>
      </c>
      <c r="K1039" s="1" t="b">
        <v>1</v>
      </c>
      <c r="L1039" s="1" t="s">
        <v>31</v>
      </c>
      <c r="M1039" s="1">
        <v>2022</v>
      </c>
      <c r="N1039" s="1" t="s">
        <v>45</v>
      </c>
      <c r="O1039" s="1" t="s">
        <v>9940</v>
      </c>
      <c r="P1039" s="1" t="s">
        <v>16</v>
      </c>
      <c r="Q1039" s="1">
        <v>100</v>
      </c>
      <c r="R1039" s="1">
        <v>25000</v>
      </c>
      <c r="S1039" s="1">
        <v>25000</v>
      </c>
    </row>
    <row r="1040" spans="1:19" ht="12.5" x14ac:dyDescent="0.25">
      <c r="A1040" s="1">
        <v>852</v>
      </c>
      <c r="B1040" s="1" t="s">
        <v>3068</v>
      </c>
      <c r="C1040" s="1" t="s">
        <v>35</v>
      </c>
      <c r="D1040" s="1" t="s">
        <v>152</v>
      </c>
      <c r="E1040" s="1">
        <v>802</v>
      </c>
      <c r="F1040" s="1" t="s">
        <v>3070</v>
      </c>
      <c r="G1040" s="1" t="s">
        <v>3071</v>
      </c>
      <c r="H1040" s="1" t="s">
        <v>16</v>
      </c>
      <c r="I1040" s="1" t="s">
        <v>29</v>
      </c>
      <c r="J1040" s="1" t="s">
        <v>3072</v>
      </c>
      <c r="K1040" s="1" t="b">
        <v>1</v>
      </c>
      <c r="L1040" s="1" t="s">
        <v>31</v>
      </c>
      <c r="M1040" s="1">
        <v>2022</v>
      </c>
      <c r="N1040" s="1" t="s">
        <v>45</v>
      </c>
      <c r="O1040" s="1" t="s">
        <v>9935</v>
      </c>
      <c r="P1040" s="1" t="s">
        <v>16</v>
      </c>
      <c r="Q1040" s="1">
        <v>100</v>
      </c>
      <c r="R1040" s="1">
        <v>36500</v>
      </c>
      <c r="S1040" s="1">
        <v>36500</v>
      </c>
    </row>
    <row r="1041" spans="1:19" ht="12.5" x14ac:dyDescent="0.25">
      <c r="A1041" s="1">
        <v>853</v>
      </c>
      <c r="B1041" s="1" t="s">
        <v>3073</v>
      </c>
      <c r="C1041" s="1" t="s">
        <v>35</v>
      </c>
      <c r="D1041" s="1" t="s">
        <v>152</v>
      </c>
      <c r="E1041" s="1">
        <v>803</v>
      </c>
      <c r="F1041" s="1" t="s">
        <v>3075</v>
      </c>
      <c r="G1041" s="1" t="s">
        <v>3076</v>
      </c>
      <c r="H1041" s="1" t="s">
        <v>16</v>
      </c>
      <c r="I1041" s="1" t="s">
        <v>29</v>
      </c>
      <c r="J1041" s="1" t="s">
        <v>3077</v>
      </c>
      <c r="K1041" s="1" t="b">
        <v>1</v>
      </c>
      <c r="L1041" s="1" t="s">
        <v>31</v>
      </c>
      <c r="M1041" s="1">
        <v>2022</v>
      </c>
      <c r="N1041" s="1" t="s">
        <v>45</v>
      </c>
      <c r="O1041" s="1" t="s">
        <v>9956</v>
      </c>
      <c r="P1041" s="1" t="s">
        <v>16</v>
      </c>
      <c r="Q1041" s="1">
        <v>100</v>
      </c>
      <c r="R1041" s="1">
        <v>5000</v>
      </c>
      <c r="S1041" s="1">
        <v>5000</v>
      </c>
    </row>
    <row r="1042" spans="1:19" ht="12.5" x14ac:dyDescent="0.25">
      <c r="A1042" s="1">
        <v>854</v>
      </c>
      <c r="B1042" s="1" t="s">
        <v>3078</v>
      </c>
      <c r="C1042" s="1" t="s">
        <v>35</v>
      </c>
      <c r="D1042" s="1" t="s">
        <v>152</v>
      </c>
      <c r="E1042" s="1">
        <v>804</v>
      </c>
      <c r="F1042" s="1" t="s">
        <v>3079</v>
      </c>
      <c r="G1042" s="1" t="s">
        <v>3080</v>
      </c>
      <c r="H1042" s="1" t="s">
        <v>16</v>
      </c>
      <c r="I1042" s="1" t="s">
        <v>29</v>
      </c>
      <c r="J1042" s="1" t="s">
        <v>3081</v>
      </c>
      <c r="K1042" s="1" t="b">
        <v>0</v>
      </c>
      <c r="L1042" s="1" t="s">
        <v>22</v>
      </c>
      <c r="M1042" s="1">
        <v>2023</v>
      </c>
      <c r="N1042" s="1" t="s">
        <v>45</v>
      </c>
      <c r="O1042" s="1" t="s">
        <v>9935</v>
      </c>
      <c r="P1042" s="1" t="s">
        <v>16</v>
      </c>
      <c r="Q1042" s="1">
        <v>100</v>
      </c>
      <c r="R1042" s="1">
        <v>60000</v>
      </c>
      <c r="S1042" s="1">
        <v>60000</v>
      </c>
    </row>
    <row r="1043" spans="1:19" ht="12.5" x14ac:dyDescent="0.25">
      <c r="A1043" s="1">
        <v>856</v>
      </c>
      <c r="B1043" s="1" t="s">
        <v>3082</v>
      </c>
      <c r="C1043" s="1" t="s">
        <v>35</v>
      </c>
      <c r="D1043" s="1" t="s">
        <v>152</v>
      </c>
      <c r="E1043" s="1">
        <v>805</v>
      </c>
      <c r="F1043" s="1" t="s">
        <v>3084</v>
      </c>
      <c r="G1043" s="1" t="s">
        <v>3085</v>
      </c>
      <c r="H1043" s="1" t="s">
        <v>16</v>
      </c>
      <c r="I1043" s="1" t="s">
        <v>29</v>
      </c>
      <c r="J1043" s="1" t="s">
        <v>16</v>
      </c>
      <c r="K1043" s="1" t="b">
        <v>0</v>
      </c>
      <c r="L1043" s="1" t="s">
        <v>22</v>
      </c>
      <c r="M1043" s="1">
        <v>2023</v>
      </c>
      <c r="N1043" s="1" t="s">
        <v>45</v>
      </c>
      <c r="O1043" s="1" t="s">
        <v>9942</v>
      </c>
      <c r="P1043" s="1" t="s">
        <v>9983</v>
      </c>
      <c r="Q1043" s="1">
        <v>100</v>
      </c>
      <c r="R1043" s="1">
        <v>200000</v>
      </c>
      <c r="S1043" s="1">
        <v>200000</v>
      </c>
    </row>
    <row r="1044" spans="1:19" ht="12.5" x14ac:dyDescent="0.25">
      <c r="A1044" s="1">
        <v>857</v>
      </c>
      <c r="B1044" s="1" t="s">
        <v>3086</v>
      </c>
      <c r="C1044" s="1" t="s">
        <v>35</v>
      </c>
      <c r="D1044" s="1" t="s">
        <v>152</v>
      </c>
      <c r="E1044" s="1">
        <v>806</v>
      </c>
      <c r="F1044" s="1" t="s">
        <v>3088</v>
      </c>
      <c r="G1044" s="1" t="s">
        <v>3089</v>
      </c>
      <c r="H1044" s="1" t="s">
        <v>16</v>
      </c>
      <c r="I1044" s="1" t="s">
        <v>29</v>
      </c>
      <c r="J1044" s="1" t="s">
        <v>3090</v>
      </c>
      <c r="K1044" s="1" t="b">
        <v>1</v>
      </c>
      <c r="L1044" s="1" t="s">
        <v>31</v>
      </c>
      <c r="M1044" s="1" t="s">
        <v>16</v>
      </c>
      <c r="N1044" s="1" t="s">
        <v>16</v>
      </c>
      <c r="O1044" s="1" t="s">
        <v>9956</v>
      </c>
      <c r="P1044" s="1" t="s">
        <v>16</v>
      </c>
      <c r="Q1044" s="1">
        <v>100</v>
      </c>
      <c r="R1044" s="1">
        <v>75000</v>
      </c>
      <c r="S1044" s="1">
        <v>75000</v>
      </c>
    </row>
    <row r="1045" spans="1:19" ht="12.5" x14ac:dyDescent="0.25">
      <c r="A1045" s="1">
        <v>858</v>
      </c>
      <c r="B1045" s="1" t="s">
        <v>3091</v>
      </c>
      <c r="C1045" s="1" t="s">
        <v>35</v>
      </c>
      <c r="D1045" s="1" t="s">
        <v>152</v>
      </c>
      <c r="E1045" s="1">
        <v>807</v>
      </c>
      <c r="F1045" s="1" t="s">
        <v>3093</v>
      </c>
      <c r="G1045" s="1" t="s">
        <v>3094</v>
      </c>
      <c r="H1045" s="1" t="s">
        <v>16</v>
      </c>
      <c r="I1045" s="1" t="s">
        <v>29</v>
      </c>
      <c r="J1045" s="1" t="s">
        <v>3095</v>
      </c>
      <c r="K1045" s="1" t="b">
        <v>0</v>
      </c>
      <c r="L1045" s="1" t="s">
        <v>22</v>
      </c>
      <c r="M1045" s="1" t="s">
        <v>16</v>
      </c>
      <c r="N1045" s="1" t="s">
        <v>16</v>
      </c>
      <c r="O1045" s="1" t="s">
        <v>9956</v>
      </c>
      <c r="P1045" s="1" t="s">
        <v>16</v>
      </c>
      <c r="Q1045" s="1">
        <v>100</v>
      </c>
      <c r="R1045" s="1">
        <v>75000</v>
      </c>
      <c r="S1045" s="1">
        <v>75000</v>
      </c>
    </row>
    <row r="1046" spans="1:19" ht="12.5" x14ac:dyDescent="0.25">
      <c r="A1046" s="1">
        <v>867</v>
      </c>
      <c r="B1046" s="1" t="s">
        <v>828</v>
      </c>
      <c r="C1046" s="1" t="s">
        <v>35</v>
      </c>
      <c r="D1046" s="1" t="s">
        <v>152</v>
      </c>
      <c r="E1046" s="1">
        <v>808</v>
      </c>
      <c r="F1046" s="1" t="s">
        <v>3096</v>
      </c>
      <c r="G1046" s="1" t="s">
        <v>3097</v>
      </c>
      <c r="H1046" s="1" t="s">
        <v>16</v>
      </c>
      <c r="I1046" s="1" t="s">
        <v>20</v>
      </c>
      <c r="J1046" s="1" t="s">
        <v>16</v>
      </c>
      <c r="K1046" s="1" t="b">
        <v>0</v>
      </c>
      <c r="L1046" s="1" t="s">
        <v>22</v>
      </c>
      <c r="M1046" s="1" t="s">
        <v>16</v>
      </c>
      <c r="N1046" s="1" t="s">
        <v>16</v>
      </c>
      <c r="O1046" s="1" t="s">
        <v>9956</v>
      </c>
      <c r="P1046" s="1" t="s">
        <v>16</v>
      </c>
      <c r="Q1046" s="1">
        <v>100</v>
      </c>
      <c r="R1046" s="1">
        <v>0</v>
      </c>
      <c r="S1046" s="1">
        <v>0</v>
      </c>
    </row>
    <row r="1047" spans="1:19" ht="12.5" x14ac:dyDescent="0.25">
      <c r="A1047" s="1">
        <v>868</v>
      </c>
      <c r="B1047" s="1" t="s">
        <v>3098</v>
      </c>
      <c r="C1047" s="1" t="s">
        <v>35</v>
      </c>
      <c r="D1047" s="1" t="s">
        <v>152</v>
      </c>
      <c r="E1047" s="1">
        <v>809</v>
      </c>
      <c r="F1047" s="1" t="s">
        <v>3100</v>
      </c>
      <c r="G1047" s="1" t="s">
        <v>3101</v>
      </c>
      <c r="H1047" s="1" t="s">
        <v>16</v>
      </c>
      <c r="I1047" s="1" t="s">
        <v>29</v>
      </c>
      <c r="J1047" s="1" t="s">
        <v>3102</v>
      </c>
      <c r="K1047" s="1" t="b">
        <v>1</v>
      </c>
      <c r="L1047" s="1" t="s">
        <v>31</v>
      </c>
      <c r="M1047" s="1" t="s">
        <v>16</v>
      </c>
      <c r="N1047" s="1" t="s">
        <v>16</v>
      </c>
      <c r="O1047" s="1" t="s">
        <v>9956</v>
      </c>
      <c r="P1047" s="1" t="s">
        <v>16</v>
      </c>
      <c r="Q1047" s="1">
        <v>100</v>
      </c>
      <c r="R1047" s="1">
        <v>33341</v>
      </c>
      <c r="S1047" s="1">
        <v>33341</v>
      </c>
    </row>
    <row r="1048" spans="1:19" ht="12.5" x14ac:dyDescent="0.25">
      <c r="A1048" s="1">
        <v>871</v>
      </c>
      <c r="B1048" s="1" t="s">
        <v>3103</v>
      </c>
      <c r="C1048" s="1" t="s">
        <v>35</v>
      </c>
      <c r="D1048" s="1" t="s">
        <v>152</v>
      </c>
      <c r="E1048" s="1">
        <v>810</v>
      </c>
      <c r="F1048" s="1" t="s">
        <v>3105</v>
      </c>
      <c r="G1048" s="1" t="s">
        <v>3106</v>
      </c>
      <c r="H1048" s="1" t="s">
        <v>16</v>
      </c>
      <c r="I1048" s="1" t="s">
        <v>29</v>
      </c>
      <c r="J1048" s="1" t="s">
        <v>3107</v>
      </c>
      <c r="K1048" s="1" t="b">
        <v>0</v>
      </c>
      <c r="L1048" s="1" t="s">
        <v>22</v>
      </c>
      <c r="M1048" s="1" t="s">
        <v>16</v>
      </c>
      <c r="N1048" s="1" t="s">
        <v>16</v>
      </c>
      <c r="O1048" s="1" t="s">
        <v>16</v>
      </c>
      <c r="P1048" s="1" t="s">
        <v>16</v>
      </c>
      <c r="Q1048" s="1">
        <v>100</v>
      </c>
    </row>
    <row r="1049" spans="1:19" ht="12.5" x14ac:dyDescent="0.25">
      <c r="A1049" s="1">
        <v>872</v>
      </c>
      <c r="B1049" s="1" t="s">
        <v>3108</v>
      </c>
      <c r="C1049" s="1" t="s">
        <v>35</v>
      </c>
      <c r="D1049" s="1" t="s">
        <v>152</v>
      </c>
      <c r="E1049" s="1">
        <v>811</v>
      </c>
      <c r="F1049" s="1" t="s">
        <v>3110</v>
      </c>
      <c r="G1049" s="1" t="s">
        <v>3111</v>
      </c>
      <c r="H1049" s="1" t="s">
        <v>16</v>
      </c>
      <c r="I1049" s="1" t="s">
        <v>29</v>
      </c>
      <c r="J1049" s="1" t="s">
        <v>3112</v>
      </c>
      <c r="K1049" s="1" t="b">
        <v>0</v>
      </c>
      <c r="L1049" s="1" t="s">
        <v>22</v>
      </c>
      <c r="M1049" s="1" t="s">
        <v>16</v>
      </c>
      <c r="N1049" s="1" t="s">
        <v>16</v>
      </c>
      <c r="O1049" s="1" t="s">
        <v>9956</v>
      </c>
      <c r="P1049" s="1" t="s">
        <v>16</v>
      </c>
      <c r="Q1049" s="1">
        <v>100</v>
      </c>
      <c r="R1049" s="1">
        <v>100000</v>
      </c>
      <c r="S1049" s="1">
        <v>100000</v>
      </c>
    </row>
    <row r="1050" spans="1:19" ht="12.5" x14ac:dyDescent="0.25">
      <c r="A1050" s="1">
        <v>875</v>
      </c>
      <c r="B1050" s="1" t="s">
        <v>3113</v>
      </c>
      <c r="C1050" s="1" t="s">
        <v>35</v>
      </c>
      <c r="D1050" s="1" t="s">
        <v>152</v>
      </c>
      <c r="E1050" s="1">
        <v>812</v>
      </c>
      <c r="F1050" s="1" t="s">
        <v>3115</v>
      </c>
      <c r="G1050" s="1" t="s">
        <v>3116</v>
      </c>
      <c r="H1050" s="1" t="s">
        <v>3117</v>
      </c>
      <c r="I1050" s="1" t="s">
        <v>29</v>
      </c>
      <c r="J1050" s="1" t="s">
        <v>3118</v>
      </c>
      <c r="K1050" s="1" t="b">
        <v>1</v>
      </c>
      <c r="L1050" s="1" t="s">
        <v>31</v>
      </c>
      <c r="M1050" s="1">
        <v>2021</v>
      </c>
      <c r="N1050" s="1" t="s">
        <v>52</v>
      </c>
      <c r="O1050" s="1" t="s">
        <v>9940</v>
      </c>
      <c r="P1050" s="1" t="s">
        <v>3094</v>
      </c>
      <c r="Q1050" s="1">
        <v>100</v>
      </c>
      <c r="R1050" s="1">
        <v>33527.19</v>
      </c>
      <c r="S1050" s="1">
        <v>33527.19</v>
      </c>
    </row>
    <row r="1051" spans="1:19" ht="12.5" x14ac:dyDescent="0.25">
      <c r="A1051" s="1">
        <v>877</v>
      </c>
      <c r="B1051" s="1" t="s">
        <v>3119</v>
      </c>
      <c r="C1051" s="1" t="s">
        <v>35</v>
      </c>
      <c r="D1051" s="1" t="s">
        <v>152</v>
      </c>
      <c r="E1051" s="1">
        <v>813</v>
      </c>
      <c r="F1051" s="1" t="s">
        <v>3121</v>
      </c>
      <c r="G1051" s="1" t="s">
        <v>3122</v>
      </c>
      <c r="H1051" s="1" t="s">
        <v>16</v>
      </c>
      <c r="I1051" s="1" t="s">
        <v>29</v>
      </c>
      <c r="J1051" s="1" t="s">
        <v>3123</v>
      </c>
      <c r="K1051" s="1" t="b">
        <v>0</v>
      </c>
      <c r="L1051" s="1" t="s">
        <v>22</v>
      </c>
      <c r="M1051" s="1">
        <v>2023</v>
      </c>
      <c r="N1051" s="1" t="s">
        <v>23</v>
      </c>
      <c r="O1051" s="1" t="s">
        <v>9956</v>
      </c>
      <c r="P1051" s="1" t="s">
        <v>16</v>
      </c>
      <c r="Q1051" s="1">
        <v>100</v>
      </c>
      <c r="R1051" s="1">
        <v>55000</v>
      </c>
      <c r="S1051" s="1">
        <v>55000</v>
      </c>
    </row>
    <row r="1052" spans="1:19" ht="12.5" x14ac:dyDescent="0.25">
      <c r="A1052" s="1">
        <v>879</v>
      </c>
      <c r="B1052" s="1" t="s">
        <v>3124</v>
      </c>
      <c r="C1052" s="1" t="s">
        <v>35</v>
      </c>
      <c r="D1052" s="1" t="s">
        <v>152</v>
      </c>
      <c r="E1052" s="1">
        <v>814</v>
      </c>
      <c r="F1052" s="1" t="s">
        <v>3125</v>
      </c>
      <c r="G1052" s="1" t="s">
        <v>3126</v>
      </c>
      <c r="H1052" s="1" t="s">
        <v>16</v>
      </c>
      <c r="I1052" s="1" t="s">
        <v>29</v>
      </c>
      <c r="J1052" s="1" t="s">
        <v>3127</v>
      </c>
      <c r="K1052" s="1" t="b">
        <v>0</v>
      </c>
      <c r="L1052" s="1" t="s">
        <v>22</v>
      </c>
      <c r="M1052" s="1">
        <v>2023</v>
      </c>
      <c r="N1052" s="1" t="s">
        <v>32</v>
      </c>
      <c r="O1052" s="1" t="s">
        <v>9956</v>
      </c>
      <c r="P1052" s="1" t="s">
        <v>9984</v>
      </c>
      <c r="Q1052" s="1">
        <v>100</v>
      </c>
      <c r="R1052" s="1">
        <v>300000</v>
      </c>
      <c r="S1052" s="1">
        <v>300000</v>
      </c>
    </row>
    <row r="1053" spans="1:19" ht="12.5" x14ac:dyDescent="0.25">
      <c r="A1053" s="1">
        <v>881</v>
      </c>
      <c r="B1053" s="1" t="s">
        <v>3128</v>
      </c>
      <c r="C1053" s="1" t="s">
        <v>35</v>
      </c>
      <c r="D1053" s="1" t="s">
        <v>152</v>
      </c>
      <c r="E1053" s="1">
        <v>815</v>
      </c>
      <c r="F1053" s="1" t="s">
        <v>3130</v>
      </c>
      <c r="G1053" s="1" t="s">
        <v>3131</v>
      </c>
      <c r="H1053" s="1" t="s">
        <v>3132</v>
      </c>
      <c r="I1053" s="1" t="s">
        <v>29</v>
      </c>
      <c r="J1053" s="1" t="s">
        <v>16</v>
      </c>
      <c r="K1053" s="1" t="b">
        <v>0</v>
      </c>
      <c r="L1053" s="1" t="s">
        <v>22</v>
      </c>
      <c r="M1053" s="1" t="s">
        <v>16</v>
      </c>
      <c r="N1053" s="1" t="s">
        <v>16</v>
      </c>
      <c r="O1053" s="1" t="s">
        <v>9956</v>
      </c>
      <c r="P1053" s="1" t="s">
        <v>16</v>
      </c>
      <c r="Q1053" s="1">
        <v>100</v>
      </c>
      <c r="R1053" s="1">
        <v>0</v>
      </c>
      <c r="S1053" s="1">
        <v>0</v>
      </c>
    </row>
    <row r="1054" spans="1:19" ht="12.5" x14ac:dyDescent="0.25">
      <c r="A1054" s="1">
        <v>882</v>
      </c>
      <c r="B1054" s="1" t="s">
        <v>3133</v>
      </c>
      <c r="C1054" s="1" t="s">
        <v>35</v>
      </c>
      <c r="D1054" s="1" t="s">
        <v>152</v>
      </c>
      <c r="E1054" s="1">
        <v>816</v>
      </c>
      <c r="F1054" s="1" t="s">
        <v>3135</v>
      </c>
      <c r="G1054" s="1" t="s">
        <v>3136</v>
      </c>
      <c r="H1054" s="1" t="s">
        <v>16</v>
      </c>
      <c r="I1054" s="1" t="s">
        <v>29</v>
      </c>
      <c r="J1054" s="1" t="s">
        <v>3137</v>
      </c>
      <c r="K1054" s="1" t="b">
        <v>0</v>
      </c>
      <c r="L1054" s="1" t="s">
        <v>22</v>
      </c>
      <c r="M1054" s="1" t="s">
        <v>16</v>
      </c>
      <c r="N1054" s="1" t="s">
        <v>16</v>
      </c>
      <c r="O1054" s="1" t="s">
        <v>9956</v>
      </c>
      <c r="P1054" s="1" t="s">
        <v>16</v>
      </c>
      <c r="Q1054" s="1">
        <v>100</v>
      </c>
      <c r="R1054" s="1">
        <v>1000</v>
      </c>
      <c r="S1054" s="1">
        <v>1000</v>
      </c>
    </row>
    <row r="1055" spans="1:19" ht="12.5" x14ac:dyDescent="0.25">
      <c r="A1055" s="1">
        <v>884</v>
      </c>
      <c r="B1055" s="1" t="s">
        <v>3138</v>
      </c>
      <c r="C1055" s="1" t="s">
        <v>35</v>
      </c>
      <c r="D1055" s="1" t="s">
        <v>152</v>
      </c>
      <c r="E1055" s="1">
        <v>817</v>
      </c>
      <c r="F1055" s="1" t="s">
        <v>3140</v>
      </c>
      <c r="G1055" s="1" t="s">
        <v>3141</v>
      </c>
      <c r="H1055" s="1" t="s">
        <v>3094</v>
      </c>
      <c r="I1055" s="1" t="s">
        <v>29</v>
      </c>
      <c r="J1055" s="1" t="s">
        <v>3142</v>
      </c>
      <c r="K1055" s="1" t="b">
        <v>1</v>
      </c>
      <c r="L1055" s="1" t="s">
        <v>31</v>
      </c>
      <c r="M1055" s="1">
        <v>2021</v>
      </c>
      <c r="N1055" s="1" t="s">
        <v>52</v>
      </c>
      <c r="O1055" s="1" t="s">
        <v>9940</v>
      </c>
      <c r="P1055" s="1" t="s">
        <v>3094</v>
      </c>
      <c r="Q1055" s="1">
        <v>100</v>
      </c>
      <c r="R1055" s="1">
        <v>26235.96</v>
      </c>
      <c r="S1055" s="1">
        <v>26235.96</v>
      </c>
    </row>
    <row r="1056" spans="1:19" ht="12.5" x14ac:dyDescent="0.25">
      <c r="A1056" s="1">
        <v>885</v>
      </c>
      <c r="B1056" s="1" t="s">
        <v>3143</v>
      </c>
      <c r="C1056" s="1" t="s">
        <v>35</v>
      </c>
      <c r="D1056" s="1" t="s">
        <v>152</v>
      </c>
      <c r="E1056" s="1">
        <v>818</v>
      </c>
      <c r="F1056" s="1" t="s">
        <v>3145</v>
      </c>
      <c r="G1056" s="1" t="s">
        <v>3146</v>
      </c>
      <c r="H1056" s="1" t="s">
        <v>16</v>
      </c>
      <c r="I1056" s="1" t="s">
        <v>29</v>
      </c>
      <c r="J1056" s="1" t="s">
        <v>3147</v>
      </c>
      <c r="K1056" s="1" t="b">
        <v>0</v>
      </c>
      <c r="L1056" s="1" t="s">
        <v>22</v>
      </c>
      <c r="M1056" s="1">
        <v>2022</v>
      </c>
      <c r="N1056" s="1" t="s">
        <v>45</v>
      </c>
      <c r="O1056" s="1" t="s">
        <v>9935</v>
      </c>
      <c r="P1056" s="1" t="s">
        <v>16</v>
      </c>
      <c r="Q1056" s="1">
        <v>100</v>
      </c>
      <c r="R1056" s="1">
        <v>50000</v>
      </c>
      <c r="S1056" s="1">
        <v>50000</v>
      </c>
    </row>
    <row r="1057" spans="1:19" ht="12.5" x14ac:dyDescent="0.25">
      <c r="A1057" s="1">
        <v>888</v>
      </c>
      <c r="B1057" s="1" t="s">
        <v>3148</v>
      </c>
      <c r="C1057" s="1" t="s">
        <v>35</v>
      </c>
      <c r="D1057" s="1" t="s">
        <v>152</v>
      </c>
      <c r="E1057" s="1">
        <v>819</v>
      </c>
      <c r="F1057" s="1" t="s">
        <v>3150</v>
      </c>
      <c r="G1057" s="1" t="s">
        <v>3151</v>
      </c>
      <c r="H1057" s="1" t="s">
        <v>3152</v>
      </c>
      <c r="I1057" s="1" t="s">
        <v>29</v>
      </c>
      <c r="J1057" s="1" t="s">
        <v>3153</v>
      </c>
      <c r="K1057" s="1" t="b">
        <v>0</v>
      </c>
      <c r="L1057" s="1" t="s">
        <v>22</v>
      </c>
      <c r="M1057" s="1">
        <v>2022</v>
      </c>
      <c r="N1057" s="1" t="s">
        <v>52</v>
      </c>
      <c r="O1057" s="1" t="s">
        <v>9956</v>
      </c>
      <c r="P1057" s="1" t="s">
        <v>16</v>
      </c>
      <c r="Q1057" s="1">
        <v>100</v>
      </c>
      <c r="R1057" s="1">
        <v>71330</v>
      </c>
      <c r="S1057" s="1">
        <v>71330</v>
      </c>
    </row>
    <row r="1058" spans="1:19" ht="12.5" x14ac:dyDescent="0.25">
      <c r="A1058" s="1">
        <v>889</v>
      </c>
      <c r="B1058" s="1" t="s">
        <v>3154</v>
      </c>
      <c r="C1058" s="1" t="s">
        <v>35</v>
      </c>
      <c r="D1058" s="1" t="s">
        <v>152</v>
      </c>
      <c r="E1058" s="1">
        <v>820</v>
      </c>
      <c r="F1058" s="1" t="s">
        <v>3156</v>
      </c>
      <c r="G1058" s="1" t="s">
        <v>3157</v>
      </c>
      <c r="H1058" s="1" t="s">
        <v>3158</v>
      </c>
      <c r="I1058" s="1" t="s">
        <v>29</v>
      </c>
      <c r="J1058" s="1" t="s">
        <v>3159</v>
      </c>
      <c r="K1058" s="1" t="b">
        <v>1</v>
      </c>
      <c r="L1058" s="1" t="s">
        <v>31</v>
      </c>
      <c r="M1058" s="1" t="s">
        <v>16</v>
      </c>
      <c r="N1058" s="1" t="s">
        <v>16</v>
      </c>
      <c r="O1058" s="1" t="s">
        <v>9956</v>
      </c>
      <c r="P1058" s="1" t="s">
        <v>16</v>
      </c>
      <c r="Q1058" s="1">
        <v>100</v>
      </c>
      <c r="R1058" s="1">
        <v>420</v>
      </c>
      <c r="S1058" s="1">
        <v>420</v>
      </c>
    </row>
    <row r="1059" spans="1:19" ht="12.5" x14ac:dyDescent="0.25">
      <c r="A1059" s="1">
        <v>891</v>
      </c>
      <c r="B1059" s="1" t="s">
        <v>3160</v>
      </c>
      <c r="C1059" s="1" t="s">
        <v>35</v>
      </c>
      <c r="D1059" s="1" t="s">
        <v>152</v>
      </c>
      <c r="E1059" s="1">
        <v>821</v>
      </c>
      <c r="F1059" s="1" t="s">
        <v>3162</v>
      </c>
      <c r="G1059" s="1" t="s">
        <v>3163</v>
      </c>
      <c r="H1059" s="1" t="s">
        <v>16</v>
      </c>
      <c r="I1059" s="1" t="s">
        <v>29</v>
      </c>
      <c r="J1059" s="1" t="s">
        <v>3164</v>
      </c>
      <c r="K1059" s="1" t="b">
        <v>0</v>
      </c>
      <c r="L1059" s="1" t="s">
        <v>22</v>
      </c>
      <c r="M1059" s="1">
        <v>2022</v>
      </c>
      <c r="N1059" s="1" t="s">
        <v>45</v>
      </c>
      <c r="O1059" s="1" t="s">
        <v>9956</v>
      </c>
      <c r="P1059" s="1" t="s">
        <v>16</v>
      </c>
      <c r="Q1059" s="1">
        <v>100</v>
      </c>
      <c r="R1059" s="1">
        <v>7500</v>
      </c>
      <c r="S1059" s="1">
        <v>7500</v>
      </c>
    </row>
    <row r="1060" spans="1:19" ht="12.5" x14ac:dyDescent="0.25">
      <c r="A1060" s="1">
        <v>892</v>
      </c>
      <c r="B1060" s="1" t="s">
        <v>3165</v>
      </c>
      <c r="C1060" s="1" t="s">
        <v>35</v>
      </c>
      <c r="D1060" s="1" t="s">
        <v>152</v>
      </c>
      <c r="E1060" s="1">
        <v>822</v>
      </c>
      <c r="F1060" s="1" t="s">
        <v>3167</v>
      </c>
      <c r="G1060" s="1" t="s">
        <v>3163</v>
      </c>
      <c r="H1060" s="1" t="s">
        <v>16</v>
      </c>
      <c r="I1060" s="1" t="s">
        <v>29</v>
      </c>
      <c r="J1060" s="1" t="s">
        <v>3168</v>
      </c>
      <c r="K1060" s="1" t="b">
        <v>0</v>
      </c>
      <c r="L1060" s="1" t="s">
        <v>22</v>
      </c>
      <c r="M1060" s="1" t="s">
        <v>16</v>
      </c>
      <c r="N1060" s="1" t="s">
        <v>16</v>
      </c>
      <c r="O1060" s="1" t="s">
        <v>9956</v>
      </c>
      <c r="P1060" s="1" t="s">
        <v>16</v>
      </c>
      <c r="Q1060" s="1">
        <v>100</v>
      </c>
      <c r="R1060" s="1">
        <v>0</v>
      </c>
      <c r="S1060" s="1">
        <v>0</v>
      </c>
    </row>
    <row r="1061" spans="1:19" ht="12.5" x14ac:dyDescent="0.25">
      <c r="A1061" s="1">
        <v>893</v>
      </c>
      <c r="B1061" s="1" t="s">
        <v>3169</v>
      </c>
      <c r="C1061" s="1" t="s">
        <v>35</v>
      </c>
      <c r="D1061" s="1" t="s">
        <v>152</v>
      </c>
      <c r="E1061" s="1">
        <v>823</v>
      </c>
      <c r="F1061" s="1" t="s">
        <v>3171</v>
      </c>
      <c r="G1061" s="1" t="s">
        <v>3172</v>
      </c>
      <c r="H1061" s="1" t="s">
        <v>16</v>
      </c>
      <c r="I1061" s="1" t="s">
        <v>29</v>
      </c>
      <c r="J1061" s="1" t="s">
        <v>3173</v>
      </c>
      <c r="K1061" s="1" t="b">
        <v>0</v>
      </c>
      <c r="L1061" s="1" t="s">
        <v>22</v>
      </c>
      <c r="M1061" s="1">
        <v>2022</v>
      </c>
      <c r="N1061" s="1" t="s">
        <v>45</v>
      </c>
      <c r="O1061" s="1" t="s">
        <v>9956</v>
      </c>
      <c r="P1061" s="1" t="s">
        <v>16</v>
      </c>
      <c r="Q1061" s="1">
        <v>100</v>
      </c>
      <c r="R1061" s="1">
        <v>7500</v>
      </c>
      <c r="S1061" s="1">
        <v>7500</v>
      </c>
    </row>
    <row r="1062" spans="1:19" ht="12.5" x14ac:dyDescent="0.25">
      <c r="A1062" s="1">
        <v>894</v>
      </c>
      <c r="B1062" s="1" t="s">
        <v>3174</v>
      </c>
      <c r="C1062" s="1" t="s">
        <v>35</v>
      </c>
      <c r="D1062" s="1" t="s">
        <v>152</v>
      </c>
      <c r="E1062" s="1">
        <v>824</v>
      </c>
      <c r="F1062" s="1" t="s">
        <v>3176</v>
      </c>
      <c r="G1062" s="1" t="s">
        <v>3177</v>
      </c>
      <c r="H1062" s="1" t="s">
        <v>3178</v>
      </c>
      <c r="I1062" s="1" t="s">
        <v>29</v>
      </c>
      <c r="J1062" s="1" t="s">
        <v>3179</v>
      </c>
      <c r="K1062" s="1" t="b">
        <v>0</v>
      </c>
      <c r="L1062" s="1" t="s">
        <v>22</v>
      </c>
      <c r="M1062" s="1">
        <v>2022</v>
      </c>
      <c r="N1062" s="1" t="s">
        <v>45</v>
      </c>
      <c r="O1062" s="1" t="s">
        <v>9935</v>
      </c>
      <c r="P1062" s="1" t="s">
        <v>16</v>
      </c>
      <c r="Q1062" s="1">
        <v>100</v>
      </c>
      <c r="R1062" s="1">
        <v>20000</v>
      </c>
      <c r="S1062" s="1">
        <v>20000</v>
      </c>
    </row>
    <row r="1063" spans="1:19" ht="12.5" x14ac:dyDescent="0.25">
      <c r="A1063" s="1">
        <v>896</v>
      </c>
      <c r="B1063" s="1" t="s">
        <v>3180</v>
      </c>
      <c r="C1063" s="1" t="s">
        <v>35</v>
      </c>
      <c r="D1063" s="1" t="s">
        <v>152</v>
      </c>
      <c r="E1063" s="1">
        <v>825</v>
      </c>
      <c r="F1063" s="1" t="s">
        <v>3182</v>
      </c>
      <c r="G1063" s="1" t="s">
        <v>3183</v>
      </c>
      <c r="H1063" s="1" t="s">
        <v>16</v>
      </c>
      <c r="I1063" s="1" t="s">
        <v>29</v>
      </c>
      <c r="J1063" s="1" t="s">
        <v>3184</v>
      </c>
      <c r="K1063" s="1" t="b">
        <v>0</v>
      </c>
      <c r="L1063" s="1" t="s">
        <v>22</v>
      </c>
      <c r="M1063" s="1">
        <v>2022</v>
      </c>
      <c r="N1063" s="1" t="s">
        <v>23</v>
      </c>
      <c r="O1063" s="1" t="s">
        <v>9956</v>
      </c>
      <c r="P1063" s="1" t="s">
        <v>16</v>
      </c>
      <c r="Q1063" s="1">
        <v>100</v>
      </c>
      <c r="R1063" s="1">
        <v>10000</v>
      </c>
      <c r="S1063" s="1">
        <v>10000</v>
      </c>
    </row>
    <row r="1064" spans="1:19" ht="12.5" x14ac:dyDescent="0.25">
      <c r="A1064" s="1">
        <v>897</v>
      </c>
      <c r="B1064" s="1" t="s">
        <v>3185</v>
      </c>
      <c r="C1064" s="1" t="s">
        <v>35</v>
      </c>
      <c r="D1064" s="1" t="s">
        <v>152</v>
      </c>
      <c r="E1064" s="1">
        <v>826</v>
      </c>
      <c r="F1064" s="1" t="s">
        <v>3187</v>
      </c>
      <c r="G1064" s="1" t="s">
        <v>3188</v>
      </c>
      <c r="H1064" s="1" t="s">
        <v>3189</v>
      </c>
      <c r="I1064" s="1" t="s">
        <v>29</v>
      </c>
      <c r="J1064" s="1" t="s">
        <v>3190</v>
      </c>
      <c r="K1064" s="1" t="b">
        <v>0</v>
      </c>
      <c r="L1064" s="1" t="s">
        <v>22</v>
      </c>
      <c r="M1064" s="1" t="s">
        <v>16</v>
      </c>
      <c r="N1064" s="1" t="s">
        <v>16</v>
      </c>
      <c r="O1064" s="1" t="s">
        <v>9956</v>
      </c>
      <c r="P1064" s="1" t="s">
        <v>16</v>
      </c>
      <c r="Q1064" s="1">
        <v>100</v>
      </c>
      <c r="R1064" s="1">
        <v>50000</v>
      </c>
      <c r="S1064" s="1">
        <v>50000</v>
      </c>
    </row>
    <row r="1065" spans="1:19" ht="12.5" x14ac:dyDescent="0.25">
      <c r="A1065" s="1">
        <v>898</v>
      </c>
      <c r="B1065" s="1" t="s">
        <v>3191</v>
      </c>
      <c r="C1065" s="1" t="s">
        <v>35</v>
      </c>
      <c r="D1065" s="1" t="s">
        <v>152</v>
      </c>
      <c r="E1065" s="1">
        <v>827</v>
      </c>
      <c r="F1065" s="1" t="s">
        <v>3193</v>
      </c>
      <c r="G1065" s="1" t="s">
        <v>3194</v>
      </c>
      <c r="H1065" s="1" t="s">
        <v>16</v>
      </c>
      <c r="I1065" s="1" t="s">
        <v>29</v>
      </c>
      <c r="J1065" s="1" t="s">
        <v>3195</v>
      </c>
      <c r="K1065" s="1" t="b">
        <v>1</v>
      </c>
      <c r="L1065" s="1" t="s">
        <v>31</v>
      </c>
      <c r="M1065" s="1" t="s">
        <v>16</v>
      </c>
      <c r="N1065" s="1" t="s">
        <v>16</v>
      </c>
      <c r="O1065" s="1" t="s">
        <v>9956</v>
      </c>
      <c r="P1065" s="1" t="s">
        <v>16</v>
      </c>
      <c r="Q1065" s="1">
        <v>100</v>
      </c>
      <c r="R1065" s="1">
        <v>230</v>
      </c>
      <c r="S1065" s="1">
        <v>230</v>
      </c>
    </row>
    <row r="1066" spans="1:19" ht="12.5" x14ac:dyDescent="0.25">
      <c r="A1066" s="1">
        <v>899</v>
      </c>
      <c r="B1066" s="1" t="s">
        <v>3196</v>
      </c>
      <c r="C1066" s="1" t="s">
        <v>35</v>
      </c>
      <c r="D1066" s="1" t="s">
        <v>152</v>
      </c>
      <c r="E1066" s="1">
        <v>828</v>
      </c>
      <c r="F1066" s="1" t="s">
        <v>3198</v>
      </c>
      <c r="G1066" s="1" t="s">
        <v>3199</v>
      </c>
      <c r="H1066" s="1" t="s">
        <v>3200</v>
      </c>
      <c r="I1066" s="1" t="s">
        <v>29</v>
      </c>
      <c r="J1066" s="1" t="s">
        <v>3201</v>
      </c>
      <c r="K1066" s="1" t="b">
        <v>1</v>
      </c>
      <c r="L1066" s="1" t="s">
        <v>31</v>
      </c>
      <c r="M1066" s="1" t="s">
        <v>16</v>
      </c>
      <c r="N1066" s="1" t="s">
        <v>16</v>
      </c>
      <c r="O1066" s="1" t="s">
        <v>9956</v>
      </c>
      <c r="P1066" s="1" t="s">
        <v>16</v>
      </c>
      <c r="Q1066" s="1">
        <v>100</v>
      </c>
      <c r="R1066" s="1">
        <v>18555</v>
      </c>
      <c r="S1066" s="1">
        <v>18555</v>
      </c>
    </row>
    <row r="1067" spans="1:19" ht="12.5" x14ac:dyDescent="0.25">
      <c r="A1067" s="1">
        <v>901</v>
      </c>
      <c r="B1067" s="1" t="s">
        <v>3202</v>
      </c>
      <c r="C1067" s="1" t="s">
        <v>35</v>
      </c>
      <c r="D1067" s="1" t="s">
        <v>152</v>
      </c>
      <c r="E1067" s="1">
        <v>829</v>
      </c>
      <c r="F1067" s="1" t="s">
        <v>3204</v>
      </c>
      <c r="G1067" s="1" t="s">
        <v>3205</v>
      </c>
      <c r="H1067" s="1" t="s">
        <v>3206</v>
      </c>
      <c r="I1067" s="1" t="s">
        <v>29</v>
      </c>
      <c r="J1067" s="1" t="s">
        <v>3207</v>
      </c>
      <c r="K1067" s="1" t="b">
        <v>0</v>
      </c>
      <c r="L1067" s="1" t="s">
        <v>22</v>
      </c>
      <c r="M1067" s="1">
        <v>2022</v>
      </c>
      <c r="N1067" s="1" t="s">
        <v>23</v>
      </c>
      <c r="O1067" s="1" t="s">
        <v>9940</v>
      </c>
      <c r="P1067" s="1" t="s">
        <v>16</v>
      </c>
      <c r="Q1067" s="1">
        <v>100</v>
      </c>
      <c r="R1067" s="1">
        <v>40000</v>
      </c>
      <c r="S1067" s="1">
        <v>40000</v>
      </c>
    </row>
    <row r="1068" spans="1:19" ht="12.5" x14ac:dyDescent="0.25">
      <c r="A1068" s="1">
        <v>901</v>
      </c>
      <c r="B1068" s="1" t="s">
        <v>3202</v>
      </c>
      <c r="C1068" s="1" t="s">
        <v>35</v>
      </c>
      <c r="D1068" s="1" t="s">
        <v>152</v>
      </c>
      <c r="E1068" s="1">
        <v>829</v>
      </c>
      <c r="F1068" s="1" t="s">
        <v>3204</v>
      </c>
      <c r="G1068" s="1" t="s">
        <v>3205</v>
      </c>
      <c r="H1068" s="1" t="s">
        <v>3206</v>
      </c>
      <c r="I1068" s="1" t="s">
        <v>29</v>
      </c>
      <c r="J1068" s="1" t="s">
        <v>3207</v>
      </c>
      <c r="K1068" s="1" t="b">
        <v>0</v>
      </c>
      <c r="L1068" s="1" t="s">
        <v>22</v>
      </c>
      <c r="M1068" s="1">
        <v>2022</v>
      </c>
      <c r="N1068" s="1" t="s">
        <v>52</v>
      </c>
      <c r="O1068" s="1" t="s">
        <v>9935</v>
      </c>
      <c r="P1068" s="1" t="s">
        <v>16</v>
      </c>
      <c r="Q1068" s="1">
        <v>100</v>
      </c>
      <c r="R1068" s="1">
        <v>130000</v>
      </c>
      <c r="S1068" s="1">
        <v>130000</v>
      </c>
    </row>
    <row r="1069" spans="1:19" ht="12.5" x14ac:dyDescent="0.25">
      <c r="A1069" s="1">
        <v>904</v>
      </c>
      <c r="B1069" s="1" t="s">
        <v>3208</v>
      </c>
      <c r="C1069" s="1" t="s">
        <v>35</v>
      </c>
      <c r="D1069" s="1" t="s">
        <v>152</v>
      </c>
      <c r="E1069" s="1">
        <v>830</v>
      </c>
      <c r="F1069" s="1" t="s">
        <v>3210</v>
      </c>
      <c r="G1069" s="1" t="s">
        <v>3211</v>
      </c>
      <c r="H1069" s="1" t="s">
        <v>3212</v>
      </c>
      <c r="I1069" s="1" t="s">
        <v>29</v>
      </c>
      <c r="J1069" s="1" t="s">
        <v>16</v>
      </c>
      <c r="K1069" s="1" t="b">
        <v>0</v>
      </c>
      <c r="L1069" s="1" t="s">
        <v>22</v>
      </c>
      <c r="M1069" s="1" t="s">
        <v>16</v>
      </c>
      <c r="N1069" s="1" t="s">
        <v>16</v>
      </c>
      <c r="O1069" s="1" t="s">
        <v>9956</v>
      </c>
      <c r="P1069" s="1" t="s">
        <v>16</v>
      </c>
      <c r="Q1069" s="1">
        <v>100</v>
      </c>
      <c r="R1069" s="1">
        <v>1500000</v>
      </c>
      <c r="S1069" s="1">
        <v>1500000</v>
      </c>
    </row>
    <row r="1070" spans="1:19" ht="12.5" x14ac:dyDescent="0.25">
      <c r="A1070" s="1">
        <v>905</v>
      </c>
      <c r="B1070" s="1" t="s">
        <v>3213</v>
      </c>
      <c r="C1070" s="1" t="s">
        <v>35</v>
      </c>
      <c r="D1070" s="1" t="s">
        <v>152</v>
      </c>
      <c r="E1070" s="1">
        <v>831</v>
      </c>
      <c r="F1070" s="1" t="s">
        <v>3214</v>
      </c>
      <c r="G1070" s="1" t="s">
        <v>3215</v>
      </c>
      <c r="H1070" s="1" t="s">
        <v>16</v>
      </c>
      <c r="I1070" s="1" t="s">
        <v>29</v>
      </c>
      <c r="J1070" s="1" t="s">
        <v>3216</v>
      </c>
      <c r="K1070" s="1" t="b">
        <v>0</v>
      </c>
      <c r="L1070" s="1" t="s">
        <v>22</v>
      </c>
      <c r="M1070" s="1" t="s">
        <v>16</v>
      </c>
      <c r="N1070" s="1" t="s">
        <v>16</v>
      </c>
      <c r="O1070" s="1" t="s">
        <v>9956</v>
      </c>
      <c r="P1070" s="1" t="s">
        <v>16</v>
      </c>
      <c r="Q1070" s="1">
        <v>100</v>
      </c>
      <c r="R1070" s="1">
        <v>1000</v>
      </c>
      <c r="S1070" s="1">
        <v>1000</v>
      </c>
    </row>
    <row r="1071" spans="1:19" ht="12.5" x14ac:dyDescent="0.25">
      <c r="A1071" s="1">
        <v>906</v>
      </c>
      <c r="B1071" s="1" t="s">
        <v>3217</v>
      </c>
      <c r="C1071" s="1" t="s">
        <v>35</v>
      </c>
      <c r="D1071" s="1" t="s">
        <v>152</v>
      </c>
      <c r="E1071" s="1">
        <v>832</v>
      </c>
      <c r="F1071" s="1" t="s">
        <v>3218</v>
      </c>
      <c r="G1071" s="1" t="s">
        <v>3219</v>
      </c>
      <c r="H1071" s="1" t="s">
        <v>3220</v>
      </c>
      <c r="I1071" s="1" t="s">
        <v>29</v>
      </c>
      <c r="J1071" s="1" t="s">
        <v>16</v>
      </c>
      <c r="K1071" s="1" t="b">
        <v>0</v>
      </c>
      <c r="L1071" s="1" t="s">
        <v>22</v>
      </c>
      <c r="M1071" s="1" t="s">
        <v>16</v>
      </c>
      <c r="N1071" s="1" t="s">
        <v>16</v>
      </c>
      <c r="O1071" s="1" t="s">
        <v>9956</v>
      </c>
      <c r="P1071" s="1" t="s">
        <v>16</v>
      </c>
      <c r="Q1071" s="1">
        <v>100</v>
      </c>
      <c r="R1071" s="1">
        <v>35000</v>
      </c>
      <c r="S1071" s="1">
        <v>35000</v>
      </c>
    </row>
    <row r="1072" spans="1:19" ht="12.5" x14ac:dyDescent="0.25">
      <c r="A1072" s="1">
        <v>907</v>
      </c>
      <c r="B1072" s="1" t="s">
        <v>3221</v>
      </c>
      <c r="C1072" s="1" t="s">
        <v>35</v>
      </c>
      <c r="D1072" s="1" t="s">
        <v>152</v>
      </c>
      <c r="E1072" s="1">
        <v>833</v>
      </c>
      <c r="F1072" s="1" t="s">
        <v>3223</v>
      </c>
      <c r="G1072" s="1" t="s">
        <v>3224</v>
      </c>
      <c r="H1072" s="1" t="s">
        <v>16</v>
      </c>
      <c r="I1072" s="1" t="s">
        <v>29</v>
      </c>
      <c r="J1072" s="1" t="s">
        <v>3225</v>
      </c>
      <c r="K1072" s="1" t="b">
        <v>0</v>
      </c>
      <c r="L1072" s="1" t="s">
        <v>22</v>
      </c>
      <c r="M1072" s="1" t="s">
        <v>16</v>
      </c>
      <c r="N1072" s="1" t="s">
        <v>16</v>
      </c>
      <c r="O1072" s="1" t="s">
        <v>9956</v>
      </c>
      <c r="P1072" s="1" t="s">
        <v>16</v>
      </c>
      <c r="Q1072" s="1">
        <v>100</v>
      </c>
      <c r="R1072" s="1">
        <v>297500</v>
      </c>
      <c r="S1072" s="1">
        <v>297500</v>
      </c>
    </row>
    <row r="1073" spans="1:19" ht="12.5" x14ac:dyDescent="0.25">
      <c r="A1073" s="1">
        <v>908</v>
      </c>
      <c r="B1073" s="1" t="s">
        <v>3226</v>
      </c>
      <c r="C1073" s="1" t="s">
        <v>35</v>
      </c>
      <c r="D1073" s="1" t="s">
        <v>152</v>
      </c>
      <c r="E1073" s="1">
        <v>834</v>
      </c>
      <c r="F1073" s="1" t="s">
        <v>3227</v>
      </c>
      <c r="G1073" s="1" t="s">
        <v>3228</v>
      </c>
      <c r="H1073" s="1" t="s">
        <v>16</v>
      </c>
      <c r="I1073" s="1" t="s">
        <v>29</v>
      </c>
      <c r="J1073" s="1" t="s">
        <v>3229</v>
      </c>
      <c r="K1073" s="1" t="b">
        <v>0</v>
      </c>
      <c r="L1073" s="1" t="s">
        <v>22</v>
      </c>
      <c r="M1073" s="1" t="s">
        <v>16</v>
      </c>
      <c r="N1073" s="1" t="s">
        <v>16</v>
      </c>
      <c r="O1073" s="1" t="s">
        <v>9956</v>
      </c>
      <c r="P1073" s="1" t="s">
        <v>16</v>
      </c>
      <c r="Q1073" s="1">
        <v>100</v>
      </c>
      <c r="R1073" s="1">
        <v>35000</v>
      </c>
      <c r="S1073" s="1">
        <v>35000</v>
      </c>
    </row>
    <row r="1074" spans="1:19" ht="12.5" x14ac:dyDescent="0.25">
      <c r="A1074" s="1">
        <v>909</v>
      </c>
      <c r="B1074" s="1" t="s">
        <v>3230</v>
      </c>
      <c r="C1074" s="1" t="s">
        <v>35</v>
      </c>
      <c r="D1074" s="1" t="s">
        <v>152</v>
      </c>
      <c r="E1074" s="1">
        <v>835</v>
      </c>
      <c r="F1074" s="1" t="s">
        <v>3231</v>
      </c>
      <c r="G1074" s="1" t="s">
        <v>3232</v>
      </c>
      <c r="H1074" s="1" t="s">
        <v>16</v>
      </c>
      <c r="I1074" s="1" t="s">
        <v>29</v>
      </c>
      <c r="J1074" s="1" t="s">
        <v>3233</v>
      </c>
      <c r="K1074" s="1" t="b">
        <v>0</v>
      </c>
      <c r="L1074" s="1" t="s">
        <v>22</v>
      </c>
      <c r="M1074" s="1" t="s">
        <v>16</v>
      </c>
      <c r="N1074" s="1" t="s">
        <v>16</v>
      </c>
      <c r="O1074" s="1" t="s">
        <v>9956</v>
      </c>
      <c r="P1074" s="1" t="s">
        <v>16</v>
      </c>
      <c r="Q1074" s="1">
        <v>100</v>
      </c>
      <c r="R1074" s="1">
        <v>75000</v>
      </c>
      <c r="S1074" s="1">
        <v>75000</v>
      </c>
    </row>
    <row r="1075" spans="1:19" ht="12.5" x14ac:dyDescent="0.25">
      <c r="A1075" s="1" t="s">
        <v>16</v>
      </c>
      <c r="B1075" s="1" t="s">
        <v>16</v>
      </c>
      <c r="C1075" s="1" t="s">
        <v>16</v>
      </c>
      <c r="D1075" s="1" t="s">
        <v>16</v>
      </c>
      <c r="E1075" s="1">
        <v>836</v>
      </c>
      <c r="F1075" s="1" t="s">
        <v>3234</v>
      </c>
      <c r="G1075" s="1" t="s">
        <v>3235</v>
      </c>
      <c r="H1075" s="1" t="s">
        <v>16</v>
      </c>
      <c r="I1075" s="1" t="s">
        <v>29</v>
      </c>
      <c r="J1075" s="1" t="s">
        <v>16</v>
      </c>
      <c r="K1075" s="1" t="b">
        <v>0</v>
      </c>
      <c r="L1075" s="1" t="s">
        <v>22</v>
      </c>
      <c r="M1075" s="1" t="s">
        <v>16</v>
      </c>
      <c r="N1075" s="1" t="s">
        <v>16</v>
      </c>
      <c r="O1075" s="1" t="s">
        <v>9956</v>
      </c>
      <c r="P1075" s="1" t="s">
        <v>16</v>
      </c>
      <c r="R1075" s="1">
        <v>0</v>
      </c>
    </row>
    <row r="1076" spans="1:19" ht="12.5" x14ac:dyDescent="0.25">
      <c r="A1076" s="1">
        <v>916</v>
      </c>
      <c r="B1076" s="1" t="s">
        <v>3236</v>
      </c>
      <c r="C1076" s="1" t="s">
        <v>35</v>
      </c>
      <c r="D1076" s="1" t="s">
        <v>152</v>
      </c>
      <c r="E1076" s="1">
        <v>837</v>
      </c>
      <c r="F1076" s="1" t="s">
        <v>3238</v>
      </c>
      <c r="G1076" s="1" t="s">
        <v>3239</v>
      </c>
      <c r="H1076" s="1" t="s">
        <v>16</v>
      </c>
      <c r="I1076" s="1" t="s">
        <v>29</v>
      </c>
      <c r="J1076" s="1" t="s">
        <v>3240</v>
      </c>
      <c r="K1076" s="1" t="b">
        <v>0</v>
      </c>
      <c r="L1076" s="1" t="s">
        <v>22</v>
      </c>
      <c r="M1076" s="1">
        <v>2022</v>
      </c>
      <c r="N1076" s="1" t="s">
        <v>45</v>
      </c>
      <c r="O1076" s="1" t="s">
        <v>9935</v>
      </c>
      <c r="P1076" s="1" t="s">
        <v>16</v>
      </c>
      <c r="Q1076" s="1">
        <v>100</v>
      </c>
      <c r="R1076" s="1">
        <v>150000</v>
      </c>
      <c r="S1076" s="1">
        <v>150000</v>
      </c>
    </row>
    <row r="1077" spans="1:19" ht="12.5" x14ac:dyDescent="0.25">
      <c r="A1077" s="1">
        <v>917</v>
      </c>
      <c r="B1077" s="1" t="s">
        <v>3241</v>
      </c>
      <c r="C1077" s="1" t="s">
        <v>35</v>
      </c>
      <c r="D1077" s="1" t="s">
        <v>152</v>
      </c>
      <c r="E1077" s="1">
        <v>838</v>
      </c>
      <c r="F1077" s="1" t="s">
        <v>3243</v>
      </c>
      <c r="G1077" s="1" t="s">
        <v>3244</v>
      </c>
      <c r="H1077" s="1" t="s">
        <v>16</v>
      </c>
      <c r="I1077" s="1" t="s">
        <v>29</v>
      </c>
      <c r="J1077" s="1" t="s">
        <v>3245</v>
      </c>
      <c r="K1077" s="1" t="b">
        <v>0</v>
      </c>
      <c r="L1077" s="1" t="s">
        <v>22</v>
      </c>
      <c r="M1077" s="1" t="s">
        <v>16</v>
      </c>
      <c r="N1077" s="1" t="s">
        <v>16</v>
      </c>
      <c r="O1077" s="1" t="s">
        <v>9956</v>
      </c>
      <c r="P1077" s="1" t="s">
        <v>16</v>
      </c>
      <c r="Q1077" s="1">
        <v>100</v>
      </c>
      <c r="R1077" s="1">
        <v>0</v>
      </c>
      <c r="S1077" s="1">
        <v>0</v>
      </c>
    </row>
    <row r="1078" spans="1:19" ht="12.5" x14ac:dyDescent="0.25">
      <c r="A1078" s="1">
        <v>918</v>
      </c>
      <c r="B1078" s="1" t="s">
        <v>3246</v>
      </c>
      <c r="C1078" s="1" t="s">
        <v>35</v>
      </c>
      <c r="D1078" s="1" t="s">
        <v>152</v>
      </c>
      <c r="E1078" s="1">
        <v>839</v>
      </c>
      <c r="F1078" s="1" t="s">
        <v>3248</v>
      </c>
      <c r="G1078" s="1" t="s">
        <v>3249</v>
      </c>
      <c r="H1078" s="1" t="s">
        <v>16</v>
      </c>
      <c r="I1078" s="1" t="s">
        <v>29</v>
      </c>
      <c r="J1078" s="1" t="s">
        <v>3250</v>
      </c>
      <c r="K1078" s="1" t="b">
        <v>0</v>
      </c>
      <c r="L1078" s="1" t="s">
        <v>22</v>
      </c>
      <c r="M1078" s="1" t="s">
        <v>16</v>
      </c>
      <c r="N1078" s="1" t="s">
        <v>16</v>
      </c>
      <c r="O1078" s="1" t="s">
        <v>9956</v>
      </c>
      <c r="P1078" s="1" t="s">
        <v>16</v>
      </c>
      <c r="Q1078" s="1">
        <v>100</v>
      </c>
      <c r="R1078" s="1">
        <v>2105</v>
      </c>
      <c r="S1078" s="1">
        <v>2105</v>
      </c>
    </row>
    <row r="1079" spans="1:19" ht="12.5" x14ac:dyDescent="0.25">
      <c r="A1079" s="1">
        <v>919</v>
      </c>
      <c r="B1079" s="1" t="s">
        <v>3251</v>
      </c>
      <c r="C1079" s="1" t="s">
        <v>35</v>
      </c>
      <c r="D1079" s="1" t="s">
        <v>152</v>
      </c>
      <c r="E1079" s="1">
        <v>840</v>
      </c>
      <c r="F1079" s="1" t="s">
        <v>3253</v>
      </c>
      <c r="G1079" s="1" t="s">
        <v>3254</v>
      </c>
      <c r="H1079" s="1" t="s">
        <v>3255</v>
      </c>
      <c r="I1079" s="1" t="s">
        <v>29</v>
      </c>
      <c r="J1079" s="1" t="s">
        <v>3256</v>
      </c>
      <c r="K1079" s="1" t="b">
        <v>0</v>
      </c>
      <c r="L1079" s="1" t="s">
        <v>22</v>
      </c>
      <c r="M1079" s="1">
        <v>2022</v>
      </c>
      <c r="N1079" s="1" t="s">
        <v>32</v>
      </c>
      <c r="O1079" s="1" t="s">
        <v>9956</v>
      </c>
      <c r="P1079" s="1" t="s">
        <v>16</v>
      </c>
      <c r="Q1079" s="1">
        <v>100</v>
      </c>
      <c r="R1079" s="1">
        <v>1</v>
      </c>
      <c r="S1079" s="1">
        <v>1</v>
      </c>
    </row>
    <row r="1080" spans="1:19" ht="12.5" x14ac:dyDescent="0.25">
      <c r="A1080" s="1">
        <v>920</v>
      </c>
      <c r="B1080" s="1" t="s">
        <v>3257</v>
      </c>
      <c r="C1080" s="1" t="s">
        <v>35</v>
      </c>
      <c r="D1080" s="1" t="s">
        <v>152</v>
      </c>
      <c r="E1080" s="1">
        <v>841</v>
      </c>
      <c r="F1080" s="1" t="s">
        <v>3259</v>
      </c>
      <c r="G1080" s="1" t="s">
        <v>3260</v>
      </c>
      <c r="H1080" s="1" t="s">
        <v>3261</v>
      </c>
      <c r="I1080" s="1" t="s">
        <v>29</v>
      </c>
      <c r="J1080" s="1" t="s">
        <v>3262</v>
      </c>
      <c r="K1080" s="1" t="b">
        <v>1</v>
      </c>
      <c r="L1080" s="1" t="s">
        <v>31</v>
      </c>
      <c r="M1080" s="1">
        <v>2022</v>
      </c>
      <c r="N1080" s="1" t="s">
        <v>23</v>
      </c>
      <c r="O1080" s="1" t="s">
        <v>9940</v>
      </c>
      <c r="P1080" s="1" t="s">
        <v>16</v>
      </c>
      <c r="Q1080" s="1">
        <v>100</v>
      </c>
      <c r="R1080" s="1">
        <v>40000</v>
      </c>
      <c r="S1080" s="1">
        <v>40000</v>
      </c>
    </row>
    <row r="1081" spans="1:19" ht="12.5" x14ac:dyDescent="0.25">
      <c r="A1081" s="1">
        <v>921</v>
      </c>
      <c r="B1081" s="1" t="s">
        <v>3263</v>
      </c>
      <c r="C1081" s="1" t="s">
        <v>35</v>
      </c>
      <c r="D1081" s="1" t="s">
        <v>152</v>
      </c>
      <c r="E1081" s="1">
        <v>842</v>
      </c>
      <c r="F1081" s="1" t="s">
        <v>3265</v>
      </c>
      <c r="G1081" s="1" t="s">
        <v>3266</v>
      </c>
      <c r="H1081" s="1" t="s">
        <v>3267</v>
      </c>
      <c r="I1081" s="1" t="s">
        <v>29</v>
      </c>
      <c r="J1081" s="1" t="s">
        <v>3268</v>
      </c>
      <c r="K1081" s="1" t="b">
        <v>1</v>
      </c>
      <c r="L1081" s="1" t="s">
        <v>31</v>
      </c>
      <c r="M1081" s="1">
        <v>2022</v>
      </c>
      <c r="N1081" s="1" t="s">
        <v>52</v>
      </c>
      <c r="O1081" s="1" t="s">
        <v>9935</v>
      </c>
      <c r="P1081" s="1" t="s">
        <v>16</v>
      </c>
      <c r="Q1081" s="1">
        <v>100</v>
      </c>
      <c r="R1081" s="1">
        <v>100000</v>
      </c>
      <c r="S1081" s="1">
        <v>100000</v>
      </c>
    </row>
    <row r="1082" spans="1:19" ht="12.5" x14ac:dyDescent="0.25">
      <c r="A1082" s="1">
        <v>924</v>
      </c>
      <c r="B1082" s="1" t="s">
        <v>3269</v>
      </c>
      <c r="C1082" s="1" t="s">
        <v>35</v>
      </c>
      <c r="D1082" s="1" t="s">
        <v>152</v>
      </c>
      <c r="E1082" s="1">
        <v>843</v>
      </c>
      <c r="F1082" s="1" t="s">
        <v>3271</v>
      </c>
      <c r="G1082" s="1" t="s">
        <v>3272</v>
      </c>
      <c r="H1082" s="1" t="s">
        <v>16</v>
      </c>
      <c r="I1082" s="1" t="s">
        <v>29</v>
      </c>
      <c r="J1082" s="1" t="s">
        <v>16</v>
      </c>
      <c r="K1082" s="1" t="b">
        <v>0</v>
      </c>
      <c r="L1082" s="1" t="s">
        <v>22</v>
      </c>
      <c r="M1082" s="1" t="s">
        <v>16</v>
      </c>
      <c r="N1082" s="1" t="s">
        <v>16</v>
      </c>
      <c r="O1082" s="1" t="s">
        <v>9956</v>
      </c>
      <c r="P1082" s="1" t="s">
        <v>16</v>
      </c>
      <c r="Q1082" s="1">
        <v>100</v>
      </c>
      <c r="R1082" s="1">
        <v>7500</v>
      </c>
      <c r="S1082" s="1">
        <v>7500</v>
      </c>
    </row>
    <row r="1083" spans="1:19" ht="12.5" x14ac:dyDescent="0.25">
      <c r="A1083" s="1">
        <v>925</v>
      </c>
      <c r="B1083" s="1" t="s">
        <v>3273</v>
      </c>
      <c r="C1083" s="1" t="s">
        <v>35</v>
      </c>
      <c r="D1083" s="1" t="s">
        <v>152</v>
      </c>
      <c r="E1083" s="1">
        <v>844</v>
      </c>
      <c r="F1083" s="1" t="s">
        <v>3275</v>
      </c>
      <c r="G1083" s="1" t="s">
        <v>3276</v>
      </c>
      <c r="H1083" s="1" t="s">
        <v>16</v>
      </c>
      <c r="I1083" s="1" t="s">
        <v>29</v>
      </c>
      <c r="J1083" s="1" t="s">
        <v>3277</v>
      </c>
      <c r="K1083" s="1" t="b">
        <v>0</v>
      </c>
      <c r="L1083" s="1" t="s">
        <v>22</v>
      </c>
      <c r="M1083" s="1">
        <v>2022</v>
      </c>
      <c r="N1083" s="1" t="s">
        <v>23</v>
      </c>
      <c r="O1083" s="1" t="s">
        <v>9940</v>
      </c>
      <c r="P1083" s="1" t="s">
        <v>16</v>
      </c>
      <c r="Q1083" s="1">
        <v>100</v>
      </c>
      <c r="R1083" s="1">
        <v>5000</v>
      </c>
      <c r="S1083" s="1">
        <v>5000</v>
      </c>
    </row>
    <row r="1084" spans="1:19" ht="12.5" x14ac:dyDescent="0.25">
      <c r="A1084" s="1">
        <v>925</v>
      </c>
      <c r="B1084" s="1" t="s">
        <v>3273</v>
      </c>
      <c r="C1084" s="1" t="s">
        <v>35</v>
      </c>
      <c r="D1084" s="1" t="s">
        <v>152</v>
      </c>
      <c r="E1084" s="1">
        <v>844</v>
      </c>
      <c r="F1084" s="1" t="s">
        <v>3275</v>
      </c>
      <c r="G1084" s="1" t="s">
        <v>3276</v>
      </c>
      <c r="H1084" s="1" t="s">
        <v>16</v>
      </c>
      <c r="I1084" s="1" t="s">
        <v>29</v>
      </c>
      <c r="J1084" s="1" t="s">
        <v>3277</v>
      </c>
      <c r="K1084" s="1" t="b">
        <v>0</v>
      </c>
      <c r="L1084" s="1" t="s">
        <v>22</v>
      </c>
      <c r="M1084" s="1">
        <v>2022</v>
      </c>
      <c r="N1084" s="1" t="s">
        <v>23</v>
      </c>
      <c r="O1084" s="1" t="s">
        <v>9935</v>
      </c>
      <c r="P1084" s="1" t="s">
        <v>16</v>
      </c>
      <c r="Q1084" s="1">
        <v>100</v>
      </c>
      <c r="R1084" s="1">
        <v>100000</v>
      </c>
      <c r="S1084" s="1">
        <v>100000</v>
      </c>
    </row>
    <row r="1085" spans="1:19" ht="12.5" x14ac:dyDescent="0.25">
      <c r="A1085" s="1">
        <v>927</v>
      </c>
      <c r="B1085" s="1" t="s">
        <v>3278</v>
      </c>
      <c r="C1085" s="1" t="s">
        <v>35</v>
      </c>
      <c r="D1085" s="1" t="s">
        <v>152</v>
      </c>
      <c r="E1085" s="1">
        <v>845</v>
      </c>
      <c r="F1085" s="1" t="s">
        <v>3280</v>
      </c>
      <c r="G1085" s="1" t="s">
        <v>3281</v>
      </c>
      <c r="H1085" s="1" t="s">
        <v>16</v>
      </c>
      <c r="I1085" s="1" t="s">
        <v>29</v>
      </c>
      <c r="J1085" s="1" t="s">
        <v>3282</v>
      </c>
      <c r="K1085" s="1" t="b">
        <v>0</v>
      </c>
      <c r="L1085" s="1" t="s">
        <v>22</v>
      </c>
      <c r="M1085" s="1" t="s">
        <v>16</v>
      </c>
      <c r="N1085" s="1" t="s">
        <v>16</v>
      </c>
      <c r="O1085" s="1" t="s">
        <v>9956</v>
      </c>
      <c r="P1085" s="1" t="s">
        <v>16</v>
      </c>
      <c r="Q1085" s="1">
        <v>100</v>
      </c>
      <c r="R1085" s="1">
        <v>35000</v>
      </c>
      <c r="S1085" s="1">
        <v>35000</v>
      </c>
    </row>
    <row r="1086" spans="1:19" ht="12.5" x14ac:dyDescent="0.25">
      <c r="A1086" s="1">
        <v>928</v>
      </c>
      <c r="B1086" s="1" t="s">
        <v>3283</v>
      </c>
      <c r="C1086" s="1" t="s">
        <v>35</v>
      </c>
      <c r="D1086" s="1" t="s">
        <v>152</v>
      </c>
      <c r="E1086" s="1">
        <v>846</v>
      </c>
      <c r="F1086" s="1" t="s">
        <v>3284</v>
      </c>
      <c r="G1086" s="1" t="s">
        <v>3285</v>
      </c>
      <c r="H1086" s="1" t="s">
        <v>3286</v>
      </c>
      <c r="I1086" s="1" t="s">
        <v>29</v>
      </c>
      <c r="J1086" s="1" t="s">
        <v>3287</v>
      </c>
      <c r="K1086" s="1" t="b">
        <v>0</v>
      </c>
      <c r="L1086" s="1" t="s">
        <v>22</v>
      </c>
      <c r="M1086" s="1">
        <v>2022</v>
      </c>
      <c r="N1086" s="1" t="s">
        <v>45</v>
      </c>
      <c r="O1086" s="1" t="s">
        <v>9935</v>
      </c>
      <c r="P1086" s="1" t="s">
        <v>9985</v>
      </c>
      <c r="Q1086" s="1">
        <v>100</v>
      </c>
      <c r="R1086" s="1">
        <v>5000</v>
      </c>
      <c r="S1086" s="1">
        <v>5000</v>
      </c>
    </row>
    <row r="1087" spans="1:19" ht="12.5" x14ac:dyDescent="0.25">
      <c r="A1087" s="1">
        <v>928</v>
      </c>
      <c r="B1087" s="1" t="s">
        <v>3283</v>
      </c>
      <c r="C1087" s="1" t="s">
        <v>35</v>
      </c>
      <c r="D1087" s="1" t="s">
        <v>152</v>
      </c>
      <c r="E1087" s="1">
        <v>846</v>
      </c>
      <c r="F1087" s="1" t="s">
        <v>3284</v>
      </c>
      <c r="G1087" s="1" t="s">
        <v>3285</v>
      </c>
      <c r="H1087" s="1" t="s">
        <v>3286</v>
      </c>
      <c r="I1087" s="1" t="s">
        <v>29</v>
      </c>
      <c r="J1087" s="1" t="s">
        <v>3287</v>
      </c>
      <c r="K1087" s="1" t="b">
        <v>0</v>
      </c>
      <c r="L1087" s="1" t="s">
        <v>22</v>
      </c>
      <c r="M1087" s="1">
        <v>2021</v>
      </c>
      <c r="N1087" s="1" t="s">
        <v>52</v>
      </c>
      <c r="O1087" s="1" t="s">
        <v>9956</v>
      </c>
      <c r="P1087" s="1" t="s">
        <v>9986</v>
      </c>
      <c r="Q1087" s="1">
        <v>100</v>
      </c>
      <c r="R1087" s="1">
        <v>10000</v>
      </c>
      <c r="S1087" s="1">
        <v>10000</v>
      </c>
    </row>
    <row r="1088" spans="1:19" ht="12.5" x14ac:dyDescent="0.25">
      <c r="A1088" s="1">
        <v>928</v>
      </c>
      <c r="B1088" s="1" t="s">
        <v>3283</v>
      </c>
      <c r="C1088" s="1" t="s">
        <v>35</v>
      </c>
      <c r="D1088" s="1" t="s">
        <v>152</v>
      </c>
      <c r="E1088" s="1">
        <v>846</v>
      </c>
      <c r="F1088" s="1" t="s">
        <v>3284</v>
      </c>
      <c r="G1088" s="1" t="s">
        <v>3285</v>
      </c>
      <c r="H1088" s="1" t="s">
        <v>3286</v>
      </c>
      <c r="I1088" s="1" t="s">
        <v>29</v>
      </c>
      <c r="J1088" s="1" t="s">
        <v>3287</v>
      </c>
      <c r="K1088" s="1" t="b">
        <v>0</v>
      </c>
      <c r="L1088" s="1" t="s">
        <v>22</v>
      </c>
      <c r="M1088" s="1">
        <v>2021</v>
      </c>
      <c r="N1088" s="1" t="s">
        <v>23</v>
      </c>
      <c r="O1088" s="1" t="s">
        <v>9940</v>
      </c>
      <c r="P1088" s="1" t="s">
        <v>3094</v>
      </c>
      <c r="Q1088" s="1">
        <v>100</v>
      </c>
      <c r="R1088" s="1">
        <v>12800</v>
      </c>
      <c r="S1088" s="1">
        <v>12800</v>
      </c>
    </row>
    <row r="1089" spans="1:19" ht="12.5" x14ac:dyDescent="0.25">
      <c r="A1089" s="1">
        <v>930</v>
      </c>
      <c r="B1089" s="1" t="s">
        <v>3288</v>
      </c>
      <c r="C1089" s="1" t="s">
        <v>35</v>
      </c>
      <c r="D1089" s="1" t="s">
        <v>152</v>
      </c>
      <c r="E1089" s="1">
        <v>847</v>
      </c>
      <c r="F1089" s="1" t="s">
        <v>3289</v>
      </c>
      <c r="G1089" s="1" t="s">
        <v>3290</v>
      </c>
      <c r="H1089" s="1" t="s">
        <v>16</v>
      </c>
      <c r="I1089" s="1" t="s">
        <v>29</v>
      </c>
      <c r="J1089" s="1" t="s">
        <v>3291</v>
      </c>
      <c r="K1089" s="1" t="b">
        <v>0</v>
      </c>
      <c r="L1089" s="1" t="s">
        <v>22</v>
      </c>
      <c r="M1089" s="1">
        <v>2022</v>
      </c>
      <c r="N1089" s="1" t="s">
        <v>45</v>
      </c>
      <c r="O1089" s="1" t="s">
        <v>9956</v>
      </c>
      <c r="P1089" s="1" t="s">
        <v>16</v>
      </c>
      <c r="Q1089" s="1">
        <v>100</v>
      </c>
      <c r="R1089" s="1">
        <v>4000</v>
      </c>
      <c r="S1089" s="1">
        <v>4000</v>
      </c>
    </row>
    <row r="1090" spans="1:19" ht="12.5" x14ac:dyDescent="0.25">
      <c r="A1090" s="1">
        <v>933</v>
      </c>
      <c r="B1090" s="1" t="s">
        <v>3292</v>
      </c>
      <c r="C1090" s="1" t="s">
        <v>35</v>
      </c>
      <c r="D1090" s="1" t="s">
        <v>152</v>
      </c>
      <c r="E1090" s="1">
        <v>848</v>
      </c>
      <c r="F1090" s="1" t="s">
        <v>3294</v>
      </c>
      <c r="G1090" s="1" t="s">
        <v>3295</v>
      </c>
      <c r="H1090" s="1" t="s">
        <v>16</v>
      </c>
      <c r="I1090" s="1" t="s">
        <v>29</v>
      </c>
      <c r="J1090" s="1" t="s">
        <v>3296</v>
      </c>
      <c r="K1090" s="1" t="b">
        <v>1</v>
      </c>
      <c r="L1090" s="1" t="s">
        <v>31</v>
      </c>
      <c r="M1090" s="1" t="s">
        <v>16</v>
      </c>
      <c r="N1090" s="1" t="s">
        <v>16</v>
      </c>
      <c r="O1090" s="1" t="s">
        <v>9956</v>
      </c>
      <c r="P1090" s="1" t="s">
        <v>16</v>
      </c>
      <c r="Q1090" s="1">
        <v>100</v>
      </c>
      <c r="R1090" s="1">
        <v>0</v>
      </c>
      <c r="S1090" s="1">
        <v>0</v>
      </c>
    </row>
    <row r="1091" spans="1:19" ht="12.5" x14ac:dyDescent="0.25">
      <c r="A1091" s="1">
        <v>934</v>
      </c>
      <c r="B1091" s="1" t="s">
        <v>3297</v>
      </c>
      <c r="C1091" s="1" t="s">
        <v>35</v>
      </c>
      <c r="D1091" s="1" t="s">
        <v>152</v>
      </c>
      <c r="E1091" s="1">
        <v>849</v>
      </c>
      <c r="F1091" s="1" t="s">
        <v>3299</v>
      </c>
      <c r="G1091" s="1" t="s">
        <v>3300</v>
      </c>
      <c r="H1091" s="1" t="s">
        <v>3301</v>
      </c>
      <c r="I1091" s="1" t="s">
        <v>29</v>
      </c>
      <c r="J1091" s="1" t="s">
        <v>3302</v>
      </c>
      <c r="K1091" s="1" t="b">
        <v>0</v>
      </c>
      <c r="L1091" s="1" t="s">
        <v>22</v>
      </c>
      <c r="M1091" s="1" t="s">
        <v>16</v>
      </c>
      <c r="N1091" s="1" t="s">
        <v>16</v>
      </c>
      <c r="O1091" s="1" t="s">
        <v>9956</v>
      </c>
      <c r="P1091" s="1" t="s">
        <v>16</v>
      </c>
      <c r="Q1091" s="1">
        <v>100</v>
      </c>
      <c r="R1091" s="1">
        <v>10467</v>
      </c>
      <c r="S1091" s="1">
        <v>10467</v>
      </c>
    </row>
    <row r="1092" spans="1:19" ht="12.5" x14ac:dyDescent="0.25">
      <c r="A1092" s="1">
        <v>935</v>
      </c>
      <c r="B1092" s="1" t="s">
        <v>3303</v>
      </c>
      <c r="C1092" s="1" t="s">
        <v>35</v>
      </c>
      <c r="D1092" s="1" t="s">
        <v>152</v>
      </c>
      <c r="E1092" s="1">
        <v>850</v>
      </c>
      <c r="F1092" s="1" t="s">
        <v>3305</v>
      </c>
      <c r="G1092" s="1" t="s">
        <v>3306</v>
      </c>
      <c r="H1092" s="1" t="s">
        <v>16</v>
      </c>
      <c r="I1092" s="1" t="s">
        <v>29</v>
      </c>
      <c r="J1092" s="1" t="s">
        <v>3307</v>
      </c>
      <c r="K1092" s="1" t="b">
        <v>1</v>
      </c>
      <c r="L1092" s="1" t="s">
        <v>31</v>
      </c>
      <c r="M1092" s="1" t="s">
        <v>16</v>
      </c>
      <c r="N1092" s="1" t="s">
        <v>16</v>
      </c>
      <c r="O1092" s="1" t="s">
        <v>9956</v>
      </c>
      <c r="P1092" s="1" t="s">
        <v>16</v>
      </c>
      <c r="Q1092" s="1">
        <v>100</v>
      </c>
      <c r="R1092" s="1">
        <v>0</v>
      </c>
      <c r="S1092" s="1">
        <v>0</v>
      </c>
    </row>
    <row r="1093" spans="1:19" ht="12.5" x14ac:dyDescent="0.25">
      <c r="A1093" s="1">
        <v>936</v>
      </c>
      <c r="B1093" s="1" t="s">
        <v>3308</v>
      </c>
      <c r="C1093" s="1" t="s">
        <v>35</v>
      </c>
      <c r="D1093" s="1" t="s">
        <v>152</v>
      </c>
      <c r="E1093" s="1">
        <v>851</v>
      </c>
      <c r="F1093" s="1" t="s">
        <v>3310</v>
      </c>
      <c r="G1093" s="1" t="s">
        <v>3311</v>
      </c>
      <c r="H1093" s="1" t="s">
        <v>3312</v>
      </c>
      <c r="I1093" s="1" t="s">
        <v>29</v>
      </c>
      <c r="J1093" s="1" t="s">
        <v>3313</v>
      </c>
      <c r="K1093" s="1" t="b">
        <v>1</v>
      </c>
      <c r="L1093" s="1" t="s">
        <v>31</v>
      </c>
      <c r="M1093" s="1" t="s">
        <v>16</v>
      </c>
      <c r="N1093" s="1" t="s">
        <v>16</v>
      </c>
      <c r="O1093" s="1" t="s">
        <v>9956</v>
      </c>
      <c r="P1093" s="1" t="s">
        <v>16</v>
      </c>
      <c r="Q1093" s="1">
        <v>100</v>
      </c>
      <c r="R1093" s="1">
        <v>225</v>
      </c>
      <c r="S1093" s="1">
        <v>225</v>
      </c>
    </row>
    <row r="1094" spans="1:19" ht="12.5" x14ac:dyDescent="0.25">
      <c r="A1094" s="1">
        <v>937</v>
      </c>
      <c r="B1094" s="1" t="s">
        <v>3314</v>
      </c>
      <c r="C1094" s="1" t="s">
        <v>35</v>
      </c>
      <c r="D1094" s="1" t="s">
        <v>152</v>
      </c>
      <c r="E1094" s="1">
        <v>852</v>
      </c>
      <c r="F1094" s="1" t="s">
        <v>3316</v>
      </c>
      <c r="G1094" s="1" t="s">
        <v>3317</v>
      </c>
      <c r="H1094" s="1" t="s">
        <v>3318</v>
      </c>
      <c r="I1094" s="1" t="s">
        <v>29</v>
      </c>
      <c r="J1094" s="1" t="s">
        <v>3319</v>
      </c>
      <c r="K1094" s="1" t="b">
        <v>1</v>
      </c>
      <c r="L1094" s="1" t="s">
        <v>31</v>
      </c>
      <c r="M1094" s="1" t="s">
        <v>16</v>
      </c>
      <c r="N1094" s="1" t="s">
        <v>16</v>
      </c>
      <c r="O1094" s="1" t="s">
        <v>9956</v>
      </c>
      <c r="P1094" s="1" t="s">
        <v>16</v>
      </c>
      <c r="Q1094" s="1">
        <v>100</v>
      </c>
      <c r="R1094" s="1">
        <v>125</v>
      </c>
      <c r="S1094" s="1">
        <v>125</v>
      </c>
    </row>
    <row r="1095" spans="1:19" ht="12.5" x14ac:dyDescent="0.25">
      <c r="A1095" s="1">
        <v>940</v>
      </c>
      <c r="B1095" s="1" t="s">
        <v>3320</v>
      </c>
      <c r="C1095" s="1" t="s">
        <v>35</v>
      </c>
      <c r="D1095" s="1" t="s">
        <v>152</v>
      </c>
      <c r="E1095" s="1">
        <v>853</v>
      </c>
      <c r="F1095" s="1" t="s">
        <v>3321</v>
      </c>
      <c r="G1095" s="1" t="s">
        <v>3322</v>
      </c>
      <c r="H1095" s="1"/>
      <c r="I1095" s="1" t="s">
        <v>29</v>
      </c>
      <c r="J1095" s="1" t="s">
        <v>3323</v>
      </c>
      <c r="K1095" s="1" t="b">
        <v>0</v>
      </c>
      <c r="L1095" s="1" t="s">
        <v>22</v>
      </c>
      <c r="M1095" s="1">
        <v>2022</v>
      </c>
      <c r="N1095" s="1" t="s">
        <v>16</v>
      </c>
      <c r="O1095" s="1" t="s">
        <v>9956</v>
      </c>
      <c r="P1095" s="1" t="s">
        <v>16</v>
      </c>
      <c r="Q1095" s="1">
        <v>100</v>
      </c>
      <c r="R1095" s="1">
        <v>35382</v>
      </c>
      <c r="S1095" s="1">
        <v>35382</v>
      </c>
    </row>
    <row r="1096" spans="1:19" ht="12.5" x14ac:dyDescent="0.25">
      <c r="A1096" s="1">
        <v>941</v>
      </c>
      <c r="B1096" s="1" t="s">
        <v>3324</v>
      </c>
      <c r="C1096" s="1" t="s">
        <v>35</v>
      </c>
      <c r="D1096" s="1" t="s">
        <v>152</v>
      </c>
      <c r="E1096" s="1">
        <v>854</v>
      </c>
      <c r="F1096" s="1" t="s">
        <v>3326</v>
      </c>
      <c r="G1096" s="1" t="s">
        <v>3327</v>
      </c>
      <c r="H1096" s="1" t="s">
        <v>16</v>
      </c>
      <c r="I1096" s="1" t="s">
        <v>29</v>
      </c>
      <c r="J1096" s="1" t="s">
        <v>3328</v>
      </c>
      <c r="K1096" s="1" t="b">
        <v>1</v>
      </c>
      <c r="L1096" s="1" t="s">
        <v>31</v>
      </c>
      <c r="M1096" s="1" t="s">
        <v>16</v>
      </c>
      <c r="N1096" s="1" t="s">
        <v>16</v>
      </c>
      <c r="O1096" s="1" t="s">
        <v>9956</v>
      </c>
      <c r="P1096" s="1" t="s">
        <v>16</v>
      </c>
      <c r="Q1096" s="1">
        <v>100</v>
      </c>
      <c r="R1096" s="1">
        <v>138</v>
      </c>
      <c r="S1096" s="1">
        <v>138</v>
      </c>
    </row>
    <row r="1097" spans="1:19" ht="12.5" x14ac:dyDescent="0.25">
      <c r="A1097" s="1">
        <v>942</v>
      </c>
      <c r="B1097" s="1" t="s">
        <v>3329</v>
      </c>
      <c r="C1097" s="1" t="s">
        <v>35</v>
      </c>
      <c r="D1097" s="1" t="s">
        <v>152</v>
      </c>
      <c r="E1097" s="1">
        <v>855</v>
      </c>
      <c r="F1097" s="1" t="s">
        <v>3331</v>
      </c>
      <c r="G1097" s="1" t="s">
        <v>3327</v>
      </c>
      <c r="H1097" s="1" t="s">
        <v>16</v>
      </c>
      <c r="I1097" s="1" t="s">
        <v>29</v>
      </c>
      <c r="J1097" s="1" t="s">
        <v>3332</v>
      </c>
      <c r="K1097" s="1" t="b">
        <v>1</v>
      </c>
      <c r="L1097" s="1" t="s">
        <v>31</v>
      </c>
      <c r="M1097" s="1" t="s">
        <v>16</v>
      </c>
      <c r="N1097" s="1" t="s">
        <v>16</v>
      </c>
      <c r="O1097" s="1" t="s">
        <v>9956</v>
      </c>
      <c r="P1097" s="1" t="s">
        <v>16</v>
      </c>
      <c r="Q1097" s="1">
        <v>100</v>
      </c>
      <c r="R1097" s="1">
        <v>138</v>
      </c>
      <c r="S1097" s="1">
        <v>138</v>
      </c>
    </row>
    <row r="1098" spans="1:19" ht="12.5" x14ac:dyDescent="0.25">
      <c r="A1098" s="1">
        <v>943</v>
      </c>
      <c r="B1098" s="1" t="s">
        <v>3333</v>
      </c>
      <c r="C1098" s="1" t="s">
        <v>35</v>
      </c>
      <c r="D1098" s="1" t="s">
        <v>152</v>
      </c>
      <c r="E1098" s="1">
        <v>856</v>
      </c>
      <c r="F1098" s="1" t="s">
        <v>3335</v>
      </c>
      <c r="G1098" s="1" t="s">
        <v>3336</v>
      </c>
      <c r="H1098" s="1" t="s">
        <v>16</v>
      </c>
      <c r="I1098" s="1" t="s">
        <v>29</v>
      </c>
      <c r="J1098" s="1" t="s">
        <v>3337</v>
      </c>
      <c r="K1098" s="1" t="b">
        <v>0</v>
      </c>
      <c r="L1098" s="1" t="s">
        <v>22</v>
      </c>
      <c r="M1098" s="1" t="s">
        <v>16</v>
      </c>
      <c r="N1098" s="1" t="s">
        <v>16</v>
      </c>
      <c r="O1098" s="1" t="s">
        <v>9956</v>
      </c>
      <c r="P1098" s="1" t="s">
        <v>16</v>
      </c>
      <c r="Q1098" s="1">
        <v>100</v>
      </c>
      <c r="R1098" s="1">
        <v>75000</v>
      </c>
      <c r="S1098" s="1">
        <v>75000</v>
      </c>
    </row>
    <row r="1099" spans="1:19" ht="12.5" x14ac:dyDescent="0.25">
      <c r="A1099" s="1">
        <v>946</v>
      </c>
      <c r="B1099" s="1" t="s">
        <v>3338</v>
      </c>
      <c r="C1099" s="1" t="s">
        <v>35</v>
      </c>
      <c r="D1099" s="1" t="s">
        <v>152</v>
      </c>
      <c r="E1099" s="1">
        <v>857</v>
      </c>
      <c r="F1099" s="1" t="s">
        <v>3340</v>
      </c>
      <c r="G1099" s="1" t="s">
        <v>3341</v>
      </c>
      <c r="H1099" s="1" t="s">
        <v>16</v>
      </c>
      <c r="I1099" s="1" t="s">
        <v>29</v>
      </c>
      <c r="J1099" s="1" t="s">
        <v>3342</v>
      </c>
      <c r="K1099" s="1" t="b">
        <v>0</v>
      </c>
      <c r="L1099" s="1" t="s">
        <v>22</v>
      </c>
      <c r="M1099" s="1">
        <v>2021</v>
      </c>
      <c r="N1099" s="1" t="s">
        <v>23</v>
      </c>
      <c r="O1099" s="1" t="s">
        <v>9956</v>
      </c>
      <c r="P1099" s="1" t="s">
        <v>16</v>
      </c>
      <c r="Q1099" s="1">
        <v>100</v>
      </c>
      <c r="R1099" s="1">
        <v>5000</v>
      </c>
      <c r="S1099" s="1">
        <v>5000</v>
      </c>
    </row>
    <row r="1100" spans="1:19" ht="12.5" x14ac:dyDescent="0.25">
      <c r="A1100" s="1">
        <v>947</v>
      </c>
      <c r="B1100" s="1" t="s">
        <v>3343</v>
      </c>
      <c r="C1100" s="1" t="s">
        <v>35</v>
      </c>
      <c r="D1100" s="1" t="s">
        <v>152</v>
      </c>
      <c r="E1100" s="1">
        <v>858</v>
      </c>
      <c r="F1100" s="1" t="s">
        <v>3345</v>
      </c>
      <c r="G1100" s="1" t="s">
        <v>3346</v>
      </c>
      <c r="H1100" s="1" t="s">
        <v>3347</v>
      </c>
      <c r="I1100" s="1" t="s">
        <v>29</v>
      </c>
      <c r="J1100" s="1" t="s">
        <v>3348</v>
      </c>
      <c r="K1100" s="1" t="b">
        <v>0</v>
      </c>
      <c r="L1100" s="1" t="s">
        <v>22</v>
      </c>
      <c r="M1100" s="1">
        <v>2022</v>
      </c>
      <c r="N1100" s="1" t="s">
        <v>23</v>
      </c>
      <c r="O1100" s="1" t="s">
        <v>9956</v>
      </c>
      <c r="P1100" s="1" t="s">
        <v>16</v>
      </c>
      <c r="Q1100" s="1">
        <v>100</v>
      </c>
      <c r="R1100" s="1">
        <v>15000</v>
      </c>
      <c r="S1100" s="1">
        <v>15000</v>
      </c>
    </row>
    <row r="1101" spans="1:19" ht="12.5" x14ac:dyDescent="0.25">
      <c r="A1101" s="1">
        <v>949</v>
      </c>
      <c r="B1101" s="1" t="s">
        <v>3349</v>
      </c>
      <c r="C1101" s="1" t="s">
        <v>35</v>
      </c>
      <c r="D1101" s="1" t="s">
        <v>152</v>
      </c>
      <c r="E1101" s="1">
        <v>859</v>
      </c>
      <c r="F1101" s="1" t="s">
        <v>3350</v>
      </c>
      <c r="G1101" s="1" t="s">
        <v>3351</v>
      </c>
      <c r="H1101" s="1" t="s">
        <v>3094</v>
      </c>
      <c r="I1101" s="1" t="s">
        <v>29</v>
      </c>
      <c r="J1101" s="1" t="s">
        <v>3352</v>
      </c>
      <c r="K1101" s="1" t="b">
        <v>1</v>
      </c>
      <c r="L1101" s="1" t="s">
        <v>31</v>
      </c>
      <c r="M1101" s="1">
        <v>2022</v>
      </c>
      <c r="N1101" s="1" t="s">
        <v>45</v>
      </c>
      <c r="O1101" s="1" t="s">
        <v>9940</v>
      </c>
      <c r="P1101" s="1" t="s">
        <v>16</v>
      </c>
      <c r="Q1101" s="1">
        <v>100</v>
      </c>
      <c r="R1101" s="1">
        <v>36000</v>
      </c>
      <c r="S1101" s="1">
        <v>36000</v>
      </c>
    </row>
    <row r="1102" spans="1:19" ht="12.5" x14ac:dyDescent="0.25">
      <c r="A1102" s="1">
        <v>950</v>
      </c>
      <c r="B1102" s="1" t="s">
        <v>3353</v>
      </c>
      <c r="C1102" s="1" t="s">
        <v>35</v>
      </c>
      <c r="D1102" s="1" t="s">
        <v>152</v>
      </c>
      <c r="E1102" s="1">
        <v>860</v>
      </c>
      <c r="F1102" s="1" t="s">
        <v>3355</v>
      </c>
      <c r="G1102" s="1" t="s">
        <v>3356</v>
      </c>
      <c r="H1102" s="1" t="s">
        <v>3357</v>
      </c>
      <c r="I1102" s="1" t="s">
        <v>29</v>
      </c>
      <c r="J1102" s="1" t="s">
        <v>3358</v>
      </c>
      <c r="K1102" s="1" t="b">
        <v>1</v>
      </c>
      <c r="L1102" s="1" t="s">
        <v>31</v>
      </c>
      <c r="M1102" s="1">
        <v>2022</v>
      </c>
      <c r="N1102" s="1" t="s">
        <v>23</v>
      </c>
      <c r="O1102" s="1" t="s">
        <v>9956</v>
      </c>
      <c r="P1102" s="1" t="s">
        <v>16</v>
      </c>
      <c r="Q1102" s="1">
        <v>100</v>
      </c>
      <c r="R1102" s="1">
        <v>6000</v>
      </c>
      <c r="S1102" s="1">
        <v>6000</v>
      </c>
    </row>
    <row r="1103" spans="1:19" ht="12.5" x14ac:dyDescent="0.25">
      <c r="A1103" s="1">
        <v>950</v>
      </c>
      <c r="B1103" s="1" t="s">
        <v>3353</v>
      </c>
      <c r="C1103" s="1" t="s">
        <v>35</v>
      </c>
      <c r="D1103" s="1" t="s">
        <v>152</v>
      </c>
      <c r="E1103" s="1">
        <v>860</v>
      </c>
      <c r="F1103" s="1" t="s">
        <v>3355</v>
      </c>
      <c r="G1103" s="1" t="s">
        <v>3356</v>
      </c>
      <c r="H1103" s="1" t="s">
        <v>3357</v>
      </c>
      <c r="I1103" s="1" t="s">
        <v>29</v>
      </c>
      <c r="J1103" s="1" t="s">
        <v>3358</v>
      </c>
      <c r="K1103" s="1" t="b">
        <v>1</v>
      </c>
      <c r="L1103" s="1" t="s">
        <v>31</v>
      </c>
      <c r="M1103" s="1">
        <v>2022</v>
      </c>
      <c r="N1103" s="1" t="s">
        <v>23</v>
      </c>
      <c r="O1103" s="1" t="s">
        <v>9940</v>
      </c>
      <c r="P1103" s="1" t="s">
        <v>16</v>
      </c>
      <c r="Q1103" s="1">
        <v>100</v>
      </c>
      <c r="R1103" s="1">
        <v>25000</v>
      </c>
      <c r="S1103" s="1">
        <v>25000</v>
      </c>
    </row>
    <row r="1104" spans="1:19" ht="12.5" x14ac:dyDescent="0.25">
      <c r="A1104" s="1">
        <v>951</v>
      </c>
      <c r="B1104" s="1" t="s">
        <v>3359</v>
      </c>
      <c r="C1104" s="1" t="s">
        <v>35</v>
      </c>
      <c r="D1104" s="1" t="s">
        <v>152</v>
      </c>
      <c r="E1104" s="1">
        <v>861</v>
      </c>
      <c r="F1104" s="1" t="s">
        <v>3360</v>
      </c>
      <c r="G1104" s="1" t="s">
        <v>3361</v>
      </c>
      <c r="H1104" s="1" t="s">
        <v>16</v>
      </c>
      <c r="I1104" s="1" t="s">
        <v>29</v>
      </c>
      <c r="J1104" s="1" t="s">
        <v>3362</v>
      </c>
      <c r="K1104" s="1" t="b">
        <v>0</v>
      </c>
      <c r="L1104" s="1" t="s">
        <v>22</v>
      </c>
      <c r="M1104" s="1" t="s">
        <v>16</v>
      </c>
      <c r="N1104" s="1" t="s">
        <v>16</v>
      </c>
      <c r="O1104" s="1" t="s">
        <v>9956</v>
      </c>
      <c r="P1104" s="1" t="s">
        <v>16</v>
      </c>
      <c r="Q1104" s="1">
        <v>100</v>
      </c>
      <c r="R1104" s="1">
        <v>180000</v>
      </c>
      <c r="S1104" s="1">
        <v>180000</v>
      </c>
    </row>
    <row r="1105" spans="1:19" ht="12.5" x14ac:dyDescent="0.25">
      <c r="A1105" s="1">
        <v>952</v>
      </c>
      <c r="B1105" s="1" t="s">
        <v>3363</v>
      </c>
      <c r="C1105" s="1" t="s">
        <v>35</v>
      </c>
      <c r="D1105" s="1" t="s">
        <v>152</v>
      </c>
      <c r="E1105" s="1">
        <v>862</v>
      </c>
      <c r="F1105" s="1" t="s">
        <v>3364</v>
      </c>
      <c r="G1105" s="1" t="s">
        <v>3365</v>
      </c>
      <c r="H1105" s="1" t="s">
        <v>3366</v>
      </c>
      <c r="I1105" s="1" t="s">
        <v>29</v>
      </c>
      <c r="J1105" s="1" t="s">
        <v>16</v>
      </c>
      <c r="K1105" s="1" t="b">
        <v>0</v>
      </c>
      <c r="L1105" s="1" t="s">
        <v>22</v>
      </c>
      <c r="M1105" s="1" t="s">
        <v>16</v>
      </c>
      <c r="N1105" s="1" t="s">
        <v>16</v>
      </c>
      <c r="O1105" s="1" t="s">
        <v>9956</v>
      </c>
      <c r="P1105" s="1" t="s">
        <v>16</v>
      </c>
      <c r="Q1105" s="1">
        <v>50</v>
      </c>
      <c r="R1105" s="1">
        <v>7500</v>
      </c>
      <c r="S1105" s="1">
        <v>3750</v>
      </c>
    </row>
    <row r="1106" spans="1:19" ht="12.5" x14ac:dyDescent="0.25">
      <c r="A1106" s="1">
        <v>954</v>
      </c>
      <c r="B1106" s="1" t="s">
        <v>3367</v>
      </c>
      <c r="C1106" s="1" t="s">
        <v>35</v>
      </c>
      <c r="D1106" s="1" t="s">
        <v>152</v>
      </c>
      <c r="E1106" s="1">
        <v>862</v>
      </c>
      <c r="F1106" s="1" t="s">
        <v>3364</v>
      </c>
      <c r="G1106" s="1" t="s">
        <v>3365</v>
      </c>
      <c r="H1106" s="1" t="s">
        <v>3366</v>
      </c>
      <c r="I1106" s="1" t="s">
        <v>29</v>
      </c>
      <c r="J1106" s="1" t="s">
        <v>16</v>
      </c>
      <c r="K1106" s="1" t="b">
        <v>0</v>
      </c>
      <c r="L1106" s="1" t="s">
        <v>22</v>
      </c>
      <c r="M1106" s="1" t="s">
        <v>16</v>
      </c>
      <c r="N1106" s="1" t="s">
        <v>16</v>
      </c>
      <c r="O1106" s="1" t="s">
        <v>9956</v>
      </c>
      <c r="P1106" s="1" t="s">
        <v>16</v>
      </c>
      <c r="Q1106" s="1">
        <v>50</v>
      </c>
      <c r="R1106" s="1">
        <v>7500</v>
      </c>
      <c r="S1106" s="1">
        <v>3750</v>
      </c>
    </row>
    <row r="1107" spans="1:19" ht="12.5" x14ac:dyDescent="0.25">
      <c r="A1107" s="1">
        <v>955</v>
      </c>
      <c r="B1107" s="1" t="s">
        <v>3369</v>
      </c>
      <c r="C1107" s="1" t="s">
        <v>35</v>
      </c>
      <c r="D1107" s="1" t="s">
        <v>152</v>
      </c>
      <c r="E1107" s="1">
        <v>863</v>
      </c>
      <c r="F1107" s="1" t="s">
        <v>3370</v>
      </c>
      <c r="G1107" s="1" t="s">
        <v>3371</v>
      </c>
      <c r="H1107" s="1" t="s">
        <v>16</v>
      </c>
      <c r="I1107" s="1" t="s">
        <v>20</v>
      </c>
      <c r="J1107" s="1" t="s">
        <v>16</v>
      </c>
      <c r="K1107" s="1" t="b">
        <v>0</v>
      </c>
      <c r="L1107" s="1" t="s">
        <v>22</v>
      </c>
      <c r="M1107" s="1" t="s">
        <v>16</v>
      </c>
      <c r="N1107" s="1" t="s">
        <v>16</v>
      </c>
      <c r="O1107" s="1" t="s">
        <v>9956</v>
      </c>
      <c r="P1107" s="1" t="s">
        <v>16</v>
      </c>
      <c r="Q1107" s="1">
        <v>100</v>
      </c>
      <c r="R1107" s="1">
        <v>0</v>
      </c>
      <c r="S1107" s="1">
        <v>0</v>
      </c>
    </row>
    <row r="1108" spans="1:19" ht="12.5" x14ac:dyDescent="0.25">
      <c r="A1108" s="1">
        <v>956</v>
      </c>
      <c r="B1108" s="1" t="s">
        <v>3372</v>
      </c>
      <c r="C1108" s="1" t="s">
        <v>35</v>
      </c>
      <c r="D1108" s="1" t="s">
        <v>152</v>
      </c>
      <c r="E1108" s="1">
        <v>864</v>
      </c>
      <c r="F1108" s="1" t="s">
        <v>3373</v>
      </c>
      <c r="G1108" s="1" t="s">
        <v>3374</v>
      </c>
      <c r="H1108" s="1" t="s">
        <v>16</v>
      </c>
      <c r="I1108" s="1" t="s">
        <v>29</v>
      </c>
      <c r="J1108" s="1" t="s">
        <v>3375</v>
      </c>
      <c r="K1108" s="1" t="b">
        <v>1</v>
      </c>
      <c r="L1108" s="1" t="s">
        <v>31</v>
      </c>
      <c r="M1108" s="1" t="s">
        <v>16</v>
      </c>
      <c r="N1108" s="1" t="s">
        <v>16</v>
      </c>
      <c r="O1108" s="1" t="s">
        <v>9956</v>
      </c>
      <c r="P1108" s="1" t="s">
        <v>16</v>
      </c>
      <c r="Q1108" s="1">
        <v>100</v>
      </c>
      <c r="R1108" s="1">
        <v>100000</v>
      </c>
      <c r="S1108" s="1">
        <v>100000</v>
      </c>
    </row>
    <row r="1109" spans="1:19" ht="12.5" x14ac:dyDescent="0.25">
      <c r="A1109" s="1">
        <v>957</v>
      </c>
      <c r="B1109" s="1" t="s">
        <v>3376</v>
      </c>
      <c r="C1109" s="1" t="s">
        <v>35</v>
      </c>
      <c r="D1109" s="1" t="s">
        <v>152</v>
      </c>
      <c r="E1109" s="1">
        <v>865</v>
      </c>
      <c r="F1109" s="1" t="s">
        <v>3377</v>
      </c>
      <c r="G1109" s="1" t="s">
        <v>3378</v>
      </c>
      <c r="H1109" s="1" t="s">
        <v>3379</v>
      </c>
      <c r="I1109" s="1" t="s">
        <v>29</v>
      </c>
      <c r="J1109" s="1" t="s">
        <v>3380</v>
      </c>
      <c r="K1109" s="1" t="b">
        <v>1</v>
      </c>
      <c r="L1109" s="1" t="s">
        <v>31</v>
      </c>
      <c r="M1109" s="1" t="s">
        <v>16</v>
      </c>
      <c r="N1109" s="1" t="s">
        <v>16</v>
      </c>
      <c r="O1109" s="1" t="s">
        <v>9956</v>
      </c>
      <c r="P1109" s="1" t="s">
        <v>16</v>
      </c>
      <c r="Q1109" s="1">
        <v>100</v>
      </c>
      <c r="R1109" s="1">
        <v>140</v>
      </c>
      <c r="S1109" s="1">
        <v>140</v>
      </c>
    </row>
    <row r="1110" spans="1:19" ht="12.5" x14ac:dyDescent="0.25">
      <c r="A1110" s="1">
        <v>958</v>
      </c>
      <c r="B1110" s="1" t="s">
        <v>3381</v>
      </c>
      <c r="C1110" s="1" t="s">
        <v>35</v>
      </c>
      <c r="D1110" s="1" t="s">
        <v>152</v>
      </c>
      <c r="E1110" s="1">
        <v>866</v>
      </c>
      <c r="F1110" s="1" t="s">
        <v>3382</v>
      </c>
      <c r="G1110" s="1" t="s">
        <v>3383</v>
      </c>
      <c r="H1110" s="1" t="s">
        <v>3384</v>
      </c>
      <c r="I1110" s="1" t="s">
        <v>29</v>
      </c>
      <c r="J1110" s="1" t="s">
        <v>3385</v>
      </c>
      <c r="K1110" s="1" t="b">
        <v>0</v>
      </c>
      <c r="L1110" s="1" t="s">
        <v>22</v>
      </c>
      <c r="M1110" s="1" t="s">
        <v>16</v>
      </c>
      <c r="N1110" s="1" t="s">
        <v>16</v>
      </c>
      <c r="O1110" s="1" t="s">
        <v>9956</v>
      </c>
      <c r="P1110" s="1" t="s">
        <v>16</v>
      </c>
      <c r="Q1110" s="1">
        <v>100</v>
      </c>
      <c r="R1110" s="1">
        <v>11583</v>
      </c>
      <c r="S1110" s="1">
        <v>11583</v>
      </c>
    </row>
    <row r="1111" spans="1:19" ht="12.5" x14ac:dyDescent="0.25">
      <c r="A1111" s="1">
        <v>960</v>
      </c>
      <c r="B1111" s="1" t="s">
        <v>3386</v>
      </c>
      <c r="C1111" s="1" t="s">
        <v>35</v>
      </c>
      <c r="D1111" s="1" t="s">
        <v>152</v>
      </c>
      <c r="E1111" s="1">
        <v>867</v>
      </c>
      <c r="F1111" s="1" t="s">
        <v>3388</v>
      </c>
      <c r="G1111" s="1" t="s">
        <v>3389</v>
      </c>
      <c r="H1111" s="1" t="s">
        <v>3390</v>
      </c>
      <c r="I1111" s="1" t="s">
        <v>29</v>
      </c>
      <c r="J1111" s="1" t="s">
        <v>3391</v>
      </c>
      <c r="K1111" s="1" t="b">
        <v>1</v>
      </c>
      <c r="L1111" s="1" t="s">
        <v>31</v>
      </c>
      <c r="M1111" s="1">
        <v>2021</v>
      </c>
      <c r="N1111" s="1" t="s">
        <v>23</v>
      </c>
      <c r="O1111" s="1" t="s">
        <v>9940</v>
      </c>
      <c r="P1111" s="1" t="s">
        <v>3094</v>
      </c>
      <c r="Q1111" s="1">
        <v>100</v>
      </c>
      <c r="R1111" s="1">
        <v>47841.84</v>
      </c>
      <c r="S1111" s="1">
        <v>47841.84</v>
      </c>
    </row>
    <row r="1112" spans="1:19" ht="12.5" x14ac:dyDescent="0.25">
      <c r="A1112" s="1">
        <v>961</v>
      </c>
      <c r="B1112" s="1" t="s">
        <v>3392</v>
      </c>
      <c r="C1112" s="1" t="s">
        <v>35</v>
      </c>
      <c r="D1112" s="1" t="s">
        <v>152</v>
      </c>
      <c r="E1112" s="1">
        <v>868</v>
      </c>
      <c r="F1112" s="1" t="s">
        <v>3394</v>
      </c>
      <c r="G1112" s="1" t="s">
        <v>3395</v>
      </c>
      <c r="H1112" s="1" t="s">
        <v>16</v>
      </c>
      <c r="I1112" s="1" t="s">
        <v>29</v>
      </c>
      <c r="J1112" s="1" t="s">
        <v>3396</v>
      </c>
      <c r="K1112" s="1" t="b">
        <v>1</v>
      </c>
      <c r="L1112" s="1" t="s">
        <v>31</v>
      </c>
      <c r="M1112" s="1" t="s">
        <v>16</v>
      </c>
      <c r="N1112" s="1" t="s">
        <v>16</v>
      </c>
      <c r="O1112" s="1" t="s">
        <v>9956</v>
      </c>
      <c r="P1112" s="1" t="s">
        <v>16</v>
      </c>
      <c r="Q1112" s="1">
        <v>100</v>
      </c>
      <c r="R1112" s="1">
        <v>30000</v>
      </c>
      <c r="S1112" s="1">
        <v>30000</v>
      </c>
    </row>
    <row r="1113" spans="1:19" ht="12.5" x14ac:dyDescent="0.25">
      <c r="A1113" s="1">
        <v>963</v>
      </c>
      <c r="B1113" s="1" t="s">
        <v>3397</v>
      </c>
      <c r="C1113" s="1" t="s">
        <v>35</v>
      </c>
      <c r="D1113" s="1" t="s">
        <v>152</v>
      </c>
      <c r="E1113" s="1">
        <v>869</v>
      </c>
      <c r="F1113" s="1" t="s">
        <v>3398</v>
      </c>
      <c r="G1113" s="1" t="s">
        <v>3399</v>
      </c>
      <c r="H1113" s="1" t="s">
        <v>16</v>
      </c>
      <c r="I1113" s="1" t="s">
        <v>29</v>
      </c>
      <c r="J1113" s="1" t="s">
        <v>3400</v>
      </c>
      <c r="K1113" s="1" t="b">
        <v>0</v>
      </c>
      <c r="L1113" s="1" t="s">
        <v>22</v>
      </c>
      <c r="M1113" s="1" t="s">
        <v>16</v>
      </c>
      <c r="N1113" s="1" t="s">
        <v>16</v>
      </c>
      <c r="O1113" s="1" t="s">
        <v>9956</v>
      </c>
      <c r="P1113" s="1" t="s">
        <v>16</v>
      </c>
      <c r="Q1113" s="1">
        <v>100</v>
      </c>
      <c r="R1113" s="1">
        <v>0</v>
      </c>
      <c r="S1113" s="1">
        <v>0</v>
      </c>
    </row>
    <row r="1114" spans="1:19" ht="12.5" x14ac:dyDescent="0.25">
      <c r="A1114" s="1">
        <v>968</v>
      </c>
      <c r="B1114" s="1" t="s">
        <v>3401</v>
      </c>
      <c r="C1114" s="1" t="s">
        <v>35</v>
      </c>
      <c r="D1114" s="1" t="s">
        <v>152</v>
      </c>
      <c r="E1114" s="1">
        <v>870</v>
      </c>
      <c r="F1114" s="1" t="s">
        <v>3403</v>
      </c>
      <c r="G1114" s="1" t="s">
        <v>3404</v>
      </c>
      <c r="H1114" s="1" t="s">
        <v>3405</v>
      </c>
      <c r="I1114" s="1" t="s">
        <v>29</v>
      </c>
      <c r="J1114" s="1" t="s">
        <v>3406</v>
      </c>
      <c r="K1114" s="1" t="b">
        <v>1</v>
      </c>
      <c r="L1114" s="1" t="s">
        <v>31</v>
      </c>
      <c r="M1114" s="1">
        <v>2021</v>
      </c>
      <c r="N1114" s="1" t="s">
        <v>16</v>
      </c>
      <c r="O1114" s="1" t="s">
        <v>9956</v>
      </c>
      <c r="P1114" s="1" t="s">
        <v>16</v>
      </c>
      <c r="Q1114" s="1">
        <v>100</v>
      </c>
      <c r="R1114" s="1">
        <v>526.20000000000005</v>
      </c>
      <c r="S1114" s="1">
        <v>526.20000000000005</v>
      </c>
    </row>
    <row r="1115" spans="1:19" ht="12.5" x14ac:dyDescent="0.25">
      <c r="A1115" s="1">
        <v>969</v>
      </c>
      <c r="B1115" s="1" t="s">
        <v>3407</v>
      </c>
      <c r="C1115" s="1" t="s">
        <v>35</v>
      </c>
      <c r="D1115" s="1" t="s">
        <v>152</v>
      </c>
      <c r="E1115" s="1">
        <v>871</v>
      </c>
      <c r="F1115" s="1" t="s">
        <v>3409</v>
      </c>
      <c r="G1115" s="1" t="s">
        <v>3410</v>
      </c>
      <c r="H1115" s="1" t="s">
        <v>3411</v>
      </c>
      <c r="I1115" s="1" t="s">
        <v>29</v>
      </c>
      <c r="J1115" s="1" t="s">
        <v>3412</v>
      </c>
      <c r="K1115" s="1" t="b">
        <v>1</v>
      </c>
      <c r="L1115" s="1" t="s">
        <v>31</v>
      </c>
      <c r="M1115" s="1" t="s">
        <v>16</v>
      </c>
      <c r="N1115" s="1" t="s">
        <v>16</v>
      </c>
      <c r="O1115" s="1" t="s">
        <v>9956</v>
      </c>
      <c r="P1115" s="1" t="s">
        <v>16</v>
      </c>
      <c r="Q1115" s="1">
        <v>100</v>
      </c>
      <c r="R1115" s="1">
        <v>5320</v>
      </c>
      <c r="S1115" s="1">
        <v>5320</v>
      </c>
    </row>
    <row r="1116" spans="1:19" ht="12.5" x14ac:dyDescent="0.25">
      <c r="A1116" s="1">
        <v>970</v>
      </c>
      <c r="B1116" s="1" t="s">
        <v>3413</v>
      </c>
      <c r="C1116" s="1" t="s">
        <v>35</v>
      </c>
      <c r="D1116" s="1" t="s">
        <v>152</v>
      </c>
      <c r="E1116" s="1">
        <v>872</v>
      </c>
      <c r="F1116" s="1" t="s">
        <v>3415</v>
      </c>
      <c r="G1116" s="1" t="s">
        <v>3416</v>
      </c>
      <c r="H1116" s="1" t="s">
        <v>3417</v>
      </c>
      <c r="I1116" s="1" t="s">
        <v>29</v>
      </c>
      <c r="J1116" s="1" t="s">
        <v>3418</v>
      </c>
      <c r="K1116" s="1" t="b">
        <v>1</v>
      </c>
      <c r="L1116" s="1" t="s">
        <v>31</v>
      </c>
      <c r="M1116" s="1" t="s">
        <v>16</v>
      </c>
      <c r="N1116" s="1" t="s">
        <v>16</v>
      </c>
      <c r="O1116" s="1" t="s">
        <v>9956</v>
      </c>
      <c r="P1116" s="1" t="s">
        <v>16</v>
      </c>
      <c r="Q1116" s="1">
        <v>100</v>
      </c>
      <c r="R1116" s="1">
        <v>12652</v>
      </c>
      <c r="S1116" s="1">
        <v>12652</v>
      </c>
    </row>
    <row r="1117" spans="1:19" ht="12.5" x14ac:dyDescent="0.25">
      <c r="A1117" s="1">
        <v>971</v>
      </c>
      <c r="B1117" s="1" t="s">
        <v>3419</v>
      </c>
      <c r="C1117" s="1" t="s">
        <v>35</v>
      </c>
      <c r="D1117" s="1" t="s">
        <v>152</v>
      </c>
      <c r="E1117" s="1">
        <v>873</v>
      </c>
      <c r="F1117" s="1" t="s">
        <v>3421</v>
      </c>
      <c r="G1117" s="1" t="s">
        <v>3422</v>
      </c>
      <c r="H1117" s="1"/>
      <c r="I1117" s="1" t="s">
        <v>29</v>
      </c>
      <c r="J1117" s="1" t="s">
        <v>3423</v>
      </c>
      <c r="K1117" s="1" t="b">
        <v>1</v>
      </c>
      <c r="L1117" s="1" t="s">
        <v>31</v>
      </c>
      <c r="M1117" s="1">
        <v>2022</v>
      </c>
      <c r="N1117" s="1" t="s">
        <v>16</v>
      </c>
      <c r="O1117" s="1" t="s">
        <v>9956</v>
      </c>
      <c r="P1117" s="1" t="s">
        <v>16</v>
      </c>
      <c r="Q1117" s="1">
        <v>100</v>
      </c>
      <c r="R1117" s="1">
        <v>10000</v>
      </c>
      <c r="S1117" s="1">
        <v>10000</v>
      </c>
    </row>
    <row r="1118" spans="1:19" ht="12.5" x14ac:dyDescent="0.25">
      <c r="A1118" s="1">
        <v>973</v>
      </c>
      <c r="B1118" s="1" t="s">
        <v>3424</v>
      </c>
      <c r="C1118" s="1" t="s">
        <v>35</v>
      </c>
      <c r="D1118" s="1" t="s">
        <v>152</v>
      </c>
      <c r="E1118" s="1">
        <v>874</v>
      </c>
      <c r="F1118" s="1" t="s">
        <v>3426</v>
      </c>
      <c r="G1118" s="1" t="s">
        <v>3427</v>
      </c>
      <c r="H1118" s="1" t="s">
        <v>3428</v>
      </c>
      <c r="I1118" s="1" t="s">
        <v>29</v>
      </c>
      <c r="J1118" s="1" t="s">
        <v>3429</v>
      </c>
      <c r="K1118" s="1" t="b">
        <v>1</v>
      </c>
      <c r="L1118" s="1" t="s">
        <v>31</v>
      </c>
      <c r="M1118" s="1" t="s">
        <v>16</v>
      </c>
      <c r="N1118" s="1" t="s">
        <v>16</v>
      </c>
      <c r="O1118" s="1" t="s">
        <v>9956</v>
      </c>
      <c r="P1118" s="1" t="s">
        <v>16</v>
      </c>
      <c r="Q1118" s="1">
        <v>100</v>
      </c>
      <c r="R1118" s="1">
        <v>828</v>
      </c>
      <c r="S1118" s="1">
        <v>828</v>
      </c>
    </row>
    <row r="1119" spans="1:19" ht="12.5" x14ac:dyDescent="0.25">
      <c r="A1119" s="1">
        <v>974</v>
      </c>
      <c r="B1119" s="1" t="s">
        <v>3430</v>
      </c>
      <c r="C1119" s="1" t="s">
        <v>35</v>
      </c>
      <c r="D1119" s="1" t="s">
        <v>152</v>
      </c>
      <c r="E1119" s="1">
        <v>875</v>
      </c>
      <c r="F1119" s="1" t="s">
        <v>3432</v>
      </c>
      <c r="G1119" s="1" t="s">
        <v>3433</v>
      </c>
      <c r="H1119" s="1" t="s">
        <v>3434</v>
      </c>
      <c r="I1119" s="1" t="s">
        <v>29</v>
      </c>
      <c r="J1119" s="1" t="s">
        <v>3429</v>
      </c>
      <c r="K1119" s="1" t="b">
        <v>1</v>
      </c>
      <c r="L1119" s="1" t="s">
        <v>31</v>
      </c>
      <c r="M1119" s="1" t="s">
        <v>16</v>
      </c>
      <c r="N1119" s="1" t="s">
        <v>16</v>
      </c>
      <c r="O1119" s="1" t="s">
        <v>9956</v>
      </c>
      <c r="P1119" s="1" t="s">
        <v>16</v>
      </c>
      <c r="Q1119" s="1">
        <v>100</v>
      </c>
      <c r="R1119" s="1">
        <v>0</v>
      </c>
      <c r="S1119" s="1">
        <v>0</v>
      </c>
    </row>
    <row r="1120" spans="1:19" ht="12.5" x14ac:dyDescent="0.25">
      <c r="A1120" s="1">
        <v>976</v>
      </c>
      <c r="B1120" s="1" t="s">
        <v>3435</v>
      </c>
      <c r="C1120" s="1" t="s">
        <v>35</v>
      </c>
      <c r="D1120" s="1" t="s">
        <v>152</v>
      </c>
      <c r="E1120" s="1">
        <v>876</v>
      </c>
      <c r="F1120" s="1" t="s">
        <v>3437</v>
      </c>
      <c r="G1120" s="1" t="s">
        <v>3438</v>
      </c>
      <c r="H1120" s="1" t="s">
        <v>3439</v>
      </c>
      <c r="I1120" s="1" t="s">
        <v>29</v>
      </c>
      <c r="J1120" s="1" t="s">
        <v>3440</v>
      </c>
      <c r="K1120" s="1" t="b">
        <v>0</v>
      </c>
      <c r="L1120" s="1" t="s">
        <v>22</v>
      </c>
      <c r="M1120" s="1">
        <v>2022</v>
      </c>
      <c r="N1120" s="1" t="s">
        <v>16</v>
      </c>
      <c r="O1120" s="1" t="s">
        <v>9956</v>
      </c>
      <c r="P1120" s="1" t="s">
        <v>16</v>
      </c>
      <c r="Q1120" s="1">
        <v>100</v>
      </c>
      <c r="R1120" s="1">
        <v>10000</v>
      </c>
      <c r="S1120" s="1">
        <v>10000</v>
      </c>
    </row>
    <row r="1121" spans="1:19" ht="12.5" x14ac:dyDescent="0.25">
      <c r="A1121" s="1">
        <v>979</v>
      </c>
      <c r="B1121" s="1" t="s">
        <v>3441</v>
      </c>
      <c r="C1121" s="1" t="s">
        <v>35</v>
      </c>
      <c r="D1121" s="1" t="s">
        <v>152</v>
      </c>
      <c r="E1121" s="1">
        <v>877</v>
      </c>
      <c r="F1121" s="1" t="s">
        <v>3443</v>
      </c>
      <c r="G1121" s="1" t="s">
        <v>3444</v>
      </c>
      <c r="H1121" s="1"/>
      <c r="I1121" s="1" t="s">
        <v>29</v>
      </c>
      <c r="J1121" s="1" t="s">
        <v>3445</v>
      </c>
      <c r="K1121" s="1" t="b">
        <v>0</v>
      </c>
      <c r="L1121" s="1" t="s">
        <v>22</v>
      </c>
      <c r="M1121" s="1">
        <v>2023</v>
      </c>
      <c r="N1121" s="1" t="s">
        <v>45</v>
      </c>
      <c r="O1121" s="1" t="s">
        <v>9935</v>
      </c>
      <c r="P1121" s="1" t="s">
        <v>16</v>
      </c>
      <c r="Q1121" s="1">
        <v>100</v>
      </c>
      <c r="R1121" s="1">
        <v>100000</v>
      </c>
      <c r="S1121" s="1">
        <v>100000</v>
      </c>
    </row>
    <row r="1122" spans="1:19" ht="12.5" x14ac:dyDescent="0.25">
      <c r="A1122" s="1">
        <v>980</v>
      </c>
      <c r="B1122" s="1" t="s">
        <v>3446</v>
      </c>
      <c r="C1122" s="1" t="s">
        <v>35</v>
      </c>
      <c r="D1122" s="1" t="s">
        <v>152</v>
      </c>
      <c r="E1122" s="1">
        <v>878</v>
      </c>
      <c r="F1122" s="1" t="s">
        <v>3447</v>
      </c>
      <c r="G1122" s="1" t="s">
        <v>3448</v>
      </c>
      <c r="H1122" s="1" t="s">
        <v>16</v>
      </c>
      <c r="I1122" s="1" t="s">
        <v>29</v>
      </c>
      <c r="J1122" s="1" t="s">
        <v>3449</v>
      </c>
      <c r="K1122" s="1" t="b">
        <v>1</v>
      </c>
      <c r="L1122" s="1" t="s">
        <v>31</v>
      </c>
      <c r="M1122" s="1" t="s">
        <v>16</v>
      </c>
      <c r="N1122" s="1" t="s">
        <v>16</v>
      </c>
      <c r="O1122" s="1" t="s">
        <v>9956</v>
      </c>
      <c r="P1122" s="1" t="s">
        <v>16</v>
      </c>
      <c r="Q1122" s="1">
        <v>100</v>
      </c>
      <c r="R1122" s="1">
        <v>837</v>
      </c>
      <c r="S1122" s="1">
        <v>837</v>
      </c>
    </row>
    <row r="1123" spans="1:19" ht="12.5" x14ac:dyDescent="0.25">
      <c r="A1123" s="1">
        <v>984</v>
      </c>
      <c r="B1123" s="1" t="s">
        <v>3450</v>
      </c>
      <c r="C1123" s="1" t="s">
        <v>35</v>
      </c>
      <c r="D1123" s="1" t="s">
        <v>152</v>
      </c>
      <c r="E1123" s="1">
        <v>879</v>
      </c>
      <c r="F1123" s="1" t="s">
        <v>3451</v>
      </c>
      <c r="G1123" s="1" t="s">
        <v>3452</v>
      </c>
      <c r="H1123" s="1" t="s">
        <v>16</v>
      </c>
      <c r="I1123" s="1" t="s">
        <v>29</v>
      </c>
      <c r="J1123" s="1" t="s">
        <v>3453</v>
      </c>
      <c r="K1123" s="1" t="b">
        <v>1</v>
      </c>
      <c r="L1123" s="1" t="s">
        <v>31</v>
      </c>
      <c r="M1123" s="1">
        <v>2021</v>
      </c>
      <c r="N1123" s="1" t="s">
        <v>52</v>
      </c>
      <c r="O1123" s="1" t="s">
        <v>9956</v>
      </c>
      <c r="P1123" s="1" t="s">
        <v>9987</v>
      </c>
      <c r="Q1123" s="1">
        <v>100</v>
      </c>
      <c r="R1123" s="1">
        <v>30000</v>
      </c>
      <c r="S1123" s="1">
        <v>30000</v>
      </c>
    </row>
    <row r="1124" spans="1:19" ht="12.5" x14ac:dyDescent="0.25">
      <c r="A1124" s="1">
        <v>987</v>
      </c>
      <c r="B1124" s="1" t="s">
        <v>3454</v>
      </c>
      <c r="C1124" s="1" t="s">
        <v>35</v>
      </c>
      <c r="D1124" s="1" t="s">
        <v>152</v>
      </c>
      <c r="E1124" s="1">
        <v>880</v>
      </c>
      <c r="F1124" s="1" t="s">
        <v>3456</v>
      </c>
      <c r="G1124" s="1" t="s">
        <v>3457</v>
      </c>
      <c r="H1124" s="1" t="s">
        <v>3458</v>
      </c>
      <c r="I1124" s="1" t="s">
        <v>29</v>
      </c>
      <c r="J1124" s="1" t="s">
        <v>3459</v>
      </c>
      <c r="K1124" s="1" t="b">
        <v>0</v>
      </c>
      <c r="L1124" s="1" t="s">
        <v>22</v>
      </c>
      <c r="M1124" s="1">
        <v>2023</v>
      </c>
      <c r="N1124" s="1" t="s">
        <v>32</v>
      </c>
      <c r="O1124" s="1" t="s">
        <v>9942</v>
      </c>
      <c r="P1124" s="1" t="s">
        <v>16</v>
      </c>
      <c r="Q1124" s="1">
        <v>100</v>
      </c>
      <c r="R1124" s="1">
        <v>100000</v>
      </c>
      <c r="S1124" s="1">
        <v>100000</v>
      </c>
    </row>
    <row r="1125" spans="1:19" ht="12.5" x14ac:dyDescent="0.25">
      <c r="A1125" s="1">
        <v>987</v>
      </c>
      <c r="B1125" s="1" t="s">
        <v>3454</v>
      </c>
      <c r="C1125" s="1" t="s">
        <v>35</v>
      </c>
      <c r="D1125" s="1" t="s">
        <v>152</v>
      </c>
      <c r="E1125" s="1">
        <v>880</v>
      </c>
      <c r="F1125" s="1" t="s">
        <v>3456</v>
      </c>
      <c r="G1125" s="1" t="s">
        <v>3457</v>
      </c>
      <c r="H1125" s="1" t="s">
        <v>3458</v>
      </c>
      <c r="I1125" s="1" t="s">
        <v>29</v>
      </c>
      <c r="J1125" s="1" t="s">
        <v>3459</v>
      </c>
      <c r="K1125" s="1" t="b">
        <v>0</v>
      </c>
      <c r="L1125" s="1" t="s">
        <v>22</v>
      </c>
      <c r="M1125" s="1">
        <v>2023</v>
      </c>
      <c r="N1125" s="1" t="s">
        <v>32</v>
      </c>
      <c r="O1125" s="1" t="s">
        <v>9935</v>
      </c>
      <c r="P1125" s="1" t="s">
        <v>9988</v>
      </c>
      <c r="Q1125" s="1">
        <v>100</v>
      </c>
      <c r="R1125" s="1">
        <v>100000</v>
      </c>
      <c r="S1125" s="1">
        <v>100000</v>
      </c>
    </row>
    <row r="1126" spans="1:19" ht="12.5" x14ac:dyDescent="0.25">
      <c r="A1126" s="1">
        <v>986</v>
      </c>
      <c r="B1126" s="1" t="s">
        <v>3460</v>
      </c>
      <c r="C1126" s="1" t="s">
        <v>35</v>
      </c>
      <c r="D1126" s="1" t="s">
        <v>152</v>
      </c>
      <c r="E1126" s="1">
        <v>881</v>
      </c>
      <c r="F1126" s="1" t="s">
        <v>3462</v>
      </c>
      <c r="G1126" s="1" t="s">
        <v>3457</v>
      </c>
      <c r="H1126" s="1" t="s">
        <v>3463</v>
      </c>
      <c r="I1126" s="1" t="s">
        <v>29</v>
      </c>
      <c r="J1126" s="1" t="s">
        <v>16</v>
      </c>
      <c r="K1126" s="1" t="b">
        <v>0</v>
      </c>
      <c r="L1126" s="1" t="s">
        <v>22</v>
      </c>
      <c r="M1126" s="1" t="s">
        <v>16</v>
      </c>
      <c r="N1126" s="1" t="s">
        <v>16</v>
      </c>
      <c r="O1126" s="1" t="s">
        <v>16</v>
      </c>
      <c r="P1126" s="1" t="s">
        <v>16</v>
      </c>
      <c r="Q1126" s="1">
        <v>50</v>
      </c>
    </row>
    <row r="1127" spans="1:19" ht="12.5" x14ac:dyDescent="0.25">
      <c r="A1127" s="1">
        <v>988</v>
      </c>
      <c r="B1127" s="1" t="s">
        <v>3464</v>
      </c>
      <c r="C1127" s="1" t="s">
        <v>35</v>
      </c>
      <c r="D1127" s="1" t="s">
        <v>152</v>
      </c>
      <c r="E1127" s="1">
        <v>881</v>
      </c>
      <c r="F1127" s="1" t="s">
        <v>3462</v>
      </c>
      <c r="G1127" s="1" t="s">
        <v>3457</v>
      </c>
      <c r="H1127" s="1" t="s">
        <v>3463</v>
      </c>
      <c r="I1127" s="1" t="s">
        <v>29</v>
      </c>
      <c r="J1127" s="1" t="s">
        <v>16</v>
      </c>
      <c r="K1127" s="1" t="b">
        <v>0</v>
      </c>
      <c r="L1127" s="1" t="s">
        <v>22</v>
      </c>
      <c r="M1127" s="1" t="s">
        <v>16</v>
      </c>
      <c r="N1127" s="1" t="s">
        <v>16</v>
      </c>
      <c r="O1127" s="1" t="s">
        <v>16</v>
      </c>
      <c r="P1127" s="1" t="s">
        <v>16</v>
      </c>
      <c r="Q1127" s="1">
        <v>50</v>
      </c>
    </row>
    <row r="1128" spans="1:19" ht="12.5" x14ac:dyDescent="0.25">
      <c r="A1128" s="1">
        <v>991</v>
      </c>
      <c r="B1128" s="1" t="s">
        <v>3466</v>
      </c>
      <c r="C1128" s="1" t="s">
        <v>35</v>
      </c>
      <c r="D1128" s="1" t="s">
        <v>152</v>
      </c>
      <c r="E1128" s="1">
        <v>882</v>
      </c>
      <c r="F1128" s="1" t="s">
        <v>3468</v>
      </c>
      <c r="G1128" s="1" t="s">
        <v>3469</v>
      </c>
      <c r="H1128" s="1" t="s">
        <v>3470</v>
      </c>
      <c r="I1128" s="1" t="s">
        <v>29</v>
      </c>
      <c r="J1128" s="1" t="s">
        <v>3471</v>
      </c>
      <c r="K1128" s="1" t="b">
        <v>0</v>
      </c>
      <c r="L1128" s="1" t="s">
        <v>22</v>
      </c>
      <c r="M1128" s="1" t="s">
        <v>16</v>
      </c>
      <c r="N1128" s="1" t="s">
        <v>16</v>
      </c>
      <c r="O1128" s="1" t="s">
        <v>9956</v>
      </c>
      <c r="P1128" s="1" t="s">
        <v>16</v>
      </c>
      <c r="Q1128" s="1">
        <v>100</v>
      </c>
      <c r="R1128" s="1">
        <v>150000</v>
      </c>
      <c r="S1128" s="1">
        <v>150000</v>
      </c>
    </row>
    <row r="1129" spans="1:19" ht="12.5" x14ac:dyDescent="0.25">
      <c r="A1129" s="1">
        <v>992</v>
      </c>
      <c r="B1129" s="1" t="s">
        <v>3472</v>
      </c>
      <c r="C1129" s="1" t="s">
        <v>35</v>
      </c>
      <c r="D1129" s="1" t="s">
        <v>152</v>
      </c>
      <c r="E1129" s="1">
        <v>883</v>
      </c>
      <c r="F1129" s="1" t="s">
        <v>3474</v>
      </c>
      <c r="G1129" s="1" t="s">
        <v>3475</v>
      </c>
      <c r="H1129" s="1" t="s">
        <v>16</v>
      </c>
      <c r="I1129" s="1" t="s">
        <v>29</v>
      </c>
      <c r="J1129" s="1" t="s">
        <v>3476</v>
      </c>
      <c r="K1129" s="1" t="b">
        <v>0</v>
      </c>
      <c r="L1129" s="1" t="s">
        <v>22</v>
      </c>
      <c r="M1129" s="1" t="s">
        <v>16</v>
      </c>
      <c r="N1129" s="1" t="s">
        <v>16</v>
      </c>
      <c r="O1129" s="1" t="s">
        <v>9956</v>
      </c>
      <c r="P1129" s="1" t="s">
        <v>16</v>
      </c>
      <c r="Q1129" s="1">
        <v>100</v>
      </c>
      <c r="R1129" s="1">
        <v>500</v>
      </c>
      <c r="S1129" s="1">
        <v>500</v>
      </c>
    </row>
    <row r="1130" spans="1:19" ht="12.5" x14ac:dyDescent="0.25">
      <c r="A1130" s="1">
        <v>994</v>
      </c>
      <c r="B1130" s="1" t="s">
        <v>3477</v>
      </c>
      <c r="C1130" s="1" t="s">
        <v>35</v>
      </c>
      <c r="D1130" s="1" t="s">
        <v>152</v>
      </c>
      <c r="E1130" s="1">
        <v>884</v>
      </c>
      <c r="F1130" s="1" t="s">
        <v>3479</v>
      </c>
      <c r="G1130" s="1" t="s">
        <v>3480</v>
      </c>
      <c r="H1130" s="1" t="s">
        <v>16</v>
      </c>
      <c r="I1130" s="1" t="s">
        <v>29</v>
      </c>
      <c r="J1130" s="1" t="s">
        <v>3481</v>
      </c>
      <c r="K1130" s="1" t="b">
        <v>0</v>
      </c>
      <c r="L1130" s="1" t="s">
        <v>22</v>
      </c>
      <c r="M1130" s="1" t="s">
        <v>16</v>
      </c>
      <c r="N1130" s="1" t="s">
        <v>16</v>
      </c>
      <c r="O1130" s="1" t="s">
        <v>9956</v>
      </c>
      <c r="P1130" s="1" t="s">
        <v>16</v>
      </c>
      <c r="Q1130" s="1">
        <v>100</v>
      </c>
      <c r="R1130" s="1">
        <v>35000</v>
      </c>
      <c r="S1130" s="1">
        <v>35000</v>
      </c>
    </row>
    <row r="1131" spans="1:19" ht="12.5" x14ac:dyDescent="0.25">
      <c r="A1131" s="1">
        <v>995</v>
      </c>
      <c r="B1131" s="1" t="s">
        <v>3482</v>
      </c>
      <c r="C1131" s="1" t="s">
        <v>35</v>
      </c>
      <c r="D1131" s="1" t="s">
        <v>152</v>
      </c>
      <c r="E1131" s="1">
        <v>885</v>
      </c>
      <c r="F1131" s="1" t="s">
        <v>3484</v>
      </c>
      <c r="G1131" s="1" t="s">
        <v>3485</v>
      </c>
      <c r="H1131" s="1" t="s">
        <v>16</v>
      </c>
      <c r="I1131" s="1" t="s">
        <v>29</v>
      </c>
      <c r="J1131" s="1" t="s">
        <v>3486</v>
      </c>
      <c r="K1131" s="1" t="b">
        <v>0</v>
      </c>
      <c r="L1131" s="1" t="s">
        <v>22</v>
      </c>
      <c r="M1131" s="1" t="s">
        <v>16</v>
      </c>
      <c r="N1131" s="1" t="s">
        <v>16</v>
      </c>
      <c r="O1131" s="1" t="s">
        <v>9956</v>
      </c>
      <c r="P1131" s="1" t="s">
        <v>16</v>
      </c>
      <c r="Q1131" s="1">
        <v>100</v>
      </c>
      <c r="R1131" s="1">
        <v>35000</v>
      </c>
      <c r="S1131" s="1">
        <v>35000</v>
      </c>
    </row>
    <row r="1132" spans="1:19" ht="12.5" x14ac:dyDescent="0.25">
      <c r="A1132" s="1">
        <v>996</v>
      </c>
      <c r="B1132" s="1" t="s">
        <v>3487</v>
      </c>
      <c r="C1132" s="1" t="s">
        <v>35</v>
      </c>
      <c r="D1132" s="1" t="s">
        <v>152</v>
      </c>
      <c r="E1132" s="1">
        <v>886</v>
      </c>
      <c r="F1132" s="1" t="s">
        <v>3489</v>
      </c>
      <c r="G1132" s="1" t="s">
        <v>3490</v>
      </c>
      <c r="H1132" s="1" t="s">
        <v>16</v>
      </c>
      <c r="I1132" s="1" t="s">
        <v>29</v>
      </c>
      <c r="J1132" s="1" t="s">
        <v>3491</v>
      </c>
      <c r="K1132" s="1" t="b">
        <v>0</v>
      </c>
      <c r="L1132" s="1" t="s">
        <v>22</v>
      </c>
      <c r="M1132" s="1" t="s">
        <v>16</v>
      </c>
      <c r="N1132" s="1" t="s">
        <v>16</v>
      </c>
      <c r="O1132" s="1" t="s">
        <v>9956</v>
      </c>
      <c r="P1132" s="1" t="s">
        <v>16</v>
      </c>
      <c r="Q1132" s="1">
        <v>100</v>
      </c>
      <c r="R1132" s="1">
        <v>35000</v>
      </c>
      <c r="S1132" s="1">
        <v>35000</v>
      </c>
    </row>
    <row r="1133" spans="1:19" ht="12.5" x14ac:dyDescent="0.25">
      <c r="A1133" s="1">
        <v>997</v>
      </c>
      <c r="B1133" s="1" t="s">
        <v>3492</v>
      </c>
      <c r="C1133" s="1" t="s">
        <v>35</v>
      </c>
      <c r="D1133" s="1" t="s">
        <v>152</v>
      </c>
      <c r="E1133" s="1">
        <v>887</v>
      </c>
      <c r="F1133" s="1" t="s">
        <v>3493</v>
      </c>
      <c r="G1133" s="1" t="s">
        <v>3494</v>
      </c>
      <c r="H1133" s="1" t="s">
        <v>16</v>
      </c>
      <c r="I1133" s="1" t="s">
        <v>29</v>
      </c>
      <c r="J1133" s="1" t="s">
        <v>3495</v>
      </c>
      <c r="K1133" s="1" t="b">
        <v>0</v>
      </c>
      <c r="L1133" s="1" t="s">
        <v>22</v>
      </c>
      <c r="M1133" s="1" t="s">
        <v>16</v>
      </c>
      <c r="N1133" s="1" t="s">
        <v>16</v>
      </c>
      <c r="O1133" s="1" t="s">
        <v>9956</v>
      </c>
      <c r="P1133" s="1" t="s">
        <v>16</v>
      </c>
      <c r="Q1133" s="1">
        <v>100</v>
      </c>
      <c r="R1133" s="1">
        <v>500</v>
      </c>
      <c r="S1133" s="1">
        <v>500</v>
      </c>
    </row>
    <row r="1134" spans="1:19" ht="12.5" x14ac:dyDescent="0.25">
      <c r="A1134" s="1">
        <v>998</v>
      </c>
      <c r="B1134" s="1" t="s">
        <v>3496</v>
      </c>
      <c r="C1134" s="1" t="s">
        <v>35</v>
      </c>
      <c r="D1134" s="1" t="s">
        <v>152</v>
      </c>
      <c r="E1134" s="1">
        <v>888</v>
      </c>
      <c r="F1134" s="1" t="s">
        <v>3498</v>
      </c>
      <c r="G1134" s="1" t="s">
        <v>3499</v>
      </c>
      <c r="H1134" s="1" t="s">
        <v>16</v>
      </c>
      <c r="I1134" s="1" t="s">
        <v>29</v>
      </c>
      <c r="J1134" s="1" t="s">
        <v>3500</v>
      </c>
      <c r="K1134" s="1" t="b">
        <v>0</v>
      </c>
      <c r="L1134" s="1" t="s">
        <v>22</v>
      </c>
      <c r="M1134" s="1" t="s">
        <v>16</v>
      </c>
      <c r="N1134" s="1" t="s">
        <v>16</v>
      </c>
      <c r="O1134" s="1" t="s">
        <v>9956</v>
      </c>
      <c r="P1134" s="1" t="s">
        <v>16</v>
      </c>
      <c r="Q1134" s="1">
        <v>100</v>
      </c>
      <c r="R1134" s="1">
        <v>2500</v>
      </c>
      <c r="S1134" s="1">
        <v>2500</v>
      </c>
    </row>
    <row r="1135" spans="1:19" ht="12.5" x14ac:dyDescent="0.25">
      <c r="A1135" s="1">
        <v>999</v>
      </c>
      <c r="B1135" s="1" t="s">
        <v>3501</v>
      </c>
      <c r="C1135" s="1" t="s">
        <v>35</v>
      </c>
      <c r="D1135" s="1" t="s">
        <v>152</v>
      </c>
      <c r="E1135" s="1">
        <v>889</v>
      </c>
      <c r="F1135" s="1" t="s">
        <v>3503</v>
      </c>
      <c r="G1135" s="1" t="s">
        <v>3504</v>
      </c>
      <c r="H1135" s="1" t="s">
        <v>16</v>
      </c>
      <c r="I1135" s="1" t="s">
        <v>29</v>
      </c>
      <c r="J1135" s="1" t="s">
        <v>16</v>
      </c>
      <c r="K1135" s="1" t="b">
        <v>0</v>
      </c>
      <c r="L1135" s="1" t="s">
        <v>22</v>
      </c>
      <c r="M1135" s="1" t="s">
        <v>16</v>
      </c>
      <c r="N1135" s="1" t="s">
        <v>16</v>
      </c>
      <c r="O1135" s="1" t="s">
        <v>9956</v>
      </c>
      <c r="P1135" s="1" t="s">
        <v>16</v>
      </c>
      <c r="Q1135" s="1">
        <v>100</v>
      </c>
      <c r="R1135" s="1">
        <v>4000</v>
      </c>
      <c r="S1135" s="1">
        <v>4000</v>
      </c>
    </row>
    <row r="1136" spans="1:19" ht="12.5" x14ac:dyDescent="0.25">
      <c r="A1136" s="1">
        <v>1000</v>
      </c>
      <c r="B1136" s="1" t="s">
        <v>3505</v>
      </c>
      <c r="C1136" s="1" t="s">
        <v>35</v>
      </c>
      <c r="D1136" s="1" t="s">
        <v>152</v>
      </c>
      <c r="E1136" s="1">
        <v>890</v>
      </c>
      <c r="F1136" s="1" t="s">
        <v>3507</v>
      </c>
      <c r="G1136" s="1" t="s">
        <v>3508</v>
      </c>
      <c r="H1136" s="1" t="s">
        <v>16</v>
      </c>
      <c r="I1136" s="1" t="s">
        <v>29</v>
      </c>
      <c r="J1136" s="1" t="s">
        <v>16</v>
      </c>
      <c r="K1136" s="1" t="b">
        <v>0</v>
      </c>
      <c r="L1136" s="1" t="s">
        <v>22</v>
      </c>
      <c r="M1136" s="1" t="s">
        <v>16</v>
      </c>
      <c r="N1136" s="1" t="s">
        <v>16</v>
      </c>
      <c r="O1136" s="1" t="s">
        <v>9956</v>
      </c>
      <c r="P1136" s="1" t="s">
        <v>16</v>
      </c>
      <c r="Q1136" s="1">
        <v>34</v>
      </c>
      <c r="R1136" s="1">
        <v>150000</v>
      </c>
      <c r="S1136" s="1">
        <v>51000</v>
      </c>
    </row>
    <row r="1137" spans="1:19" ht="12.5" x14ac:dyDescent="0.25">
      <c r="A1137" s="1">
        <v>1002</v>
      </c>
      <c r="B1137" s="1" t="s">
        <v>3509</v>
      </c>
      <c r="C1137" s="1" t="s">
        <v>35</v>
      </c>
      <c r="D1137" s="1" t="s">
        <v>152</v>
      </c>
      <c r="E1137" s="1">
        <v>890</v>
      </c>
      <c r="F1137" s="1" t="s">
        <v>3507</v>
      </c>
      <c r="G1137" s="1" t="s">
        <v>3508</v>
      </c>
      <c r="H1137" s="1" t="s">
        <v>16</v>
      </c>
      <c r="I1137" s="1" t="s">
        <v>29</v>
      </c>
      <c r="J1137" s="1" t="s">
        <v>16</v>
      </c>
      <c r="K1137" s="1" t="b">
        <v>0</v>
      </c>
      <c r="L1137" s="1" t="s">
        <v>22</v>
      </c>
      <c r="M1137" s="1" t="s">
        <v>16</v>
      </c>
      <c r="N1137" s="1" t="s">
        <v>16</v>
      </c>
      <c r="O1137" s="1" t="s">
        <v>9956</v>
      </c>
      <c r="P1137" s="1" t="s">
        <v>16</v>
      </c>
      <c r="Q1137" s="1">
        <v>33</v>
      </c>
      <c r="R1137" s="1">
        <v>150000</v>
      </c>
      <c r="S1137" s="1">
        <v>49500</v>
      </c>
    </row>
    <row r="1138" spans="1:19" ht="12.5" x14ac:dyDescent="0.25">
      <c r="A1138" s="1">
        <v>1003</v>
      </c>
      <c r="B1138" s="1" t="s">
        <v>3511</v>
      </c>
      <c r="C1138" s="1" t="s">
        <v>35</v>
      </c>
      <c r="D1138" s="1" t="s">
        <v>152</v>
      </c>
      <c r="E1138" s="1">
        <v>890</v>
      </c>
      <c r="F1138" s="1" t="s">
        <v>3507</v>
      </c>
      <c r="G1138" s="1" t="s">
        <v>3508</v>
      </c>
      <c r="H1138" s="1" t="s">
        <v>16</v>
      </c>
      <c r="I1138" s="1" t="s">
        <v>29</v>
      </c>
      <c r="J1138" s="1" t="s">
        <v>16</v>
      </c>
      <c r="K1138" s="1" t="b">
        <v>0</v>
      </c>
      <c r="L1138" s="1" t="s">
        <v>22</v>
      </c>
      <c r="M1138" s="1" t="s">
        <v>16</v>
      </c>
      <c r="N1138" s="1" t="s">
        <v>16</v>
      </c>
      <c r="O1138" s="1" t="s">
        <v>9956</v>
      </c>
      <c r="P1138" s="1" t="s">
        <v>16</v>
      </c>
      <c r="Q1138" s="1">
        <v>33</v>
      </c>
      <c r="R1138" s="1">
        <v>150000</v>
      </c>
      <c r="S1138" s="1">
        <v>49500</v>
      </c>
    </row>
    <row r="1139" spans="1:19" ht="12.5" x14ac:dyDescent="0.25">
      <c r="A1139" s="1">
        <v>1004</v>
      </c>
      <c r="B1139" s="1" t="s">
        <v>3513</v>
      </c>
      <c r="C1139" s="1" t="s">
        <v>35</v>
      </c>
      <c r="D1139" s="1" t="s">
        <v>152</v>
      </c>
      <c r="E1139" s="1">
        <v>891</v>
      </c>
      <c r="F1139" s="1" t="s">
        <v>3515</v>
      </c>
      <c r="G1139" s="1" t="s">
        <v>3516</v>
      </c>
      <c r="H1139" s="1" t="s">
        <v>16</v>
      </c>
      <c r="I1139" s="1" t="s">
        <v>29</v>
      </c>
      <c r="J1139" s="1" t="s">
        <v>3517</v>
      </c>
      <c r="K1139" s="1" t="b">
        <v>0</v>
      </c>
      <c r="L1139" s="1" t="s">
        <v>22</v>
      </c>
      <c r="M1139" s="1" t="s">
        <v>16</v>
      </c>
      <c r="N1139" s="1" t="s">
        <v>16</v>
      </c>
      <c r="O1139" s="1" t="s">
        <v>9956</v>
      </c>
      <c r="P1139" s="1" t="s">
        <v>16</v>
      </c>
      <c r="Q1139" s="1">
        <v>100</v>
      </c>
      <c r="R1139" s="1">
        <v>2500</v>
      </c>
      <c r="S1139" s="1">
        <v>2500</v>
      </c>
    </row>
    <row r="1140" spans="1:19" ht="12.5" x14ac:dyDescent="0.25">
      <c r="A1140" s="1">
        <v>1006</v>
      </c>
      <c r="B1140" s="1" t="s">
        <v>3518</v>
      </c>
      <c r="C1140" s="1" t="s">
        <v>35</v>
      </c>
      <c r="D1140" s="1" t="s">
        <v>152</v>
      </c>
      <c r="E1140" s="1">
        <v>892</v>
      </c>
      <c r="F1140" s="1" t="s">
        <v>3520</v>
      </c>
      <c r="G1140" s="1" t="s">
        <v>3521</v>
      </c>
      <c r="H1140" s="1" t="s">
        <v>3522</v>
      </c>
      <c r="I1140" s="1" t="s">
        <v>29</v>
      </c>
      <c r="J1140" s="1" t="s">
        <v>3523</v>
      </c>
      <c r="K1140" s="1" t="b">
        <v>1</v>
      </c>
      <c r="L1140" s="1" t="s">
        <v>31</v>
      </c>
      <c r="M1140" s="1">
        <v>2023</v>
      </c>
      <c r="N1140" s="1" t="s">
        <v>45</v>
      </c>
      <c r="O1140" s="1" t="s">
        <v>9956</v>
      </c>
      <c r="P1140" s="1" t="s">
        <v>16</v>
      </c>
      <c r="Q1140" s="1">
        <v>100</v>
      </c>
      <c r="R1140" s="1">
        <v>206745</v>
      </c>
      <c r="S1140" s="1">
        <v>206745</v>
      </c>
    </row>
    <row r="1141" spans="1:19" ht="12.5" x14ac:dyDescent="0.25">
      <c r="A1141" s="1">
        <v>1008</v>
      </c>
      <c r="B1141" s="1" t="s">
        <v>3524</v>
      </c>
      <c r="C1141" s="1" t="s">
        <v>35</v>
      </c>
      <c r="D1141" s="1" t="s">
        <v>152</v>
      </c>
      <c r="E1141" s="1">
        <v>893</v>
      </c>
      <c r="F1141" s="1" t="s">
        <v>3526</v>
      </c>
      <c r="G1141" s="1" t="s">
        <v>3527</v>
      </c>
      <c r="H1141" s="1" t="s">
        <v>3528</v>
      </c>
      <c r="I1141" s="1" t="s">
        <v>29</v>
      </c>
      <c r="J1141" s="1" t="s">
        <v>3529</v>
      </c>
      <c r="K1141" s="1" t="b">
        <v>0</v>
      </c>
      <c r="L1141" s="1" t="s">
        <v>22</v>
      </c>
      <c r="M1141" s="1">
        <v>2022</v>
      </c>
      <c r="N1141" s="1" t="s">
        <v>16</v>
      </c>
      <c r="O1141" s="1" t="s">
        <v>9940</v>
      </c>
      <c r="P1141" s="1" t="s">
        <v>16</v>
      </c>
      <c r="Q1141" s="1">
        <v>100</v>
      </c>
      <c r="R1141" s="1">
        <v>150000</v>
      </c>
      <c r="S1141" s="1">
        <v>150000</v>
      </c>
    </row>
    <row r="1142" spans="1:19" ht="12.5" x14ac:dyDescent="0.25">
      <c r="A1142" s="1">
        <v>1010</v>
      </c>
      <c r="B1142" s="1" t="s">
        <v>3530</v>
      </c>
      <c r="C1142" s="1" t="s">
        <v>35</v>
      </c>
      <c r="D1142" s="1" t="s">
        <v>152</v>
      </c>
      <c r="E1142" s="1">
        <v>894</v>
      </c>
      <c r="F1142" s="1" t="s">
        <v>3531</v>
      </c>
      <c r="G1142" s="1" t="s">
        <v>3532</v>
      </c>
      <c r="H1142" s="1" t="s">
        <v>16</v>
      </c>
      <c r="I1142" s="1" t="s">
        <v>29</v>
      </c>
      <c r="J1142" s="1" t="s">
        <v>3533</v>
      </c>
      <c r="K1142" s="1" t="b">
        <v>0</v>
      </c>
      <c r="L1142" s="1" t="s">
        <v>22</v>
      </c>
      <c r="M1142" s="1">
        <v>2023</v>
      </c>
      <c r="N1142" s="1" t="s">
        <v>32</v>
      </c>
      <c r="O1142" s="1" t="s">
        <v>9956</v>
      </c>
      <c r="P1142" s="1" t="s">
        <v>16</v>
      </c>
      <c r="Q1142" s="1">
        <v>100</v>
      </c>
      <c r="R1142" s="1">
        <v>20000</v>
      </c>
      <c r="S1142" s="1">
        <v>20000</v>
      </c>
    </row>
    <row r="1143" spans="1:19" ht="12.5" x14ac:dyDescent="0.25">
      <c r="A1143" s="1">
        <v>1421</v>
      </c>
      <c r="B1143" s="1" t="s">
        <v>3534</v>
      </c>
      <c r="C1143" s="1" t="s">
        <v>35</v>
      </c>
      <c r="D1143" s="1" t="s">
        <v>152</v>
      </c>
      <c r="E1143" s="1">
        <v>894</v>
      </c>
      <c r="F1143" s="1" t="s">
        <v>3531</v>
      </c>
      <c r="G1143" s="1" t="s">
        <v>3532</v>
      </c>
      <c r="H1143" s="1" t="s">
        <v>16</v>
      </c>
      <c r="I1143" s="1" t="s">
        <v>29</v>
      </c>
      <c r="J1143" s="1" t="s">
        <v>3533</v>
      </c>
      <c r="K1143" s="1" t="b">
        <v>0</v>
      </c>
      <c r="L1143" s="1" t="s">
        <v>22</v>
      </c>
      <c r="M1143" s="1">
        <v>2023</v>
      </c>
      <c r="N1143" s="1" t="s">
        <v>32</v>
      </c>
      <c r="O1143" s="1" t="s">
        <v>9956</v>
      </c>
      <c r="P1143" s="1" t="s">
        <v>16</v>
      </c>
      <c r="Q1143" s="1">
        <v>0</v>
      </c>
      <c r="R1143" s="1">
        <v>20000</v>
      </c>
      <c r="S1143" s="1">
        <v>0</v>
      </c>
    </row>
    <row r="1144" spans="1:19" ht="12.5" x14ac:dyDescent="0.25">
      <c r="A1144" s="1">
        <v>1011</v>
      </c>
      <c r="B1144" s="1" t="s">
        <v>3536</v>
      </c>
      <c r="C1144" s="1" t="s">
        <v>35</v>
      </c>
      <c r="D1144" s="1" t="s">
        <v>152</v>
      </c>
      <c r="E1144" s="1">
        <v>895</v>
      </c>
      <c r="F1144" s="1" t="s">
        <v>3537</v>
      </c>
      <c r="G1144" s="1" t="s">
        <v>3538</v>
      </c>
      <c r="H1144" s="1" t="s">
        <v>16</v>
      </c>
      <c r="I1144" s="1" t="s">
        <v>29</v>
      </c>
      <c r="J1144" s="1" t="s">
        <v>3539</v>
      </c>
      <c r="K1144" s="1" t="b">
        <v>0</v>
      </c>
      <c r="L1144" s="1" t="s">
        <v>22</v>
      </c>
      <c r="M1144" s="1">
        <v>2022</v>
      </c>
      <c r="N1144" s="1" t="s">
        <v>52</v>
      </c>
      <c r="O1144" s="1" t="s">
        <v>9956</v>
      </c>
      <c r="P1144" s="1" t="s">
        <v>16</v>
      </c>
      <c r="Q1144" s="1">
        <v>100</v>
      </c>
      <c r="R1144" s="1">
        <v>12000</v>
      </c>
      <c r="S1144" s="1">
        <v>12000</v>
      </c>
    </row>
    <row r="1145" spans="1:19" ht="12.5" x14ac:dyDescent="0.25">
      <c r="A1145" s="1" t="s">
        <v>16</v>
      </c>
      <c r="B1145" s="1" t="s">
        <v>16</v>
      </c>
      <c r="C1145" s="1" t="s">
        <v>16</v>
      </c>
      <c r="D1145" s="1" t="s">
        <v>16</v>
      </c>
      <c r="E1145" s="1">
        <v>896</v>
      </c>
      <c r="F1145" s="1" t="s">
        <v>3540</v>
      </c>
      <c r="G1145" s="1" t="s">
        <v>3541</v>
      </c>
      <c r="H1145" s="1" t="s">
        <v>16</v>
      </c>
      <c r="I1145" s="1" t="s">
        <v>29</v>
      </c>
      <c r="J1145" s="1" t="s">
        <v>3542</v>
      </c>
      <c r="K1145" s="1" t="b">
        <v>0</v>
      </c>
      <c r="L1145" s="1" t="s">
        <v>22</v>
      </c>
      <c r="M1145" s="1" t="s">
        <v>16</v>
      </c>
      <c r="N1145" s="1" t="s">
        <v>16</v>
      </c>
      <c r="O1145" s="1" t="s">
        <v>9956</v>
      </c>
      <c r="P1145" s="1" t="s">
        <v>16</v>
      </c>
      <c r="R1145" s="1">
        <v>7500</v>
      </c>
    </row>
    <row r="1146" spans="1:19" ht="12.5" x14ac:dyDescent="0.25">
      <c r="A1146" s="1">
        <v>1013</v>
      </c>
      <c r="B1146" s="1" t="s">
        <v>3543</v>
      </c>
      <c r="C1146" s="1" t="s">
        <v>35</v>
      </c>
      <c r="D1146" s="1" t="s">
        <v>152</v>
      </c>
      <c r="E1146" s="1">
        <v>897</v>
      </c>
      <c r="F1146" s="1" t="s">
        <v>3545</v>
      </c>
      <c r="G1146" s="1" t="s">
        <v>3546</v>
      </c>
      <c r="H1146" s="1" t="s">
        <v>3547</v>
      </c>
      <c r="I1146" s="1" t="s">
        <v>29</v>
      </c>
      <c r="J1146" s="1" t="s">
        <v>16</v>
      </c>
      <c r="K1146" s="1" t="b">
        <v>0</v>
      </c>
      <c r="L1146" s="1" t="s">
        <v>22</v>
      </c>
      <c r="M1146" s="1">
        <v>2023</v>
      </c>
      <c r="N1146" s="1" t="s">
        <v>32</v>
      </c>
      <c r="O1146" s="1" t="s">
        <v>9956</v>
      </c>
      <c r="P1146" s="1" t="s">
        <v>9989</v>
      </c>
      <c r="Q1146" s="1">
        <v>100</v>
      </c>
      <c r="R1146" s="1">
        <v>7730</v>
      </c>
      <c r="S1146" s="1">
        <v>7730</v>
      </c>
    </row>
    <row r="1147" spans="1:19" ht="12.5" x14ac:dyDescent="0.25">
      <c r="A1147" s="1">
        <v>1014</v>
      </c>
      <c r="B1147" s="1" t="s">
        <v>3548</v>
      </c>
      <c r="C1147" s="1" t="s">
        <v>35</v>
      </c>
      <c r="D1147" s="1" t="s">
        <v>152</v>
      </c>
      <c r="E1147" s="1">
        <v>898</v>
      </c>
      <c r="F1147" s="1" t="s">
        <v>3550</v>
      </c>
      <c r="G1147" s="1" t="s">
        <v>3551</v>
      </c>
      <c r="H1147" s="1" t="s">
        <v>16</v>
      </c>
      <c r="I1147" s="1" t="s">
        <v>29</v>
      </c>
      <c r="J1147" s="1" t="s">
        <v>3552</v>
      </c>
      <c r="K1147" s="1" t="b">
        <v>0</v>
      </c>
      <c r="L1147" s="1" t="s">
        <v>22</v>
      </c>
      <c r="M1147" s="1" t="s">
        <v>16</v>
      </c>
      <c r="N1147" s="1" t="s">
        <v>16</v>
      </c>
      <c r="O1147" s="1" t="s">
        <v>9956</v>
      </c>
      <c r="P1147" s="1" t="s">
        <v>16</v>
      </c>
      <c r="Q1147" s="1">
        <v>100</v>
      </c>
      <c r="R1147" s="1">
        <v>2500</v>
      </c>
      <c r="S1147" s="1">
        <v>2500</v>
      </c>
    </row>
    <row r="1148" spans="1:19" ht="12.5" x14ac:dyDescent="0.25">
      <c r="A1148" s="1">
        <v>1015</v>
      </c>
      <c r="B1148" s="1" t="s">
        <v>3553</v>
      </c>
      <c r="C1148" s="1" t="s">
        <v>35</v>
      </c>
      <c r="D1148" s="1" t="s">
        <v>152</v>
      </c>
      <c r="E1148" s="1">
        <v>899</v>
      </c>
      <c r="F1148" s="1" t="s">
        <v>3555</v>
      </c>
      <c r="G1148" s="1" t="s">
        <v>3551</v>
      </c>
      <c r="H1148" s="1" t="s">
        <v>16</v>
      </c>
      <c r="I1148" s="1" t="s">
        <v>29</v>
      </c>
      <c r="J1148" s="1" t="s">
        <v>3556</v>
      </c>
      <c r="K1148" s="1" t="b">
        <v>0</v>
      </c>
      <c r="L1148" s="1" t="s">
        <v>22</v>
      </c>
      <c r="M1148" s="1" t="s">
        <v>16</v>
      </c>
      <c r="N1148" s="1" t="s">
        <v>16</v>
      </c>
      <c r="O1148" s="1" t="s">
        <v>9956</v>
      </c>
      <c r="P1148" s="1" t="s">
        <v>16</v>
      </c>
      <c r="Q1148" s="1">
        <v>100</v>
      </c>
      <c r="R1148" s="1">
        <v>4000</v>
      </c>
      <c r="S1148" s="1">
        <v>4000</v>
      </c>
    </row>
    <row r="1149" spans="1:19" ht="12.5" x14ac:dyDescent="0.25">
      <c r="A1149" s="1" t="s">
        <v>16</v>
      </c>
      <c r="B1149" s="1" t="s">
        <v>16</v>
      </c>
      <c r="C1149" s="1" t="s">
        <v>16</v>
      </c>
      <c r="D1149" s="1" t="s">
        <v>16</v>
      </c>
      <c r="E1149" s="1">
        <v>900</v>
      </c>
      <c r="F1149" s="1" t="s">
        <v>3557</v>
      </c>
      <c r="G1149" s="1" t="s">
        <v>3558</v>
      </c>
      <c r="H1149" s="1" t="s">
        <v>16</v>
      </c>
      <c r="I1149" s="1" t="s">
        <v>29</v>
      </c>
      <c r="J1149" s="1" t="s">
        <v>3559</v>
      </c>
      <c r="K1149" s="1" t="b">
        <v>0</v>
      </c>
      <c r="L1149" s="1" t="s">
        <v>22</v>
      </c>
      <c r="M1149" s="1" t="s">
        <v>16</v>
      </c>
      <c r="N1149" s="1" t="s">
        <v>16</v>
      </c>
      <c r="O1149" s="1" t="s">
        <v>9956</v>
      </c>
      <c r="P1149" s="1" t="s">
        <v>16</v>
      </c>
      <c r="R1149" s="1">
        <v>120000</v>
      </c>
    </row>
    <row r="1150" spans="1:19" ht="12.5" x14ac:dyDescent="0.25">
      <c r="A1150" s="1">
        <v>1017</v>
      </c>
      <c r="B1150" s="1" t="s">
        <v>3560</v>
      </c>
      <c r="C1150" s="1" t="s">
        <v>35</v>
      </c>
      <c r="D1150" s="1" t="s">
        <v>152</v>
      </c>
      <c r="E1150" s="1">
        <v>901</v>
      </c>
      <c r="F1150" s="1" t="s">
        <v>3562</v>
      </c>
      <c r="G1150" s="1" t="s">
        <v>3563</v>
      </c>
      <c r="H1150" s="1" t="s">
        <v>3564</v>
      </c>
      <c r="I1150" s="1" t="s">
        <v>29</v>
      </c>
      <c r="J1150" s="1" t="s">
        <v>3565</v>
      </c>
      <c r="K1150" s="1" t="b">
        <v>0</v>
      </c>
      <c r="L1150" s="1" t="s">
        <v>22</v>
      </c>
      <c r="M1150" s="1">
        <v>2022</v>
      </c>
      <c r="N1150" s="1" t="s">
        <v>52</v>
      </c>
      <c r="O1150" s="1" t="s">
        <v>9956</v>
      </c>
      <c r="P1150" s="1" t="s">
        <v>9989</v>
      </c>
      <c r="Q1150" s="1">
        <v>100</v>
      </c>
      <c r="R1150" s="1">
        <v>14168</v>
      </c>
      <c r="S1150" s="1">
        <v>14168</v>
      </c>
    </row>
    <row r="1151" spans="1:19" ht="12.5" x14ac:dyDescent="0.25">
      <c r="A1151" s="1">
        <v>1018</v>
      </c>
      <c r="B1151" s="1" t="s">
        <v>3566</v>
      </c>
      <c r="C1151" s="1" t="s">
        <v>35</v>
      </c>
      <c r="D1151" s="1" t="s">
        <v>152</v>
      </c>
      <c r="E1151" s="1">
        <v>902</v>
      </c>
      <c r="F1151" s="1" t="s">
        <v>3568</v>
      </c>
      <c r="G1151" s="1" t="s">
        <v>3569</v>
      </c>
      <c r="H1151" s="1" t="s">
        <v>16</v>
      </c>
      <c r="I1151" s="1" t="s">
        <v>29</v>
      </c>
      <c r="J1151" s="1" t="s">
        <v>3570</v>
      </c>
      <c r="K1151" s="1" t="b">
        <v>0</v>
      </c>
      <c r="L1151" s="1" t="s">
        <v>22</v>
      </c>
      <c r="M1151" s="1">
        <v>2022</v>
      </c>
      <c r="N1151" s="1" t="s">
        <v>52</v>
      </c>
      <c r="O1151" s="1" t="s">
        <v>9956</v>
      </c>
      <c r="P1151" s="1" t="s">
        <v>9989</v>
      </c>
      <c r="Q1151" s="1">
        <v>100</v>
      </c>
      <c r="R1151" s="1">
        <v>292727</v>
      </c>
      <c r="S1151" s="1">
        <v>292727</v>
      </c>
    </row>
    <row r="1152" spans="1:19" ht="12.5" x14ac:dyDescent="0.25">
      <c r="A1152" s="1">
        <v>1019</v>
      </c>
      <c r="B1152" s="1" t="s">
        <v>3571</v>
      </c>
      <c r="C1152" s="1" t="s">
        <v>35</v>
      </c>
      <c r="D1152" s="1" t="s">
        <v>152</v>
      </c>
      <c r="E1152" s="1">
        <v>903</v>
      </c>
      <c r="F1152" s="1" t="s">
        <v>3573</v>
      </c>
      <c r="G1152" s="1" t="s">
        <v>3574</v>
      </c>
      <c r="H1152" s="1" t="s">
        <v>16</v>
      </c>
      <c r="I1152" s="1" t="s">
        <v>29</v>
      </c>
      <c r="J1152" s="1" t="s">
        <v>3575</v>
      </c>
      <c r="K1152" s="1" t="b">
        <v>0</v>
      </c>
      <c r="L1152" s="1" t="s">
        <v>22</v>
      </c>
      <c r="M1152" s="1">
        <v>2022</v>
      </c>
      <c r="N1152" s="1" t="s">
        <v>52</v>
      </c>
      <c r="O1152" s="1" t="s">
        <v>9956</v>
      </c>
      <c r="P1152" s="1" t="s">
        <v>9989</v>
      </c>
      <c r="Q1152" s="1">
        <v>100</v>
      </c>
      <c r="R1152" s="1">
        <v>282200</v>
      </c>
      <c r="S1152" s="1">
        <v>282200</v>
      </c>
    </row>
    <row r="1153" spans="1:19" ht="12.5" x14ac:dyDescent="0.25">
      <c r="A1153" s="1">
        <v>1020</v>
      </c>
      <c r="B1153" s="1" t="s">
        <v>3576</v>
      </c>
      <c r="C1153" s="1" t="s">
        <v>35</v>
      </c>
      <c r="D1153" s="1" t="s">
        <v>152</v>
      </c>
      <c r="E1153" s="1">
        <v>904</v>
      </c>
      <c r="F1153" s="1" t="s">
        <v>3578</v>
      </c>
      <c r="G1153" s="1" t="s">
        <v>3579</v>
      </c>
      <c r="H1153" s="1" t="s">
        <v>16</v>
      </c>
      <c r="I1153" s="1" t="s">
        <v>29</v>
      </c>
      <c r="J1153" s="1" t="s">
        <v>3580</v>
      </c>
      <c r="K1153" s="1" t="b">
        <v>1</v>
      </c>
      <c r="L1153" s="1" t="s">
        <v>31</v>
      </c>
      <c r="M1153" s="1" t="s">
        <v>16</v>
      </c>
      <c r="N1153" s="1" t="s">
        <v>16</v>
      </c>
      <c r="O1153" s="1" t="s">
        <v>9956</v>
      </c>
      <c r="P1153" s="1" t="s">
        <v>16</v>
      </c>
      <c r="Q1153" s="1">
        <v>100</v>
      </c>
      <c r="R1153" s="1">
        <v>25000</v>
      </c>
      <c r="S1153" s="1">
        <v>25000</v>
      </c>
    </row>
    <row r="1154" spans="1:19" ht="12.5" x14ac:dyDescent="0.25">
      <c r="A1154" s="1">
        <v>1021</v>
      </c>
      <c r="B1154" s="1" t="s">
        <v>3581</v>
      </c>
      <c r="C1154" s="1" t="s">
        <v>35</v>
      </c>
      <c r="D1154" s="1" t="s">
        <v>152</v>
      </c>
      <c r="E1154" s="1">
        <v>905</v>
      </c>
      <c r="F1154" s="1" t="s">
        <v>3583</v>
      </c>
      <c r="G1154" s="1" t="s">
        <v>3584</v>
      </c>
      <c r="H1154" s="1" t="s">
        <v>16</v>
      </c>
      <c r="I1154" s="1" t="s">
        <v>29</v>
      </c>
      <c r="J1154" s="1" t="s">
        <v>3585</v>
      </c>
      <c r="K1154" s="1" t="b">
        <v>1</v>
      </c>
      <c r="L1154" s="1" t="s">
        <v>31</v>
      </c>
      <c r="M1154" s="1" t="s">
        <v>16</v>
      </c>
      <c r="N1154" s="1" t="s">
        <v>16</v>
      </c>
      <c r="O1154" s="1" t="s">
        <v>9956</v>
      </c>
      <c r="P1154" s="1" t="s">
        <v>16</v>
      </c>
      <c r="Q1154" s="1">
        <v>100</v>
      </c>
      <c r="R1154" s="1">
        <v>25000</v>
      </c>
      <c r="S1154" s="1">
        <v>25000</v>
      </c>
    </row>
    <row r="1155" spans="1:19" ht="12.5" x14ac:dyDescent="0.25">
      <c r="A1155" s="1">
        <v>1022</v>
      </c>
      <c r="B1155" s="1" t="s">
        <v>3586</v>
      </c>
      <c r="C1155" s="1" t="s">
        <v>35</v>
      </c>
      <c r="D1155" s="1" t="s">
        <v>152</v>
      </c>
      <c r="E1155" s="1">
        <v>906</v>
      </c>
      <c r="F1155" s="1" t="s">
        <v>3588</v>
      </c>
      <c r="G1155" s="1" t="s">
        <v>3589</v>
      </c>
      <c r="H1155" s="1"/>
      <c r="I1155" s="1" t="s">
        <v>29</v>
      </c>
      <c r="J1155" s="1" t="s">
        <v>3590</v>
      </c>
      <c r="K1155" s="1" t="b">
        <v>1</v>
      </c>
      <c r="L1155" s="1" t="s">
        <v>31</v>
      </c>
      <c r="M1155" s="1" t="s">
        <v>16</v>
      </c>
      <c r="N1155" s="1" t="s">
        <v>16</v>
      </c>
      <c r="O1155" s="1" t="s">
        <v>9956</v>
      </c>
      <c r="P1155" s="1" t="s">
        <v>16</v>
      </c>
      <c r="Q1155" s="1">
        <v>100</v>
      </c>
      <c r="R1155" s="1">
        <v>25000</v>
      </c>
      <c r="S1155" s="1">
        <v>25000</v>
      </c>
    </row>
    <row r="1156" spans="1:19" ht="12.5" x14ac:dyDescent="0.25">
      <c r="A1156" s="1">
        <v>1023</v>
      </c>
      <c r="B1156" s="1" t="s">
        <v>3591</v>
      </c>
      <c r="C1156" s="1" t="s">
        <v>35</v>
      </c>
      <c r="D1156" s="1" t="s">
        <v>152</v>
      </c>
      <c r="E1156" s="1">
        <v>907</v>
      </c>
      <c r="F1156" s="1" t="s">
        <v>3593</v>
      </c>
      <c r="G1156" s="1" t="s">
        <v>3594</v>
      </c>
      <c r="H1156" s="1" t="s">
        <v>16</v>
      </c>
      <c r="I1156" s="1" t="s">
        <v>29</v>
      </c>
      <c r="J1156" s="1" t="s">
        <v>3595</v>
      </c>
      <c r="K1156" s="1" t="b">
        <v>1</v>
      </c>
      <c r="L1156" s="1" t="s">
        <v>31</v>
      </c>
      <c r="M1156" s="1" t="s">
        <v>16</v>
      </c>
      <c r="N1156" s="1" t="s">
        <v>16</v>
      </c>
      <c r="O1156" s="1" t="s">
        <v>9956</v>
      </c>
      <c r="P1156" s="1" t="s">
        <v>16</v>
      </c>
      <c r="Q1156" s="1">
        <v>100</v>
      </c>
      <c r="R1156" s="1">
        <v>25000</v>
      </c>
      <c r="S1156" s="1">
        <v>25000</v>
      </c>
    </row>
    <row r="1157" spans="1:19" ht="12.5" x14ac:dyDescent="0.25">
      <c r="A1157" s="1">
        <v>1024</v>
      </c>
      <c r="B1157" s="1" t="s">
        <v>3596</v>
      </c>
      <c r="C1157" s="1" t="s">
        <v>35</v>
      </c>
      <c r="D1157" s="1" t="s">
        <v>152</v>
      </c>
      <c r="E1157" s="1">
        <v>908</v>
      </c>
      <c r="F1157" s="1" t="s">
        <v>3598</v>
      </c>
      <c r="G1157" s="1" t="s">
        <v>3599</v>
      </c>
      <c r="H1157" s="1" t="s">
        <v>16</v>
      </c>
      <c r="I1157" s="1" t="s">
        <v>29</v>
      </c>
      <c r="J1157" s="1" t="s">
        <v>3600</v>
      </c>
      <c r="K1157" s="1" t="b">
        <v>1</v>
      </c>
      <c r="L1157" s="1" t="s">
        <v>31</v>
      </c>
      <c r="M1157" s="1">
        <v>2022</v>
      </c>
      <c r="N1157" s="1" t="s">
        <v>52</v>
      </c>
      <c r="O1157" s="1" t="s">
        <v>9956</v>
      </c>
      <c r="P1157" s="1" t="s">
        <v>16</v>
      </c>
      <c r="Q1157" s="1">
        <v>100</v>
      </c>
      <c r="R1157" s="1">
        <v>15440</v>
      </c>
      <c r="S1157" s="1">
        <v>15440</v>
      </c>
    </row>
    <row r="1158" spans="1:19" ht="12.5" x14ac:dyDescent="0.25">
      <c r="A1158" s="1">
        <v>1026</v>
      </c>
      <c r="B1158" s="1" t="s">
        <v>3601</v>
      </c>
      <c r="C1158" s="1" t="s">
        <v>35</v>
      </c>
      <c r="D1158" s="1" t="s">
        <v>152</v>
      </c>
      <c r="E1158" s="1">
        <v>909</v>
      </c>
      <c r="F1158" s="1" t="s">
        <v>3603</v>
      </c>
      <c r="G1158" s="1" t="s">
        <v>3604</v>
      </c>
      <c r="H1158" s="1" t="s">
        <v>16</v>
      </c>
      <c r="I1158" s="1" t="s">
        <v>29</v>
      </c>
      <c r="J1158" s="1" t="s">
        <v>3605</v>
      </c>
      <c r="K1158" s="1" t="b">
        <v>1</v>
      </c>
      <c r="L1158" s="1" t="s">
        <v>31</v>
      </c>
      <c r="M1158" s="1" t="s">
        <v>16</v>
      </c>
      <c r="N1158" s="1" t="s">
        <v>16</v>
      </c>
      <c r="O1158" s="1" t="s">
        <v>9956</v>
      </c>
      <c r="P1158" s="1" t="s">
        <v>16</v>
      </c>
      <c r="Q1158" s="1">
        <v>100</v>
      </c>
      <c r="R1158" s="1">
        <v>4000</v>
      </c>
      <c r="S1158" s="1">
        <v>4000</v>
      </c>
    </row>
    <row r="1159" spans="1:19" ht="12.5" x14ac:dyDescent="0.25">
      <c r="A1159" s="1">
        <v>1028</v>
      </c>
      <c r="B1159" s="1" t="s">
        <v>3606</v>
      </c>
      <c r="C1159" s="1" t="s">
        <v>35</v>
      </c>
      <c r="D1159" s="1" t="s">
        <v>152</v>
      </c>
      <c r="E1159" s="1">
        <v>910</v>
      </c>
      <c r="F1159" s="1" t="s">
        <v>3608</v>
      </c>
      <c r="G1159" s="1" t="s">
        <v>3609</v>
      </c>
      <c r="H1159" s="1" t="s">
        <v>16</v>
      </c>
      <c r="I1159" s="1" t="s">
        <v>29</v>
      </c>
      <c r="J1159" s="1" t="s">
        <v>3610</v>
      </c>
      <c r="K1159" s="1" t="b">
        <v>0</v>
      </c>
      <c r="L1159" s="1" t="s">
        <v>22</v>
      </c>
      <c r="M1159" s="1" t="s">
        <v>16</v>
      </c>
      <c r="N1159" s="1" t="s">
        <v>16</v>
      </c>
      <c r="O1159" s="1" t="s">
        <v>9956</v>
      </c>
      <c r="P1159" s="1" t="s">
        <v>16</v>
      </c>
      <c r="Q1159" s="1">
        <v>100</v>
      </c>
      <c r="R1159" s="1">
        <v>35000</v>
      </c>
      <c r="S1159" s="1">
        <v>35000</v>
      </c>
    </row>
    <row r="1160" spans="1:19" ht="12.5" x14ac:dyDescent="0.25">
      <c r="A1160" s="1">
        <v>1029</v>
      </c>
      <c r="B1160" s="1" t="s">
        <v>3611</v>
      </c>
      <c r="C1160" s="1" t="s">
        <v>35</v>
      </c>
      <c r="D1160" s="1" t="s">
        <v>152</v>
      </c>
      <c r="E1160" s="1">
        <v>911</v>
      </c>
      <c r="F1160" s="1" t="s">
        <v>3613</v>
      </c>
      <c r="G1160" s="1" t="s">
        <v>3614</v>
      </c>
      <c r="H1160" s="1" t="s">
        <v>16</v>
      </c>
      <c r="I1160" s="1" t="s">
        <v>29</v>
      </c>
      <c r="J1160" s="1" t="s">
        <v>3615</v>
      </c>
      <c r="K1160" s="1" t="b">
        <v>0</v>
      </c>
      <c r="L1160" s="1" t="s">
        <v>22</v>
      </c>
      <c r="M1160" s="1" t="s">
        <v>16</v>
      </c>
      <c r="N1160" s="1" t="s">
        <v>16</v>
      </c>
      <c r="O1160" s="1" t="s">
        <v>9956</v>
      </c>
      <c r="P1160" s="1" t="s">
        <v>16</v>
      </c>
      <c r="Q1160" s="1">
        <v>100</v>
      </c>
      <c r="R1160" s="1">
        <v>3000</v>
      </c>
      <c r="S1160" s="1">
        <v>3000</v>
      </c>
    </row>
    <row r="1161" spans="1:19" ht="12.5" x14ac:dyDescent="0.25">
      <c r="A1161" s="1">
        <v>1030</v>
      </c>
      <c r="B1161" s="1" t="s">
        <v>3616</v>
      </c>
      <c r="C1161" s="1" t="s">
        <v>35</v>
      </c>
      <c r="D1161" s="1" t="s">
        <v>152</v>
      </c>
      <c r="E1161" s="1">
        <v>912</v>
      </c>
      <c r="F1161" s="1" t="s">
        <v>3618</v>
      </c>
      <c r="G1161" s="1" t="s">
        <v>3619</v>
      </c>
      <c r="H1161" s="1" t="s">
        <v>16</v>
      </c>
      <c r="I1161" s="1" t="s">
        <v>29</v>
      </c>
      <c r="J1161" s="1" t="s">
        <v>3620</v>
      </c>
      <c r="K1161" s="1" t="b">
        <v>0</v>
      </c>
      <c r="L1161" s="1" t="s">
        <v>22</v>
      </c>
      <c r="M1161" s="1" t="s">
        <v>16</v>
      </c>
      <c r="N1161" s="1" t="s">
        <v>16</v>
      </c>
      <c r="O1161" s="1" t="s">
        <v>9956</v>
      </c>
      <c r="P1161" s="1" t="s">
        <v>16</v>
      </c>
      <c r="Q1161" s="1">
        <v>100</v>
      </c>
      <c r="R1161" s="1">
        <v>3000</v>
      </c>
      <c r="S1161" s="1">
        <v>3000</v>
      </c>
    </row>
    <row r="1162" spans="1:19" ht="12.5" x14ac:dyDescent="0.25">
      <c r="A1162" s="1">
        <v>1031</v>
      </c>
      <c r="B1162" s="1" t="s">
        <v>3621</v>
      </c>
      <c r="C1162" s="1" t="s">
        <v>35</v>
      </c>
      <c r="D1162" s="1" t="s">
        <v>152</v>
      </c>
      <c r="E1162" s="1">
        <v>913</v>
      </c>
      <c r="F1162" s="1" t="s">
        <v>3623</v>
      </c>
      <c r="G1162" s="1" t="s">
        <v>3624</v>
      </c>
      <c r="H1162" s="1" t="s">
        <v>16</v>
      </c>
      <c r="I1162" s="1" t="s">
        <v>29</v>
      </c>
      <c r="J1162" s="1" t="s">
        <v>3625</v>
      </c>
      <c r="K1162" s="1" t="b">
        <v>1</v>
      </c>
      <c r="L1162" s="1" t="s">
        <v>31</v>
      </c>
      <c r="M1162" s="1">
        <v>2022</v>
      </c>
      <c r="N1162" s="1" t="s">
        <v>45</v>
      </c>
      <c r="O1162" s="1" t="s">
        <v>9956</v>
      </c>
      <c r="P1162" s="1" t="s">
        <v>16</v>
      </c>
      <c r="Q1162" s="1">
        <v>100</v>
      </c>
      <c r="R1162" s="1">
        <v>3500</v>
      </c>
      <c r="S1162" s="1">
        <v>3500</v>
      </c>
    </row>
    <row r="1163" spans="1:19" ht="12.5" x14ac:dyDescent="0.25">
      <c r="A1163" s="1">
        <v>1034</v>
      </c>
      <c r="B1163" s="1" t="s">
        <v>3626</v>
      </c>
      <c r="C1163" s="1" t="s">
        <v>35</v>
      </c>
      <c r="D1163" s="1" t="s">
        <v>152</v>
      </c>
      <c r="E1163" s="1">
        <v>914</v>
      </c>
      <c r="F1163" s="1" t="s">
        <v>3628</v>
      </c>
      <c r="G1163" s="1" t="s">
        <v>3629</v>
      </c>
      <c r="H1163" s="1" t="s">
        <v>16</v>
      </c>
      <c r="I1163" s="1" t="s">
        <v>29</v>
      </c>
      <c r="J1163" s="1" t="s">
        <v>3630</v>
      </c>
      <c r="K1163" s="1" t="b">
        <v>1</v>
      </c>
      <c r="L1163" s="1" t="s">
        <v>31</v>
      </c>
      <c r="M1163" s="1" t="s">
        <v>16</v>
      </c>
      <c r="N1163" s="1" t="s">
        <v>16</v>
      </c>
      <c r="O1163" s="1" t="s">
        <v>9956</v>
      </c>
      <c r="P1163" s="1" t="s">
        <v>16</v>
      </c>
      <c r="Q1163" s="1">
        <v>100</v>
      </c>
      <c r="R1163" s="1">
        <v>50000</v>
      </c>
      <c r="S1163" s="1">
        <v>50000</v>
      </c>
    </row>
    <row r="1164" spans="1:19" ht="12.5" x14ac:dyDescent="0.25">
      <c r="A1164" s="1">
        <v>1037</v>
      </c>
      <c r="B1164" s="1" t="s">
        <v>3631</v>
      </c>
      <c r="C1164" s="1" t="s">
        <v>35</v>
      </c>
      <c r="D1164" s="1" t="s">
        <v>152</v>
      </c>
      <c r="E1164" s="1">
        <v>915</v>
      </c>
      <c r="F1164" s="1" t="s">
        <v>3633</v>
      </c>
      <c r="G1164" s="1" t="s">
        <v>3634</v>
      </c>
      <c r="H1164" s="1" t="s">
        <v>3635</v>
      </c>
      <c r="I1164" s="1" t="s">
        <v>29</v>
      </c>
      <c r="J1164" s="1" t="s">
        <v>3636</v>
      </c>
      <c r="K1164" s="1" t="b">
        <v>1</v>
      </c>
      <c r="L1164" s="1" t="s">
        <v>31</v>
      </c>
      <c r="M1164" s="1" t="s">
        <v>16</v>
      </c>
      <c r="N1164" s="1" t="s">
        <v>16</v>
      </c>
      <c r="O1164" s="1" t="s">
        <v>9956</v>
      </c>
      <c r="P1164" s="1" t="s">
        <v>16</v>
      </c>
      <c r="Q1164" s="1">
        <v>100</v>
      </c>
      <c r="R1164" s="1">
        <v>50000</v>
      </c>
      <c r="S1164" s="1">
        <v>50000</v>
      </c>
    </row>
    <row r="1165" spans="1:19" ht="12.5" x14ac:dyDescent="0.25">
      <c r="A1165" s="1">
        <v>1038</v>
      </c>
      <c r="B1165" s="1" t="s">
        <v>3637</v>
      </c>
      <c r="C1165" s="1" t="s">
        <v>35</v>
      </c>
      <c r="D1165" s="1" t="s">
        <v>152</v>
      </c>
      <c r="E1165" s="1">
        <v>916</v>
      </c>
      <c r="F1165" s="1" t="s">
        <v>3639</v>
      </c>
      <c r="G1165" s="1" t="s">
        <v>3640</v>
      </c>
      <c r="H1165" s="1" t="s">
        <v>3641</v>
      </c>
      <c r="I1165" s="1" t="s">
        <v>29</v>
      </c>
      <c r="J1165" s="1" t="s">
        <v>3642</v>
      </c>
      <c r="K1165" s="1" t="b">
        <v>1</v>
      </c>
      <c r="L1165" s="1" t="s">
        <v>31</v>
      </c>
      <c r="M1165" s="1">
        <v>2022</v>
      </c>
      <c r="N1165" s="1" t="s">
        <v>52</v>
      </c>
      <c r="O1165" s="1" t="s">
        <v>9956</v>
      </c>
      <c r="P1165" s="1" t="s">
        <v>16</v>
      </c>
      <c r="Q1165" s="1">
        <v>100</v>
      </c>
      <c r="R1165" s="1">
        <v>54225</v>
      </c>
      <c r="S1165" s="1">
        <v>54225</v>
      </c>
    </row>
    <row r="1166" spans="1:19" ht="12.5" x14ac:dyDescent="0.25">
      <c r="A1166" s="1">
        <v>1039</v>
      </c>
      <c r="B1166" s="1" t="s">
        <v>3643</v>
      </c>
      <c r="C1166" s="1" t="s">
        <v>35</v>
      </c>
      <c r="D1166" s="1" t="s">
        <v>152</v>
      </c>
      <c r="E1166" s="1">
        <v>917</v>
      </c>
      <c r="F1166" s="1" t="s">
        <v>3645</v>
      </c>
      <c r="G1166" s="1" t="s">
        <v>3646</v>
      </c>
      <c r="H1166" s="1" t="s">
        <v>3647</v>
      </c>
      <c r="I1166" s="1" t="s">
        <v>29</v>
      </c>
      <c r="J1166" s="1" t="s">
        <v>3648</v>
      </c>
      <c r="K1166" s="1" t="b">
        <v>1</v>
      </c>
      <c r="L1166" s="1" t="s">
        <v>31</v>
      </c>
      <c r="M1166" s="1" t="s">
        <v>16</v>
      </c>
      <c r="N1166" s="1" t="s">
        <v>16</v>
      </c>
      <c r="O1166" s="1" t="s">
        <v>9956</v>
      </c>
      <c r="P1166" s="1" t="s">
        <v>16</v>
      </c>
      <c r="Q1166" s="1">
        <v>100</v>
      </c>
      <c r="R1166" s="1">
        <v>680</v>
      </c>
      <c r="S1166" s="1">
        <v>680</v>
      </c>
    </row>
    <row r="1167" spans="1:19" ht="12.5" x14ac:dyDescent="0.25">
      <c r="A1167" s="1">
        <v>1040</v>
      </c>
      <c r="B1167" s="1" t="s">
        <v>3649</v>
      </c>
      <c r="C1167" s="1" t="s">
        <v>35</v>
      </c>
      <c r="D1167" s="1" t="s">
        <v>152</v>
      </c>
      <c r="E1167" s="1">
        <v>918</v>
      </c>
      <c r="F1167" s="1" t="s">
        <v>3651</v>
      </c>
      <c r="G1167" s="1" t="s">
        <v>3652</v>
      </c>
      <c r="H1167" s="1" t="s">
        <v>16</v>
      </c>
      <c r="I1167" s="1" t="s">
        <v>29</v>
      </c>
      <c r="J1167" s="1" t="s">
        <v>3653</v>
      </c>
      <c r="K1167" s="1" t="b">
        <v>0</v>
      </c>
      <c r="L1167" s="1" t="s">
        <v>22</v>
      </c>
      <c r="M1167" s="1" t="s">
        <v>16</v>
      </c>
      <c r="N1167" s="1" t="s">
        <v>16</v>
      </c>
      <c r="O1167" s="1" t="s">
        <v>9956</v>
      </c>
      <c r="P1167" s="1" t="s">
        <v>16</v>
      </c>
      <c r="Q1167" s="1">
        <v>100</v>
      </c>
      <c r="R1167" s="1">
        <v>250000</v>
      </c>
      <c r="S1167" s="1">
        <v>250000</v>
      </c>
    </row>
    <row r="1168" spans="1:19" ht="12.5" x14ac:dyDescent="0.25">
      <c r="A1168" s="1">
        <v>1041</v>
      </c>
      <c r="B1168" s="1" t="s">
        <v>3654</v>
      </c>
      <c r="C1168" s="1" t="s">
        <v>35</v>
      </c>
      <c r="D1168" s="1" t="s">
        <v>152</v>
      </c>
      <c r="E1168" s="1">
        <v>919</v>
      </c>
      <c r="F1168" s="1" t="s">
        <v>3656</v>
      </c>
      <c r="G1168" s="1" t="s">
        <v>3657</v>
      </c>
      <c r="H1168" s="1" t="s">
        <v>16</v>
      </c>
      <c r="I1168" s="1" t="s">
        <v>29</v>
      </c>
      <c r="J1168" s="1" t="s">
        <v>3658</v>
      </c>
      <c r="K1168" s="1" t="b">
        <v>0</v>
      </c>
      <c r="L1168" s="1" t="s">
        <v>22</v>
      </c>
      <c r="M1168" s="1">
        <v>2022</v>
      </c>
      <c r="N1168" s="1" t="s">
        <v>45</v>
      </c>
      <c r="O1168" s="1" t="s">
        <v>9956</v>
      </c>
      <c r="P1168" s="1" t="s">
        <v>16</v>
      </c>
      <c r="Q1168" s="1">
        <v>100</v>
      </c>
      <c r="R1168" s="1">
        <v>15000</v>
      </c>
      <c r="S1168" s="1">
        <v>15000</v>
      </c>
    </row>
    <row r="1169" spans="1:19" ht="12.5" x14ac:dyDescent="0.25">
      <c r="A1169" s="1">
        <v>1043</v>
      </c>
      <c r="B1169" s="1" t="s">
        <v>3659</v>
      </c>
      <c r="C1169" s="1" t="s">
        <v>35</v>
      </c>
      <c r="D1169" s="1" t="s">
        <v>152</v>
      </c>
      <c r="E1169" s="1">
        <v>920</v>
      </c>
      <c r="F1169" s="1" t="s">
        <v>3661</v>
      </c>
      <c r="G1169" s="1" t="s">
        <v>3662</v>
      </c>
      <c r="H1169" s="1" t="s">
        <v>16</v>
      </c>
      <c r="I1169" s="1" t="s">
        <v>29</v>
      </c>
      <c r="J1169" s="1" t="s">
        <v>16</v>
      </c>
      <c r="K1169" s="1" t="b">
        <v>0</v>
      </c>
      <c r="L1169" s="1" t="s">
        <v>22</v>
      </c>
      <c r="M1169" s="1" t="s">
        <v>16</v>
      </c>
      <c r="N1169" s="1" t="s">
        <v>16</v>
      </c>
      <c r="O1169" s="1" t="s">
        <v>9956</v>
      </c>
      <c r="P1169" s="1" t="s">
        <v>16</v>
      </c>
      <c r="Q1169" s="1">
        <v>100</v>
      </c>
      <c r="R1169" s="1">
        <v>7500</v>
      </c>
      <c r="S1169" s="1">
        <v>7500</v>
      </c>
    </row>
    <row r="1170" spans="1:19" ht="12.5" x14ac:dyDescent="0.25">
      <c r="A1170" s="1">
        <v>1044</v>
      </c>
      <c r="B1170" s="1" t="s">
        <v>3663</v>
      </c>
      <c r="C1170" s="1" t="s">
        <v>35</v>
      </c>
      <c r="D1170" s="1" t="s">
        <v>152</v>
      </c>
      <c r="E1170" s="1">
        <v>921</v>
      </c>
      <c r="F1170" s="1" t="s">
        <v>3665</v>
      </c>
      <c r="G1170" s="1" t="s">
        <v>3666</v>
      </c>
      <c r="H1170" s="1" t="s">
        <v>16</v>
      </c>
      <c r="I1170" s="1" t="s">
        <v>29</v>
      </c>
      <c r="J1170" s="1" t="s">
        <v>3667</v>
      </c>
      <c r="K1170" s="1" t="b">
        <v>0</v>
      </c>
      <c r="L1170" s="1" t="s">
        <v>22</v>
      </c>
      <c r="M1170" s="1" t="s">
        <v>16</v>
      </c>
      <c r="N1170" s="1" t="s">
        <v>16</v>
      </c>
      <c r="O1170" s="1" t="s">
        <v>16</v>
      </c>
      <c r="P1170" s="1" t="s">
        <v>16</v>
      </c>
      <c r="Q1170" s="1">
        <v>100</v>
      </c>
    </row>
    <row r="1171" spans="1:19" ht="12.5" x14ac:dyDescent="0.25">
      <c r="A1171" s="1">
        <v>1050</v>
      </c>
      <c r="B1171" s="1" t="s">
        <v>3668</v>
      </c>
      <c r="C1171" s="1" t="s">
        <v>35</v>
      </c>
      <c r="D1171" s="1" t="s">
        <v>152</v>
      </c>
      <c r="E1171" s="1">
        <v>922</v>
      </c>
      <c r="F1171" s="1" t="s">
        <v>3670</v>
      </c>
      <c r="G1171" s="1" t="s">
        <v>3671</v>
      </c>
      <c r="H1171" s="1" t="s">
        <v>16</v>
      </c>
      <c r="I1171" s="1" t="s">
        <v>29</v>
      </c>
      <c r="J1171" s="1" t="s">
        <v>3672</v>
      </c>
      <c r="K1171" s="1" t="b">
        <v>0</v>
      </c>
      <c r="L1171" s="1" t="s">
        <v>22</v>
      </c>
      <c r="M1171" s="1">
        <v>2022</v>
      </c>
      <c r="N1171" s="1" t="s">
        <v>23</v>
      </c>
      <c r="O1171" s="1" t="s">
        <v>9956</v>
      </c>
      <c r="P1171" s="1" t="s">
        <v>9990</v>
      </c>
      <c r="Q1171" s="1">
        <v>100</v>
      </c>
      <c r="R1171" s="1">
        <v>50000</v>
      </c>
      <c r="S1171" s="1">
        <v>50000</v>
      </c>
    </row>
    <row r="1172" spans="1:19" ht="12.5" x14ac:dyDescent="0.25">
      <c r="A1172" s="1">
        <v>1051</v>
      </c>
      <c r="B1172" s="1" t="s">
        <v>3673</v>
      </c>
      <c r="C1172" s="1" t="s">
        <v>35</v>
      </c>
      <c r="D1172" s="1" t="s">
        <v>152</v>
      </c>
      <c r="E1172" s="1">
        <v>923</v>
      </c>
      <c r="F1172" s="1" t="s">
        <v>3675</v>
      </c>
      <c r="G1172" s="1" t="s">
        <v>3676</v>
      </c>
      <c r="H1172" s="1" t="s">
        <v>3677</v>
      </c>
      <c r="I1172" s="1" t="s">
        <v>29</v>
      </c>
      <c r="J1172" s="1" t="s">
        <v>3678</v>
      </c>
      <c r="K1172" s="1" t="b">
        <v>0</v>
      </c>
      <c r="L1172" s="1" t="s">
        <v>22</v>
      </c>
      <c r="M1172" s="1" t="s">
        <v>16</v>
      </c>
      <c r="N1172" s="1" t="s">
        <v>16</v>
      </c>
      <c r="O1172" s="1" t="s">
        <v>9956</v>
      </c>
      <c r="P1172" s="1" t="s">
        <v>16</v>
      </c>
      <c r="Q1172" s="1">
        <v>100</v>
      </c>
      <c r="R1172" s="1">
        <v>50000</v>
      </c>
      <c r="S1172" s="1">
        <v>50000</v>
      </c>
    </row>
    <row r="1173" spans="1:19" ht="12.5" x14ac:dyDescent="0.25">
      <c r="A1173" s="1">
        <v>1052</v>
      </c>
      <c r="B1173" s="1" t="s">
        <v>3679</v>
      </c>
      <c r="C1173" s="1" t="s">
        <v>35</v>
      </c>
      <c r="D1173" s="1" t="s">
        <v>152</v>
      </c>
      <c r="E1173" s="1">
        <v>924</v>
      </c>
      <c r="F1173" s="1" t="s">
        <v>3681</v>
      </c>
      <c r="G1173" s="1" t="s">
        <v>3682</v>
      </c>
      <c r="H1173" s="1" t="s">
        <v>16</v>
      </c>
      <c r="I1173" s="1" t="s">
        <v>29</v>
      </c>
      <c r="J1173" s="1" t="s">
        <v>3683</v>
      </c>
      <c r="K1173" s="1" t="b">
        <v>0</v>
      </c>
      <c r="L1173" s="1" t="s">
        <v>22</v>
      </c>
      <c r="M1173" s="1" t="s">
        <v>16</v>
      </c>
      <c r="N1173" s="1" t="s">
        <v>16</v>
      </c>
      <c r="O1173" s="1" t="s">
        <v>9956</v>
      </c>
      <c r="P1173" s="1" t="s">
        <v>16</v>
      </c>
      <c r="Q1173" s="1">
        <v>100</v>
      </c>
      <c r="R1173" s="1">
        <v>35000</v>
      </c>
      <c r="S1173" s="1">
        <v>35000</v>
      </c>
    </row>
    <row r="1174" spans="1:19" ht="12.5" x14ac:dyDescent="0.25">
      <c r="A1174" s="1">
        <v>1053</v>
      </c>
      <c r="B1174" s="1" t="s">
        <v>3684</v>
      </c>
      <c r="C1174" s="1" t="s">
        <v>35</v>
      </c>
      <c r="D1174" s="1" t="s">
        <v>152</v>
      </c>
      <c r="E1174" s="1">
        <v>925</v>
      </c>
      <c r="F1174" s="1" t="s">
        <v>3686</v>
      </c>
      <c r="G1174" s="1" t="s">
        <v>3687</v>
      </c>
      <c r="H1174" s="1" t="s">
        <v>3688</v>
      </c>
      <c r="I1174" s="1" t="s">
        <v>29</v>
      </c>
      <c r="J1174" s="1" t="s">
        <v>3689</v>
      </c>
      <c r="K1174" s="1" t="b">
        <v>0</v>
      </c>
      <c r="L1174" s="1" t="s">
        <v>22</v>
      </c>
      <c r="M1174" s="1" t="s">
        <v>16</v>
      </c>
      <c r="N1174" s="1" t="s">
        <v>16</v>
      </c>
      <c r="O1174" s="1" t="s">
        <v>9956</v>
      </c>
      <c r="P1174" s="1" t="s">
        <v>16</v>
      </c>
      <c r="Q1174" s="1">
        <v>100</v>
      </c>
      <c r="R1174" s="1">
        <v>0</v>
      </c>
      <c r="S1174" s="1">
        <v>0</v>
      </c>
    </row>
    <row r="1175" spans="1:19" ht="12.5" x14ac:dyDescent="0.25">
      <c r="A1175" s="1">
        <v>1054</v>
      </c>
      <c r="B1175" s="1" t="s">
        <v>3690</v>
      </c>
      <c r="C1175" s="1" t="s">
        <v>35</v>
      </c>
      <c r="D1175" s="1" t="s">
        <v>152</v>
      </c>
      <c r="E1175" s="1">
        <v>926</v>
      </c>
      <c r="F1175" s="1" t="s">
        <v>3692</v>
      </c>
      <c r="G1175" s="1" t="s">
        <v>3693</v>
      </c>
      <c r="H1175" s="1" t="s">
        <v>16</v>
      </c>
      <c r="I1175" s="1" t="s">
        <v>20</v>
      </c>
      <c r="J1175" s="1" t="s">
        <v>16</v>
      </c>
      <c r="K1175" s="1" t="b">
        <v>0</v>
      </c>
      <c r="L1175" s="1" t="s">
        <v>22</v>
      </c>
      <c r="M1175" s="1" t="s">
        <v>16</v>
      </c>
      <c r="N1175" s="1" t="s">
        <v>16</v>
      </c>
      <c r="O1175" s="1" t="s">
        <v>16</v>
      </c>
      <c r="P1175" s="1" t="s">
        <v>16</v>
      </c>
      <c r="Q1175" s="1">
        <v>100</v>
      </c>
    </row>
    <row r="1176" spans="1:19" ht="12.5" x14ac:dyDescent="0.25">
      <c r="A1176" s="1">
        <v>1055</v>
      </c>
      <c r="B1176" s="1" t="s">
        <v>3694</v>
      </c>
      <c r="C1176" s="1" t="s">
        <v>35</v>
      </c>
      <c r="D1176" s="1" t="s">
        <v>152</v>
      </c>
      <c r="E1176" s="1">
        <v>927</v>
      </c>
      <c r="F1176" s="1" t="s">
        <v>3696</v>
      </c>
      <c r="G1176" s="1" t="s">
        <v>3697</v>
      </c>
      <c r="H1176" s="1" t="s">
        <v>16</v>
      </c>
      <c r="I1176" s="1" t="s">
        <v>29</v>
      </c>
      <c r="J1176" s="1" t="s">
        <v>3698</v>
      </c>
      <c r="K1176" s="1" t="b">
        <v>0</v>
      </c>
      <c r="L1176" s="1" t="s">
        <v>22</v>
      </c>
      <c r="M1176" s="1" t="s">
        <v>16</v>
      </c>
      <c r="N1176" s="1" t="s">
        <v>16</v>
      </c>
      <c r="O1176" s="1" t="s">
        <v>9956</v>
      </c>
      <c r="P1176" s="1" t="s">
        <v>16</v>
      </c>
      <c r="Q1176" s="1">
        <v>100</v>
      </c>
      <c r="R1176" s="1">
        <v>35000</v>
      </c>
      <c r="S1176" s="1">
        <v>35000</v>
      </c>
    </row>
    <row r="1177" spans="1:19" ht="12.5" x14ac:dyDescent="0.25">
      <c r="A1177" s="1">
        <v>1056</v>
      </c>
      <c r="B1177" s="1" t="s">
        <v>3699</v>
      </c>
      <c r="C1177" s="1" t="s">
        <v>35</v>
      </c>
      <c r="D1177" s="1" t="s">
        <v>152</v>
      </c>
      <c r="E1177" s="1">
        <v>928</v>
      </c>
      <c r="F1177" s="1" t="s">
        <v>3701</v>
      </c>
      <c r="G1177" s="1" t="s">
        <v>3702</v>
      </c>
      <c r="H1177" s="1" t="s">
        <v>3703</v>
      </c>
      <c r="I1177" s="1" t="s">
        <v>29</v>
      </c>
      <c r="J1177" s="1" t="s">
        <v>3704</v>
      </c>
      <c r="K1177" s="1" t="b">
        <v>0</v>
      </c>
      <c r="L1177" s="1" t="s">
        <v>22</v>
      </c>
      <c r="M1177" s="1">
        <v>2022</v>
      </c>
      <c r="N1177" s="1" t="s">
        <v>52</v>
      </c>
      <c r="O1177" s="1" t="s">
        <v>9956</v>
      </c>
      <c r="P1177" s="1" t="s">
        <v>16</v>
      </c>
      <c r="Q1177" s="1">
        <v>100</v>
      </c>
      <c r="R1177" s="1">
        <v>40000</v>
      </c>
      <c r="S1177" s="1">
        <v>40000</v>
      </c>
    </row>
    <row r="1178" spans="1:19" ht="12.5" x14ac:dyDescent="0.25">
      <c r="A1178" s="1">
        <v>1057</v>
      </c>
      <c r="B1178" s="1" t="s">
        <v>3705</v>
      </c>
      <c r="C1178" s="1" t="s">
        <v>35</v>
      </c>
      <c r="D1178" s="1" t="s">
        <v>152</v>
      </c>
      <c r="E1178" s="1">
        <v>929</v>
      </c>
      <c r="F1178" s="1" t="s">
        <v>3707</v>
      </c>
      <c r="G1178" s="1" t="s">
        <v>3708</v>
      </c>
      <c r="H1178" s="1" t="s">
        <v>16</v>
      </c>
      <c r="I1178" s="1" t="s">
        <v>29</v>
      </c>
      <c r="J1178" s="1" t="s">
        <v>3709</v>
      </c>
      <c r="K1178" s="1" t="b">
        <v>1</v>
      </c>
      <c r="L1178" s="1" t="s">
        <v>31</v>
      </c>
      <c r="M1178" s="1">
        <v>2021</v>
      </c>
      <c r="N1178" s="1" t="s">
        <v>52</v>
      </c>
      <c r="O1178" s="1" t="s">
        <v>9940</v>
      </c>
      <c r="P1178" s="1" t="s">
        <v>3094</v>
      </c>
      <c r="Q1178" s="1">
        <v>100</v>
      </c>
      <c r="R1178" s="1">
        <v>24494.38</v>
      </c>
      <c r="S1178" s="1">
        <v>24494.38</v>
      </c>
    </row>
    <row r="1179" spans="1:19" ht="12.5" x14ac:dyDescent="0.25">
      <c r="A1179" s="1">
        <v>1060</v>
      </c>
      <c r="B1179" s="1" t="s">
        <v>3710</v>
      </c>
      <c r="C1179" s="1" t="s">
        <v>35</v>
      </c>
      <c r="D1179" s="1" t="s">
        <v>152</v>
      </c>
      <c r="E1179" s="1">
        <v>930</v>
      </c>
      <c r="F1179" s="1" t="s">
        <v>3712</v>
      </c>
      <c r="G1179" s="1" t="s">
        <v>3713</v>
      </c>
      <c r="H1179" s="1" t="s">
        <v>2178</v>
      </c>
      <c r="I1179" s="1" t="s">
        <v>29</v>
      </c>
      <c r="J1179" s="1" t="s">
        <v>3714</v>
      </c>
      <c r="K1179" s="1" t="b">
        <v>1</v>
      </c>
      <c r="L1179" s="1" t="s">
        <v>31</v>
      </c>
      <c r="M1179" s="1" t="s">
        <v>16</v>
      </c>
      <c r="N1179" s="1" t="s">
        <v>16</v>
      </c>
      <c r="O1179" s="1" t="s">
        <v>9956</v>
      </c>
      <c r="P1179" s="1" t="s">
        <v>16</v>
      </c>
      <c r="Q1179" s="1">
        <v>100</v>
      </c>
      <c r="R1179" s="1">
        <v>78565</v>
      </c>
      <c r="S1179" s="1">
        <v>78565</v>
      </c>
    </row>
    <row r="1180" spans="1:19" ht="12.5" x14ac:dyDescent="0.25">
      <c r="A1180" s="1">
        <v>1063</v>
      </c>
      <c r="B1180" s="1" t="s">
        <v>3715</v>
      </c>
      <c r="C1180" s="1" t="s">
        <v>35</v>
      </c>
      <c r="D1180" s="1" t="s">
        <v>152</v>
      </c>
      <c r="E1180" s="1">
        <v>931</v>
      </c>
      <c r="F1180" s="1" t="s">
        <v>3716</v>
      </c>
      <c r="G1180" s="1" t="s">
        <v>3717</v>
      </c>
      <c r="H1180" s="1" t="s">
        <v>3718</v>
      </c>
      <c r="I1180" s="1" t="s">
        <v>29</v>
      </c>
      <c r="J1180" s="1" t="s">
        <v>3719</v>
      </c>
      <c r="K1180" s="1" t="b">
        <v>0</v>
      </c>
      <c r="L1180" s="1" t="s">
        <v>22</v>
      </c>
      <c r="M1180" s="1">
        <v>2022</v>
      </c>
      <c r="N1180" s="1" t="s">
        <v>32</v>
      </c>
      <c r="O1180" s="1" t="s">
        <v>9956</v>
      </c>
      <c r="P1180" s="1" t="s">
        <v>9991</v>
      </c>
      <c r="Q1180" s="1">
        <v>100</v>
      </c>
      <c r="R1180" s="1">
        <v>520141</v>
      </c>
      <c r="S1180" s="1">
        <v>520141</v>
      </c>
    </row>
    <row r="1181" spans="1:19" ht="12.5" x14ac:dyDescent="0.25">
      <c r="A1181" s="1">
        <v>1063</v>
      </c>
      <c r="B1181" s="1" t="s">
        <v>3715</v>
      </c>
      <c r="C1181" s="1" t="s">
        <v>35</v>
      </c>
      <c r="D1181" s="1" t="s">
        <v>152</v>
      </c>
      <c r="E1181" s="1">
        <v>931</v>
      </c>
      <c r="F1181" s="1" t="s">
        <v>3716</v>
      </c>
      <c r="G1181" s="1" t="s">
        <v>3717</v>
      </c>
      <c r="H1181" s="1" t="s">
        <v>3718</v>
      </c>
      <c r="I1181" s="1" t="s">
        <v>29</v>
      </c>
      <c r="J1181" s="1" t="s">
        <v>3719</v>
      </c>
      <c r="K1181" s="1" t="b">
        <v>0</v>
      </c>
      <c r="L1181" s="1" t="s">
        <v>22</v>
      </c>
      <c r="M1181" s="1">
        <v>2021</v>
      </c>
      <c r="N1181" s="1" t="s">
        <v>52</v>
      </c>
      <c r="O1181" s="1" t="s">
        <v>9940</v>
      </c>
      <c r="P1181" s="1" t="s">
        <v>3094</v>
      </c>
      <c r="Q1181" s="1">
        <v>100</v>
      </c>
      <c r="R1181" s="1">
        <v>47841.84</v>
      </c>
      <c r="S1181" s="1">
        <v>47841.84</v>
      </c>
    </row>
    <row r="1182" spans="1:19" ht="12.5" x14ac:dyDescent="0.25">
      <c r="A1182" s="1">
        <v>3875</v>
      </c>
      <c r="B1182" s="1" t="s">
        <v>3720</v>
      </c>
      <c r="C1182" s="1" t="s">
        <v>38</v>
      </c>
      <c r="D1182" s="1" t="s">
        <v>39</v>
      </c>
      <c r="E1182" s="1">
        <v>931</v>
      </c>
      <c r="F1182" s="1" t="s">
        <v>3716</v>
      </c>
      <c r="G1182" s="1" t="s">
        <v>3717</v>
      </c>
      <c r="H1182" s="1" t="s">
        <v>3718</v>
      </c>
      <c r="I1182" s="1" t="s">
        <v>29</v>
      </c>
      <c r="J1182" s="1" t="s">
        <v>3719</v>
      </c>
      <c r="K1182" s="1" t="b">
        <v>0</v>
      </c>
      <c r="L1182" s="1" t="s">
        <v>22</v>
      </c>
      <c r="M1182" s="1">
        <v>2022</v>
      </c>
      <c r="N1182" s="1" t="s">
        <v>32</v>
      </c>
      <c r="O1182" s="1" t="s">
        <v>9956</v>
      </c>
      <c r="P1182" s="1" t="s">
        <v>9991</v>
      </c>
      <c r="Q1182" s="1">
        <v>0</v>
      </c>
      <c r="R1182" s="1">
        <v>520141</v>
      </c>
      <c r="S1182" s="1">
        <v>0</v>
      </c>
    </row>
    <row r="1183" spans="1:19" ht="12.5" x14ac:dyDescent="0.25">
      <c r="A1183" s="1">
        <v>3875</v>
      </c>
      <c r="B1183" s="1" t="s">
        <v>3720</v>
      </c>
      <c r="C1183" s="1" t="s">
        <v>38</v>
      </c>
      <c r="D1183" s="1" t="s">
        <v>39</v>
      </c>
      <c r="E1183" s="1">
        <v>931</v>
      </c>
      <c r="F1183" s="1" t="s">
        <v>3716</v>
      </c>
      <c r="G1183" s="1" t="s">
        <v>3717</v>
      </c>
      <c r="H1183" s="1" t="s">
        <v>3718</v>
      </c>
      <c r="I1183" s="1" t="s">
        <v>29</v>
      </c>
      <c r="J1183" s="1" t="s">
        <v>3719</v>
      </c>
      <c r="K1183" s="1" t="b">
        <v>0</v>
      </c>
      <c r="L1183" s="1" t="s">
        <v>22</v>
      </c>
      <c r="M1183" s="1">
        <v>2021</v>
      </c>
      <c r="N1183" s="1" t="s">
        <v>52</v>
      </c>
      <c r="O1183" s="1" t="s">
        <v>9940</v>
      </c>
      <c r="P1183" s="1" t="s">
        <v>3094</v>
      </c>
      <c r="Q1183" s="1">
        <v>0</v>
      </c>
      <c r="R1183" s="1">
        <v>47841.84</v>
      </c>
      <c r="S1183" s="1">
        <v>0</v>
      </c>
    </row>
    <row r="1184" spans="1:19" ht="12.5" x14ac:dyDescent="0.25">
      <c r="A1184" s="1">
        <v>1064</v>
      </c>
      <c r="B1184" s="1" t="s">
        <v>3721</v>
      </c>
      <c r="C1184" s="1" t="s">
        <v>35</v>
      </c>
      <c r="D1184" s="1" t="s">
        <v>152</v>
      </c>
      <c r="E1184" s="1">
        <v>932</v>
      </c>
      <c r="F1184" s="1" t="s">
        <v>3723</v>
      </c>
      <c r="G1184" s="1" t="s">
        <v>3724</v>
      </c>
      <c r="H1184" s="1" t="s">
        <v>3725</v>
      </c>
      <c r="I1184" s="1" t="s">
        <v>29</v>
      </c>
      <c r="J1184" s="1" t="s">
        <v>3726</v>
      </c>
      <c r="K1184" s="1" t="b">
        <v>1</v>
      </c>
      <c r="L1184" s="1" t="s">
        <v>31</v>
      </c>
      <c r="M1184" s="1">
        <v>2021</v>
      </c>
      <c r="N1184" s="1" t="s">
        <v>23</v>
      </c>
      <c r="O1184" s="1" t="s">
        <v>9940</v>
      </c>
      <c r="P1184" s="1" t="s">
        <v>16</v>
      </c>
      <c r="Q1184" s="1">
        <v>100</v>
      </c>
      <c r="R1184" s="1">
        <v>20367.03</v>
      </c>
      <c r="S1184" s="1">
        <v>20367.03</v>
      </c>
    </row>
    <row r="1185" spans="1:19" ht="12.5" x14ac:dyDescent="0.25">
      <c r="A1185" s="1">
        <v>1066</v>
      </c>
      <c r="B1185" s="1" t="s">
        <v>3727</v>
      </c>
      <c r="C1185" s="1" t="s">
        <v>35</v>
      </c>
      <c r="D1185" s="1" t="s">
        <v>152</v>
      </c>
      <c r="E1185" s="1">
        <v>933</v>
      </c>
      <c r="F1185" s="1" t="s">
        <v>3729</v>
      </c>
      <c r="G1185" s="1" t="s">
        <v>3730</v>
      </c>
      <c r="H1185" s="1" t="s">
        <v>16</v>
      </c>
      <c r="I1185" s="1" t="s">
        <v>29</v>
      </c>
      <c r="J1185" s="1" t="s">
        <v>3731</v>
      </c>
      <c r="K1185" s="1" t="b">
        <v>0</v>
      </c>
      <c r="L1185" s="1" t="s">
        <v>22</v>
      </c>
      <c r="M1185" s="1">
        <v>2022</v>
      </c>
      <c r="N1185" s="1" t="s">
        <v>23</v>
      </c>
      <c r="O1185" s="1" t="s">
        <v>9956</v>
      </c>
      <c r="P1185" s="1" t="s">
        <v>16</v>
      </c>
      <c r="Q1185" s="1">
        <v>100</v>
      </c>
      <c r="R1185" s="1">
        <v>40000</v>
      </c>
      <c r="S1185" s="1">
        <v>40000</v>
      </c>
    </row>
    <row r="1186" spans="1:19" ht="12.5" x14ac:dyDescent="0.25">
      <c r="A1186" s="1">
        <v>1067</v>
      </c>
      <c r="B1186" s="1" t="s">
        <v>3732</v>
      </c>
      <c r="C1186" s="1" t="s">
        <v>35</v>
      </c>
      <c r="D1186" s="1" t="s">
        <v>152</v>
      </c>
      <c r="E1186" s="1">
        <v>934</v>
      </c>
      <c r="F1186" s="1" t="s">
        <v>3734</v>
      </c>
      <c r="G1186" s="1" t="s">
        <v>3735</v>
      </c>
      <c r="H1186" s="1" t="s">
        <v>3736</v>
      </c>
      <c r="I1186" s="1" t="s">
        <v>29</v>
      </c>
      <c r="J1186" s="1" t="s">
        <v>3737</v>
      </c>
      <c r="K1186" s="1" t="b">
        <v>1</v>
      </c>
      <c r="L1186" s="1" t="s">
        <v>31</v>
      </c>
      <c r="M1186" s="1">
        <v>2022</v>
      </c>
      <c r="N1186" s="1" t="s">
        <v>45</v>
      </c>
      <c r="O1186" s="1" t="s">
        <v>9956</v>
      </c>
      <c r="P1186" s="1" t="s">
        <v>16</v>
      </c>
      <c r="Q1186" s="1">
        <v>100</v>
      </c>
      <c r="R1186" s="1">
        <v>6000</v>
      </c>
      <c r="S1186" s="1">
        <v>6000</v>
      </c>
    </row>
    <row r="1187" spans="1:19" ht="12.5" x14ac:dyDescent="0.25">
      <c r="A1187" s="1">
        <v>1071</v>
      </c>
      <c r="B1187" s="1" t="s">
        <v>3738</v>
      </c>
      <c r="C1187" s="1" t="s">
        <v>35</v>
      </c>
      <c r="D1187" s="1" t="s">
        <v>152</v>
      </c>
      <c r="E1187" s="1">
        <v>935</v>
      </c>
      <c r="F1187" s="1" t="s">
        <v>3740</v>
      </c>
      <c r="G1187" s="1" t="s">
        <v>3741</v>
      </c>
      <c r="H1187" s="1" t="s">
        <v>16</v>
      </c>
      <c r="I1187" s="1" t="s">
        <v>29</v>
      </c>
      <c r="J1187" s="1" t="s">
        <v>3742</v>
      </c>
      <c r="K1187" s="1" t="b">
        <v>1</v>
      </c>
      <c r="L1187" s="1" t="s">
        <v>31</v>
      </c>
      <c r="M1187" s="1">
        <v>2022</v>
      </c>
      <c r="N1187" s="1" t="s">
        <v>52</v>
      </c>
      <c r="O1187" s="1" t="s">
        <v>9956</v>
      </c>
      <c r="P1187" s="1" t="s">
        <v>16</v>
      </c>
      <c r="Q1187" s="1">
        <v>100</v>
      </c>
      <c r="R1187" s="1">
        <v>50000</v>
      </c>
      <c r="S1187" s="1">
        <v>50000</v>
      </c>
    </row>
    <row r="1188" spans="1:19" ht="12.5" x14ac:dyDescent="0.25">
      <c r="A1188" s="1">
        <v>1074</v>
      </c>
      <c r="B1188" s="1" t="s">
        <v>3743</v>
      </c>
      <c r="C1188" s="1" t="s">
        <v>35</v>
      </c>
      <c r="D1188" s="1" t="s">
        <v>152</v>
      </c>
      <c r="E1188" s="1">
        <v>936</v>
      </c>
      <c r="F1188" s="1" t="s">
        <v>3745</v>
      </c>
      <c r="G1188" s="1" t="s">
        <v>3746</v>
      </c>
      <c r="H1188" s="1" t="s">
        <v>16</v>
      </c>
      <c r="I1188" s="1" t="s">
        <v>29</v>
      </c>
      <c r="J1188" s="1" t="s">
        <v>3747</v>
      </c>
      <c r="K1188" s="1" t="b">
        <v>1</v>
      </c>
      <c r="L1188" s="1" t="s">
        <v>31</v>
      </c>
      <c r="M1188" s="1">
        <v>2022</v>
      </c>
      <c r="N1188" s="1" t="s">
        <v>52</v>
      </c>
      <c r="O1188" s="1" t="s">
        <v>9956</v>
      </c>
      <c r="P1188" s="1" t="s">
        <v>16</v>
      </c>
      <c r="Q1188" s="1">
        <v>100</v>
      </c>
      <c r="R1188" s="1">
        <v>65000</v>
      </c>
      <c r="S1188" s="1">
        <v>65000</v>
      </c>
    </row>
    <row r="1189" spans="1:19" ht="12.5" x14ac:dyDescent="0.25">
      <c r="A1189" s="1">
        <v>1075</v>
      </c>
      <c r="B1189" s="1" t="s">
        <v>3748</v>
      </c>
      <c r="C1189" s="1" t="s">
        <v>35</v>
      </c>
      <c r="D1189" s="1" t="s">
        <v>152</v>
      </c>
      <c r="E1189" s="1">
        <v>937</v>
      </c>
      <c r="F1189" s="1" t="s">
        <v>3750</v>
      </c>
      <c r="G1189" s="1" t="s">
        <v>3751</v>
      </c>
      <c r="H1189" s="1" t="s">
        <v>16</v>
      </c>
      <c r="I1189" s="1" t="s">
        <v>29</v>
      </c>
      <c r="J1189" s="1" t="s">
        <v>3752</v>
      </c>
      <c r="K1189" s="1" t="b">
        <v>1</v>
      </c>
      <c r="L1189" s="1" t="s">
        <v>31</v>
      </c>
      <c r="M1189" s="1">
        <v>2022</v>
      </c>
      <c r="N1189" s="1" t="s">
        <v>45</v>
      </c>
      <c r="O1189" s="1" t="s">
        <v>9956</v>
      </c>
      <c r="P1189" s="1" t="s">
        <v>16</v>
      </c>
      <c r="Q1189" s="1">
        <v>100</v>
      </c>
      <c r="R1189" s="1">
        <v>5000</v>
      </c>
      <c r="S1189" s="1">
        <v>5000</v>
      </c>
    </row>
    <row r="1190" spans="1:19" ht="12.5" x14ac:dyDescent="0.25">
      <c r="A1190" s="1">
        <v>1079</v>
      </c>
      <c r="B1190" s="1" t="s">
        <v>3753</v>
      </c>
      <c r="C1190" s="1" t="s">
        <v>35</v>
      </c>
      <c r="D1190" s="1" t="s">
        <v>152</v>
      </c>
      <c r="E1190" s="1">
        <v>938</v>
      </c>
      <c r="F1190" s="1" t="s">
        <v>3755</v>
      </c>
      <c r="G1190" s="1" t="s">
        <v>3756</v>
      </c>
      <c r="H1190" s="1" t="s">
        <v>3757</v>
      </c>
      <c r="I1190" s="1" t="s">
        <v>29</v>
      </c>
      <c r="J1190" s="1" t="s">
        <v>3758</v>
      </c>
      <c r="K1190" s="1" t="b">
        <v>0</v>
      </c>
      <c r="L1190" s="1" t="s">
        <v>22</v>
      </c>
      <c r="M1190" s="1">
        <v>2022</v>
      </c>
      <c r="N1190" s="1" t="s">
        <v>16</v>
      </c>
      <c r="O1190" s="1" t="s">
        <v>9956</v>
      </c>
      <c r="P1190" s="1" t="s">
        <v>16</v>
      </c>
      <c r="Q1190" s="1">
        <v>100</v>
      </c>
      <c r="R1190" s="1">
        <v>34540</v>
      </c>
      <c r="S1190" s="1">
        <v>34540</v>
      </c>
    </row>
    <row r="1191" spans="1:19" ht="12.5" x14ac:dyDescent="0.25">
      <c r="A1191" s="1">
        <v>1080</v>
      </c>
      <c r="B1191" s="1" t="s">
        <v>3759</v>
      </c>
      <c r="C1191" s="1" t="s">
        <v>35</v>
      </c>
      <c r="D1191" s="1" t="s">
        <v>152</v>
      </c>
      <c r="E1191" s="1">
        <v>939</v>
      </c>
      <c r="F1191" s="1" t="s">
        <v>3761</v>
      </c>
      <c r="G1191" s="1" t="s">
        <v>3762</v>
      </c>
      <c r="H1191" s="1"/>
      <c r="I1191" s="1" t="s">
        <v>29</v>
      </c>
      <c r="J1191" s="1" t="s">
        <v>3763</v>
      </c>
      <c r="K1191" s="1" t="b">
        <v>0</v>
      </c>
      <c r="L1191" s="1" t="s">
        <v>22</v>
      </c>
      <c r="M1191" s="1">
        <v>2022</v>
      </c>
      <c r="N1191" s="1" t="s">
        <v>16</v>
      </c>
      <c r="O1191" s="1" t="s">
        <v>9956</v>
      </c>
      <c r="P1191" s="1" t="s">
        <v>16</v>
      </c>
      <c r="Q1191" s="1">
        <v>100</v>
      </c>
      <c r="R1191" s="1">
        <v>75000</v>
      </c>
      <c r="S1191" s="1">
        <v>75000</v>
      </c>
    </row>
    <row r="1192" spans="1:19" ht="12.5" x14ac:dyDescent="0.25">
      <c r="A1192" s="1">
        <v>1081</v>
      </c>
      <c r="B1192" s="1" t="s">
        <v>3764</v>
      </c>
      <c r="C1192" s="1" t="s">
        <v>35</v>
      </c>
      <c r="D1192" s="1" t="s">
        <v>152</v>
      </c>
      <c r="E1192" s="1">
        <v>940</v>
      </c>
      <c r="F1192" s="1" t="s">
        <v>3766</v>
      </c>
      <c r="G1192" s="1" t="s">
        <v>3762</v>
      </c>
      <c r="H1192" s="1"/>
      <c r="I1192" s="1" t="s">
        <v>29</v>
      </c>
      <c r="J1192" s="1" t="s">
        <v>3767</v>
      </c>
      <c r="K1192" s="1" t="b">
        <v>0</v>
      </c>
      <c r="L1192" s="1" t="s">
        <v>22</v>
      </c>
      <c r="M1192" s="1" t="s">
        <v>16</v>
      </c>
      <c r="N1192" s="1" t="s">
        <v>16</v>
      </c>
      <c r="O1192" s="1" t="s">
        <v>9956</v>
      </c>
      <c r="P1192" s="1" t="s">
        <v>16</v>
      </c>
      <c r="Q1192" s="1">
        <v>100</v>
      </c>
      <c r="R1192" s="1">
        <v>75000</v>
      </c>
      <c r="S1192" s="1">
        <v>75000</v>
      </c>
    </row>
    <row r="1193" spans="1:19" ht="12.5" x14ac:dyDescent="0.25">
      <c r="A1193" s="1">
        <v>1082</v>
      </c>
      <c r="B1193" s="1" t="s">
        <v>3768</v>
      </c>
      <c r="C1193" s="1" t="s">
        <v>35</v>
      </c>
      <c r="D1193" s="1" t="s">
        <v>152</v>
      </c>
      <c r="E1193" s="1">
        <v>941</v>
      </c>
      <c r="F1193" s="1" t="s">
        <v>3770</v>
      </c>
      <c r="G1193" s="1" t="s">
        <v>3762</v>
      </c>
      <c r="H1193" s="1" t="s">
        <v>16</v>
      </c>
      <c r="I1193" s="1" t="s">
        <v>29</v>
      </c>
      <c r="J1193" s="1" t="s">
        <v>3771</v>
      </c>
      <c r="K1193" s="1" t="b">
        <v>0</v>
      </c>
      <c r="L1193" s="1" t="s">
        <v>22</v>
      </c>
      <c r="M1193" s="1" t="s">
        <v>16</v>
      </c>
      <c r="N1193" s="1" t="s">
        <v>16</v>
      </c>
      <c r="O1193" s="1" t="s">
        <v>9956</v>
      </c>
      <c r="P1193" s="1" t="s">
        <v>16</v>
      </c>
      <c r="Q1193" s="1">
        <v>100</v>
      </c>
      <c r="R1193" s="1">
        <v>75000</v>
      </c>
      <c r="S1193" s="1">
        <v>75000</v>
      </c>
    </row>
    <row r="1194" spans="1:19" ht="12.5" x14ac:dyDescent="0.25">
      <c r="A1194" s="1">
        <v>1083</v>
      </c>
      <c r="B1194" s="1" t="s">
        <v>3772</v>
      </c>
      <c r="C1194" s="1" t="s">
        <v>35</v>
      </c>
      <c r="D1194" s="1" t="s">
        <v>152</v>
      </c>
      <c r="E1194" s="1">
        <v>942</v>
      </c>
      <c r="F1194" s="1" t="s">
        <v>3774</v>
      </c>
      <c r="G1194" s="1" t="s">
        <v>3775</v>
      </c>
      <c r="H1194" s="1" t="s">
        <v>3776</v>
      </c>
      <c r="I1194" s="1" t="s">
        <v>29</v>
      </c>
      <c r="J1194" s="1" t="s">
        <v>16</v>
      </c>
      <c r="K1194" s="1" t="b">
        <v>0</v>
      </c>
      <c r="L1194" s="1" t="s">
        <v>22</v>
      </c>
      <c r="M1194" s="1" t="s">
        <v>16</v>
      </c>
      <c r="N1194" s="1" t="s">
        <v>16</v>
      </c>
      <c r="O1194" s="1" t="s">
        <v>9956</v>
      </c>
      <c r="P1194" s="1" t="s">
        <v>16</v>
      </c>
      <c r="Q1194" s="1">
        <v>100</v>
      </c>
      <c r="R1194" s="1">
        <v>0</v>
      </c>
      <c r="S1194" s="1">
        <v>0</v>
      </c>
    </row>
    <row r="1195" spans="1:19" ht="12.5" x14ac:dyDescent="0.25">
      <c r="A1195" s="1">
        <v>1085</v>
      </c>
      <c r="B1195" s="1" t="s">
        <v>3777</v>
      </c>
      <c r="C1195" s="1" t="s">
        <v>35</v>
      </c>
      <c r="D1195" s="1" t="s">
        <v>152</v>
      </c>
      <c r="E1195" s="1">
        <v>943</v>
      </c>
      <c r="F1195" s="1" t="s">
        <v>3779</v>
      </c>
      <c r="G1195" s="1" t="s">
        <v>3780</v>
      </c>
      <c r="H1195" s="1" t="s">
        <v>16</v>
      </c>
      <c r="I1195" s="1" t="s">
        <v>29</v>
      </c>
      <c r="J1195" s="1" t="s">
        <v>3781</v>
      </c>
      <c r="K1195" s="1" t="b">
        <v>0</v>
      </c>
      <c r="L1195" s="1" t="s">
        <v>22</v>
      </c>
      <c r="M1195" s="1" t="s">
        <v>16</v>
      </c>
      <c r="N1195" s="1" t="s">
        <v>16</v>
      </c>
      <c r="O1195" s="1" t="s">
        <v>9956</v>
      </c>
      <c r="P1195" s="1" t="s">
        <v>16</v>
      </c>
      <c r="Q1195" s="1">
        <v>100</v>
      </c>
      <c r="R1195" s="1">
        <v>2500</v>
      </c>
      <c r="S1195" s="1">
        <v>2500</v>
      </c>
    </row>
    <row r="1196" spans="1:19" ht="12.5" x14ac:dyDescent="0.25">
      <c r="A1196" s="1">
        <v>1086</v>
      </c>
      <c r="B1196" s="1" t="s">
        <v>3782</v>
      </c>
      <c r="C1196" s="1" t="s">
        <v>35</v>
      </c>
      <c r="D1196" s="1" t="s">
        <v>152</v>
      </c>
      <c r="E1196" s="1">
        <v>944</v>
      </c>
      <c r="F1196" s="1" t="s">
        <v>3784</v>
      </c>
      <c r="G1196" s="1" t="s">
        <v>3785</v>
      </c>
      <c r="H1196" s="1" t="s">
        <v>3786</v>
      </c>
      <c r="I1196" s="1" t="s">
        <v>29</v>
      </c>
      <c r="J1196" s="1" t="s">
        <v>3787</v>
      </c>
      <c r="K1196" s="1" t="b">
        <v>0</v>
      </c>
      <c r="L1196" s="1" t="s">
        <v>22</v>
      </c>
      <c r="M1196" s="1" t="s">
        <v>16</v>
      </c>
      <c r="N1196" s="1" t="s">
        <v>16</v>
      </c>
      <c r="O1196" s="1" t="s">
        <v>16</v>
      </c>
      <c r="P1196" s="1" t="s">
        <v>16</v>
      </c>
      <c r="Q1196" s="1">
        <v>100</v>
      </c>
    </row>
    <row r="1197" spans="1:19" ht="12.5" x14ac:dyDescent="0.25">
      <c r="A1197" s="1">
        <v>1088</v>
      </c>
      <c r="B1197" s="1" t="s">
        <v>3788</v>
      </c>
      <c r="C1197" s="1" t="s">
        <v>35</v>
      </c>
      <c r="D1197" s="1" t="s">
        <v>152</v>
      </c>
      <c r="E1197" s="1">
        <v>945</v>
      </c>
      <c r="F1197" s="1" t="s">
        <v>3790</v>
      </c>
      <c r="G1197" s="1" t="s">
        <v>3791</v>
      </c>
      <c r="H1197" s="1" t="s">
        <v>16</v>
      </c>
      <c r="I1197" s="1" t="s">
        <v>29</v>
      </c>
      <c r="J1197" s="1" t="s">
        <v>3792</v>
      </c>
      <c r="K1197" s="1" t="b">
        <v>0</v>
      </c>
      <c r="L1197" s="1" t="s">
        <v>22</v>
      </c>
      <c r="M1197" s="1" t="s">
        <v>16</v>
      </c>
      <c r="N1197" s="1" t="s">
        <v>16</v>
      </c>
      <c r="O1197" s="1" t="s">
        <v>9956</v>
      </c>
      <c r="P1197" s="1" t="s">
        <v>16</v>
      </c>
      <c r="Q1197" s="1">
        <v>100</v>
      </c>
      <c r="R1197" s="1">
        <v>1000</v>
      </c>
      <c r="S1197" s="1">
        <v>1000</v>
      </c>
    </row>
    <row r="1198" spans="1:19" ht="12.5" x14ac:dyDescent="0.25">
      <c r="A1198" s="1">
        <v>1089</v>
      </c>
      <c r="B1198" s="1" t="s">
        <v>3793</v>
      </c>
      <c r="C1198" s="1" t="s">
        <v>35</v>
      </c>
      <c r="D1198" s="1" t="s">
        <v>152</v>
      </c>
      <c r="E1198" s="1">
        <v>946</v>
      </c>
      <c r="F1198" s="1" t="s">
        <v>3795</v>
      </c>
      <c r="G1198" s="1" t="s">
        <v>3796</v>
      </c>
      <c r="H1198" s="1" t="s">
        <v>16</v>
      </c>
      <c r="I1198" s="1" t="s">
        <v>29</v>
      </c>
      <c r="J1198" s="1" t="s">
        <v>3797</v>
      </c>
      <c r="K1198" s="1" t="b">
        <v>1</v>
      </c>
      <c r="L1198" s="1" t="s">
        <v>31</v>
      </c>
      <c r="M1198" s="1" t="s">
        <v>16</v>
      </c>
      <c r="N1198" s="1" t="s">
        <v>16</v>
      </c>
      <c r="O1198" s="1" t="s">
        <v>9956</v>
      </c>
      <c r="P1198" s="1" t="s">
        <v>16</v>
      </c>
      <c r="Q1198" s="1">
        <v>100</v>
      </c>
      <c r="R1198" s="1">
        <v>120000</v>
      </c>
      <c r="S1198" s="1">
        <v>120000</v>
      </c>
    </row>
    <row r="1199" spans="1:19" ht="12.5" x14ac:dyDescent="0.25">
      <c r="A1199" s="1">
        <v>1090</v>
      </c>
      <c r="B1199" s="1" t="s">
        <v>3798</v>
      </c>
      <c r="C1199" s="1" t="s">
        <v>35</v>
      </c>
      <c r="D1199" s="1" t="s">
        <v>152</v>
      </c>
      <c r="E1199" s="1">
        <v>947</v>
      </c>
      <c r="F1199" s="1" t="s">
        <v>3800</v>
      </c>
      <c r="G1199" s="1" t="s">
        <v>3801</v>
      </c>
      <c r="H1199" s="1" t="s">
        <v>3802</v>
      </c>
      <c r="I1199" s="1" t="s">
        <v>29</v>
      </c>
      <c r="J1199" s="1" t="s">
        <v>3803</v>
      </c>
      <c r="K1199" s="1" t="b">
        <v>0</v>
      </c>
      <c r="L1199" s="1" t="s">
        <v>22</v>
      </c>
      <c r="M1199" s="1" t="s">
        <v>16</v>
      </c>
      <c r="N1199" s="1" t="s">
        <v>16</v>
      </c>
      <c r="O1199" s="1" t="s">
        <v>9956</v>
      </c>
      <c r="P1199" s="1" t="s">
        <v>16</v>
      </c>
      <c r="Q1199" s="1">
        <v>100</v>
      </c>
      <c r="R1199" s="1">
        <v>45000</v>
      </c>
      <c r="S1199" s="1">
        <v>45000</v>
      </c>
    </row>
    <row r="1200" spans="1:19" ht="12.5" x14ac:dyDescent="0.25">
      <c r="A1200" s="1">
        <v>1091</v>
      </c>
      <c r="B1200" s="1" t="s">
        <v>3013</v>
      </c>
      <c r="C1200" s="1" t="s">
        <v>35</v>
      </c>
      <c r="D1200" s="1" t="s">
        <v>152</v>
      </c>
      <c r="E1200" s="1">
        <v>948</v>
      </c>
      <c r="F1200" s="1" t="s">
        <v>3804</v>
      </c>
      <c r="G1200" s="1" t="s">
        <v>3805</v>
      </c>
      <c r="H1200" s="1" t="s">
        <v>16</v>
      </c>
      <c r="I1200" s="1" t="s">
        <v>20</v>
      </c>
      <c r="J1200" s="1" t="s">
        <v>16</v>
      </c>
      <c r="K1200" s="1" t="b">
        <v>0</v>
      </c>
      <c r="L1200" s="1" t="s">
        <v>22</v>
      </c>
      <c r="M1200" s="1" t="s">
        <v>16</v>
      </c>
      <c r="N1200" s="1" t="s">
        <v>16</v>
      </c>
      <c r="O1200" s="1" t="s">
        <v>9956</v>
      </c>
      <c r="P1200" s="1" t="s">
        <v>16</v>
      </c>
      <c r="Q1200" s="1">
        <v>100</v>
      </c>
      <c r="R1200" s="1">
        <v>0</v>
      </c>
      <c r="S1200" s="1">
        <v>0</v>
      </c>
    </row>
    <row r="1201" spans="1:20" ht="12.5" x14ac:dyDescent="0.25">
      <c r="A1201" s="1">
        <v>1092</v>
      </c>
      <c r="B1201" s="1" t="s">
        <v>3015</v>
      </c>
      <c r="C1201" s="1" t="s">
        <v>35</v>
      </c>
      <c r="D1201" s="1" t="s">
        <v>152</v>
      </c>
      <c r="E1201" s="1">
        <v>949</v>
      </c>
      <c r="F1201" s="1" t="s">
        <v>3806</v>
      </c>
      <c r="G1201" s="1" t="s">
        <v>3807</v>
      </c>
      <c r="H1201" s="1" t="s">
        <v>16</v>
      </c>
      <c r="I1201" s="1" t="s">
        <v>20</v>
      </c>
      <c r="J1201" s="1" t="s">
        <v>16</v>
      </c>
      <c r="K1201" s="1" t="b">
        <v>0</v>
      </c>
      <c r="L1201" s="1" t="s">
        <v>22</v>
      </c>
      <c r="M1201" s="1" t="s">
        <v>16</v>
      </c>
      <c r="N1201" s="1" t="s">
        <v>16</v>
      </c>
      <c r="O1201" s="1" t="s">
        <v>9956</v>
      </c>
      <c r="P1201" s="1" t="s">
        <v>16</v>
      </c>
      <c r="Q1201" s="1">
        <v>100</v>
      </c>
      <c r="R1201" s="1">
        <v>0</v>
      </c>
      <c r="S1201" s="1">
        <v>0</v>
      </c>
    </row>
    <row r="1202" spans="1:20" ht="12.5" x14ac:dyDescent="0.25">
      <c r="A1202" s="1">
        <v>1093</v>
      </c>
      <c r="B1202" s="1" t="s">
        <v>3017</v>
      </c>
      <c r="C1202" s="1" t="s">
        <v>35</v>
      </c>
      <c r="D1202" s="1" t="s">
        <v>152</v>
      </c>
      <c r="E1202" s="1">
        <v>950</v>
      </c>
      <c r="F1202" s="1" t="s">
        <v>3808</v>
      </c>
      <c r="G1202" s="1" t="s">
        <v>3809</v>
      </c>
      <c r="H1202" s="1" t="s">
        <v>16</v>
      </c>
      <c r="I1202" s="1" t="s">
        <v>20</v>
      </c>
      <c r="J1202" s="1" t="s">
        <v>16</v>
      </c>
      <c r="K1202" s="1" t="b">
        <v>0</v>
      </c>
      <c r="L1202" s="1" t="s">
        <v>22</v>
      </c>
      <c r="M1202" s="1" t="s">
        <v>16</v>
      </c>
      <c r="N1202" s="1" t="s">
        <v>16</v>
      </c>
      <c r="O1202" s="1" t="s">
        <v>9956</v>
      </c>
      <c r="P1202" s="1" t="s">
        <v>16</v>
      </c>
      <c r="Q1202" s="1">
        <v>100</v>
      </c>
      <c r="R1202" s="1">
        <v>0</v>
      </c>
      <c r="S1202" s="1">
        <v>0</v>
      </c>
    </row>
    <row r="1203" spans="1:20" ht="12.5" x14ac:dyDescent="0.25">
      <c r="A1203" s="1">
        <v>1095</v>
      </c>
      <c r="B1203" s="1" t="s">
        <v>3810</v>
      </c>
      <c r="C1203" s="1" t="s">
        <v>35</v>
      </c>
      <c r="D1203" s="1" t="s">
        <v>152</v>
      </c>
      <c r="E1203" s="1">
        <v>951</v>
      </c>
      <c r="F1203" s="1" t="s">
        <v>3812</v>
      </c>
      <c r="G1203" s="1" t="s">
        <v>3813</v>
      </c>
      <c r="H1203" s="1" t="s">
        <v>16</v>
      </c>
      <c r="I1203" s="1" t="s">
        <v>29</v>
      </c>
      <c r="J1203" s="1" t="s">
        <v>3814</v>
      </c>
      <c r="K1203" s="1" t="b">
        <v>0</v>
      </c>
      <c r="L1203" s="1" t="s">
        <v>22</v>
      </c>
      <c r="M1203" s="1" t="s">
        <v>16</v>
      </c>
      <c r="N1203" s="1" t="s">
        <v>16</v>
      </c>
      <c r="O1203" s="1" t="s">
        <v>9956</v>
      </c>
      <c r="P1203" s="1" t="s">
        <v>16</v>
      </c>
      <c r="Q1203" s="1">
        <v>100</v>
      </c>
      <c r="R1203" s="1">
        <v>0</v>
      </c>
      <c r="S1203" s="1">
        <v>0</v>
      </c>
    </row>
    <row r="1204" spans="1:20" ht="12.5" x14ac:dyDescent="0.25">
      <c r="A1204" s="1">
        <v>1096</v>
      </c>
      <c r="B1204" s="1" t="s">
        <v>3815</v>
      </c>
      <c r="C1204" s="1" t="s">
        <v>35</v>
      </c>
      <c r="D1204" s="1" t="s">
        <v>152</v>
      </c>
      <c r="E1204" s="1">
        <v>952</v>
      </c>
      <c r="F1204" s="1" t="s">
        <v>3817</v>
      </c>
      <c r="G1204" s="1" t="s">
        <v>3818</v>
      </c>
      <c r="H1204" s="1" t="s">
        <v>3819</v>
      </c>
      <c r="I1204" s="1" t="s">
        <v>29</v>
      </c>
      <c r="J1204" s="1" t="s">
        <v>3820</v>
      </c>
      <c r="K1204" s="1" t="b">
        <v>0</v>
      </c>
      <c r="L1204" s="1" t="s">
        <v>22</v>
      </c>
      <c r="M1204" s="1">
        <v>2022</v>
      </c>
      <c r="N1204" s="1" t="s">
        <v>23</v>
      </c>
      <c r="O1204" s="1" t="s">
        <v>9956</v>
      </c>
      <c r="P1204" s="1" t="s">
        <v>9991</v>
      </c>
      <c r="Q1204" s="1">
        <v>100</v>
      </c>
      <c r="R1204" s="1">
        <v>8542</v>
      </c>
      <c r="S1204" s="1">
        <v>8542</v>
      </c>
    </row>
    <row r="1205" spans="1:20" ht="12.5" x14ac:dyDescent="0.25">
      <c r="A1205" s="1">
        <v>1096</v>
      </c>
      <c r="B1205" s="1" t="s">
        <v>3815</v>
      </c>
      <c r="C1205" s="1" t="s">
        <v>35</v>
      </c>
      <c r="D1205" s="1" t="s">
        <v>152</v>
      </c>
      <c r="E1205" s="1">
        <v>952</v>
      </c>
      <c r="F1205" s="1" t="s">
        <v>3817</v>
      </c>
      <c r="G1205" s="1" t="s">
        <v>3818</v>
      </c>
      <c r="H1205" s="1" t="s">
        <v>3819</v>
      </c>
      <c r="I1205" s="1" t="s">
        <v>29</v>
      </c>
      <c r="J1205" s="1" t="s">
        <v>3820</v>
      </c>
      <c r="K1205" s="1" t="b">
        <v>0</v>
      </c>
      <c r="L1205" s="1" t="s">
        <v>22</v>
      </c>
      <c r="M1205" s="1">
        <v>2022</v>
      </c>
      <c r="N1205" s="1" t="s">
        <v>23</v>
      </c>
      <c r="O1205" s="1" t="s">
        <v>9940</v>
      </c>
      <c r="P1205" s="1" t="s">
        <v>5389</v>
      </c>
      <c r="Q1205" s="1">
        <v>100</v>
      </c>
      <c r="R1205" s="1">
        <v>35000</v>
      </c>
      <c r="S1205" s="1">
        <v>35000</v>
      </c>
    </row>
    <row r="1206" spans="1:20" ht="12.5" x14ac:dyDescent="0.25">
      <c r="A1206" s="1">
        <v>1099</v>
      </c>
      <c r="B1206" s="1" t="s">
        <v>821</v>
      </c>
      <c r="C1206" s="1" t="s">
        <v>35</v>
      </c>
      <c r="D1206" s="1" t="s">
        <v>152</v>
      </c>
      <c r="E1206" s="1">
        <v>953</v>
      </c>
      <c r="F1206" s="1" t="s">
        <v>3821</v>
      </c>
      <c r="G1206" s="1" t="s">
        <v>3822</v>
      </c>
      <c r="H1206" s="1" t="s">
        <v>16</v>
      </c>
      <c r="I1206" s="1" t="s">
        <v>29</v>
      </c>
      <c r="J1206" s="1" t="s">
        <v>3823</v>
      </c>
      <c r="K1206" s="1" t="b">
        <v>0</v>
      </c>
      <c r="L1206" s="1" t="s">
        <v>22</v>
      </c>
      <c r="M1206" s="1" t="s">
        <v>16</v>
      </c>
      <c r="N1206" s="1" t="s">
        <v>16</v>
      </c>
      <c r="O1206" s="1" t="s">
        <v>9956</v>
      </c>
      <c r="P1206" s="1" t="s">
        <v>16</v>
      </c>
      <c r="Q1206" s="1">
        <v>100</v>
      </c>
      <c r="R1206" s="1">
        <v>10000</v>
      </c>
      <c r="S1206" s="1">
        <v>10000</v>
      </c>
    </row>
    <row r="1207" spans="1:20" ht="12.5" x14ac:dyDescent="0.25">
      <c r="A1207" s="1">
        <v>1103</v>
      </c>
      <c r="B1207" s="1" t="s">
        <v>3824</v>
      </c>
      <c r="C1207" s="1" t="s">
        <v>35</v>
      </c>
      <c r="D1207" s="1" t="s">
        <v>152</v>
      </c>
      <c r="E1207" s="1">
        <v>954</v>
      </c>
      <c r="F1207" s="1" t="s">
        <v>3826</v>
      </c>
      <c r="G1207" s="1" t="s">
        <v>3827</v>
      </c>
      <c r="H1207" s="1" t="s">
        <v>16</v>
      </c>
      <c r="I1207" s="1" t="s">
        <v>29</v>
      </c>
      <c r="J1207" s="1" t="s">
        <v>3828</v>
      </c>
      <c r="K1207" s="1" t="b">
        <v>1</v>
      </c>
      <c r="L1207" s="1" t="s">
        <v>31</v>
      </c>
      <c r="M1207" s="1">
        <v>2022</v>
      </c>
      <c r="N1207" s="1" t="s">
        <v>23</v>
      </c>
      <c r="O1207" s="1" t="s">
        <v>9956</v>
      </c>
      <c r="P1207" s="1" t="s">
        <v>16</v>
      </c>
      <c r="Q1207" s="1">
        <v>100</v>
      </c>
      <c r="R1207" s="1">
        <v>10000</v>
      </c>
      <c r="S1207" s="1">
        <v>10000</v>
      </c>
    </row>
    <row r="1208" spans="1:20" ht="12.5" x14ac:dyDescent="0.25">
      <c r="A1208" s="1">
        <v>1104</v>
      </c>
      <c r="B1208" s="1" t="s">
        <v>3829</v>
      </c>
      <c r="C1208" s="1" t="s">
        <v>35</v>
      </c>
      <c r="D1208" s="1" t="s">
        <v>152</v>
      </c>
      <c r="E1208" s="1">
        <v>955</v>
      </c>
      <c r="F1208" s="1" t="s">
        <v>3831</v>
      </c>
      <c r="G1208" s="1" t="s">
        <v>3832</v>
      </c>
      <c r="H1208" s="1" t="s">
        <v>16</v>
      </c>
      <c r="I1208" s="1" t="s">
        <v>29</v>
      </c>
      <c r="J1208" s="1" t="s">
        <v>3833</v>
      </c>
      <c r="K1208" s="1" t="b">
        <v>0</v>
      </c>
      <c r="L1208" s="1" t="s">
        <v>22</v>
      </c>
      <c r="M1208" s="1" t="s">
        <v>16</v>
      </c>
      <c r="N1208" s="1" t="s">
        <v>16</v>
      </c>
      <c r="O1208" s="1" t="s">
        <v>9956</v>
      </c>
      <c r="P1208" s="1" t="s">
        <v>16</v>
      </c>
      <c r="Q1208" s="1">
        <v>100</v>
      </c>
      <c r="R1208" s="1">
        <v>0</v>
      </c>
      <c r="S1208" s="1">
        <v>0</v>
      </c>
    </row>
    <row r="1209" spans="1:20" ht="12.5" x14ac:dyDescent="0.25">
      <c r="A1209" s="1">
        <v>1105</v>
      </c>
      <c r="B1209" s="1" t="s">
        <v>234</v>
      </c>
      <c r="C1209" s="1" t="s">
        <v>35</v>
      </c>
      <c r="D1209" s="1" t="s">
        <v>152</v>
      </c>
      <c r="E1209" s="1">
        <v>956</v>
      </c>
      <c r="F1209" s="1" t="s">
        <v>3834</v>
      </c>
      <c r="G1209" s="1" t="s">
        <v>3835</v>
      </c>
      <c r="H1209" s="1" t="s">
        <v>16</v>
      </c>
      <c r="I1209" s="1" t="s">
        <v>20</v>
      </c>
      <c r="J1209" s="1" t="s">
        <v>16</v>
      </c>
      <c r="K1209" s="1" t="b">
        <v>0</v>
      </c>
      <c r="L1209" s="1" t="s">
        <v>22</v>
      </c>
      <c r="M1209" s="1" t="s">
        <v>16</v>
      </c>
      <c r="N1209" s="1" t="s">
        <v>16</v>
      </c>
      <c r="O1209" s="1" t="s">
        <v>9956</v>
      </c>
      <c r="P1209" s="1" t="s">
        <v>16</v>
      </c>
      <c r="Q1209" s="1">
        <v>100</v>
      </c>
      <c r="R1209" s="1">
        <v>0</v>
      </c>
      <c r="S1209" s="1">
        <v>0</v>
      </c>
    </row>
    <row r="1210" spans="1:20" ht="12.5" x14ac:dyDescent="0.25">
      <c r="A1210" s="1">
        <v>1106</v>
      </c>
      <c r="B1210" s="1" t="s">
        <v>236</v>
      </c>
      <c r="C1210" s="1" t="s">
        <v>35</v>
      </c>
      <c r="D1210" s="1" t="s">
        <v>152</v>
      </c>
      <c r="E1210" s="1">
        <v>957</v>
      </c>
      <c r="F1210" s="1" t="s">
        <v>3836</v>
      </c>
      <c r="G1210" s="1" t="s">
        <v>3837</v>
      </c>
      <c r="H1210" s="1" t="s">
        <v>16</v>
      </c>
      <c r="I1210" s="1" t="s">
        <v>29</v>
      </c>
      <c r="J1210" s="1" t="s">
        <v>3838</v>
      </c>
      <c r="K1210" s="1" t="b">
        <v>0</v>
      </c>
      <c r="L1210" s="1" t="s">
        <v>22</v>
      </c>
      <c r="M1210" s="1" t="s">
        <v>16</v>
      </c>
      <c r="N1210" s="1" t="s">
        <v>16</v>
      </c>
      <c r="O1210" s="1" t="s">
        <v>16</v>
      </c>
      <c r="P1210" s="1" t="s">
        <v>16</v>
      </c>
      <c r="Q1210" s="1">
        <v>100</v>
      </c>
    </row>
    <row r="1211" spans="1:20" ht="12.5" x14ac:dyDescent="0.25">
      <c r="A1211" s="1">
        <v>1107</v>
      </c>
      <c r="B1211" s="1" t="s">
        <v>3839</v>
      </c>
      <c r="C1211" s="1" t="s">
        <v>35</v>
      </c>
      <c r="D1211" s="1" t="s">
        <v>152</v>
      </c>
      <c r="E1211" s="1">
        <v>958</v>
      </c>
      <c r="F1211" s="1" t="s">
        <v>3841</v>
      </c>
      <c r="G1211" s="1" t="s">
        <v>3842</v>
      </c>
      <c r="H1211" s="1" t="s">
        <v>16</v>
      </c>
      <c r="I1211" s="1" t="s">
        <v>29</v>
      </c>
      <c r="J1211" s="1" t="s">
        <v>3843</v>
      </c>
      <c r="K1211" s="1" t="b">
        <v>0</v>
      </c>
      <c r="L1211" s="1" t="s">
        <v>22</v>
      </c>
      <c r="M1211" s="1" t="s">
        <v>16</v>
      </c>
      <c r="N1211" s="1" t="s">
        <v>16</v>
      </c>
      <c r="O1211" s="1" t="s">
        <v>9956</v>
      </c>
      <c r="P1211" s="1" t="s">
        <v>9989</v>
      </c>
      <c r="Q1211" s="1">
        <v>100</v>
      </c>
      <c r="R1211" s="1">
        <v>150000</v>
      </c>
      <c r="S1211" s="1">
        <v>150000</v>
      </c>
    </row>
    <row r="1212" spans="1:20" ht="12.5" x14ac:dyDescent="0.25">
      <c r="A1212" s="1">
        <v>1113</v>
      </c>
      <c r="B1212" s="1" t="s">
        <v>3844</v>
      </c>
      <c r="C1212" s="1" t="s">
        <v>35</v>
      </c>
      <c r="D1212" s="1" t="s">
        <v>152</v>
      </c>
      <c r="E1212" s="1">
        <v>959</v>
      </c>
      <c r="F1212" s="1" t="s">
        <v>3845</v>
      </c>
      <c r="G1212" s="1" t="s">
        <v>3846</v>
      </c>
      <c r="H1212" s="1" t="s">
        <v>3847</v>
      </c>
      <c r="I1212" s="1" t="s">
        <v>29</v>
      </c>
      <c r="J1212" s="1" t="s">
        <v>3848</v>
      </c>
      <c r="K1212" s="1" t="b">
        <v>0</v>
      </c>
      <c r="L1212" s="1" t="s">
        <v>22</v>
      </c>
      <c r="M1212" s="1">
        <v>2022</v>
      </c>
      <c r="N1212" s="1" t="s">
        <v>52</v>
      </c>
      <c r="O1212" s="1" t="s">
        <v>9935</v>
      </c>
      <c r="P1212" s="1" t="s">
        <v>16</v>
      </c>
      <c r="Q1212" s="1">
        <v>100</v>
      </c>
      <c r="R1212" s="1">
        <v>14245</v>
      </c>
      <c r="S1212" s="1">
        <v>14245</v>
      </c>
    </row>
    <row r="1213" spans="1:20" ht="12.5" x14ac:dyDescent="0.25">
      <c r="A1213" s="1">
        <v>1114</v>
      </c>
      <c r="B1213" s="1" t="s">
        <v>3849</v>
      </c>
      <c r="C1213" s="1" t="s">
        <v>35</v>
      </c>
      <c r="D1213" s="1" t="s">
        <v>152</v>
      </c>
      <c r="E1213" s="1">
        <v>960</v>
      </c>
      <c r="F1213" s="1" t="s">
        <v>3850</v>
      </c>
      <c r="G1213" s="1" t="s">
        <v>3851</v>
      </c>
      <c r="H1213" s="1" t="s">
        <v>3852</v>
      </c>
      <c r="I1213" s="1" t="s">
        <v>29</v>
      </c>
      <c r="J1213" s="1" t="s">
        <v>3853</v>
      </c>
      <c r="K1213" s="1" t="b">
        <v>1</v>
      </c>
      <c r="L1213" s="1" t="s">
        <v>31</v>
      </c>
      <c r="M1213" s="1">
        <v>2022</v>
      </c>
      <c r="N1213" s="1" t="s">
        <v>52</v>
      </c>
      <c r="O1213" s="1" t="s">
        <v>9935</v>
      </c>
      <c r="P1213" s="1" t="s">
        <v>16</v>
      </c>
      <c r="Q1213" s="1">
        <v>100</v>
      </c>
      <c r="R1213" s="1">
        <v>50000</v>
      </c>
      <c r="S1213" s="1">
        <v>50000</v>
      </c>
    </row>
    <row r="1214" spans="1:20" ht="12.5" x14ac:dyDescent="0.25">
      <c r="A1214" s="1">
        <v>1114</v>
      </c>
      <c r="B1214" s="1" t="s">
        <v>3849</v>
      </c>
      <c r="C1214" s="1" t="s">
        <v>35</v>
      </c>
      <c r="D1214" s="1" t="s">
        <v>152</v>
      </c>
      <c r="E1214" s="1">
        <v>960</v>
      </c>
      <c r="F1214" s="1" t="s">
        <v>3850</v>
      </c>
      <c r="G1214" s="1" t="s">
        <v>3851</v>
      </c>
      <c r="H1214" s="1" t="s">
        <v>3852</v>
      </c>
      <c r="I1214" s="1" t="s">
        <v>29</v>
      </c>
      <c r="J1214" s="1" t="s">
        <v>3853</v>
      </c>
      <c r="K1214" s="1" t="b">
        <v>1</v>
      </c>
      <c r="L1214" s="1" t="s">
        <v>31</v>
      </c>
      <c r="M1214" s="1">
        <v>2022</v>
      </c>
      <c r="N1214" s="1" t="s">
        <v>52</v>
      </c>
      <c r="O1214" s="1" t="s">
        <v>9940</v>
      </c>
      <c r="P1214" s="1" t="s">
        <v>16</v>
      </c>
      <c r="Q1214" s="1">
        <v>100</v>
      </c>
      <c r="R1214" s="1">
        <v>30000</v>
      </c>
      <c r="S1214" s="1">
        <v>30000</v>
      </c>
    </row>
    <row r="1215" spans="1:20" ht="12.5" x14ac:dyDescent="0.25">
      <c r="A1215" s="1">
        <v>1115</v>
      </c>
      <c r="B1215" s="1" t="s">
        <v>3854</v>
      </c>
      <c r="C1215" s="1" t="s">
        <v>35</v>
      </c>
      <c r="D1215" s="1" t="s">
        <v>152</v>
      </c>
      <c r="E1215" s="1">
        <v>961</v>
      </c>
      <c r="F1215" s="1" t="s">
        <v>3856</v>
      </c>
      <c r="G1215" s="1" t="s">
        <v>9992</v>
      </c>
      <c r="H1215" s="1" t="s">
        <v>9993</v>
      </c>
      <c r="I1215" s="1" t="s">
        <v>16</v>
      </c>
      <c r="J1215" s="1" t="s">
        <v>29</v>
      </c>
      <c r="K1215" s="1" t="s">
        <v>3858</v>
      </c>
      <c r="L1215" s="1" t="b">
        <v>0</v>
      </c>
      <c r="M1215" s="1" t="s">
        <v>22</v>
      </c>
      <c r="N1215" s="1" t="s">
        <v>16</v>
      </c>
      <c r="O1215" s="1" t="s">
        <v>16</v>
      </c>
      <c r="P1215" s="1" t="s">
        <v>9956</v>
      </c>
      <c r="R1215" s="1">
        <v>100</v>
      </c>
      <c r="S1215" s="1">
        <v>50000</v>
      </c>
      <c r="T1215" s="1">
        <v>50000</v>
      </c>
    </row>
    <row r="1216" spans="1:20" ht="12.5" x14ac:dyDescent="0.25">
      <c r="A1216" s="1">
        <v>1116</v>
      </c>
      <c r="B1216" s="1" t="s">
        <v>3859</v>
      </c>
      <c r="C1216" s="1" t="s">
        <v>35</v>
      </c>
      <c r="D1216" s="1" t="s">
        <v>152</v>
      </c>
      <c r="E1216" s="1">
        <v>962</v>
      </c>
      <c r="F1216" s="1" t="s">
        <v>3860</v>
      </c>
      <c r="G1216" s="1" t="s">
        <v>3861</v>
      </c>
      <c r="H1216" s="1" t="s">
        <v>16</v>
      </c>
      <c r="I1216" s="1" t="s">
        <v>29</v>
      </c>
      <c r="J1216" s="1" t="s">
        <v>3862</v>
      </c>
      <c r="K1216" s="1" t="b">
        <v>0</v>
      </c>
      <c r="L1216" s="1" t="s">
        <v>22</v>
      </c>
      <c r="M1216" s="1" t="s">
        <v>16</v>
      </c>
      <c r="N1216" s="1" t="s">
        <v>16</v>
      </c>
      <c r="O1216" s="1" t="s">
        <v>9956</v>
      </c>
      <c r="P1216" s="1" t="s">
        <v>16</v>
      </c>
      <c r="Q1216" s="1">
        <v>100</v>
      </c>
      <c r="R1216" s="1">
        <v>2000</v>
      </c>
      <c r="S1216" s="1">
        <v>2000</v>
      </c>
    </row>
    <row r="1217" spans="1:19" ht="12.5" x14ac:dyDescent="0.25">
      <c r="A1217" s="1">
        <v>1118</v>
      </c>
      <c r="B1217" s="1" t="s">
        <v>3863</v>
      </c>
      <c r="C1217" s="1" t="s">
        <v>35</v>
      </c>
      <c r="D1217" s="1" t="s">
        <v>152</v>
      </c>
      <c r="E1217" s="1">
        <v>963</v>
      </c>
      <c r="F1217" s="1" t="s">
        <v>3865</v>
      </c>
      <c r="G1217" s="1" t="s">
        <v>3866</v>
      </c>
      <c r="H1217" s="1" t="s">
        <v>16</v>
      </c>
      <c r="I1217" s="1" t="s">
        <v>29</v>
      </c>
      <c r="J1217" s="1" t="s">
        <v>3867</v>
      </c>
      <c r="K1217" s="1" t="b">
        <v>0</v>
      </c>
      <c r="L1217" s="1" t="s">
        <v>22</v>
      </c>
      <c r="M1217" s="1" t="s">
        <v>16</v>
      </c>
      <c r="N1217" s="1" t="s">
        <v>16</v>
      </c>
      <c r="O1217" s="1" t="s">
        <v>9956</v>
      </c>
      <c r="P1217" s="1" t="s">
        <v>16</v>
      </c>
      <c r="Q1217" s="1">
        <v>100</v>
      </c>
      <c r="R1217" s="1">
        <v>35000</v>
      </c>
      <c r="S1217" s="1">
        <v>35000</v>
      </c>
    </row>
    <row r="1218" spans="1:19" ht="12.5" x14ac:dyDescent="0.25">
      <c r="A1218" s="1">
        <v>1119</v>
      </c>
      <c r="B1218" s="1" t="s">
        <v>3868</v>
      </c>
      <c r="C1218" s="1" t="s">
        <v>35</v>
      </c>
      <c r="D1218" s="1" t="s">
        <v>152</v>
      </c>
      <c r="E1218" s="1">
        <v>964</v>
      </c>
      <c r="F1218" s="1" t="s">
        <v>3870</v>
      </c>
      <c r="G1218" s="1" t="s">
        <v>3871</v>
      </c>
      <c r="H1218" s="1" t="s">
        <v>16</v>
      </c>
      <c r="I1218" s="1" t="s">
        <v>29</v>
      </c>
      <c r="J1218" s="1" t="s">
        <v>3872</v>
      </c>
      <c r="K1218" s="1" t="b">
        <v>0</v>
      </c>
      <c r="L1218" s="1" t="s">
        <v>22</v>
      </c>
      <c r="M1218" s="1" t="s">
        <v>16</v>
      </c>
      <c r="N1218" s="1" t="s">
        <v>16</v>
      </c>
      <c r="O1218" s="1" t="s">
        <v>9956</v>
      </c>
      <c r="P1218" s="1" t="s">
        <v>16</v>
      </c>
      <c r="Q1218" s="1">
        <v>100</v>
      </c>
      <c r="R1218" s="1">
        <v>35000</v>
      </c>
      <c r="S1218" s="1">
        <v>35000</v>
      </c>
    </row>
    <row r="1219" spans="1:19" ht="12.5" x14ac:dyDescent="0.25">
      <c r="A1219" s="1">
        <v>1120</v>
      </c>
      <c r="B1219" s="1" t="s">
        <v>3873</v>
      </c>
      <c r="C1219" s="1" t="s">
        <v>35</v>
      </c>
      <c r="D1219" s="1" t="s">
        <v>152</v>
      </c>
      <c r="E1219" s="1">
        <v>965</v>
      </c>
      <c r="F1219" s="1" t="s">
        <v>3875</v>
      </c>
      <c r="G1219" s="1" t="s">
        <v>3876</v>
      </c>
      <c r="H1219" s="1"/>
      <c r="I1219" s="1" t="s">
        <v>29</v>
      </c>
      <c r="J1219" s="1" t="s">
        <v>3877</v>
      </c>
      <c r="K1219" s="1" t="b">
        <v>1</v>
      </c>
      <c r="L1219" s="1" t="s">
        <v>31</v>
      </c>
      <c r="M1219" s="1">
        <v>2022</v>
      </c>
      <c r="N1219" s="1" t="s">
        <v>23</v>
      </c>
      <c r="O1219" s="1" t="s">
        <v>9956</v>
      </c>
      <c r="P1219" s="1" t="s">
        <v>16</v>
      </c>
      <c r="Q1219" s="1">
        <v>100</v>
      </c>
      <c r="R1219" s="1">
        <v>27200</v>
      </c>
      <c r="S1219" s="1">
        <v>27200</v>
      </c>
    </row>
    <row r="1220" spans="1:19" ht="12.5" x14ac:dyDescent="0.25">
      <c r="A1220" s="1">
        <v>1122</v>
      </c>
      <c r="B1220" s="1" t="s">
        <v>3878</v>
      </c>
      <c r="C1220" s="1" t="s">
        <v>35</v>
      </c>
      <c r="D1220" s="1" t="s">
        <v>152</v>
      </c>
      <c r="E1220" s="1">
        <v>966</v>
      </c>
      <c r="F1220" s="1" t="s">
        <v>3880</v>
      </c>
      <c r="G1220" s="1" t="s">
        <v>3881</v>
      </c>
      <c r="H1220" s="1" t="s">
        <v>16</v>
      </c>
      <c r="I1220" s="1" t="s">
        <v>29</v>
      </c>
      <c r="J1220" s="1" t="s">
        <v>3882</v>
      </c>
      <c r="K1220" s="1" t="b">
        <v>0</v>
      </c>
      <c r="L1220" s="1" t="s">
        <v>22</v>
      </c>
      <c r="M1220" s="1" t="s">
        <v>16</v>
      </c>
      <c r="N1220" s="1" t="s">
        <v>16</v>
      </c>
      <c r="O1220" s="1" t="s">
        <v>9956</v>
      </c>
      <c r="P1220" s="1" t="s">
        <v>16</v>
      </c>
      <c r="Q1220" s="1">
        <v>100</v>
      </c>
      <c r="R1220" s="1">
        <v>2500</v>
      </c>
      <c r="S1220" s="1">
        <v>2500</v>
      </c>
    </row>
    <row r="1221" spans="1:19" ht="12.5" x14ac:dyDescent="0.25">
      <c r="A1221" s="1">
        <v>1123</v>
      </c>
      <c r="B1221" s="1" t="s">
        <v>3883</v>
      </c>
      <c r="C1221" s="1" t="s">
        <v>35</v>
      </c>
      <c r="D1221" s="1" t="s">
        <v>152</v>
      </c>
      <c r="E1221" s="1">
        <v>967</v>
      </c>
      <c r="F1221" s="1" t="s">
        <v>3885</v>
      </c>
      <c r="G1221" s="1" t="s">
        <v>3886</v>
      </c>
      <c r="H1221" s="1" t="s">
        <v>16</v>
      </c>
      <c r="I1221" s="1" t="s">
        <v>29</v>
      </c>
      <c r="J1221" s="1" t="s">
        <v>3887</v>
      </c>
      <c r="K1221" s="1" t="b">
        <v>0</v>
      </c>
      <c r="L1221" s="1" t="s">
        <v>22</v>
      </c>
      <c r="M1221" s="1" t="s">
        <v>16</v>
      </c>
      <c r="N1221" s="1" t="s">
        <v>16</v>
      </c>
      <c r="O1221" s="1" t="s">
        <v>9956</v>
      </c>
      <c r="P1221" s="1" t="s">
        <v>16</v>
      </c>
      <c r="Q1221" s="1">
        <v>100</v>
      </c>
      <c r="R1221" s="1">
        <v>2500</v>
      </c>
      <c r="S1221" s="1">
        <v>2500</v>
      </c>
    </row>
    <row r="1222" spans="1:19" ht="12.5" x14ac:dyDescent="0.25">
      <c r="A1222" s="1">
        <v>1124</v>
      </c>
      <c r="B1222" s="1" t="s">
        <v>3888</v>
      </c>
      <c r="C1222" s="1" t="s">
        <v>35</v>
      </c>
      <c r="D1222" s="1" t="s">
        <v>152</v>
      </c>
      <c r="E1222" s="1">
        <v>968</v>
      </c>
      <c r="F1222" s="1" t="s">
        <v>3890</v>
      </c>
      <c r="G1222" s="1" t="s">
        <v>3891</v>
      </c>
      <c r="H1222" s="1" t="s">
        <v>16</v>
      </c>
      <c r="I1222" s="1" t="s">
        <v>29</v>
      </c>
      <c r="J1222" s="1" t="s">
        <v>16</v>
      </c>
      <c r="K1222" s="1" t="b">
        <v>0</v>
      </c>
      <c r="L1222" s="1" t="s">
        <v>22</v>
      </c>
      <c r="M1222" s="1" t="s">
        <v>16</v>
      </c>
      <c r="N1222" s="1" t="s">
        <v>16</v>
      </c>
      <c r="O1222" s="1" t="s">
        <v>9956</v>
      </c>
      <c r="P1222" s="1" t="s">
        <v>16</v>
      </c>
      <c r="Q1222" s="1">
        <v>100</v>
      </c>
      <c r="R1222" s="1">
        <v>4000</v>
      </c>
      <c r="S1222" s="1">
        <v>4000</v>
      </c>
    </row>
    <row r="1223" spans="1:19" ht="12.5" x14ac:dyDescent="0.25">
      <c r="A1223" s="1">
        <v>1125</v>
      </c>
      <c r="B1223" s="1" t="s">
        <v>3892</v>
      </c>
      <c r="C1223" s="1" t="s">
        <v>35</v>
      </c>
      <c r="D1223" s="1" t="s">
        <v>152</v>
      </c>
      <c r="E1223" s="1">
        <v>969</v>
      </c>
      <c r="F1223" s="1" t="s">
        <v>3894</v>
      </c>
      <c r="G1223" s="1" t="s">
        <v>3895</v>
      </c>
      <c r="H1223" s="1" t="s">
        <v>9994</v>
      </c>
      <c r="I1223" s="1" t="s">
        <v>29</v>
      </c>
      <c r="J1223" s="1" t="s">
        <v>3896</v>
      </c>
      <c r="K1223" s="1" t="b">
        <v>1</v>
      </c>
      <c r="L1223" s="1" t="s">
        <v>31</v>
      </c>
      <c r="M1223" s="1" t="s">
        <v>16</v>
      </c>
      <c r="N1223" s="1" t="s">
        <v>16</v>
      </c>
      <c r="O1223" s="1" t="s">
        <v>9956</v>
      </c>
      <c r="P1223" s="1" t="s">
        <v>16</v>
      </c>
      <c r="Q1223" s="1">
        <v>100</v>
      </c>
      <c r="R1223" s="1">
        <v>193</v>
      </c>
      <c r="S1223" s="1">
        <v>193</v>
      </c>
    </row>
    <row r="1224" spans="1:19" ht="12.5" x14ac:dyDescent="0.25">
      <c r="A1224" s="1">
        <v>1126</v>
      </c>
      <c r="B1224" s="1" t="s">
        <v>3897</v>
      </c>
      <c r="C1224" s="1" t="s">
        <v>35</v>
      </c>
      <c r="D1224" s="1" t="s">
        <v>152</v>
      </c>
      <c r="E1224" s="1">
        <v>970</v>
      </c>
      <c r="F1224" s="1" t="s">
        <v>3899</v>
      </c>
      <c r="G1224" s="1" t="s">
        <v>3900</v>
      </c>
      <c r="H1224" s="1" t="s">
        <v>9995</v>
      </c>
      <c r="I1224" s="1" t="s">
        <v>29</v>
      </c>
      <c r="J1224" s="1" t="s">
        <v>3901</v>
      </c>
      <c r="K1224" s="1" t="b">
        <v>0</v>
      </c>
      <c r="L1224" s="1" t="s">
        <v>22</v>
      </c>
      <c r="M1224" s="1" t="s">
        <v>16</v>
      </c>
      <c r="N1224" s="1" t="s">
        <v>16</v>
      </c>
      <c r="O1224" s="1" t="s">
        <v>9956</v>
      </c>
      <c r="P1224" s="1" t="s">
        <v>16</v>
      </c>
      <c r="Q1224" s="1">
        <v>100</v>
      </c>
      <c r="R1224" s="1">
        <v>150000</v>
      </c>
      <c r="S1224" s="1">
        <v>150000</v>
      </c>
    </row>
    <row r="1225" spans="1:19" ht="12.5" x14ac:dyDescent="0.25">
      <c r="A1225" s="1">
        <v>1129</v>
      </c>
      <c r="B1225" s="1" t="s">
        <v>3902</v>
      </c>
      <c r="C1225" s="1" t="s">
        <v>35</v>
      </c>
      <c r="D1225" s="1" t="s">
        <v>152</v>
      </c>
      <c r="E1225" s="1">
        <v>971</v>
      </c>
      <c r="F1225" s="1" t="s">
        <v>3904</v>
      </c>
      <c r="G1225" s="1" t="s">
        <v>3905</v>
      </c>
      <c r="H1225" s="1" t="s">
        <v>9996</v>
      </c>
      <c r="I1225" s="1" t="s">
        <v>29</v>
      </c>
      <c r="J1225" s="1" t="s">
        <v>3906</v>
      </c>
      <c r="K1225" s="1" t="b">
        <v>0</v>
      </c>
      <c r="L1225" s="1" t="s">
        <v>22</v>
      </c>
      <c r="M1225" s="1">
        <v>2023</v>
      </c>
      <c r="N1225" s="1" t="s">
        <v>16</v>
      </c>
      <c r="O1225" s="1" t="s">
        <v>9956</v>
      </c>
      <c r="P1225" s="1" t="s">
        <v>16</v>
      </c>
      <c r="Q1225" s="1">
        <v>100</v>
      </c>
      <c r="R1225" s="1">
        <v>63701</v>
      </c>
      <c r="S1225" s="1">
        <v>63701</v>
      </c>
    </row>
    <row r="1226" spans="1:19" ht="12.5" x14ac:dyDescent="0.25">
      <c r="A1226" s="1">
        <v>1131</v>
      </c>
      <c r="B1226" s="1" t="s">
        <v>3907</v>
      </c>
      <c r="C1226" s="1" t="s">
        <v>35</v>
      </c>
      <c r="D1226" s="1" t="s">
        <v>152</v>
      </c>
      <c r="E1226" s="1">
        <v>972</v>
      </c>
      <c r="F1226" s="1" t="s">
        <v>3909</v>
      </c>
      <c r="G1226" s="1" t="s">
        <v>3910</v>
      </c>
      <c r="H1226" s="1" t="s">
        <v>9997</v>
      </c>
      <c r="I1226" s="1" t="s">
        <v>29</v>
      </c>
      <c r="J1226" s="1" t="s">
        <v>3911</v>
      </c>
      <c r="K1226" s="1" t="b">
        <v>1</v>
      </c>
      <c r="L1226" s="1" t="s">
        <v>31</v>
      </c>
      <c r="M1226" s="1">
        <v>2022</v>
      </c>
      <c r="N1226" s="1" t="s">
        <v>23</v>
      </c>
      <c r="O1226" s="1" t="s">
        <v>9956</v>
      </c>
      <c r="P1226" s="1" t="s">
        <v>16</v>
      </c>
      <c r="Q1226" s="1">
        <v>100</v>
      </c>
      <c r="R1226" s="1">
        <v>110000</v>
      </c>
      <c r="S1226" s="1">
        <v>110000</v>
      </c>
    </row>
    <row r="1227" spans="1:19" ht="12.5" x14ac:dyDescent="0.25">
      <c r="A1227" s="1">
        <v>1133</v>
      </c>
      <c r="B1227" s="1" t="s">
        <v>3912</v>
      </c>
      <c r="C1227" s="1" t="s">
        <v>35</v>
      </c>
      <c r="D1227" s="1" t="s">
        <v>152</v>
      </c>
      <c r="E1227" s="1">
        <v>973</v>
      </c>
      <c r="F1227" s="1" t="s">
        <v>3914</v>
      </c>
      <c r="G1227" s="1" t="s">
        <v>3915</v>
      </c>
      <c r="H1227" s="1" t="s">
        <v>9998</v>
      </c>
      <c r="I1227" s="1" t="s">
        <v>29</v>
      </c>
      <c r="J1227" s="1" t="s">
        <v>3916</v>
      </c>
      <c r="K1227" s="1" t="b">
        <v>1</v>
      </c>
      <c r="L1227" s="1" t="s">
        <v>31</v>
      </c>
      <c r="M1227" s="1">
        <v>2022</v>
      </c>
      <c r="N1227" s="1" t="s">
        <v>23</v>
      </c>
      <c r="O1227" s="1" t="s">
        <v>9935</v>
      </c>
      <c r="P1227" s="1" t="s">
        <v>16</v>
      </c>
      <c r="Q1227" s="1">
        <v>100</v>
      </c>
      <c r="R1227" s="1">
        <v>40000</v>
      </c>
      <c r="S1227" s="1">
        <v>40000</v>
      </c>
    </row>
    <row r="1228" spans="1:19" ht="12.5" x14ac:dyDescent="0.25">
      <c r="A1228" s="1">
        <v>1138</v>
      </c>
      <c r="B1228" s="1" t="s">
        <v>3917</v>
      </c>
      <c r="C1228" s="1" t="s">
        <v>35</v>
      </c>
      <c r="D1228" s="1" t="s">
        <v>152</v>
      </c>
      <c r="E1228" s="1">
        <v>974</v>
      </c>
      <c r="F1228" s="1" t="s">
        <v>3919</v>
      </c>
      <c r="G1228" s="1" t="s">
        <v>3920</v>
      </c>
      <c r="H1228" s="1" t="s">
        <v>16</v>
      </c>
      <c r="I1228" s="1" t="s">
        <v>29</v>
      </c>
      <c r="J1228" s="1" t="s">
        <v>16</v>
      </c>
      <c r="K1228" s="1" t="b">
        <v>0</v>
      </c>
      <c r="L1228" s="1" t="s">
        <v>22</v>
      </c>
      <c r="M1228" s="1" t="s">
        <v>16</v>
      </c>
      <c r="N1228" s="1" t="s">
        <v>16</v>
      </c>
      <c r="O1228" s="1" t="s">
        <v>9956</v>
      </c>
      <c r="P1228" s="1" t="s">
        <v>16</v>
      </c>
      <c r="Q1228" s="1">
        <v>100</v>
      </c>
      <c r="R1228" s="1">
        <v>0</v>
      </c>
      <c r="S1228" s="1">
        <v>0</v>
      </c>
    </row>
    <row r="1229" spans="1:19" ht="12.5" x14ac:dyDescent="0.25">
      <c r="A1229" s="1">
        <v>1142</v>
      </c>
      <c r="B1229" s="1" t="s">
        <v>3921</v>
      </c>
      <c r="C1229" s="1" t="s">
        <v>35</v>
      </c>
      <c r="D1229" s="1" t="s">
        <v>152</v>
      </c>
      <c r="E1229" s="1">
        <v>975</v>
      </c>
      <c r="F1229" s="1" t="s">
        <v>3922</v>
      </c>
      <c r="G1229" s="1" t="s">
        <v>3923</v>
      </c>
      <c r="H1229" s="1" t="s">
        <v>16</v>
      </c>
      <c r="I1229" s="1" t="s">
        <v>29</v>
      </c>
      <c r="J1229" s="1" t="s">
        <v>3924</v>
      </c>
      <c r="K1229" s="1" t="b">
        <v>1</v>
      </c>
      <c r="L1229" s="1" t="s">
        <v>31</v>
      </c>
      <c r="M1229" s="1">
        <v>2022</v>
      </c>
      <c r="N1229" s="1" t="s">
        <v>52</v>
      </c>
      <c r="O1229" s="1" t="s">
        <v>9940</v>
      </c>
      <c r="P1229" s="1" t="s">
        <v>9999</v>
      </c>
      <c r="Q1229" s="1">
        <v>100</v>
      </c>
      <c r="R1229" s="1">
        <v>60000</v>
      </c>
      <c r="S1229" s="1">
        <v>60000</v>
      </c>
    </row>
    <row r="1230" spans="1:19" ht="12.5" x14ac:dyDescent="0.25">
      <c r="A1230" s="1">
        <v>1142</v>
      </c>
      <c r="B1230" s="1" t="s">
        <v>3921</v>
      </c>
      <c r="C1230" s="1" t="s">
        <v>35</v>
      </c>
      <c r="D1230" s="1" t="s">
        <v>152</v>
      </c>
      <c r="E1230" s="1">
        <v>975</v>
      </c>
      <c r="F1230" s="1" t="s">
        <v>3922</v>
      </c>
      <c r="G1230" s="1" t="s">
        <v>3923</v>
      </c>
      <c r="H1230" s="1" t="s">
        <v>16</v>
      </c>
      <c r="I1230" s="1" t="s">
        <v>29</v>
      </c>
      <c r="J1230" s="1" t="s">
        <v>3924</v>
      </c>
      <c r="K1230" s="1" t="b">
        <v>1</v>
      </c>
      <c r="L1230" s="1" t="s">
        <v>31</v>
      </c>
      <c r="M1230" s="1">
        <v>2022</v>
      </c>
      <c r="N1230" s="1" t="s">
        <v>45</v>
      </c>
      <c r="O1230" s="1" t="s">
        <v>9956</v>
      </c>
      <c r="P1230" s="1" t="s">
        <v>10000</v>
      </c>
      <c r="Q1230" s="1">
        <v>100</v>
      </c>
      <c r="R1230" s="1">
        <v>1000</v>
      </c>
      <c r="S1230" s="1">
        <v>1000</v>
      </c>
    </row>
    <row r="1231" spans="1:19" ht="12.5" x14ac:dyDescent="0.25">
      <c r="A1231" s="1">
        <v>1143</v>
      </c>
      <c r="B1231" s="1" t="s">
        <v>3925</v>
      </c>
      <c r="C1231" s="1" t="s">
        <v>35</v>
      </c>
      <c r="D1231" s="1" t="s">
        <v>152</v>
      </c>
      <c r="E1231" s="1">
        <v>976</v>
      </c>
      <c r="F1231" s="1" t="s">
        <v>3927</v>
      </c>
      <c r="G1231" s="1" t="s">
        <v>3928</v>
      </c>
      <c r="H1231" s="1" t="s">
        <v>10001</v>
      </c>
      <c r="I1231" s="1" t="s">
        <v>29</v>
      </c>
      <c r="J1231" s="1" t="s">
        <v>3929</v>
      </c>
      <c r="K1231" s="1" t="b">
        <v>1</v>
      </c>
      <c r="L1231" s="1" t="s">
        <v>31</v>
      </c>
      <c r="M1231" s="1">
        <v>2022</v>
      </c>
      <c r="N1231" s="1" t="s">
        <v>23</v>
      </c>
      <c r="O1231" s="1" t="s">
        <v>9956</v>
      </c>
      <c r="P1231" s="1" t="s">
        <v>16</v>
      </c>
      <c r="Q1231" s="1">
        <v>100</v>
      </c>
      <c r="R1231" s="1">
        <v>25000</v>
      </c>
      <c r="S1231" s="1">
        <v>25000</v>
      </c>
    </row>
    <row r="1232" spans="1:19" ht="12.5" x14ac:dyDescent="0.25">
      <c r="A1232" s="1">
        <v>1144</v>
      </c>
      <c r="B1232" s="1" t="s">
        <v>3930</v>
      </c>
      <c r="C1232" s="1" t="s">
        <v>35</v>
      </c>
      <c r="D1232" s="1" t="s">
        <v>152</v>
      </c>
      <c r="E1232" s="1">
        <v>977</v>
      </c>
      <c r="F1232" s="1" t="s">
        <v>3932</v>
      </c>
      <c r="G1232" s="1" t="s">
        <v>3094</v>
      </c>
      <c r="H1232" s="1" t="s">
        <v>16</v>
      </c>
      <c r="I1232" s="1" t="s">
        <v>29</v>
      </c>
      <c r="J1232" s="1" t="s">
        <v>3933</v>
      </c>
      <c r="K1232" s="1" t="b">
        <v>0</v>
      </c>
      <c r="L1232" s="1" t="s">
        <v>22</v>
      </c>
      <c r="M1232" s="1" t="s">
        <v>16</v>
      </c>
      <c r="N1232" s="1" t="s">
        <v>16</v>
      </c>
      <c r="O1232" s="1" t="s">
        <v>9940</v>
      </c>
      <c r="P1232" s="1" t="s">
        <v>16</v>
      </c>
      <c r="Q1232" s="1">
        <v>100</v>
      </c>
      <c r="R1232" s="1">
        <v>75000</v>
      </c>
      <c r="S1232" s="1">
        <v>75000</v>
      </c>
    </row>
    <row r="1233" spans="1:19" ht="12.5" x14ac:dyDescent="0.25">
      <c r="A1233" s="1">
        <v>1145</v>
      </c>
      <c r="B1233" s="1" t="s">
        <v>3934</v>
      </c>
      <c r="C1233" s="1" t="s">
        <v>35</v>
      </c>
      <c r="D1233" s="1" t="s">
        <v>152</v>
      </c>
      <c r="E1233" s="1">
        <v>978</v>
      </c>
      <c r="F1233" s="1" t="s">
        <v>3936</v>
      </c>
      <c r="G1233" s="1" t="s">
        <v>3937</v>
      </c>
      <c r="H1233" s="1" t="s">
        <v>16</v>
      </c>
      <c r="I1233" s="1" t="s">
        <v>29</v>
      </c>
      <c r="J1233" s="1" t="s">
        <v>3938</v>
      </c>
      <c r="K1233" s="1" t="b">
        <v>1</v>
      </c>
      <c r="L1233" s="1" t="s">
        <v>31</v>
      </c>
      <c r="M1233" s="1" t="s">
        <v>16</v>
      </c>
      <c r="N1233" s="1" t="s">
        <v>16</v>
      </c>
      <c r="O1233" s="1" t="s">
        <v>9956</v>
      </c>
      <c r="P1233" s="1" t="s">
        <v>16</v>
      </c>
      <c r="Q1233" s="1">
        <v>100</v>
      </c>
      <c r="R1233" s="1">
        <v>25000</v>
      </c>
      <c r="S1233" s="1">
        <v>25000</v>
      </c>
    </row>
    <row r="1234" spans="1:19" ht="12.5" x14ac:dyDescent="0.25">
      <c r="A1234" s="1">
        <v>1146</v>
      </c>
      <c r="B1234" s="1" t="s">
        <v>3939</v>
      </c>
      <c r="C1234" s="1" t="s">
        <v>35</v>
      </c>
      <c r="D1234" s="1" t="s">
        <v>152</v>
      </c>
      <c r="E1234" s="1">
        <v>979</v>
      </c>
      <c r="F1234" s="1" t="s">
        <v>3941</v>
      </c>
      <c r="G1234" s="1" t="s">
        <v>3942</v>
      </c>
      <c r="H1234" s="1" t="s">
        <v>10002</v>
      </c>
      <c r="I1234" s="1" t="s">
        <v>29</v>
      </c>
      <c r="J1234" s="1" t="s">
        <v>3943</v>
      </c>
      <c r="K1234" s="1" t="b">
        <v>0</v>
      </c>
      <c r="L1234" s="1" t="s">
        <v>22</v>
      </c>
      <c r="M1234" s="1">
        <v>2023</v>
      </c>
      <c r="N1234" s="1" t="s">
        <v>16</v>
      </c>
      <c r="O1234" s="1" t="s">
        <v>9956</v>
      </c>
      <c r="P1234" s="1" t="s">
        <v>16</v>
      </c>
      <c r="Q1234" s="1">
        <v>100</v>
      </c>
      <c r="R1234" s="1">
        <v>13541</v>
      </c>
      <c r="S1234" s="1">
        <v>13541</v>
      </c>
    </row>
    <row r="1235" spans="1:19" ht="12.5" x14ac:dyDescent="0.25">
      <c r="A1235" s="1">
        <v>1147</v>
      </c>
      <c r="B1235" s="1" t="s">
        <v>3944</v>
      </c>
      <c r="C1235" s="1" t="s">
        <v>35</v>
      </c>
      <c r="D1235" s="1" t="s">
        <v>152</v>
      </c>
      <c r="E1235" s="1">
        <v>980</v>
      </c>
      <c r="F1235" s="1" t="s">
        <v>3946</v>
      </c>
      <c r="G1235" s="1" t="s">
        <v>3947</v>
      </c>
      <c r="H1235" s="1" t="s">
        <v>16</v>
      </c>
      <c r="I1235" s="1" t="s">
        <v>29</v>
      </c>
      <c r="J1235" s="1" t="s">
        <v>3948</v>
      </c>
      <c r="K1235" s="1" t="b">
        <v>0</v>
      </c>
      <c r="L1235" s="1" t="s">
        <v>22</v>
      </c>
      <c r="M1235" s="1">
        <v>2022</v>
      </c>
      <c r="N1235" s="1" t="s">
        <v>52</v>
      </c>
      <c r="O1235" s="1" t="s">
        <v>9940</v>
      </c>
      <c r="P1235" s="1" t="s">
        <v>16</v>
      </c>
      <c r="Q1235" s="1">
        <v>100</v>
      </c>
      <c r="R1235" s="1">
        <v>35000</v>
      </c>
      <c r="S1235" s="1">
        <v>35000</v>
      </c>
    </row>
    <row r="1236" spans="1:19" ht="12.5" x14ac:dyDescent="0.25">
      <c r="A1236" s="1" t="s">
        <v>16</v>
      </c>
      <c r="B1236" s="1" t="s">
        <v>16</v>
      </c>
      <c r="C1236" s="1" t="s">
        <v>16</v>
      </c>
      <c r="D1236" s="1" t="s">
        <v>16</v>
      </c>
      <c r="E1236" s="1">
        <v>981</v>
      </c>
      <c r="F1236" s="1" t="s">
        <v>3949</v>
      </c>
      <c r="G1236" s="1" t="s">
        <v>3950</v>
      </c>
      <c r="H1236" s="1" t="s">
        <v>16</v>
      </c>
      <c r="I1236" s="1" t="s">
        <v>29</v>
      </c>
      <c r="J1236" s="1" t="s">
        <v>16</v>
      </c>
      <c r="K1236" s="1" t="b">
        <v>0</v>
      </c>
      <c r="L1236" s="1" t="s">
        <v>22</v>
      </c>
      <c r="M1236" s="1" t="s">
        <v>16</v>
      </c>
      <c r="N1236" s="1" t="s">
        <v>16</v>
      </c>
      <c r="O1236" s="1" t="s">
        <v>9956</v>
      </c>
      <c r="P1236" s="1" t="s">
        <v>16</v>
      </c>
      <c r="R1236" s="1">
        <v>0</v>
      </c>
    </row>
    <row r="1237" spans="1:19" ht="12.5" x14ac:dyDescent="0.25">
      <c r="A1237" s="1">
        <v>1149</v>
      </c>
      <c r="B1237" s="1" t="s">
        <v>3951</v>
      </c>
      <c r="C1237" s="1" t="s">
        <v>35</v>
      </c>
      <c r="D1237" s="1" t="s">
        <v>152</v>
      </c>
      <c r="E1237" s="1">
        <v>982</v>
      </c>
      <c r="F1237" s="1" t="s">
        <v>3953</v>
      </c>
      <c r="G1237" s="1" t="s">
        <v>3094</v>
      </c>
      <c r="H1237" s="1" t="s">
        <v>16</v>
      </c>
      <c r="I1237" s="1" t="s">
        <v>29</v>
      </c>
      <c r="J1237" s="1" t="s">
        <v>3954</v>
      </c>
      <c r="K1237" s="1" t="b">
        <v>0</v>
      </c>
      <c r="L1237" s="1" t="s">
        <v>22</v>
      </c>
      <c r="M1237" s="1" t="s">
        <v>16</v>
      </c>
      <c r="N1237" s="1" t="s">
        <v>16</v>
      </c>
      <c r="O1237" s="1" t="s">
        <v>9956</v>
      </c>
      <c r="P1237" s="1" t="s">
        <v>16</v>
      </c>
      <c r="Q1237" s="1">
        <v>100</v>
      </c>
      <c r="R1237" s="1">
        <v>75000</v>
      </c>
      <c r="S1237" s="1">
        <v>75000</v>
      </c>
    </row>
    <row r="1238" spans="1:19" ht="12.5" x14ac:dyDescent="0.25">
      <c r="A1238" s="1">
        <v>1151</v>
      </c>
      <c r="B1238" s="1" t="s">
        <v>3955</v>
      </c>
      <c r="C1238" s="1" t="s">
        <v>35</v>
      </c>
      <c r="D1238" s="1" t="s">
        <v>152</v>
      </c>
      <c r="E1238" s="1">
        <v>983</v>
      </c>
      <c r="F1238" s="1" t="s">
        <v>3957</v>
      </c>
      <c r="G1238" s="1" t="s">
        <v>3958</v>
      </c>
      <c r="H1238" s="1" t="s">
        <v>10003</v>
      </c>
      <c r="I1238" s="1" t="s">
        <v>29</v>
      </c>
      <c r="J1238" s="1" t="s">
        <v>3959</v>
      </c>
      <c r="K1238" s="1" t="b">
        <v>0</v>
      </c>
      <c r="L1238" s="1" t="s">
        <v>22</v>
      </c>
      <c r="M1238" s="1">
        <v>2023</v>
      </c>
      <c r="N1238" s="1" t="s">
        <v>32</v>
      </c>
      <c r="O1238" s="1" t="s">
        <v>9942</v>
      </c>
      <c r="P1238" s="1" t="s">
        <v>16</v>
      </c>
      <c r="Q1238" s="1">
        <v>100</v>
      </c>
      <c r="R1238" s="1">
        <v>20000</v>
      </c>
      <c r="S1238" s="1">
        <v>20000</v>
      </c>
    </row>
    <row r="1239" spans="1:19" ht="12.5" x14ac:dyDescent="0.25">
      <c r="A1239" s="1">
        <v>1152</v>
      </c>
      <c r="B1239" s="1" t="s">
        <v>3960</v>
      </c>
      <c r="C1239" s="1" t="s">
        <v>35</v>
      </c>
      <c r="D1239" s="1" t="s">
        <v>152</v>
      </c>
      <c r="E1239" s="1">
        <v>984</v>
      </c>
      <c r="F1239" s="1" t="s">
        <v>3962</v>
      </c>
      <c r="G1239" s="1" t="s">
        <v>3963</v>
      </c>
      <c r="H1239" s="1" t="s">
        <v>10004</v>
      </c>
      <c r="I1239" s="1" t="s">
        <v>29</v>
      </c>
      <c r="J1239" s="1" t="s">
        <v>3964</v>
      </c>
      <c r="K1239" s="1" t="b">
        <v>0</v>
      </c>
      <c r="L1239" s="1" t="s">
        <v>22</v>
      </c>
      <c r="M1239" s="1">
        <v>2022</v>
      </c>
      <c r="N1239" s="1" t="s">
        <v>16</v>
      </c>
      <c r="O1239" s="1" t="s">
        <v>9956</v>
      </c>
      <c r="P1239" s="1" t="s">
        <v>16</v>
      </c>
      <c r="Q1239" s="1">
        <v>100</v>
      </c>
      <c r="R1239" s="1">
        <v>33358</v>
      </c>
      <c r="S1239" s="1">
        <v>33358</v>
      </c>
    </row>
    <row r="1240" spans="1:19" ht="12.5" x14ac:dyDescent="0.25">
      <c r="A1240" s="1">
        <v>1153</v>
      </c>
      <c r="B1240" s="1" t="s">
        <v>3965</v>
      </c>
      <c r="C1240" s="1" t="s">
        <v>35</v>
      </c>
      <c r="D1240" s="1" t="s">
        <v>152</v>
      </c>
      <c r="E1240" s="1">
        <v>985</v>
      </c>
      <c r="F1240" s="1" t="s">
        <v>3967</v>
      </c>
      <c r="G1240" s="1" t="s">
        <v>3968</v>
      </c>
      <c r="H1240" s="1" t="s">
        <v>16</v>
      </c>
      <c r="I1240" s="1" t="s">
        <v>29</v>
      </c>
      <c r="J1240" s="1" t="s">
        <v>3969</v>
      </c>
      <c r="K1240" s="1" t="b">
        <v>0</v>
      </c>
      <c r="L1240" s="1" t="s">
        <v>22</v>
      </c>
      <c r="M1240" s="1" t="s">
        <v>16</v>
      </c>
      <c r="N1240" s="1" t="s">
        <v>16</v>
      </c>
      <c r="O1240" s="1" t="s">
        <v>9956</v>
      </c>
      <c r="P1240" s="1" t="s">
        <v>16</v>
      </c>
      <c r="Q1240" s="1">
        <v>100</v>
      </c>
      <c r="R1240" s="1">
        <v>1500</v>
      </c>
      <c r="S1240" s="1">
        <v>1500</v>
      </c>
    </row>
    <row r="1241" spans="1:19" ht="12.5" x14ac:dyDescent="0.25">
      <c r="A1241" s="1">
        <v>1154</v>
      </c>
      <c r="B1241" s="1" t="s">
        <v>3970</v>
      </c>
      <c r="C1241" s="1" t="s">
        <v>35</v>
      </c>
      <c r="D1241" s="1" t="s">
        <v>152</v>
      </c>
      <c r="E1241" s="1">
        <v>986</v>
      </c>
      <c r="F1241" s="1" t="s">
        <v>3972</v>
      </c>
      <c r="G1241" s="1" t="s">
        <v>3973</v>
      </c>
      <c r="H1241" s="1" t="s">
        <v>10005</v>
      </c>
      <c r="I1241" s="1" t="s">
        <v>29</v>
      </c>
      <c r="J1241" s="1" t="s">
        <v>3974</v>
      </c>
      <c r="K1241" s="1" t="b">
        <v>0</v>
      </c>
      <c r="L1241" s="1" t="s">
        <v>22</v>
      </c>
      <c r="M1241" s="1" t="s">
        <v>16</v>
      </c>
      <c r="N1241" s="1" t="s">
        <v>16</v>
      </c>
      <c r="O1241" s="1" t="s">
        <v>9956</v>
      </c>
      <c r="P1241" s="1" t="s">
        <v>16</v>
      </c>
      <c r="Q1241" s="1">
        <v>100</v>
      </c>
      <c r="R1241" s="1">
        <v>200000</v>
      </c>
      <c r="S1241" s="1">
        <v>200000</v>
      </c>
    </row>
    <row r="1242" spans="1:19" ht="12.5" x14ac:dyDescent="0.25">
      <c r="A1242" s="1">
        <v>1155</v>
      </c>
      <c r="B1242" s="1" t="s">
        <v>716</v>
      </c>
      <c r="C1242" s="1" t="s">
        <v>35</v>
      </c>
      <c r="D1242" s="1" t="s">
        <v>152</v>
      </c>
      <c r="E1242" s="1">
        <v>987</v>
      </c>
      <c r="F1242" s="1" t="s">
        <v>3975</v>
      </c>
      <c r="G1242" s="1" t="s">
        <v>3976</v>
      </c>
      <c r="H1242" s="1" t="s">
        <v>16</v>
      </c>
      <c r="I1242" s="1" t="s">
        <v>20</v>
      </c>
      <c r="J1242" s="1" t="s">
        <v>16</v>
      </c>
      <c r="K1242" s="1" t="b">
        <v>0</v>
      </c>
      <c r="L1242" s="1" t="s">
        <v>22</v>
      </c>
      <c r="M1242" s="1" t="s">
        <v>16</v>
      </c>
      <c r="N1242" s="1" t="s">
        <v>16</v>
      </c>
      <c r="O1242" s="1" t="s">
        <v>9956</v>
      </c>
      <c r="P1242" s="1" t="s">
        <v>16</v>
      </c>
      <c r="Q1242" s="1">
        <v>100</v>
      </c>
      <c r="R1242" s="1">
        <v>0</v>
      </c>
      <c r="S1242" s="1">
        <v>0</v>
      </c>
    </row>
    <row r="1243" spans="1:19" ht="12.5" x14ac:dyDescent="0.25">
      <c r="A1243" s="1">
        <v>1156</v>
      </c>
      <c r="B1243" s="1" t="s">
        <v>3977</v>
      </c>
      <c r="C1243" s="1" t="s">
        <v>35</v>
      </c>
      <c r="D1243" s="1" t="s">
        <v>152</v>
      </c>
      <c r="E1243" s="1">
        <v>988</v>
      </c>
      <c r="F1243" s="1" t="s">
        <v>3979</v>
      </c>
      <c r="G1243" s="1" t="s">
        <v>3980</v>
      </c>
      <c r="H1243" s="1" t="s">
        <v>16</v>
      </c>
      <c r="I1243" s="1" t="s">
        <v>29</v>
      </c>
      <c r="J1243" s="1" t="s">
        <v>3981</v>
      </c>
      <c r="K1243" s="1" t="b">
        <v>0</v>
      </c>
      <c r="L1243" s="1" t="s">
        <v>22</v>
      </c>
      <c r="M1243" s="1" t="s">
        <v>16</v>
      </c>
      <c r="N1243" s="1" t="s">
        <v>16</v>
      </c>
      <c r="O1243" s="1" t="s">
        <v>16</v>
      </c>
      <c r="P1243" s="1" t="s">
        <v>16</v>
      </c>
      <c r="Q1243" s="1">
        <v>100</v>
      </c>
    </row>
    <row r="1244" spans="1:19" ht="12.5" x14ac:dyDescent="0.25">
      <c r="A1244" s="1">
        <v>1163</v>
      </c>
      <c r="B1244" s="1" t="s">
        <v>3982</v>
      </c>
      <c r="C1244" s="1" t="s">
        <v>35</v>
      </c>
      <c r="D1244" s="1" t="s">
        <v>152</v>
      </c>
      <c r="E1244" s="1">
        <v>989</v>
      </c>
      <c r="F1244" s="1" t="s">
        <v>3984</v>
      </c>
      <c r="G1244" s="1" t="s">
        <v>3985</v>
      </c>
      <c r="H1244" s="1" t="s">
        <v>10006</v>
      </c>
      <c r="I1244" s="1" t="s">
        <v>29</v>
      </c>
      <c r="J1244" s="1" t="s">
        <v>3986</v>
      </c>
      <c r="K1244" s="1" t="b">
        <v>0</v>
      </c>
      <c r="L1244" s="1" t="s">
        <v>22</v>
      </c>
      <c r="M1244" s="1" t="s">
        <v>16</v>
      </c>
      <c r="N1244" s="1" t="s">
        <v>16</v>
      </c>
      <c r="O1244" s="1" t="s">
        <v>9956</v>
      </c>
      <c r="P1244" s="1" t="s">
        <v>16</v>
      </c>
      <c r="Q1244" s="1">
        <v>100</v>
      </c>
      <c r="R1244" s="1">
        <v>0</v>
      </c>
      <c r="S1244" s="1">
        <v>0</v>
      </c>
    </row>
    <row r="1245" spans="1:19" ht="12.5" x14ac:dyDescent="0.25">
      <c r="A1245" s="1">
        <v>1164</v>
      </c>
      <c r="B1245" s="1" t="s">
        <v>3987</v>
      </c>
      <c r="C1245" s="1" t="s">
        <v>35</v>
      </c>
      <c r="D1245" s="1" t="s">
        <v>152</v>
      </c>
      <c r="E1245" s="1">
        <v>990</v>
      </c>
      <c r="F1245" s="1" t="s">
        <v>3989</v>
      </c>
      <c r="G1245" s="1" t="s">
        <v>3990</v>
      </c>
      <c r="H1245" s="1" t="s">
        <v>10007</v>
      </c>
      <c r="I1245" s="1" t="s">
        <v>29</v>
      </c>
      <c r="J1245" s="1" t="s">
        <v>3991</v>
      </c>
      <c r="K1245" s="1" t="b">
        <v>0</v>
      </c>
      <c r="L1245" s="1" t="s">
        <v>22</v>
      </c>
      <c r="M1245" s="1">
        <v>2022</v>
      </c>
      <c r="N1245" s="1" t="s">
        <v>45</v>
      </c>
      <c r="O1245" s="1" t="s">
        <v>9956</v>
      </c>
      <c r="P1245" s="1" t="s">
        <v>9990</v>
      </c>
      <c r="Q1245" s="1">
        <v>100</v>
      </c>
      <c r="R1245" s="1">
        <v>2500</v>
      </c>
      <c r="S1245" s="1">
        <v>2500</v>
      </c>
    </row>
    <row r="1246" spans="1:19" ht="12.5" x14ac:dyDescent="0.25">
      <c r="A1246" s="1">
        <v>824</v>
      </c>
      <c r="B1246" s="1" t="s">
        <v>3992</v>
      </c>
      <c r="C1246" s="1" t="s">
        <v>35</v>
      </c>
      <c r="D1246" s="1" t="s">
        <v>36</v>
      </c>
      <c r="E1246" s="1">
        <v>991</v>
      </c>
      <c r="F1246" s="1" t="s">
        <v>3993</v>
      </c>
      <c r="G1246" s="1" t="s">
        <v>3994</v>
      </c>
      <c r="H1246" s="1" t="s">
        <v>16</v>
      </c>
      <c r="I1246" s="1" t="s">
        <v>29</v>
      </c>
      <c r="J1246" s="1" t="s">
        <v>3995</v>
      </c>
      <c r="K1246" s="1" t="b">
        <v>0</v>
      </c>
      <c r="L1246" s="1" t="s">
        <v>22</v>
      </c>
      <c r="M1246" s="1">
        <v>2022</v>
      </c>
      <c r="N1246" s="1" t="s">
        <v>32</v>
      </c>
      <c r="O1246" s="1" t="s">
        <v>9956</v>
      </c>
      <c r="P1246" s="1" t="s">
        <v>10008</v>
      </c>
      <c r="Q1246" s="1">
        <v>50</v>
      </c>
      <c r="R1246" s="1">
        <v>50000</v>
      </c>
      <c r="S1246" s="1">
        <v>25000</v>
      </c>
    </row>
    <row r="1247" spans="1:19" ht="12.5" x14ac:dyDescent="0.25">
      <c r="A1247" s="1">
        <v>1169</v>
      </c>
      <c r="B1247" s="1" t="s">
        <v>3996</v>
      </c>
      <c r="C1247" s="1" t="s">
        <v>35</v>
      </c>
      <c r="D1247" s="1" t="s">
        <v>152</v>
      </c>
      <c r="E1247" s="1">
        <v>991</v>
      </c>
      <c r="F1247" s="1" t="s">
        <v>3993</v>
      </c>
      <c r="G1247" s="1" t="s">
        <v>3994</v>
      </c>
      <c r="H1247" s="1" t="s">
        <v>16</v>
      </c>
      <c r="I1247" s="1" t="s">
        <v>29</v>
      </c>
      <c r="J1247" s="1" t="s">
        <v>3995</v>
      </c>
      <c r="K1247" s="1" t="b">
        <v>0</v>
      </c>
      <c r="L1247" s="1" t="s">
        <v>22</v>
      </c>
      <c r="M1247" s="1">
        <v>2022</v>
      </c>
      <c r="N1247" s="1" t="s">
        <v>32</v>
      </c>
      <c r="O1247" s="1" t="s">
        <v>9956</v>
      </c>
      <c r="P1247" s="1" t="s">
        <v>10008</v>
      </c>
      <c r="Q1247" s="1">
        <v>50</v>
      </c>
      <c r="R1247" s="1">
        <v>50000</v>
      </c>
      <c r="S1247" s="1">
        <v>25000</v>
      </c>
    </row>
    <row r="1248" spans="1:19" ht="12.5" x14ac:dyDescent="0.25">
      <c r="A1248" s="1">
        <v>1171</v>
      </c>
      <c r="B1248" s="1" t="s">
        <v>3998</v>
      </c>
      <c r="C1248" s="1" t="s">
        <v>35</v>
      </c>
      <c r="D1248" s="1" t="s">
        <v>152</v>
      </c>
      <c r="E1248" s="1">
        <v>992</v>
      </c>
      <c r="F1248" s="1" t="s">
        <v>3999</v>
      </c>
      <c r="G1248" s="1" t="s">
        <v>4000</v>
      </c>
      <c r="H1248" s="1" t="s">
        <v>16</v>
      </c>
      <c r="I1248" s="1" t="s">
        <v>29</v>
      </c>
      <c r="J1248" s="1" t="s">
        <v>4001</v>
      </c>
      <c r="K1248" s="1" t="b">
        <v>0</v>
      </c>
      <c r="L1248" s="1" t="s">
        <v>22</v>
      </c>
      <c r="M1248" s="1">
        <v>2022</v>
      </c>
      <c r="N1248" s="1" t="s">
        <v>16</v>
      </c>
      <c r="O1248" s="1" t="s">
        <v>9940</v>
      </c>
      <c r="P1248" s="1" t="s">
        <v>16</v>
      </c>
      <c r="Q1248" s="1">
        <v>100</v>
      </c>
      <c r="R1248" s="1">
        <v>100000</v>
      </c>
      <c r="S1248" s="1">
        <v>100000</v>
      </c>
    </row>
    <row r="1249" spans="1:19" ht="12.5" x14ac:dyDescent="0.25">
      <c r="A1249" s="1">
        <v>1173</v>
      </c>
      <c r="B1249" s="1" t="s">
        <v>4002</v>
      </c>
      <c r="C1249" s="1" t="s">
        <v>35</v>
      </c>
      <c r="D1249" s="1" t="s">
        <v>152</v>
      </c>
      <c r="E1249" s="1">
        <v>993</v>
      </c>
      <c r="F1249" s="1" t="s">
        <v>4004</v>
      </c>
      <c r="G1249" s="1" t="s">
        <v>4005</v>
      </c>
      <c r="H1249" s="1" t="s">
        <v>10009</v>
      </c>
      <c r="I1249" s="1" t="s">
        <v>29</v>
      </c>
      <c r="J1249" s="1" t="s">
        <v>4006</v>
      </c>
      <c r="K1249" s="1" t="b">
        <v>0</v>
      </c>
      <c r="L1249" s="1" t="s">
        <v>22</v>
      </c>
      <c r="M1249" s="1" t="s">
        <v>16</v>
      </c>
      <c r="N1249" s="1" t="s">
        <v>16</v>
      </c>
      <c r="O1249" s="1" t="s">
        <v>9956</v>
      </c>
      <c r="P1249" s="1" t="s">
        <v>16</v>
      </c>
      <c r="Q1249" s="1">
        <v>100</v>
      </c>
      <c r="R1249" s="1">
        <v>256476</v>
      </c>
      <c r="S1249" s="1">
        <v>256476</v>
      </c>
    </row>
    <row r="1250" spans="1:19" ht="12.5" x14ac:dyDescent="0.25">
      <c r="A1250" s="1">
        <v>1174</v>
      </c>
      <c r="B1250" s="1" t="s">
        <v>4007</v>
      </c>
      <c r="C1250" s="1" t="s">
        <v>35</v>
      </c>
      <c r="D1250" s="1" t="s">
        <v>152</v>
      </c>
      <c r="E1250" s="1">
        <v>994</v>
      </c>
      <c r="F1250" s="1" t="s">
        <v>4009</v>
      </c>
      <c r="G1250" s="1" t="s">
        <v>4010</v>
      </c>
      <c r="H1250" s="1" t="s">
        <v>10010</v>
      </c>
      <c r="I1250" s="1" t="s">
        <v>29</v>
      </c>
      <c r="J1250" s="1" t="s">
        <v>4011</v>
      </c>
      <c r="K1250" s="1" t="b">
        <v>0</v>
      </c>
      <c r="L1250" s="1" t="s">
        <v>22</v>
      </c>
      <c r="M1250" s="1">
        <v>2022</v>
      </c>
      <c r="N1250" s="1" t="s">
        <v>16</v>
      </c>
      <c r="O1250" s="1" t="s">
        <v>9956</v>
      </c>
      <c r="P1250" s="1" t="s">
        <v>16</v>
      </c>
      <c r="Q1250" s="1">
        <v>100</v>
      </c>
      <c r="R1250" s="1">
        <v>20625</v>
      </c>
      <c r="S1250" s="1">
        <v>20625</v>
      </c>
    </row>
    <row r="1251" spans="1:19" ht="12.5" x14ac:dyDescent="0.25">
      <c r="A1251" s="1">
        <v>1177</v>
      </c>
      <c r="B1251" s="1" t="s">
        <v>4012</v>
      </c>
      <c r="C1251" s="1" t="s">
        <v>35</v>
      </c>
      <c r="D1251" s="1" t="s">
        <v>152</v>
      </c>
      <c r="E1251" s="1">
        <v>995</v>
      </c>
      <c r="F1251" s="1" t="s">
        <v>4014</v>
      </c>
      <c r="G1251" s="1" t="s">
        <v>4015</v>
      </c>
      <c r="H1251" s="1" t="s">
        <v>16</v>
      </c>
      <c r="I1251" s="1" t="s">
        <v>29</v>
      </c>
      <c r="J1251" s="1" t="s">
        <v>4016</v>
      </c>
      <c r="K1251" s="1" t="b">
        <v>0</v>
      </c>
      <c r="L1251" s="1" t="s">
        <v>22</v>
      </c>
      <c r="M1251" s="1">
        <v>2023</v>
      </c>
      <c r="N1251" s="1" t="s">
        <v>45</v>
      </c>
      <c r="O1251" s="1" t="s">
        <v>9935</v>
      </c>
      <c r="P1251" s="1" t="s">
        <v>16</v>
      </c>
      <c r="Q1251" s="1">
        <v>100</v>
      </c>
      <c r="R1251" s="1">
        <v>50000</v>
      </c>
      <c r="S1251" s="1">
        <v>50000</v>
      </c>
    </row>
    <row r="1252" spans="1:19" ht="12.5" x14ac:dyDescent="0.25">
      <c r="A1252" s="1">
        <v>1179</v>
      </c>
      <c r="B1252" s="1" t="s">
        <v>4017</v>
      </c>
      <c r="C1252" s="1" t="s">
        <v>35</v>
      </c>
      <c r="D1252" s="1" t="s">
        <v>152</v>
      </c>
      <c r="E1252" s="1">
        <v>996</v>
      </c>
      <c r="F1252" s="1" t="s">
        <v>4019</v>
      </c>
      <c r="G1252" s="1" t="s">
        <v>4020</v>
      </c>
      <c r="H1252" s="1" t="s">
        <v>16</v>
      </c>
      <c r="I1252" s="1" t="s">
        <v>29</v>
      </c>
      <c r="J1252" s="1" t="s">
        <v>4021</v>
      </c>
      <c r="K1252" s="1" t="b">
        <v>1</v>
      </c>
      <c r="L1252" s="1" t="s">
        <v>31</v>
      </c>
      <c r="M1252" s="1" t="s">
        <v>16</v>
      </c>
      <c r="N1252" s="1" t="s">
        <v>16</v>
      </c>
      <c r="O1252" s="1" t="s">
        <v>9956</v>
      </c>
      <c r="P1252" s="1" t="s">
        <v>16</v>
      </c>
      <c r="Q1252" s="1">
        <v>100</v>
      </c>
      <c r="R1252" s="1">
        <v>1227</v>
      </c>
      <c r="S1252" s="1">
        <v>1227</v>
      </c>
    </row>
    <row r="1253" spans="1:19" ht="12.5" x14ac:dyDescent="0.25">
      <c r="A1253" s="1">
        <v>1180</v>
      </c>
      <c r="B1253" s="1" t="s">
        <v>4022</v>
      </c>
      <c r="C1253" s="1" t="s">
        <v>35</v>
      </c>
      <c r="D1253" s="1" t="s">
        <v>152</v>
      </c>
      <c r="E1253" s="1">
        <v>997</v>
      </c>
      <c r="F1253" s="1" t="s">
        <v>4024</v>
      </c>
      <c r="G1253" s="1" t="s">
        <v>4025</v>
      </c>
      <c r="H1253" s="1" t="s">
        <v>16</v>
      </c>
      <c r="I1253" s="1" t="s">
        <v>29</v>
      </c>
      <c r="J1253" s="1" t="s">
        <v>4026</v>
      </c>
      <c r="K1253" s="1" t="b">
        <v>0</v>
      </c>
      <c r="L1253" s="1" t="s">
        <v>22</v>
      </c>
      <c r="M1253" s="1" t="s">
        <v>16</v>
      </c>
      <c r="N1253" s="1" t="s">
        <v>16</v>
      </c>
      <c r="O1253" s="1" t="s">
        <v>9956</v>
      </c>
      <c r="P1253" s="1" t="s">
        <v>16</v>
      </c>
      <c r="Q1253" s="1">
        <v>100</v>
      </c>
      <c r="R1253" s="1">
        <v>1500</v>
      </c>
      <c r="S1253" s="1">
        <v>1500</v>
      </c>
    </row>
    <row r="1254" spans="1:19" ht="12.5" x14ac:dyDescent="0.25">
      <c r="A1254" s="1">
        <v>1182</v>
      </c>
      <c r="B1254" s="1" t="s">
        <v>238</v>
      </c>
      <c r="C1254" s="1" t="s">
        <v>35</v>
      </c>
      <c r="D1254" s="1" t="s">
        <v>152</v>
      </c>
      <c r="E1254" s="1">
        <v>998</v>
      </c>
      <c r="F1254" s="1" t="s">
        <v>4027</v>
      </c>
      <c r="G1254" s="1" t="s">
        <v>4028</v>
      </c>
      <c r="H1254" s="1" t="s">
        <v>16</v>
      </c>
      <c r="I1254" s="1" t="s">
        <v>20</v>
      </c>
      <c r="J1254" s="1" t="s">
        <v>16</v>
      </c>
      <c r="K1254" s="1" t="b">
        <v>0</v>
      </c>
      <c r="L1254" s="1" t="s">
        <v>22</v>
      </c>
      <c r="M1254" s="1" t="s">
        <v>16</v>
      </c>
      <c r="N1254" s="1" t="s">
        <v>16</v>
      </c>
      <c r="O1254" s="1" t="s">
        <v>9956</v>
      </c>
      <c r="P1254" s="1" t="s">
        <v>16</v>
      </c>
      <c r="Q1254" s="1">
        <v>100</v>
      </c>
      <c r="R1254" s="1">
        <v>0</v>
      </c>
      <c r="S1254" s="1">
        <v>0</v>
      </c>
    </row>
    <row r="1255" spans="1:19" ht="12.5" x14ac:dyDescent="0.25">
      <c r="A1255" s="1">
        <v>1183</v>
      </c>
      <c r="B1255" s="1" t="s">
        <v>4029</v>
      </c>
      <c r="C1255" s="1" t="s">
        <v>35</v>
      </c>
      <c r="D1255" s="1" t="s">
        <v>152</v>
      </c>
      <c r="E1255" s="1">
        <v>999</v>
      </c>
      <c r="F1255" s="1" t="s">
        <v>4031</v>
      </c>
      <c r="G1255" s="1" t="s">
        <v>4032</v>
      </c>
      <c r="H1255" s="1" t="s">
        <v>16</v>
      </c>
      <c r="I1255" s="1" t="s">
        <v>29</v>
      </c>
      <c r="J1255" s="1" t="s">
        <v>4033</v>
      </c>
      <c r="K1255" s="1" t="b">
        <v>0</v>
      </c>
      <c r="L1255" s="1" t="s">
        <v>22</v>
      </c>
      <c r="M1255" s="1" t="s">
        <v>16</v>
      </c>
      <c r="N1255" s="1" t="s">
        <v>16</v>
      </c>
      <c r="O1255" s="1" t="s">
        <v>9956</v>
      </c>
      <c r="P1255" s="1" t="s">
        <v>16</v>
      </c>
      <c r="Q1255" s="1">
        <v>100</v>
      </c>
      <c r="R1255" s="1">
        <v>1000</v>
      </c>
      <c r="S1255" s="1">
        <v>1000</v>
      </c>
    </row>
    <row r="1256" spans="1:19" ht="12.5" x14ac:dyDescent="0.25">
      <c r="A1256" s="1">
        <v>1188</v>
      </c>
      <c r="B1256" s="1" t="s">
        <v>4034</v>
      </c>
      <c r="C1256" s="1" t="s">
        <v>35</v>
      </c>
      <c r="D1256" s="1" t="s">
        <v>152</v>
      </c>
      <c r="E1256" s="1">
        <v>1000</v>
      </c>
      <c r="F1256" s="1" t="s">
        <v>4036</v>
      </c>
      <c r="G1256" s="1" t="s">
        <v>4037</v>
      </c>
      <c r="H1256" s="1" t="s">
        <v>16</v>
      </c>
      <c r="I1256" s="1" t="s">
        <v>29</v>
      </c>
      <c r="J1256" s="1" t="s">
        <v>16</v>
      </c>
      <c r="K1256" s="1" t="b">
        <v>0</v>
      </c>
      <c r="L1256" s="1" t="s">
        <v>22</v>
      </c>
      <c r="M1256" s="1" t="s">
        <v>16</v>
      </c>
      <c r="N1256" s="1" t="s">
        <v>16</v>
      </c>
      <c r="O1256" s="1" t="s">
        <v>9956</v>
      </c>
      <c r="P1256" s="1" t="s">
        <v>16</v>
      </c>
      <c r="Q1256" s="1">
        <v>100</v>
      </c>
      <c r="R1256" s="1">
        <v>2500</v>
      </c>
      <c r="S1256" s="1">
        <v>2500</v>
      </c>
    </row>
    <row r="1257" spans="1:19" ht="12.5" x14ac:dyDescent="0.25">
      <c r="A1257" s="1">
        <v>1189</v>
      </c>
      <c r="B1257" s="1" t="s">
        <v>4038</v>
      </c>
      <c r="C1257" s="1" t="s">
        <v>35</v>
      </c>
      <c r="D1257" s="1" t="s">
        <v>152</v>
      </c>
      <c r="E1257" s="1">
        <v>1001</v>
      </c>
      <c r="F1257" s="1" t="s">
        <v>4040</v>
      </c>
      <c r="G1257" s="1" t="s">
        <v>4041</v>
      </c>
      <c r="H1257" s="1" t="s">
        <v>16</v>
      </c>
      <c r="I1257" s="1" t="s">
        <v>29</v>
      </c>
      <c r="J1257" s="1" t="s">
        <v>4042</v>
      </c>
      <c r="K1257" s="1" t="b">
        <v>0</v>
      </c>
      <c r="L1257" s="1" t="s">
        <v>22</v>
      </c>
      <c r="M1257" s="1">
        <v>2021</v>
      </c>
      <c r="N1257" s="1" t="s">
        <v>45</v>
      </c>
      <c r="O1257" s="1" t="s">
        <v>9956</v>
      </c>
      <c r="P1257" s="1" t="s">
        <v>9957</v>
      </c>
      <c r="Q1257" s="1">
        <v>100</v>
      </c>
      <c r="R1257" s="1">
        <v>1000</v>
      </c>
      <c r="S1257" s="1">
        <v>1000</v>
      </c>
    </row>
    <row r="1258" spans="1:19" ht="12.5" x14ac:dyDescent="0.25">
      <c r="A1258" s="1">
        <v>1190</v>
      </c>
      <c r="B1258" s="1" t="s">
        <v>4043</v>
      </c>
      <c r="C1258" s="1" t="s">
        <v>35</v>
      </c>
      <c r="D1258" s="1" t="s">
        <v>152</v>
      </c>
      <c r="E1258" s="1">
        <v>1002</v>
      </c>
      <c r="F1258" s="1" t="s">
        <v>4045</v>
      </c>
      <c r="G1258" s="1" t="s">
        <v>4046</v>
      </c>
      <c r="H1258" s="1" t="s">
        <v>16</v>
      </c>
      <c r="I1258" s="1" t="s">
        <v>29</v>
      </c>
      <c r="J1258" s="1" t="s">
        <v>16</v>
      </c>
      <c r="K1258" s="1" t="b">
        <v>0</v>
      </c>
      <c r="L1258" s="1" t="s">
        <v>22</v>
      </c>
      <c r="M1258" s="1" t="s">
        <v>16</v>
      </c>
      <c r="N1258" s="1" t="s">
        <v>16</v>
      </c>
      <c r="O1258" s="1" t="s">
        <v>9956</v>
      </c>
      <c r="P1258" s="1" t="s">
        <v>16</v>
      </c>
      <c r="Q1258" s="1">
        <v>100</v>
      </c>
      <c r="R1258" s="1">
        <v>50000</v>
      </c>
      <c r="S1258" s="1">
        <v>50000</v>
      </c>
    </row>
    <row r="1259" spans="1:19" ht="12.5" x14ac:dyDescent="0.25">
      <c r="A1259" s="1">
        <v>1191</v>
      </c>
      <c r="B1259" s="1" t="s">
        <v>4047</v>
      </c>
      <c r="C1259" s="1" t="s">
        <v>35</v>
      </c>
      <c r="D1259" s="1" t="s">
        <v>152</v>
      </c>
      <c r="E1259" s="1">
        <v>1003</v>
      </c>
      <c r="F1259" s="1" t="s">
        <v>4049</v>
      </c>
      <c r="G1259" s="1" t="s">
        <v>4050</v>
      </c>
      <c r="H1259" s="1" t="s">
        <v>16</v>
      </c>
      <c r="I1259" s="1" t="s">
        <v>29</v>
      </c>
      <c r="J1259" s="1" t="s">
        <v>16</v>
      </c>
      <c r="K1259" s="1" t="b">
        <v>0</v>
      </c>
      <c r="L1259" s="1" t="s">
        <v>22</v>
      </c>
      <c r="M1259" s="1" t="s">
        <v>16</v>
      </c>
      <c r="N1259" s="1" t="s">
        <v>16</v>
      </c>
      <c r="O1259" s="1" t="s">
        <v>9956</v>
      </c>
      <c r="P1259" s="1" t="s">
        <v>16</v>
      </c>
      <c r="Q1259" s="1">
        <v>100</v>
      </c>
      <c r="R1259" s="1">
        <v>10000</v>
      </c>
      <c r="S1259" s="1">
        <v>10000</v>
      </c>
    </row>
    <row r="1260" spans="1:19" ht="12.5" x14ac:dyDescent="0.25">
      <c r="A1260" s="1">
        <v>1192</v>
      </c>
      <c r="B1260" s="1" t="s">
        <v>4051</v>
      </c>
      <c r="C1260" s="1" t="s">
        <v>35</v>
      </c>
      <c r="D1260" s="1" t="s">
        <v>152</v>
      </c>
      <c r="E1260" s="1">
        <v>1004</v>
      </c>
      <c r="F1260" s="1" t="s">
        <v>4053</v>
      </c>
      <c r="G1260" s="1" t="s">
        <v>4054</v>
      </c>
      <c r="H1260" s="1" t="s">
        <v>16</v>
      </c>
      <c r="I1260" s="1" t="s">
        <v>29</v>
      </c>
      <c r="J1260" s="1" t="s">
        <v>4055</v>
      </c>
      <c r="K1260" s="1" t="b">
        <v>0</v>
      </c>
      <c r="L1260" s="1" t="s">
        <v>22</v>
      </c>
      <c r="M1260" s="1" t="s">
        <v>16</v>
      </c>
      <c r="N1260" s="1" t="s">
        <v>16</v>
      </c>
      <c r="O1260" s="1" t="s">
        <v>9956</v>
      </c>
      <c r="P1260" s="1" t="s">
        <v>16</v>
      </c>
      <c r="Q1260" s="1">
        <v>100</v>
      </c>
      <c r="R1260" s="1">
        <v>0</v>
      </c>
      <c r="S1260" s="1">
        <v>0</v>
      </c>
    </row>
    <row r="1261" spans="1:19" ht="12.5" x14ac:dyDescent="0.25">
      <c r="A1261" s="1">
        <v>1193</v>
      </c>
      <c r="B1261" s="1" t="s">
        <v>4056</v>
      </c>
      <c r="C1261" s="1" t="s">
        <v>35</v>
      </c>
      <c r="D1261" s="1" t="s">
        <v>152</v>
      </c>
      <c r="E1261" s="1">
        <v>1005</v>
      </c>
      <c r="F1261" s="1" t="s">
        <v>4057</v>
      </c>
      <c r="G1261" s="1" t="s">
        <v>4058</v>
      </c>
      <c r="H1261" s="1" t="s">
        <v>16</v>
      </c>
      <c r="I1261" s="1" t="s">
        <v>29</v>
      </c>
      <c r="J1261" s="1" t="s">
        <v>4059</v>
      </c>
      <c r="K1261" s="1" t="b">
        <v>0</v>
      </c>
      <c r="L1261" s="1" t="s">
        <v>22</v>
      </c>
      <c r="M1261" s="1" t="s">
        <v>16</v>
      </c>
      <c r="N1261" s="1" t="s">
        <v>16</v>
      </c>
      <c r="O1261" s="1" t="s">
        <v>9956</v>
      </c>
      <c r="P1261" s="1" t="s">
        <v>16</v>
      </c>
      <c r="Q1261" s="1">
        <v>100</v>
      </c>
      <c r="R1261" s="1">
        <v>300000</v>
      </c>
      <c r="S1261" s="1">
        <v>300000</v>
      </c>
    </row>
    <row r="1262" spans="1:19" ht="12.5" x14ac:dyDescent="0.25">
      <c r="A1262" s="1">
        <v>1195</v>
      </c>
      <c r="B1262" s="1" t="s">
        <v>4060</v>
      </c>
      <c r="C1262" s="1" t="s">
        <v>35</v>
      </c>
      <c r="D1262" s="1" t="s">
        <v>152</v>
      </c>
      <c r="E1262" s="1">
        <v>1006</v>
      </c>
      <c r="F1262" s="1" t="s">
        <v>4062</v>
      </c>
      <c r="G1262" s="1" t="s">
        <v>4063</v>
      </c>
      <c r="H1262" s="1" t="s">
        <v>10011</v>
      </c>
      <c r="I1262" s="1" t="s">
        <v>29</v>
      </c>
      <c r="J1262" s="1" t="s">
        <v>4064</v>
      </c>
      <c r="K1262" s="1" t="b">
        <v>1</v>
      </c>
      <c r="L1262" s="1" t="s">
        <v>31</v>
      </c>
      <c r="M1262" s="1" t="s">
        <v>16</v>
      </c>
      <c r="N1262" s="1" t="s">
        <v>16</v>
      </c>
      <c r="O1262" s="1" t="s">
        <v>9956</v>
      </c>
      <c r="P1262" s="1" t="s">
        <v>16</v>
      </c>
      <c r="Q1262" s="1">
        <v>100</v>
      </c>
      <c r="R1262" s="1">
        <v>100000</v>
      </c>
      <c r="S1262" s="1">
        <v>100000</v>
      </c>
    </row>
    <row r="1263" spans="1:19" ht="12.5" x14ac:dyDescent="0.25">
      <c r="A1263" s="1">
        <v>1196</v>
      </c>
      <c r="B1263" s="1" t="s">
        <v>4065</v>
      </c>
      <c r="C1263" s="1" t="s">
        <v>35</v>
      </c>
      <c r="D1263" s="1" t="s">
        <v>152</v>
      </c>
      <c r="E1263" s="1">
        <v>1007</v>
      </c>
      <c r="F1263" s="1" t="s">
        <v>4067</v>
      </c>
      <c r="G1263" s="1" t="s">
        <v>4068</v>
      </c>
      <c r="H1263" s="1" t="s">
        <v>16</v>
      </c>
      <c r="I1263" s="1" t="s">
        <v>29</v>
      </c>
      <c r="J1263" s="1" t="s">
        <v>4069</v>
      </c>
      <c r="K1263" s="1" t="b">
        <v>1</v>
      </c>
      <c r="L1263" s="1" t="s">
        <v>31</v>
      </c>
      <c r="M1263" s="1">
        <v>2022</v>
      </c>
      <c r="N1263" s="1" t="s">
        <v>45</v>
      </c>
      <c r="O1263" s="1" t="s">
        <v>9956</v>
      </c>
      <c r="P1263" s="1" t="s">
        <v>16</v>
      </c>
      <c r="Q1263" s="1">
        <v>100</v>
      </c>
      <c r="R1263" s="1">
        <v>7000</v>
      </c>
      <c r="S1263" s="1">
        <v>7000</v>
      </c>
    </row>
    <row r="1264" spans="1:19" ht="12.5" x14ac:dyDescent="0.25">
      <c r="A1264" s="1">
        <v>1197</v>
      </c>
      <c r="B1264" s="1" t="s">
        <v>4070</v>
      </c>
      <c r="C1264" s="1" t="s">
        <v>35</v>
      </c>
      <c r="D1264" s="1" t="s">
        <v>152</v>
      </c>
      <c r="E1264" s="1">
        <v>1008</v>
      </c>
      <c r="F1264" s="1" t="s">
        <v>4072</v>
      </c>
      <c r="G1264" s="1" t="s">
        <v>4073</v>
      </c>
      <c r="H1264" s="1" t="s">
        <v>16</v>
      </c>
      <c r="I1264" s="1" t="s">
        <v>29</v>
      </c>
      <c r="J1264" s="1" t="s">
        <v>4074</v>
      </c>
      <c r="K1264" s="1" t="b">
        <v>1</v>
      </c>
      <c r="L1264" s="1" t="s">
        <v>31</v>
      </c>
      <c r="M1264" s="1">
        <v>2021</v>
      </c>
      <c r="N1264" s="1" t="s">
        <v>23</v>
      </c>
      <c r="O1264" s="1" t="s">
        <v>9940</v>
      </c>
      <c r="P1264" s="1" t="s">
        <v>16</v>
      </c>
      <c r="Q1264" s="1">
        <v>100</v>
      </c>
      <c r="R1264" s="1">
        <v>26235.96</v>
      </c>
      <c r="S1264" s="1">
        <v>26235.96</v>
      </c>
    </row>
    <row r="1265" spans="1:20" ht="12.5" x14ac:dyDescent="0.25">
      <c r="A1265" s="1">
        <v>1202</v>
      </c>
      <c r="B1265" s="1" t="s">
        <v>4075</v>
      </c>
      <c r="C1265" s="1" t="s">
        <v>35</v>
      </c>
      <c r="D1265" s="1" t="s">
        <v>152</v>
      </c>
      <c r="E1265" s="1">
        <v>1009</v>
      </c>
      <c r="F1265" s="1" t="s">
        <v>4076</v>
      </c>
      <c r="G1265" s="1" t="s">
        <v>4077</v>
      </c>
      <c r="H1265" s="1" t="s">
        <v>16</v>
      </c>
      <c r="I1265" s="1" t="s">
        <v>29</v>
      </c>
      <c r="J1265" s="1" t="s">
        <v>4078</v>
      </c>
      <c r="K1265" s="1" t="b">
        <v>0</v>
      </c>
      <c r="L1265" s="1" t="s">
        <v>22</v>
      </c>
      <c r="M1265" s="1">
        <v>2022</v>
      </c>
      <c r="N1265" s="1" t="s">
        <v>45</v>
      </c>
      <c r="O1265" s="1" t="s">
        <v>9956</v>
      </c>
      <c r="P1265" s="1" t="s">
        <v>16</v>
      </c>
      <c r="Q1265" s="1">
        <v>100</v>
      </c>
      <c r="R1265" s="1">
        <v>2000</v>
      </c>
      <c r="S1265" s="1">
        <v>2000</v>
      </c>
    </row>
    <row r="1266" spans="1:20" ht="12.5" x14ac:dyDescent="0.25">
      <c r="A1266" s="1">
        <v>1203</v>
      </c>
      <c r="B1266" s="1" t="s">
        <v>4079</v>
      </c>
      <c r="C1266" s="1" t="s">
        <v>35</v>
      </c>
      <c r="D1266" s="1" t="s">
        <v>152</v>
      </c>
      <c r="E1266" s="1">
        <v>1010</v>
      </c>
      <c r="F1266" s="1" t="s">
        <v>4080</v>
      </c>
      <c r="G1266" s="1" t="s">
        <v>4081</v>
      </c>
      <c r="H1266" s="1" t="s">
        <v>16</v>
      </c>
      <c r="I1266" s="1" t="s">
        <v>29</v>
      </c>
      <c r="J1266" s="1" t="s">
        <v>4082</v>
      </c>
      <c r="K1266" s="1" t="b">
        <v>1</v>
      </c>
      <c r="L1266" s="1" t="s">
        <v>31</v>
      </c>
      <c r="M1266" s="1" t="s">
        <v>16</v>
      </c>
      <c r="N1266" s="1" t="s">
        <v>16</v>
      </c>
      <c r="O1266" s="1" t="s">
        <v>9956</v>
      </c>
      <c r="P1266" s="1" t="s">
        <v>16</v>
      </c>
      <c r="Q1266" s="1">
        <v>100</v>
      </c>
      <c r="R1266" s="1">
        <v>27226</v>
      </c>
      <c r="S1266" s="1">
        <v>27226</v>
      </c>
    </row>
    <row r="1267" spans="1:20" ht="12.5" x14ac:dyDescent="0.25">
      <c r="A1267" s="1">
        <v>1208</v>
      </c>
      <c r="B1267" s="1" t="s">
        <v>4083</v>
      </c>
      <c r="C1267" s="1" t="s">
        <v>35</v>
      </c>
      <c r="D1267" s="1" t="s">
        <v>152</v>
      </c>
      <c r="E1267" s="1">
        <v>1011</v>
      </c>
      <c r="F1267" s="1" t="s">
        <v>4085</v>
      </c>
      <c r="G1267" s="1" t="s">
        <v>10012</v>
      </c>
      <c r="H1267" s="1" t="s">
        <v>10013</v>
      </c>
      <c r="I1267" s="1" t="s">
        <v>16</v>
      </c>
      <c r="J1267" s="1" t="s">
        <v>29</v>
      </c>
      <c r="K1267" s="1" t="s">
        <v>4087</v>
      </c>
      <c r="L1267" s="1" t="b">
        <v>1</v>
      </c>
      <c r="M1267" s="1" t="s">
        <v>31</v>
      </c>
      <c r="N1267" s="1">
        <v>2022</v>
      </c>
      <c r="O1267" s="1" t="s">
        <v>23</v>
      </c>
      <c r="P1267" s="1" t="s">
        <v>9940</v>
      </c>
      <c r="Q1267" s="1" t="s">
        <v>5582</v>
      </c>
      <c r="R1267" s="1">
        <v>100</v>
      </c>
      <c r="S1267" s="1">
        <v>34000</v>
      </c>
      <c r="T1267" s="1">
        <v>34000</v>
      </c>
    </row>
    <row r="1268" spans="1:20" ht="12.5" x14ac:dyDescent="0.25">
      <c r="A1268" s="1">
        <v>1213</v>
      </c>
      <c r="B1268" s="1" t="s">
        <v>4088</v>
      </c>
      <c r="C1268" s="1" t="s">
        <v>35</v>
      </c>
      <c r="D1268" s="1" t="s">
        <v>152</v>
      </c>
      <c r="E1268" s="1">
        <v>1012</v>
      </c>
      <c r="F1268" s="1" t="s">
        <v>4090</v>
      </c>
      <c r="G1268" s="1" t="s">
        <v>4091</v>
      </c>
      <c r="H1268" s="1" t="s">
        <v>16</v>
      </c>
      <c r="I1268" s="1" t="s">
        <v>29</v>
      </c>
      <c r="J1268" s="1" t="s">
        <v>4092</v>
      </c>
      <c r="K1268" s="1" t="b">
        <v>1</v>
      </c>
      <c r="L1268" s="1" t="s">
        <v>31</v>
      </c>
      <c r="M1268" s="1">
        <v>2022</v>
      </c>
      <c r="N1268" s="1" t="s">
        <v>45</v>
      </c>
      <c r="O1268" s="1" t="s">
        <v>9956</v>
      </c>
      <c r="P1268" s="1" t="s">
        <v>16</v>
      </c>
      <c r="Q1268" s="1">
        <v>100</v>
      </c>
      <c r="R1268" s="1">
        <v>1000</v>
      </c>
      <c r="S1268" s="1">
        <v>1000</v>
      </c>
    </row>
    <row r="1269" spans="1:20" ht="12.5" x14ac:dyDescent="0.25">
      <c r="A1269" s="1">
        <v>1216</v>
      </c>
      <c r="B1269" s="1" t="s">
        <v>4093</v>
      </c>
      <c r="C1269" s="1" t="s">
        <v>35</v>
      </c>
      <c r="D1269" s="1" t="s">
        <v>152</v>
      </c>
      <c r="E1269" s="1">
        <v>1013</v>
      </c>
      <c r="F1269" s="1" t="s">
        <v>4095</v>
      </c>
      <c r="G1269" s="1" t="s">
        <v>4096</v>
      </c>
      <c r="H1269" s="1" t="s">
        <v>16</v>
      </c>
      <c r="I1269" s="1" t="s">
        <v>29</v>
      </c>
      <c r="J1269" s="1" t="s">
        <v>16</v>
      </c>
      <c r="K1269" s="1" t="b">
        <v>0</v>
      </c>
      <c r="L1269" s="1" t="s">
        <v>22</v>
      </c>
      <c r="M1269" s="1" t="s">
        <v>16</v>
      </c>
      <c r="N1269" s="1" t="s">
        <v>16</v>
      </c>
      <c r="O1269" s="1" t="s">
        <v>9956</v>
      </c>
      <c r="P1269" s="1" t="s">
        <v>16</v>
      </c>
      <c r="Q1269" s="1">
        <v>100</v>
      </c>
      <c r="R1269" s="1">
        <v>0</v>
      </c>
      <c r="S1269" s="1">
        <v>0</v>
      </c>
    </row>
    <row r="1270" spans="1:20" ht="12.5" x14ac:dyDescent="0.25">
      <c r="A1270" s="1">
        <v>1220</v>
      </c>
      <c r="B1270" s="1" t="s">
        <v>4097</v>
      </c>
      <c r="C1270" s="1" t="s">
        <v>35</v>
      </c>
      <c r="D1270" s="1" t="s">
        <v>152</v>
      </c>
      <c r="E1270" s="1">
        <v>1014</v>
      </c>
      <c r="F1270" s="1" t="s">
        <v>4098</v>
      </c>
      <c r="G1270" s="1" t="s">
        <v>4099</v>
      </c>
      <c r="H1270" s="1" t="s">
        <v>16</v>
      </c>
      <c r="I1270" s="1" t="s">
        <v>29</v>
      </c>
      <c r="J1270" s="1" t="s">
        <v>4100</v>
      </c>
      <c r="K1270" s="1" t="b">
        <v>0</v>
      </c>
      <c r="L1270" s="1" t="s">
        <v>22</v>
      </c>
      <c r="M1270" s="1">
        <v>2022</v>
      </c>
      <c r="N1270" s="1" t="s">
        <v>23</v>
      </c>
      <c r="O1270" s="1" t="s">
        <v>9935</v>
      </c>
      <c r="P1270" s="1"/>
      <c r="Q1270" s="1">
        <v>100</v>
      </c>
      <c r="R1270" s="1">
        <v>10000</v>
      </c>
      <c r="S1270" s="1">
        <v>10000</v>
      </c>
    </row>
    <row r="1271" spans="1:20" ht="12.5" x14ac:dyDescent="0.25">
      <c r="A1271" s="1">
        <v>1220</v>
      </c>
      <c r="B1271" s="1" t="s">
        <v>4097</v>
      </c>
      <c r="C1271" s="1" t="s">
        <v>35</v>
      </c>
      <c r="D1271" s="1" t="s">
        <v>152</v>
      </c>
      <c r="E1271" s="1">
        <v>1014</v>
      </c>
      <c r="F1271" s="1" t="s">
        <v>4098</v>
      </c>
      <c r="G1271" s="1" t="s">
        <v>4099</v>
      </c>
      <c r="H1271" s="1" t="s">
        <v>16</v>
      </c>
      <c r="I1271" s="1" t="s">
        <v>29</v>
      </c>
      <c r="J1271" s="1" t="s">
        <v>4100</v>
      </c>
      <c r="K1271" s="1" t="b">
        <v>0</v>
      </c>
      <c r="L1271" s="1" t="s">
        <v>22</v>
      </c>
      <c r="M1271" s="1">
        <v>2022</v>
      </c>
      <c r="N1271" s="1" t="s">
        <v>52</v>
      </c>
      <c r="O1271" s="1" t="s">
        <v>9940</v>
      </c>
      <c r="P1271" s="1" t="s">
        <v>5582</v>
      </c>
      <c r="Q1271" s="1">
        <v>100</v>
      </c>
      <c r="R1271" s="1">
        <v>30000</v>
      </c>
      <c r="S1271" s="1">
        <v>30000</v>
      </c>
    </row>
    <row r="1272" spans="1:20" ht="12.5" x14ac:dyDescent="0.25">
      <c r="A1272" s="1">
        <v>1221</v>
      </c>
      <c r="B1272" s="1" t="s">
        <v>4101</v>
      </c>
      <c r="C1272" s="1" t="s">
        <v>35</v>
      </c>
      <c r="D1272" s="1" t="s">
        <v>152</v>
      </c>
      <c r="E1272" s="1">
        <v>1015</v>
      </c>
      <c r="F1272" s="1" t="s">
        <v>4103</v>
      </c>
      <c r="G1272" s="1" t="s">
        <v>4104</v>
      </c>
      <c r="H1272" s="1" t="s">
        <v>4105</v>
      </c>
      <c r="I1272" s="1" t="s">
        <v>29</v>
      </c>
      <c r="J1272" s="1" t="s">
        <v>4106</v>
      </c>
      <c r="K1272" s="1" t="b">
        <v>1</v>
      </c>
      <c r="L1272" s="1" t="s">
        <v>31</v>
      </c>
      <c r="M1272" s="1">
        <v>2022</v>
      </c>
      <c r="N1272" s="1" t="s">
        <v>45</v>
      </c>
      <c r="O1272" s="1" t="s">
        <v>9956</v>
      </c>
      <c r="P1272" s="1" t="s">
        <v>10014</v>
      </c>
      <c r="Q1272" s="1">
        <v>100</v>
      </c>
      <c r="R1272" s="1">
        <v>10000</v>
      </c>
      <c r="S1272" s="1">
        <v>10000</v>
      </c>
    </row>
    <row r="1273" spans="1:20" ht="12.5" x14ac:dyDescent="0.25">
      <c r="A1273" s="1">
        <v>1223</v>
      </c>
      <c r="B1273" s="1" t="s">
        <v>4107</v>
      </c>
      <c r="C1273" s="1" t="s">
        <v>35</v>
      </c>
      <c r="D1273" s="1" t="s">
        <v>152</v>
      </c>
      <c r="E1273" s="1">
        <v>1016</v>
      </c>
      <c r="F1273" s="1" t="s">
        <v>4109</v>
      </c>
      <c r="G1273" s="1" t="s">
        <v>4110</v>
      </c>
      <c r="H1273" s="1" t="s">
        <v>4111</v>
      </c>
      <c r="I1273" s="1" t="s">
        <v>29</v>
      </c>
      <c r="J1273" s="1" t="s">
        <v>4112</v>
      </c>
      <c r="K1273" s="1" t="b">
        <v>1</v>
      </c>
      <c r="L1273" s="1" t="s">
        <v>31</v>
      </c>
      <c r="M1273" s="1" t="s">
        <v>16</v>
      </c>
      <c r="N1273" s="1" t="s">
        <v>16</v>
      </c>
      <c r="O1273" s="1" t="s">
        <v>9956</v>
      </c>
      <c r="P1273" s="1" t="s">
        <v>16</v>
      </c>
      <c r="Q1273" s="1">
        <v>100</v>
      </c>
      <c r="R1273" s="1">
        <v>5594</v>
      </c>
      <c r="S1273" s="1">
        <v>5594</v>
      </c>
    </row>
    <row r="1274" spans="1:20" ht="12.5" x14ac:dyDescent="0.25">
      <c r="A1274" s="1">
        <v>1224</v>
      </c>
      <c r="B1274" s="1" t="s">
        <v>4113</v>
      </c>
      <c r="C1274" s="1" t="s">
        <v>35</v>
      </c>
      <c r="D1274" s="1" t="s">
        <v>152</v>
      </c>
      <c r="E1274" s="1">
        <v>1017</v>
      </c>
      <c r="F1274" s="1" t="s">
        <v>4115</v>
      </c>
      <c r="G1274" s="1" t="s">
        <v>4116</v>
      </c>
      <c r="H1274" s="1" t="s">
        <v>16</v>
      </c>
      <c r="I1274" s="1" t="s">
        <v>29</v>
      </c>
      <c r="J1274" s="1" t="s">
        <v>4117</v>
      </c>
      <c r="K1274" s="1" t="b">
        <v>1</v>
      </c>
      <c r="L1274" s="1" t="s">
        <v>31</v>
      </c>
      <c r="M1274" s="1">
        <v>2022</v>
      </c>
      <c r="N1274" s="1" t="s">
        <v>45</v>
      </c>
      <c r="O1274" s="1" t="s">
        <v>9956</v>
      </c>
      <c r="P1274" s="1" t="s">
        <v>10015</v>
      </c>
      <c r="Q1274" s="1">
        <v>100</v>
      </c>
      <c r="R1274" s="1">
        <v>1000</v>
      </c>
      <c r="S1274" s="1">
        <v>1000</v>
      </c>
    </row>
    <row r="1275" spans="1:20" ht="12.5" x14ac:dyDescent="0.25">
      <c r="A1275" s="1">
        <v>1225</v>
      </c>
      <c r="B1275" s="1" t="s">
        <v>4118</v>
      </c>
      <c r="C1275" s="1" t="s">
        <v>35</v>
      </c>
      <c r="D1275" s="1" t="s">
        <v>152</v>
      </c>
      <c r="E1275" s="1">
        <v>1018</v>
      </c>
      <c r="F1275" s="1" t="s">
        <v>4120</v>
      </c>
      <c r="G1275" s="1" t="s">
        <v>4121</v>
      </c>
      <c r="H1275" s="1" t="s">
        <v>16</v>
      </c>
      <c r="I1275" s="1" t="s">
        <v>29</v>
      </c>
      <c r="J1275" s="1" t="s">
        <v>4122</v>
      </c>
      <c r="K1275" s="1" t="b">
        <v>1</v>
      </c>
      <c r="L1275" s="1" t="s">
        <v>31</v>
      </c>
      <c r="M1275" s="1">
        <v>2022</v>
      </c>
      <c r="N1275" s="1" t="s">
        <v>45</v>
      </c>
      <c r="O1275" s="1" t="s">
        <v>9956</v>
      </c>
      <c r="P1275" s="1" t="s">
        <v>16</v>
      </c>
      <c r="Q1275" s="1">
        <v>100</v>
      </c>
      <c r="R1275" s="1">
        <v>65000</v>
      </c>
      <c r="S1275" s="1">
        <v>65000</v>
      </c>
    </row>
    <row r="1276" spans="1:20" ht="12.5" x14ac:dyDescent="0.25">
      <c r="A1276" s="1">
        <v>1226</v>
      </c>
      <c r="B1276" s="1" t="s">
        <v>4123</v>
      </c>
      <c r="C1276" s="1" t="s">
        <v>35</v>
      </c>
      <c r="D1276" s="1" t="s">
        <v>152</v>
      </c>
      <c r="E1276" s="1">
        <v>1019</v>
      </c>
      <c r="F1276" s="1" t="s">
        <v>4125</v>
      </c>
      <c r="G1276" s="1" t="s">
        <v>4126</v>
      </c>
      <c r="H1276" s="1" t="s">
        <v>16</v>
      </c>
      <c r="I1276" s="1" t="s">
        <v>29</v>
      </c>
      <c r="J1276" s="1" t="s">
        <v>4127</v>
      </c>
      <c r="K1276" s="1" t="b">
        <v>1</v>
      </c>
      <c r="L1276" s="1" t="s">
        <v>31</v>
      </c>
      <c r="M1276" s="1">
        <v>2022</v>
      </c>
      <c r="N1276" s="1" t="s">
        <v>23</v>
      </c>
      <c r="O1276" s="1" t="s">
        <v>9956</v>
      </c>
      <c r="P1276" s="1" t="s">
        <v>16</v>
      </c>
      <c r="Q1276" s="1">
        <v>100</v>
      </c>
      <c r="R1276" s="1">
        <v>15000</v>
      </c>
      <c r="S1276" s="1">
        <v>15000</v>
      </c>
    </row>
    <row r="1277" spans="1:20" ht="12.5" x14ac:dyDescent="0.25">
      <c r="A1277" s="1">
        <v>1227</v>
      </c>
      <c r="B1277" s="1" t="s">
        <v>4128</v>
      </c>
      <c r="C1277" s="1" t="s">
        <v>35</v>
      </c>
      <c r="D1277" s="1" t="s">
        <v>152</v>
      </c>
      <c r="E1277" s="1">
        <v>1020</v>
      </c>
      <c r="F1277" s="1" t="s">
        <v>4130</v>
      </c>
      <c r="G1277" s="1" t="s">
        <v>4131</v>
      </c>
      <c r="H1277" s="1" t="s">
        <v>16</v>
      </c>
      <c r="I1277" s="1" t="s">
        <v>29</v>
      </c>
      <c r="J1277" s="1" t="s">
        <v>4132</v>
      </c>
      <c r="K1277" s="1" t="b">
        <v>1</v>
      </c>
      <c r="L1277" s="1" t="s">
        <v>31</v>
      </c>
      <c r="M1277" s="1">
        <v>2022</v>
      </c>
      <c r="N1277" s="1" t="s">
        <v>23</v>
      </c>
      <c r="O1277" s="1" t="s">
        <v>9935</v>
      </c>
      <c r="P1277" s="1" t="s">
        <v>16</v>
      </c>
      <c r="Q1277" s="1">
        <v>100</v>
      </c>
      <c r="R1277" s="1">
        <v>20000</v>
      </c>
      <c r="S1277" s="1">
        <v>20000</v>
      </c>
    </row>
    <row r="1278" spans="1:20" ht="12.5" x14ac:dyDescent="0.25">
      <c r="A1278" s="1">
        <v>1228</v>
      </c>
      <c r="B1278" s="1" t="s">
        <v>4133</v>
      </c>
      <c r="C1278" s="1" t="s">
        <v>35</v>
      </c>
      <c r="D1278" s="1" t="s">
        <v>152</v>
      </c>
      <c r="E1278" s="1">
        <v>1021</v>
      </c>
      <c r="F1278" s="1" t="s">
        <v>4135</v>
      </c>
      <c r="G1278" s="1" t="s">
        <v>4136</v>
      </c>
      <c r="H1278" s="1" t="s">
        <v>4137</v>
      </c>
      <c r="I1278" s="1" t="s">
        <v>29</v>
      </c>
      <c r="J1278" s="1" t="s">
        <v>4138</v>
      </c>
      <c r="K1278" s="1" t="b">
        <v>0</v>
      </c>
      <c r="L1278" s="1" t="s">
        <v>22</v>
      </c>
      <c r="M1278" s="1" t="s">
        <v>16</v>
      </c>
      <c r="N1278" s="1" t="s">
        <v>16</v>
      </c>
      <c r="O1278" s="1" t="s">
        <v>9956</v>
      </c>
      <c r="P1278" s="1" t="s">
        <v>16</v>
      </c>
      <c r="Q1278" s="1">
        <v>100</v>
      </c>
      <c r="R1278" s="1">
        <v>100000</v>
      </c>
      <c r="S1278" s="1">
        <v>100000</v>
      </c>
    </row>
    <row r="1279" spans="1:20" ht="12.5" x14ac:dyDescent="0.25">
      <c r="A1279" s="1" t="s">
        <v>16</v>
      </c>
      <c r="B1279" s="1" t="s">
        <v>16</v>
      </c>
      <c r="C1279" s="1" t="s">
        <v>16</v>
      </c>
      <c r="D1279" s="1" t="s">
        <v>16</v>
      </c>
      <c r="E1279" s="1">
        <v>1022</v>
      </c>
      <c r="F1279" s="1" t="s">
        <v>4139</v>
      </c>
      <c r="G1279" s="1" t="s">
        <v>4140</v>
      </c>
      <c r="H1279" s="1" t="s">
        <v>16</v>
      </c>
      <c r="I1279" s="1" t="s">
        <v>29</v>
      </c>
      <c r="J1279" s="1" t="s">
        <v>16</v>
      </c>
      <c r="K1279" s="1" t="b">
        <v>0</v>
      </c>
      <c r="L1279" s="1" t="s">
        <v>22</v>
      </c>
      <c r="M1279" s="1" t="s">
        <v>16</v>
      </c>
      <c r="N1279" s="1" t="s">
        <v>16</v>
      </c>
      <c r="O1279" s="1" t="s">
        <v>9956</v>
      </c>
      <c r="P1279" s="1" t="s">
        <v>16</v>
      </c>
      <c r="R1279" s="1">
        <v>0</v>
      </c>
    </row>
    <row r="1280" spans="1:20" ht="12.5" x14ac:dyDescent="0.25">
      <c r="A1280" s="1">
        <v>1230</v>
      </c>
      <c r="B1280" s="1" t="s">
        <v>4141</v>
      </c>
      <c r="C1280" s="1" t="s">
        <v>35</v>
      </c>
      <c r="D1280" s="1" t="s">
        <v>152</v>
      </c>
      <c r="E1280" s="1">
        <v>1023</v>
      </c>
      <c r="F1280" s="1" t="s">
        <v>4143</v>
      </c>
      <c r="G1280" s="1" t="s">
        <v>4144</v>
      </c>
      <c r="H1280" s="1" t="s">
        <v>4145</v>
      </c>
      <c r="I1280" s="1" t="s">
        <v>29</v>
      </c>
      <c r="J1280" s="1" t="s">
        <v>4146</v>
      </c>
      <c r="K1280" s="1" t="b">
        <v>1</v>
      </c>
      <c r="L1280" s="1" t="s">
        <v>31</v>
      </c>
      <c r="M1280" s="1" t="s">
        <v>16</v>
      </c>
      <c r="N1280" s="1" t="s">
        <v>16</v>
      </c>
      <c r="O1280" s="1" t="s">
        <v>9956</v>
      </c>
      <c r="P1280" s="1" t="s">
        <v>16</v>
      </c>
      <c r="Q1280" s="1">
        <v>100</v>
      </c>
      <c r="R1280" s="1">
        <v>383</v>
      </c>
      <c r="S1280" s="1">
        <v>383</v>
      </c>
    </row>
    <row r="1281" spans="1:19" ht="12.5" x14ac:dyDescent="0.25">
      <c r="A1281" s="1">
        <v>1231</v>
      </c>
      <c r="B1281" s="1" t="s">
        <v>4147</v>
      </c>
      <c r="C1281" s="1" t="s">
        <v>35</v>
      </c>
      <c r="D1281" s="1" t="s">
        <v>152</v>
      </c>
      <c r="E1281" s="1">
        <v>1024</v>
      </c>
      <c r="F1281" s="1" t="s">
        <v>4149</v>
      </c>
      <c r="G1281" s="1" t="s">
        <v>4150</v>
      </c>
      <c r="H1281" s="1" t="s">
        <v>16</v>
      </c>
      <c r="I1281" s="1" t="s">
        <v>29</v>
      </c>
      <c r="J1281" s="1" t="s">
        <v>4151</v>
      </c>
      <c r="K1281" s="1" t="b">
        <v>1</v>
      </c>
      <c r="L1281" s="1" t="s">
        <v>31</v>
      </c>
      <c r="M1281" s="1">
        <v>2022</v>
      </c>
      <c r="N1281" s="1" t="s">
        <v>32</v>
      </c>
      <c r="O1281" s="1" t="s">
        <v>9940</v>
      </c>
      <c r="P1281" s="1" t="s">
        <v>10016</v>
      </c>
      <c r="Q1281" s="1">
        <v>100</v>
      </c>
      <c r="R1281" s="1">
        <v>33771.300000000003</v>
      </c>
      <c r="S1281" s="1">
        <v>33771.300000000003</v>
      </c>
    </row>
    <row r="1282" spans="1:19" ht="12.5" x14ac:dyDescent="0.25">
      <c r="A1282" s="1" t="s">
        <v>16</v>
      </c>
      <c r="B1282" s="1" t="s">
        <v>16</v>
      </c>
      <c r="C1282" s="1" t="s">
        <v>16</v>
      </c>
      <c r="D1282" s="1" t="s">
        <v>16</v>
      </c>
      <c r="E1282" s="1">
        <v>1025</v>
      </c>
      <c r="F1282" s="1" t="s">
        <v>4152</v>
      </c>
      <c r="G1282" s="1" t="s">
        <v>4153</v>
      </c>
      <c r="H1282" s="1" t="s">
        <v>16</v>
      </c>
      <c r="I1282" s="1" t="s">
        <v>29</v>
      </c>
      <c r="J1282" s="1" t="s">
        <v>4154</v>
      </c>
      <c r="K1282" s="1" t="b">
        <v>0</v>
      </c>
      <c r="L1282" s="1" t="s">
        <v>22</v>
      </c>
      <c r="M1282" s="1" t="s">
        <v>16</v>
      </c>
      <c r="N1282" s="1" t="s">
        <v>16</v>
      </c>
      <c r="O1282" s="1" t="s">
        <v>9956</v>
      </c>
      <c r="P1282" s="1" t="s">
        <v>16</v>
      </c>
      <c r="R1282" s="1">
        <v>4000</v>
      </c>
    </row>
    <row r="1283" spans="1:19" ht="12.5" x14ac:dyDescent="0.25">
      <c r="A1283" s="1" t="s">
        <v>16</v>
      </c>
      <c r="B1283" s="1" t="s">
        <v>16</v>
      </c>
      <c r="C1283" s="1" t="s">
        <v>16</v>
      </c>
      <c r="D1283" s="1" t="s">
        <v>16</v>
      </c>
      <c r="E1283" s="1">
        <v>1026</v>
      </c>
      <c r="F1283" s="1" t="s">
        <v>4155</v>
      </c>
      <c r="G1283" s="1" t="s">
        <v>4153</v>
      </c>
      <c r="H1283" s="1" t="s">
        <v>16</v>
      </c>
      <c r="I1283" s="1" t="s">
        <v>29</v>
      </c>
      <c r="J1283" s="1" t="s">
        <v>4156</v>
      </c>
      <c r="K1283" s="1" t="b">
        <v>0</v>
      </c>
      <c r="L1283" s="1" t="s">
        <v>22</v>
      </c>
      <c r="M1283" s="1" t="s">
        <v>16</v>
      </c>
      <c r="N1283" s="1" t="s">
        <v>16</v>
      </c>
      <c r="O1283" s="1" t="s">
        <v>9956</v>
      </c>
      <c r="P1283" s="1" t="s">
        <v>16</v>
      </c>
      <c r="R1283" s="1">
        <v>4000</v>
      </c>
    </row>
    <row r="1284" spans="1:19" ht="12.5" x14ac:dyDescent="0.25">
      <c r="A1284" s="1">
        <v>1240</v>
      </c>
      <c r="B1284" s="1" t="s">
        <v>4157</v>
      </c>
      <c r="C1284" s="1" t="s">
        <v>35</v>
      </c>
      <c r="D1284" s="1" t="s">
        <v>152</v>
      </c>
      <c r="E1284" s="1">
        <v>1027</v>
      </c>
      <c r="F1284" s="1" t="s">
        <v>4159</v>
      </c>
      <c r="G1284" s="1" t="s">
        <v>4160</v>
      </c>
      <c r="H1284" s="1" t="s">
        <v>16</v>
      </c>
      <c r="I1284" s="1" t="s">
        <v>29</v>
      </c>
      <c r="J1284" s="1" t="s">
        <v>4161</v>
      </c>
      <c r="K1284" s="1" t="b">
        <v>0</v>
      </c>
      <c r="L1284" s="1" t="s">
        <v>22</v>
      </c>
      <c r="M1284" s="1" t="s">
        <v>16</v>
      </c>
      <c r="N1284" s="1" t="s">
        <v>16</v>
      </c>
      <c r="O1284" s="1" t="s">
        <v>9956</v>
      </c>
      <c r="P1284" s="1" t="s">
        <v>16</v>
      </c>
      <c r="Q1284" s="1">
        <v>100</v>
      </c>
      <c r="R1284" s="1">
        <v>4000</v>
      </c>
      <c r="S1284" s="1">
        <v>4000</v>
      </c>
    </row>
    <row r="1285" spans="1:19" ht="12.5" x14ac:dyDescent="0.25">
      <c r="A1285" s="1">
        <v>1243</v>
      </c>
      <c r="B1285" s="1" t="s">
        <v>4162</v>
      </c>
      <c r="C1285" s="1" t="s">
        <v>35</v>
      </c>
      <c r="D1285" s="1" t="s">
        <v>152</v>
      </c>
      <c r="E1285" s="1">
        <v>1028</v>
      </c>
      <c r="F1285" s="1" t="s">
        <v>4164</v>
      </c>
      <c r="G1285" s="1" t="s">
        <v>4165</v>
      </c>
      <c r="H1285" s="1" t="s">
        <v>16</v>
      </c>
      <c r="I1285" s="1" t="s">
        <v>29</v>
      </c>
      <c r="J1285" s="1" t="s">
        <v>4166</v>
      </c>
      <c r="K1285" s="1" t="b">
        <v>0</v>
      </c>
      <c r="L1285" s="1" t="s">
        <v>22</v>
      </c>
      <c r="M1285" s="1">
        <v>2022</v>
      </c>
      <c r="N1285" s="1" t="s">
        <v>32</v>
      </c>
      <c r="O1285" s="1" t="s">
        <v>9940</v>
      </c>
      <c r="P1285" s="1" t="s">
        <v>16</v>
      </c>
      <c r="Q1285" s="1">
        <v>100</v>
      </c>
      <c r="R1285" s="1">
        <v>28000</v>
      </c>
      <c r="S1285" s="1">
        <v>28000</v>
      </c>
    </row>
    <row r="1286" spans="1:19" ht="12.5" x14ac:dyDescent="0.25">
      <c r="A1286" s="1">
        <v>1244</v>
      </c>
      <c r="B1286" s="1" t="s">
        <v>4167</v>
      </c>
      <c r="C1286" s="1" t="s">
        <v>35</v>
      </c>
      <c r="D1286" s="1" t="s">
        <v>152</v>
      </c>
      <c r="E1286" s="1">
        <v>1029</v>
      </c>
      <c r="F1286" s="1" t="s">
        <v>4169</v>
      </c>
      <c r="G1286" s="1" t="s">
        <v>4170</v>
      </c>
      <c r="H1286" s="1" t="s">
        <v>4171</v>
      </c>
      <c r="I1286" s="1" t="s">
        <v>29</v>
      </c>
      <c r="J1286" s="1" t="s">
        <v>4172</v>
      </c>
      <c r="K1286" s="1" t="b">
        <v>0</v>
      </c>
      <c r="L1286" s="1" t="s">
        <v>22</v>
      </c>
      <c r="M1286" s="1">
        <v>2023</v>
      </c>
      <c r="N1286" s="1" t="s">
        <v>52</v>
      </c>
      <c r="O1286" s="1" t="s">
        <v>9940</v>
      </c>
      <c r="P1286" s="1" t="s">
        <v>16</v>
      </c>
      <c r="Q1286" s="1">
        <v>100</v>
      </c>
      <c r="R1286" s="1">
        <v>30000</v>
      </c>
      <c r="S1286" s="1">
        <v>30000</v>
      </c>
    </row>
    <row r="1287" spans="1:19" ht="12.5" x14ac:dyDescent="0.25">
      <c r="A1287" s="1">
        <v>1245</v>
      </c>
      <c r="B1287" s="1" t="s">
        <v>4173</v>
      </c>
      <c r="C1287" s="1" t="s">
        <v>35</v>
      </c>
      <c r="D1287" s="1" t="s">
        <v>152</v>
      </c>
      <c r="E1287" s="1">
        <v>1030</v>
      </c>
      <c r="F1287" s="1" t="s">
        <v>4175</v>
      </c>
      <c r="G1287" s="1" t="s">
        <v>4176</v>
      </c>
      <c r="H1287" s="1" t="s">
        <v>16</v>
      </c>
      <c r="I1287" s="1" t="s">
        <v>29</v>
      </c>
      <c r="J1287" s="1" t="s">
        <v>4177</v>
      </c>
      <c r="K1287" s="1" t="b">
        <v>0</v>
      </c>
      <c r="L1287" s="1" t="s">
        <v>22</v>
      </c>
      <c r="M1287" s="1">
        <v>2022</v>
      </c>
      <c r="N1287" s="1" t="s">
        <v>45</v>
      </c>
      <c r="O1287" s="1" t="s">
        <v>9935</v>
      </c>
      <c r="P1287" s="1" t="s">
        <v>16</v>
      </c>
      <c r="Q1287" s="1">
        <v>100</v>
      </c>
      <c r="R1287" s="1">
        <v>7500</v>
      </c>
      <c r="S1287" s="1">
        <v>7500</v>
      </c>
    </row>
    <row r="1288" spans="1:19" ht="12.5" x14ac:dyDescent="0.25">
      <c r="A1288" s="1">
        <v>1246</v>
      </c>
      <c r="B1288" s="1" t="s">
        <v>4178</v>
      </c>
      <c r="C1288" s="1" t="s">
        <v>35</v>
      </c>
      <c r="D1288" s="1" t="s">
        <v>152</v>
      </c>
      <c r="E1288" s="1">
        <v>1031</v>
      </c>
      <c r="F1288" s="1" t="s">
        <v>4179</v>
      </c>
      <c r="G1288" s="1" t="s">
        <v>4180</v>
      </c>
      <c r="H1288" s="1" t="s">
        <v>16</v>
      </c>
      <c r="I1288" s="1" t="s">
        <v>29</v>
      </c>
      <c r="J1288" s="1" t="s">
        <v>4181</v>
      </c>
      <c r="K1288" s="1" t="b">
        <v>0</v>
      </c>
      <c r="L1288" s="1" t="s">
        <v>22</v>
      </c>
      <c r="M1288" s="1" t="s">
        <v>16</v>
      </c>
      <c r="N1288" s="1" t="s">
        <v>16</v>
      </c>
      <c r="O1288" s="1" t="s">
        <v>9956</v>
      </c>
      <c r="P1288" s="1" t="s">
        <v>16</v>
      </c>
      <c r="Q1288" s="1">
        <v>100</v>
      </c>
      <c r="R1288" s="1">
        <v>150000</v>
      </c>
      <c r="S1288" s="1">
        <v>150000</v>
      </c>
    </row>
    <row r="1289" spans="1:19" ht="12.5" x14ac:dyDescent="0.25">
      <c r="A1289" s="1">
        <v>1248</v>
      </c>
      <c r="B1289" s="1" t="s">
        <v>4182</v>
      </c>
      <c r="C1289" s="1" t="s">
        <v>35</v>
      </c>
      <c r="D1289" s="1" t="s">
        <v>152</v>
      </c>
      <c r="E1289" s="1">
        <v>1032</v>
      </c>
      <c r="F1289" s="1" t="s">
        <v>4184</v>
      </c>
      <c r="G1289" s="1" t="s">
        <v>4185</v>
      </c>
      <c r="H1289" s="1" t="s">
        <v>16</v>
      </c>
      <c r="I1289" s="1" t="s">
        <v>29</v>
      </c>
      <c r="J1289" s="1" t="s">
        <v>4186</v>
      </c>
      <c r="K1289" s="1" t="b">
        <v>1</v>
      </c>
      <c r="L1289" s="1" t="s">
        <v>31</v>
      </c>
      <c r="M1289" s="1">
        <v>2022</v>
      </c>
      <c r="N1289" s="1" t="s">
        <v>32</v>
      </c>
      <c r="O1289" s="1" t="s">
        <v>9940</v>
      </c>
      <c r="P1289" s="1" t="s">
        <v>16</v>
      </c>
      <c r="Q1289" s="1">
        <v>100</v>
      </c>
      <c r="R1289" s="1">
        <v>30000</v>
      </c>
      <c r="S1289" s="1">
        <v>30000</v>
      </c>
    </row>
    <row r="1290" spans="1:19" ht="12.5" x14ac:dyDescent="0.25">
      <c r="A1290" s="1">
        <v>1249</v>
      </c>
      <c r="B1290" s="1" t="s">
        <v>4187</v>
      </c>
      <c r="C1290" s="1" t="s">
        <v>35</v>
      </c>
      <c r="D1290" s="1" t="s">
        <v>152</v>
      </c>
      <c r="E1290" s="1">
        <v>1033</v>
      </c>
      <c r="F1290" s="1" t="s">
        <v>4189</v>
      </c>
      <c r="G1290" s="1" t="s">
        <v>4190</v>
      </c>
      <c r="H1290" s="1" t="s">
        <v>16</v>
      </c>
      <c r="I1290" s="1" t="s">
        <v>29</v>
      </c>
      <c r="J1290" s="1" t="s">
        <v>4191</v>
      </c>
      <c r="K1290" s="1" t="b">
        <v>0</v>
      </c>
      <c r="L1290" s="1" t="s">
        <v>22</v>
      </c>
      <c r="M1290" s="1">
        <v>2022</v>
      </c>
      <c r="N1290" s="1" t="s">
        <v>32</v>
      </c>
      <c r="O1290" s="1" t="s">
        <v>9940</v>
      </c>
      <c r="P1290" s="1" t="s">
        <v>16</v>
      </c>
      <c r="Q1290" s="1">
        <v>100</v>
      </c>
      <c r="R1290" s="1">
        <v>28000</v>
      </c>
      <c r="S1290" s="1">
        <v>28000</v>
      </c>
    </row>
    <row r="1291" spans="1:19" ht="12.5" x14ac:dyDescent="0.25">
      <c r="A1291" s="1">
        <v>1250</v>
      </c>
      <c r="B1291" s="1" t="s">
        <v>4192</v>
      </c>
      <c r="C1291" s="1" t="s">
        <v>35</v>
      </c>
      <c r="D1291" s="1" t="s">
        <v>152</v>
      </c>
      <c r="E1291" s="1">
        <v>1034</v>
      </c>
      <c r="F1291" s="1" t="s">
        <v>4194</v>
      </c>
      <c r="G1291" s="1" t="s">
        <v>4195</v>
      </c>
      <c r="H1291" s="1" t="s">
        <v>16</v>
      </c>
      <c r="I1291" s="1" t="s">
        <v>29</v>
      </c>
      <c r="J1291" s="1" t="s">
        <v>4196</v>
      </c>
      <c r="K1291" s="1" t="b">
        <v>1</v>
      </c>
      <c r="L1291" s="1" t="s">
        <v>31</v>
      </c>
      <c r="M1291" s="1">
        <v>2022</v>
      </c>
      <c r="N1291" s="1" t="s">
        <v>23</v>
      </c>
      <c r="O1291" s="1" t="s">
        <v>9935</v>
      </c>
      <c r="P1291" s="1" t="s">
        <v>16</v>
      </c>
      <c r="Q1291" s="1">
        <v>100</v>
      </c>
      <c r="R1291" s="1">
        <v>10000</v>
      </c>
      <c r="S1291" s="1">
        <v>10000</v>
      </c>
    </row>
    <row r="1292" spans="1:19" ht="12.5" x14ac:dyDescent="0.25">
      <c r="A1292" s="1">
        <v>1250</v>
      </c>
      <c r="B1292" s="1" t="s">
        <v>4192</v>
      </c>
      <c r="C1292" s="1" t="s">
        <v>35</v>
      </c>
      <c r="D1292" s="1" t="s">
        <v>152</v>
      </c>
      <c r="E1292" s="1">
        <v>1034</v>
      </c>
      <c r="F1292" s="1" t="s">
        <v>4194</v>
      </c>
      <c r="G1292" s="1" t="s">
        <v>4195</v>
      </c>
      <c r="H1292" s="1" t="s">
        <v>16</v>
      </c>
      <c r="I1292" s="1" t="s">
        <v>29</v>
      </c>
      <c r="J1292" s="1" t="s">
        <v>4196</v>
      </c>
      <c r="K1292" s="1" t="b">
        <v>1</v>
      </c>
      <c r="L1292" s="1" t="s">
        <v>31</v>
      </c>
      <c r="M1292" s="1">
        <v>2022</v>
      </c>
      <c r="N1292" s="1" t="s">
        <v>23</v>
      </c>
      <c r="O1292" s="1" t="s">
        <v>9940</v>
      </c>
      <c r="P1292" s="1" t="s">
        <v>10017</v>
      </c>
      <c r="Q1292" s="1">
        <v>100</v>
      </c>
      <c r="R1292" s="1">
        <v>50000</v>
      </c>
      <c r="S1292" s="1">
        <v>50000</v>
      </c>
    </row>
    <row r="1293" spans="1:19" ht="12.5" x14ac:dyDescent="0.25">
      <c r="A1293" s="1">
        <v>1252</v>
      </c>
      <c r="B1293" s="1" t="s">
        <v>4197</v>
      </c>
      <c r="C1293" s="1" t="s">
        <v>35</v>
      </c>
      <c r="D1293" s="1" t="s">
        <v>152</v>
      </c>
      <c r="E1293" s="1">
        <v>1035</v>
      </c>
      <c r="F1293" s="1" t="s">
        <v>4199</v>
      </c>
      <c r="G1293" s="1" t="s">
        <v>4200</v>
      </c>
      <c r="H1293" s="1" t="s">
        <v>16</v>
      </c>
      <c r="I1293" s="1" t="s">
        <v>29</v>
      </c>
      <c r="J1293" s="1" t="s">
        <v>4201</v>
      </c>
      <c r="K1293" s="1" t="b">
        <v>1</v>
      </c>
      <c r="L1293" s="1" t="s">
        <v>31</v>
      </c>
      <c r="M1293" s="1">
        <v>2022</v>
      </c>
      <c r="N1293" s="1" t="s">
        <v>23</v>
      </c>
      <c r="O1293" s="1" t="s">
        <v>9935</v>
      </c>
      <c r="P1293" s="1" t="s">
        <v>10018</v>
      </c>
      <c r="Q1293" s="1">
        <v>100</v>
      </c>
      <c r="R1293" s="1">
        <v>600000</v>
      </c>
      <c r="S1293" s="1">
        <v>600000</v>
      </c>
    </row>
    <row r="1294" spans="1:19" ht="12.5" x14ac:dyDescent="0.25">
      <c r="A1294" s="1">
        <v>1252</v>
      </c>
      <c r="B1294" s="1" t="s">
        <v>4197</v>
      </c>
      <c r="C1294" s="1" t="s">
        <v>35</v>
      </c>
      <c r="D1294" s="1" t="s">
        <v>152</v>
      </c>
      <c r="E1294" s="1">
        <v>1035</v>
      </c>
      <c r="F1294" s="1" t="s">
        <v>4199</v>
      </c>
      <c r="G1294" s="1" t="s">
        <v>4200</v>
      </c>
      <c r="H1294" s="1" t="s">
        <v>16</v>
      </c>
      <c r="I1294" s="1" t="s">
        <v>29</v>
      </c>
      <c r="J1294" s="1" t="s">
        <v>4201</v>
      </c>
      <c r="K1294" s="1" t="b">
        <v>1</v>
      </c>
      <c r="L1294" s="1" t="s">
        <v>31</v>
      </c>
      <c r="M1294" s="1">
        <v>2022</v>
      </c>
      <c r="N1294" s="1" t="s">
        <v>23</v>
      </c>
      <c r="O1294" s="1" t="s">
        <v>9956</v>
      </c>
      <c r="P1294" s="1" t="s">
        <v>5923</v>
      </c>
      <c r="Q1294" s="1">
        <v>100</v>
      </c>
      <c r="R1294" s="1">
        <v>165000</v>
      </c>
      <c r="S1294" s="1">
        <v>165000</v>
      </c>
    </row>
    <row r="1295" spans="1:19" ht="12.5" x14ac:dyDescent="0.25">
      <c r="A1295" s="1">
        <v>1254</v>
      </c>
      <c r="B1295" s="1" t="s">
        <v>4202</v>
      </c>
      <c r="C1295" s="1" t="s">
        <v>35</v>
      </c>
      <c r="D1295" s="1" t="s">
        <v>152</v>
      </c>
      <c r="E1295" s="1">
        <v>1036</v>
      </c>
      <c r="F1295" s="1" t="s">
        <v>4203</v>
      </c>
      <c r="G1295" s="1" t="s">
        <v>4204</v>
      </c>
      <c r="H1295" s="1" t="s">
        <v>16</v>
      </c>
      <c r="I1295" s="1" t="s">
        <v>29</v>
      </c>
      <c r="J1295" s="1" t="s">
        <v>16</v>
      </c>
      <c r="K1295" s="1" t="b">
        <v>0</v>
      </c>
      <c r="L1295" s="1" t="s">
        <v>22</v>
      </c>
      <c r="M1295" s="1" t="s">
        <v>16</v>
      </c>
      <c r="N1295" s="1" t="s">
        <v>16</v>
      </c>
      <c r="O1295" s="1" t="s">
        <v>9956</v>
      </c>
      <c r="P1295" s="1" t="s">
        <v>16</v>
      </c>
      <c r="Q1295" s="1">
        <v>100</v>
      </c>
      <c r="R1295" s="1">
        <v>600000</v>
      </c>
      <c r="S1295" s="1">
        <v>600000</v>
      </c>
    </row>
    <row r="1296" spans="1:19" ht="12.5" x14ac:dyDescent="0.25">
      <c r="A1296" s="1">
        <v>1255</v>
      </c>
      <c r="B1296" s="1" t="s">
        <v>4205</v>
      </c>
      <c r="C1296" s="1" t="s">
        <v>35</v>
      </c>
      <c r="D1296" s="1" t="s">
        <v>152</v>
      </c>
      <c r="E1296" s="1">
        <v>1037</v>
      </c>
      <c r="F1296" s="1" t="s">
        <v>4207</v>
      </c>
      <c r="G1296" s="1" t="s">
        <v>4208</v>
      </c>
      <c r="H1296" s="1" t="s">
        <v>16</v>
      </c>
      <c r="I1296" s="1" t="s">
        <v>29</v>
      </c>
      <c r="J1296" s="1" t="s">
        <v>4209</v>
      </c>
      <c r="K1296" s="1" t="b">
        <v>1</v>
      </c>
      <c r="L1296" s="1" t="s">
        <v>31</v>
      </c>
      <c r="M1296" s="1">
        <v>2023</v>
      </c>
      <c r="N1296" s="1" t="s">
        <v>23</v>
      </c>
      <c r="O1296" s="1" t="s">
        <v>9935</v>
      </c>
      <c r="P1296" s="1" t="s">
        <v>10019</v>
      </c>
      <c r="Q1296" s="1">
        <v>100</v>
      </c>
      <c r="R1296" s="1">
        <v>600</v>
      </c>
      <c r="S1296" s="1">
        <v>600</v>
      </c>
    </row>
    <row r="1297" spans="1:19" ht="12.5" x14ac:dyDescent="0.25">
      <c r="A1297" s="1">
        <v>1256</v>
      </c>
      <c r="B1297" s="1" t="s">
        <v>4210</v>
      </c>
      <c r="C1297" s="1" t="s">
        <v>35</v>
      </c>
      <c r="D1297" s="1" t="s">
        <v>152</v>
      </c>
      <c r="E1297" s="1">
        <v>1038</v>
      </c>
      <c r="F1297" s="1" t="s">
        <v>4212</v>
      </c>
      <c r="G1297" s="1" t="s">
        <v>4213</v>
      </c>
      <c r="H1297" s="1" t="s">
        <v>4214</v>
      </c>
      <c r="I1297" s="1" t="s">
        <v>29</v>
      </c>
      <c r="J1297" s="1" t="s">
        <v>4215</v>
      </c>
      <c r="K1297" s="1" t="b">
        <v>0</v>
      </c>
      <c r="L1297" s="1" t="s">
        <v>22</v>
      </c>
      <c r="M1297" s="1">
        <v>2021</v>
      </c>
      <c r="N1297" s="1" t="s">
        <v>23</v>
      </c>
      <c r="O1297" s="1" t="s">
        <v>9956</v>
      </c>
      <c r="P1297" s="1" t="s">
        <v>16</v>
      </c>
      <c r="Q1297" s="1">
        <v>100</v>
      </c>
      <c r="R1297" s="1">
        <v>431</v>
      </c>
      <c r="S1297" s="1">
        <v>431</v>
      </c>
    </row>
    <row r="1298" spans="1:19" ht="12.5" x14ac:dyDescent="0.25">
      <c r="A1298" s="1">
        <v>1257</v>
      </c>
      <c r="B1298" s="1" t="s">
        <v>4216</v>
      </c>
      <c r="C1298" s="1" t="s">
        <v>35</v>
      </c>
      <c r="D1298" s="1" t="s">
        <v>152</v>
      </c>
      <c r="E1298" s="1">
        <v>1039</v>
      </c>
      <c r="F1298" s="1" t="s">
        <v>4218</v>
      </c>
      <c r="G1298" s="1" t="s">
        <v>4219</v>
      </c>
      <c r="H1298" s="1" t="s">
        <v>16</v>
      </c>
      <c r="I1298" s="1" t="s">
        <v>29</v>
      </c>
      <c r="J1298" s="1" t="s">
        <v>4220</v>
      </c>
      <c r="K1298" s="1" t="b">
        <v>0</v>
      </c>
      <c r="L1298" s="1" t="s">
        <v>22</v>
      </c>
      <c r="M1298" s="1" t="s">
        <v>16</v>
      </c>
      <c r="N1298" s="1" t="s">
        <v>16</v>
      </c>
      <c r="O1298" s="1" t="s">
        <v>16</v>
      </c>
      <c r="P1298" s="1" t="s">
        <v>16</v>
      </c>
      <c r="Q1298" s="1">
        <v>100</v>
      </c>
    </row>
    <row r="1299" spans="1:19" ht="12.5" x14ac:dyDescent="0.25">
      <c r="A1299" s="1">
        <v>1258</v>
      </c>
      <c r="B1299" s="1" t="s">
        <v>4221</v>
      </c>
      <c r="C1299" s="1" t="s">
        <v>35</v>
      </c>
      <c r="D1299" s="1" t="s">
        <v>152</v>
      </c>
      <c r="E1299" s="1">
        <v>1040</v>
      </c>
      <c r="F1299" s="1" t="s">
        <v>4223</v>
      </c>
      <c r="G1299" s="1" t="s">
        <v>4224</v>
      </c>
      <c r="H1299" s="1"/>
      <c r="I1299" s="1" t="s">
        <v>29</v>
      </c>
      <c r="J1299" s="1" t="s">
        <v>4225</v>
      </c>
      <c r="K1299" s="1" t="b">
        <v>0</v>
      </c>
      <c r="L1299" s="1" t="s">
        <v>22</v>
      </c>
      <c r="M1299" s="1" t="s">
        <v>16</v>
      </c>
      <c r="N1299" s="1" t="s">
        <v>16</v>
      </c>
      <c r="O1299" s="1" t="s">
        <v>9956</v>
      </c>
      <c r="P1299" s="1" t="s">
        <v>16</v>
      </c>
      <c r="Q1299" s="1">
        <v>100</v>
      </c>
      <c r="R1299" s="1">
        <v>45000</v>
      </c>
      <c r="S1299" s="1">
        <v>45000</v>
      </c>
    </row>
    <row r="1300" spans="1:19" ht="12.5" x14ac:dyDescent="0.25">
      <c r="A1300" s="1">
        <v>1259</v>
      </c>
      <c r="B1300" s="1" t="s">
        <v>4226</v>
      </c>
      <c r="C1300" s="1" t="s">
        <v>35</v>
      </c>
      <c r="D1300" s="1" t="s">
        <v>152</v>
      </c>
      <c r="E1300" s="1">
        <v>1041</v>
      </c>
      <c r="F1300" s="1" t="s">
        <v>4228</v>
      </c>
      <c r="G1300" s="1" t="s">
        <v>4229</v>
      </c>
      <c r="H1300" s="1" t="s">
        <v>16</v>
      </c>
      <c r="I1300" s="1" t="s">
        <v>29</v>
      </c>
      <c r="J1300" s="1" t="s">
        <v>4230</v>
      </c>
      <c r="K1300" s="1" t="b">
        <v>0</v>
      </c>
      <c r="L1300" s="1" t="s">
        <v>22</v>
      </c>
      <c r="M1300" s="1" t="s">
        <v>16</v>
      </c>
      <c r="N1300" s="1" t="s">
        <v>16</v>
      </c>
      <c r="O1300" s="1" t="s">
        <v>9956</v>
      </c>
      <c r="P1300" s="1" t="s">
        <v>16</v>
      </c>
      <c r="Q1300" s="1">
        <v>100</v>
      </c>
      <c r="R1300" s="1">
        <v>35000</v>
      </c>
      <c r="S1300" s="1">
        <v>35000</v>
      </c>
    </row>
    <row r="1301" spans="1:19" ht="12.5" x14ac:dyDescent="0.25">
      <c r="A1301" s="1">
        <v>1261</v>
      </c>
      <c r="B1301" s="1" t="s">
        <v>4231</v>
      </c>
      <c r="C1301" s="1" t="s">
        <v>35</v>
      </c>
      <c r="D1301" s="1" t="s">
        <v>152</v>
      </c>
      <c r="E1301" s="1">
        <v>1042</v>
      </c>
      <c r="F1301" s="1" t="s">
        <v>4233</v>
      </c>
      <c r="G1301" s="1" t="s">
        <v>4234</v>
      </c>
      <c r="H1301" s="1" t="s">
        <v>16</v>
      </c>
      <c r="I1301" s="1" t="s">
        <v>20</v>
      </c>
      <c r="J1301" s="1" t="s">
        <v>16</v>
      </c>
      <c r="K1301" s="1" t="b">
        <v>0</v>
      </c>
      <c r="L1301" s="1" t="s">
        <v>22</v>
      </c>
      <c r="M1301" s="1">
        <v>2022</v>
      </c>
      <c r="N1301" s="1" t="s">
        <v>45</v>
      </c>
      <c r="O1301" s="1" t="s">
        <v>9935</v>
      </c>
      <c r="P1301" s="1" t="s">
        <v>16</v>
      </c>
      <c r="Q1301" s="1">
        <v>100</v>
      </c>
      <c r="R1301" s="1">
        <v>100000</v>
      </c>
      <c r="S1301" s="1">
        <v>100000</v>
      </c>
    </row>
    <row r="1302" spans="1:19" ht="12.5" x14ac:dyDescent="0.25">
      <c r="A1302" s="1">
        <v>1262</v>
      </c>
      <c r="B1302" s="1" t="s">
        <v>1333</v>
      </c>
      <c r="C1302" s="1" t="s">
        <v>35</v>
      </c>
      <c r="D1302" s="1" t="s">
        <v>152</v>
      </c>
      <c r="E1302" s="1">
        <v>1043</v>
      </c>
      <c r="F1302" s="1" t="s">
        <v>4235</v>
      </c>
      <c r="G1302" s="1" t="s">
        <v>4236</v>
      </c>
      <c r="H1302" s="1" t="s">
        <v>4237</v>
      </c>
      <c r="I1302" s="1" t="s">
        <v>29</v>
      </c>
      <c r="J1302" s="1" t="s">
        <v>4238</v>
      </c>
      <c r="K1302" s="1" t="b">
        <v>0</v>
      </c>
      <c r="L1302" s="1" t="s">
        <v>22</v>
      </c>
      <c r="M1302" s="1" t="s">
        <v>16</v>
      </c>
      <c r="N1302" s="1" t="s">
        <v>16</v>
      </c>
      <c r="O1302" s="1" t="s">
        <v>16</v>
      </c>
      <c r="P1302" s="1" t="s">
        <v>16</v>
      </c>
      <c r="Q1302" s="1">
        <v>100</v>
      </c>
    </row>
    <row r="1303" spans="1:19" ht="12.5" x14ac:dyDescent="0.25">
      <c r="A1303" s="1">
        <v>1263</v>
      </c>
      <c r="B1303" s="1" t="s">
        <v>1284</v>
      </c>
      <c r="C1303" s="1" t="s">
        <v>35</v>
      </c>
      <c r="D1303" s="1" t="s">
        <v>152</v>
      </c>
      <c r="E1303" s="1">
        <v>1044</v>
      </c>
      <c r="F1303" s="1" t="s">
        <v>4239</v>
      </c>
      <c r="G1303" s="1" t="s">
        <v>4240</v>
      </c>
      <c r="H1303" s="1" t="s">
        <v>16</v>
      </c>
      <c r="I1303" s="1" t="s">
        <v>20</v>
      </c>
      <c r="J1303" s="1" t="s">
        <v>16</v>
      </c>
      <c r="K1303" s="1" t="b">
        <v>0</v>
      </c>
      <c r="L1303" s="1" t="s">
        <v>22</v>
      </c>
      <c r="M1303" s="1" t="s">
        <v>16</v>
      </c>
      <c r="N1303" s="1" t="s">
        <v>16</v>
      </c>
      <c r="O1303" s="1" t="s">
        <v>9956</v>
      </c>
      <c r="P1303" s="1" t="s">
        <v>16</v>
      </c>
      <c r="Q1303" s="1">
        <v>100</v>
      </c>
      <c r="R1303" s="1">
        <v>0</v>
      </c>
      <c r="S1303" s="1">
        <v>0</v>
      </c>
    </row>
    <row r="1304" spans="1:19" ht="12.5" x14ac:dyDescent="0.25">
      <c r="A1304" s="1">
        <v>1264</v>
      </c>
      <c r="B1304" s="1" t="s">
        <v>1310</v>
      </c>
      <c r="C1304" s="1" t="s">
        <v>35</v>
      </c>
      <c r="D1304" s="1" t="s">
        <v>152</v>
      </c>
      <c r="E1304" s="1">
        <v>1045</v>
      </c>
      <c r="F1304" s="1" t="s">
        <v>4241</v>
      </c>
      <c r="G1304" s="1" t="s">
        <v>4242</v>
      </c>
      <c r="H1304" s="1" t="s">
        <v>16</v>
      </c>
      <c r="I1304" s="1" t="s">
        <v>20</v>
      </c>
      <c r="J1304" s="1" t="s">
        <v>16</v>
      </c>
      <c r="K1304" s="1" t="b">
        <v>0</v>
      </c>
      <c r="L1304" s="1" t="s">
        <v>22</v>
      </c>
      <c r="M1304" s="1" t="s">
        <v>16</v>
      </c>
      <c r="N1304" s="1" t="s">
        <v>16</v>
      </c>
      <c r="O1304" s="1" t="s">
        <v>9956</v>
      </c>
      <c r="P1304" s="1" t="s">
        <v>16</v>
      </c>
      <c r="Q1304" s="1">
        <v>100</v>
      </c>
      <c r="R1304" s="1">
        <v>35000</v>
      </c>
      <c r="S1304" s="1">
        <v>35000</v>
      </c>
    </row>
    <row r="1305" spans="1:19" ht="12.5" x14ac:dyDescent="0.25">
      <c r="A1305" s="1">
        <v>1266</v>
      </c>
      <c r="B1305" s="1" t="s">
        <v>4243</v>
      </c>
      <c r="C1305" s="1" t="s">
        <v>35</v>
      </c>
      <c r="D1305" s="1" t="s">
        <v>152</v>
      </c>
      <c r="E1305" s="1">
        <v>1046</v>
      </c>
      <c r="F1305" s="1" t="s">
        <v>4245</v>
      </c>
      <c r="G1305" s="1" t="s">
        <v>4246</v>
      </c>
      <c r="H1305" s="1" t="s">
        <v>4247</v>
      </c>
      <c r="I1305" s="1" t="s">
        <v>29</v>
      </c>
      <c r="J1305" s="1" t="s">
        <v>4248</v>
      </c>
      <c r="K1305" s="1" t="b">
        <v>0</v>
      </c>
      <c r="L1305" s="1" t="s">
        <v>22</v>
      </c>
      <c r="M1305" s="1">
        <v>2022</v>
      </c>
      <c r="N1305" s="1" t="s">
        <v>45</v>
      </c>
      <c r="O1305" s="1" t="s">
        <v>9935</v>
      </c>
      <c r="P1305" s="1" t="s">
        <v>16</v>
      </c>
      <c r="Q1305" s="1">
        <v>100</v>
      </c>
      <c r="R1305" s="1">
        <v>15000</v>
      </c>
      <c r="S1305" s="1">
        <v>15000</v>
      </c>
    </row>
    <row r="1306" spans="1:19" ht="12.5" x14ac:dyDescent="0.25">
      <c r="A1306" s="1">
        <v>1267</v>
      </c>
      <c r="B1306" s="1" t="s">
        <v>4249</v>
      </c>
      <c r="C1306" s="1" t="s">
        <v>35</v>
      </c>
      <c r="D1306" s="1" t="s">
        <v>152</v>
      </c>
      <c r="E1306" s="1">
        <v>1047</v>
      </c>
      <c r="F1306" s="1" t="s">
        <v>4251</v>
      </c>
      <c r="G1306" s="1" t="s">
        <v>4252</v>
      </c>
      <c r="H1306" s="1" t="s">
        <v>16</v>
      </c>
      <c r="I1306" s="1" t="s">
        <v>29</v>
      </c>
      <c r="J1306" s="1" t="s">
        <v>4253</v>
      </c>
      <c r="K1306" s="1" t="b">
        <v>0</v>
      </c>
      <c r="L1306" s="1" t="s">
        <v>22</v>
      </c>
      <c r="M1306" s="1">
        <v>2021</v>
      </c>
      <c r="N1306" s="1" t="s">
        <v>52</v>
      </c>
      <c r="O1306" s="1" t="s">
        <v>9942</v>
      </c>
      <c r="P1306" s="1" t="s">
        <v>10020</v>
      </c>
      <c r="Q1306" s="1">
        <v>100</v>
      </c>
      <c r="R1306" s="1">
        <v>106788.32</v>
      </c>
      <c r="S1306" s="1">
        <v>106788.32</v>
      </c>
    </row>
    <row r="1307" spans="1:19" ht="12.5" x14ac:dyDescent="0.25">
      <c r="A1307" s="1">
        <v>1268</v>
      </c>
      <c r="B1307" s="1" t="s">
        <v>4254</v>
      </c>
      <c r="C1307" s="1" t="s">
        <v>35</v>
      </c>
      <c r="D1307" s="1" t="s">
        <v>152</v>
      </c>
      <c r="E1307" s="1">
        <v>1048</v>
      </c>
      <c r="F1307" s="1" t="s">
        <v>4256</v>
      </c>
      <c r="G1307" s="1" t="s">
        <v>4257</v>
      </c>
      <c r="H1307" s="1" t="s">
        <v>4258</v>
      </c>
      <c r="I1307" s="1" t="s">
        <v>29</v>
      </c>
      <c r="J1307" s="1" t="s">
        <v>4259</v>
      </c>
      <c r="K1307" s="1" t="b">
        <v>1</v>
      </c>
      <c r="L1307" s="1" t="s">
        <v>31</v>
      </c>
      <c r="M1307" s="1">
        <v>2022</v>
      </c>
      <c r="N1307" s="1" t="s">
        <v>45</v>
      </c>
      <c r="O1307" s="1" t="s">
        <v>9956</v>
      </c>
      <c r="P1307" s="1" t="s">
        <v>16</v>
      </c>
      <c r="Q1307" s="1">
        <v>100</v>
      </c>
      <c r="R1307" s="1">
        <v>25000</v>
      </c>
      <c r="S1307" s="1">
        <v>25000</v>
      </c>
    </row>
    <row r="1308" spans="1:19" ht="12.5" x14ac:dyDescent="0.25">
      <c r="A1308" s="1">
        <v>1271</v>
      </c>
      <c r="B1308" s="1" t="s">
        <v>4260</v>
      </c>
      <c r="C1308" s="1" t="s">
        <v>35</v>
      </c>
      <c r="D1308" s="1" t="s">
        <v>152</v>
      </c>
      <c r="E1308" s="1">
        <v>1049</v>
      </c>
      <c r="F1308" s="1" t="s">
        <v>4262</v>
      </c>
      <c r="G1308" s="1" t="s">
        <v>4263</v>
      </c>
      <c r="H1308" s="1" t="s">
        <v>16</v>
      </c>
      <c r="I1308" s="1" t="s">
        <v>29</v>
      </c>
      <c r="J1308" s="1" t="s">
        <v>16</v>
      </c>
      <c r="K1308" s="1" t="b">
        <v>0</v>
      </c>
      <c r="L1308" s="1" t="s">
        <v>22</v>
      </c>
      <c r="M1308" s="1" t="s">
        <v>16</v>
      </c>
      <c r="N1308" s="1" t="s">
        <v>16</v>
      </c>
      <c r="O1308" s="1" t="s">
        <v>9956</v>
      </c>
      <c r="P1308" s="1" t="s">
        <v>16</v>
      </c>
      <c r="Q1308" s="1">
        <v>100</v>
      </c>
      <c r="R1308" s="1">
        <v>100000</v>
      </c>
      <c r="S1308" s="1">
        <v>100000</v>
      </c>
    </row>
    <row r="1309" spans="1:19" ht="12.5" x14ac:dyDescent="0.25">
      <c r="A1309" s="1">
        <v>1272</v>
      </c>
      <c r="B1309" s="1" t="s">
        <v>4264</v>
      </c>
      <c r="C1309" s="1" t="s">
        <v>35</v>
      </c>
      <c r="D1309" s="1" t="s">
        <v>152</v>
      </c>
      <c r="E1309" s="1">
        <v>1050</v>
      </c>
      <c r="F1309" s="1" t="s">
        <v>4266</v>
      </c>
      <c r="G1309" s="1" t="s">
        <v>4267</v>
      </c>
      <c r="H1309" s="1" t="s">
        <v>16</v>
      </c>
      <c r="I1309" s="1" t="s">
        <v>29</v>
      </c>
      <c r="J1309" s="1" t="s">
        <v>4268</v>
      </c>
      <c r="K1309" s="1" t="b">
        <v>1</v>
      </c>
      <c r="L1309" s="1" t="s">
        <v>31</v>
      </c>
      <c r="M1309" s="1" t="s">
        <v>16</v>
      </c>
      <c r="N1309" s="1" t="s">
        <v>16</v>
      </c>
      <c r="O1309" s="1" t="s">
        <v>9956</v>
      </c>
      <c r="P1309" s="1" t="s">
        <v>16</v>
      </c>
      <c r="Q1309" s="1">
        <v>100</v>
      </c>
      <c r="R1309" s="1">
        <v>200000</v>
      </c>
      <c r="S1309" s="1">
        <v>200000</v>
      </c>
    </row>
    <row r="1310" spans="1:19" ht="12.5" x14ac:dyDescent="0.25">
      <c r="A1310" s="1">
        <v>1273</v>
      </c>
      <c r="B1310" s="1" t="s">
        <v>4269</v>
      </c>
      <c r="C1310" s="1" t="s">
        <v>35</v>
      </c>
      <c r="D1310" s="1" t="s">
        <v>152</v>
      </c>
      <c r="E1310" s="1">
        <v>1051</v>
      </c>
      <c r="F1310" s="1" t="s">
        <v>4271</v>
      </c>
      <c r="G1310" s="1" t="s">
        <v>4272</v>
      </c>
      <c r="H1310" s="1" t="s">
        <v>4273</v>
      </c>
      <c r="I1310" s="1" t="s">
        <v>29</v>
      </c>
      <c r="J1310" s="1" t="s">
        <v>4274</v>
      </c>
      <c r="K1310" s="1" t="b">
        <v>0</v>
      </c>
      <c r="L1310" s="1" t="s">
        <v>22</v>
      </c>
      <c r="M1310" s="1" t="s">
        <v>16</v>
      </c>
      <c r="N1310" s="1" t="s">
        <v>16</v>
      </c>
      <c r="O1310" s="1" t="s">
        <v>9956</v>
      </c>
      <c r="P1310" s="1" t="s">
        <v>9991</v>
      </c>
      <c r="Q1310" s="1">
        <v>100</v>
      </c>
      <c r="R1310" s="1">
        <v>254925</v>
      </c>
      <c r="S1310" s="1">
        <v>254925</v>
      </c>
    </row>
    <row r="1311" spans="1:19" ht="12.5" x14ac:dyDescent="0.25">
      <c r="A1311" s="1">
        <v>1274</v>
      </c>
      <c r="B1311" s="1" t="s">
        <v>4275</v>
      </c>
      <c r="C1311" s="1" t="s">
        <v>35</v>
      </c>
      <c r="D1311" s="1" t="s">
        <v>152</v>
      </c>
      <c r="E1311" s="1">
        <v>1052</v>
      </c>
      <c r="F1311" s="1" t="s">
        <v>4277</v>
      </c>
      <c r="G1311" s="1" t="s">
        <v>4278</v>
      </c>
      <c r="H1311" s="1" t="s">
        <v>4279</v>
      </c>
      <c r="I1311" s="1" t="s">
        <v>29</v>
      </c>
      <c r="J1311" s="1" t="s">
        <v>4280</v>
      </c>
      <c r="K1311" s="1" t="b">
        <v>0</v>
      </c>
      <c r="L1311" s="1" t="s">
        <v>22</v>
      </c>
      <c r="M1311" s="1" t="s">
        <v>16</v>
      </c>
      <c r="N1311" s="1" t="s">
        <v>16</v>
      </c>
      <c r="O1311" s="1" t="s">
        <v>9956</v>
      </c>
      <c r="P1311" s="1"/>
      <c r="Q1311" s="1">
        <v>100</v>
      </c>
      <c r="R1311" s="1">
        <v>10000</v>
      </c>
      <c r="S1311" s="1">
        <v>10000</v>
      </c>
    </row>
    <row r="1312" spans="1:19" ht="12.5" x14ac:dyDescent="0.25">
      <c r="A1312" s="1">
        <v>1274</v>
      </c>
      <c r="B1312" s="1" t="s">
        <v>4275</v>
      </c>
      <c r="C1312" s="1" t="s">
        <v>35</v>
      </c>
      <c r="D1312" s="1" t="s">
        <v>152</v>
      </c>
      <c r="E1312" s="1">
        <v>1052</v>
      </c>
      <c r="F1312" s="1" t="s">
        <v>4277</v>
      </c>
      <c r="G1312" s="1" t="s">
        <v>4278</v>
      </c>
      <c r="H1312" s="1" t="s">
        <v>4279</v>
      </c>
      <c r="I1312" s="1" t="s">
        <v>29</v>
      </c>
      <c r="J1312" s="1" t="s">
        <v>4280</v>
      </c>
      <c r="K1312" s="1" t="b">
        <v>0</v>
      </c>
      <c r="L1312" s="1" t="s">
        <v>22</v>
      </c>
      <c r="M1312" s="1" t="s">
        <v>16</v>
      </c>
      <c r="N1312" s="1" t="s">
        <v>16</v>
      </c>
      <c r="O1312" s="1" t="s">
        <v>9956</v>
      </c>
      <c r="P1312" s="1" t="s">
        <v>9991</v>
      </c>
      <c r="Q1312" s="1">
        <v>100</v>
      </c>
      <c r="R1312" s="1">
        <v>275985</v>
      </c>
      <c r="S1312" s="1">
        <v>275985</v>
      </c>
    </row>
    <row r="1313" spans="1:19" ht="12.5" x14ac:dyDescent="0.25">
      <c r="A1313" s="1">
        <v>1275</v>
      </c>
      <c r="B1313" s="1" t="s">
        <v>4281</v>
      </c>
      <c r="C1313" s="1" t="s">
        <v>35</v>
      </c>
      <c r="D1313" s="1" t="s">
        <v>152</v>
      </c>
      <c r="E1313" s="1">
        <v>1053</v>
      </c>
      <c r="F1313" s="1" t="s">
        <v>4283</v>
      </c>
      <c r="G1313" s="1" t="s">
        <v>4284</v>
      </c>
      <c r="H1313" s="1" t="s">
        <v>16</v>
      </c>
      <c r="I1313" s="1" t="s">
        <v>29</v>
      </c>
      <c r="J1313" s="1" t="s">
        <v>4285</v>
      </c>
      <c r="K1313" s="1" t="b">
        <v>0</v>
      </c>
      <c r="L1313" s="1" t="s">
        <v>22</v>
      </c>
      <c r="M1313" s="1">
        <v>2023</v>
      </c>
      <c r="N1313" s="1" t="s">
        <v>52</v>
      </c>
      <c r="O1313" s="1" t="s">
        <v>9956</v>
      </c>
      <c r="P1313" s="1" t="s">
        <v>16</v>
      </c>
      <c r="Q1313" s="1">
        <v>100</v>
      </c>
      <c r="R1313" s="1">
        <v>200000</v>
      </c>
      <c r="S1313" s="1">
        <v>200000</v>
      </c>
    </row>
    <row r="1314" spans="1:19" ht="12.5" x14ac:dyDescent="0.25">
      <c r="A1314" s="1">
        <v>1276</v>
      </c>
      <c r="B1314" s="1" t="s">
        <v>4286</v>
      </c>
      <c r="C1314" s="1" t="s">
        <v>35</v>
      </c>
      <c r="D1314" s="1" t="s">
        <v>152</v>
      </c>
      <c r="E1314" s="1">
        <v>1054</v>
      </c>
      <c r="F1314" s="1" t="s">
        <v>4288</v>
      </c>
      <c r="G1314" s="1" t="s">
        <v>4289</v>
      </c>
      <c r="H1314" s="1" t="s">
        <v>4290</v>
      </c>
      <c r="I1314" s="1" t="s">
        <v>29</v>
      </c>
      <c r="J1314" s="1" t="s">
        <v>4291</v>
      </c>
      <c r="K1314" s="1" t="b">
        <v>0</v>
      </c>
      <c r="L1314" s="1" t="s">
        <v>22</v>
      </c>
      <c r="M1314" s="1">
        <v>2022</v>
      </c>
      <c r="N1314" s="1" t="s">
        <v>23</v>
      </c>
      <c r="O1314" s="1" t="s">
        <v>9956</v>
      </c>
      <c r="P1314" s="1" t="s">
        <v>9953</v>
      </c>
      <c r="Q1314" s="1">
        <v>100</v>
      </c>
      <c r="R1314" s="1">
        <v>20000</v>
      </c>
      <c r="S1314" s="1">
        <v>20000</v>
      </c>
    </row>
    <row r="1315" spans="1:19" ht="12.5" x14ac:dyDescent="0.25">
      <c r="A1315" s="1">
        <v>1277</v>
      </c>
      <c r="B1315" s="1" t="s">
        <v>4292</v>
      </c>
      <c r="C1315" s="1" t="s">
        <v>35</v>
      </c>
      <c r="D1315" s="1" t="s">
        <v>152</v>
      </c>
      <c r="E1315" s="1">
        <v>1055</v>
      </c>
      <c r="F1315" s="1" t="s">
        <v>4294</v>
      </c>
      <c r="G1315" s="1" t="s">
        <v>4295</v>
      </c>
      <c r="H1315" s="1" t="s">
        <v>4296</v>
      </c>
      <c r="I1315" s="1" t="s">
        <v>29</v>
      </c>
      <c r="J1315" s="1" t="s">
        <v>4297</v>
      </c>
      <c r="K1315" s="1" t="b">
        <v>0</v>
      </c>
      <c r="L1315" s="1" t="s">
        <v>22</v>
      </c>
      <c r="M1315" s="1">
        <v>2022</v>
      </c>
      <c r="N1315" s="1" t="s">
        <v>45</v>
      </c>
      <c r="O1315" s="1" t="s">
        <v>9956</v>
      </c>
      <c r="P1315" s="1" t="s">
        <v>9990</v>
      </c>
      <c r="Q1315" s="1">
        <v>100</v>
      </c>
      <c r="R1315" s="1">
        <v>2500</v>
      </c>
      <c r="S1315" s="1">
        <v>2500</v>
      </c>
    </row>
    <row r="1316" spans="1:19" ht="12.5" x14ac:dyDescent="0.25">
      <c r="A1316" s="1">
        <v>1278</v>
      </c>
      <c r="B1316" s="1" t="s">
        <v>4298</v>
      </c>
      <c r="C1316" s="1" t="s">
        <v>35</v>
      </c>
      <c r="D1316" s="1" t="s">
        <v>152</v>
      </c>
      <c r="E1316" s="1">
        <v>1056</v>
      </c>
      <c r="F1316" s="1" t="s">
        <v>4300</v>
      </c>
      <c r="G1316" s="1" t="s">
        <v>4301</v>
      </c>
      <c r="H1316" s="1" t="s">
        <v>4302</v>
      </c>
      <c r="I1316" s="1" t="s">
        <v>29</v>
      </c>
      <c r="J1316" s="1" t="s">
        <v>4303</v>
      </c>
      <c r="K1316" s="1" t="b">
        <v>0</v>
      </c>
      <c r="L1316" s="1" t="s">
        <v>22</v>
      </c>
      <c r="M1316" s="1">
        <v>2023</v>
      </c>
      <c r="N1316" s="1" t="s">
        <v>45</v>
      </c>
      <c r="O1316" s="1" t="s">
        <v>9956</v>
      </c>
      <c r="P1316" s="1" t="s">
        <v>9990</v>
      </c>
      <c r="Q1316" s="1">
        <v>100</v>
      </c>
      <c r="R1316" s="1">
        <v>7500</v>
      </c>
      <c r="S1316" s="1">
        <v>7500</v>
      </c>
    </row>
    <row r="1317" spans="1:19" ht="12.5" x14ac:dyDescent="0.25">
      <c r="A1317" s="1">
        <v>1281</v>
      </c>
      <c r="B1317" s="1" t="s">
        <v>4304</v>
      </c>
      <c r="C1317" s="1" t="s">
        <v>35</v>
      </c>
      <c r="D1317" s="1" t="s">
        <v>152</v>
      </c>
      <c r="E1317" s="1">
        <v>1057</v>
      </c>
      <c r="F1317" s="1" t="s">
        <v>4306</v>
      </c>
      <c r="G1317" s="1" t="s">
        <v>4307</v>
      </c>
      <c r="H1317" s="1" t="s">
        <v>4308</v>
      </c>
      <c r="I1317" s="1" t="s">
        <v>29</v>
      </c>
      <c r="J1317" s="1" t="s">
        <v>16</v>
      </c>
      <c r="K1317" s="1" t="b">
        <v>0</v>
      </c>
      <c r="L1317" s="1" t="s">
        <v>22</v>
      </c>
      <c r="M1317" s="1" t="s">
        <v>16</v>
      </c>
      <c r="N1317" s="1" t="s">
        <v>16</v>
      </c>
      <c r="O1317" s="1" t="s">
        <v>16</v>
      </c>
      <c r="P1317" s="1" t="s">
        <v>16</v>
      </c>
      <c r="Q1317" s="1">
        <v>100</v>
      </c>
    </row>
    <row r="1318" spans="1:19" ht="12.5" x14ac:dyDescent="0.25">
      <c r="A1318" s="1">
        <v>1283</v>
      </c>
      <c r="B1318" s="1" t="s">
        <v>4309</v>
      </c>
      <c r="C1318" s="1" t="s">
        <v>35</v>
      </c>
      <c r="D1318" s="1" t="s">
        <v>152</v>
      </c>
      <c r="E1318" s="1">
        <v>1058</v>
      </c>
      <c r="F1318" s="1" t="s">
        <v>4310</v>
      </c>
      <c r="G1318" s="1" t="s">
        <v>4311</v>
      </c>
      <c r="H1318" s="1" t="s">
        <v>16</v>
      </c>
      <c r="I1318" s="1" t="s">
        <v>29</v>
      </c>
      <c r="J1318" s="1" t="s">
        <v>4312</v>
      </c>
      <c r="K1318" s="1" t="b">
        <v>0</v>
      </c>
      <c r="L1318" s="1" t="s">
        <v>22</v>
      </c>
      <c r="M1318" s="1" t="s">
        <v>16</v>
      </c>
      <c r="N1318" s="1" t="s">
        <v>16</v>
      </c>
      <c r="O1318" s="1" t="s">
        <v>9956</v>
      </c>
      <c r="P1318" s="1" t="s">
        <v>16</v>
      </c>
      <c r="Q1318" s="1">
        <v>100</v>
      </c>
      <c r="R1318" s="1">
        <v>0</v>
      </c>
      <c r="S1318" s="1">
        <v>0</v>
      </c>
    </row>
    <row r="1319" spans="1:19" ht="12.5" x14ac:dyDescent="0.25">
      <c r="A1319" s="1">
        <v>1284</v>
      </c>
      <c r="B1319" s="1" t="s">
        <v>4313</v>
      </c>
      <c r="C1319" s="1" t="s">
        <v>35</v>
      </c>
      <c r="D1319" s="1" t="s">
        <v>152</v>
      </c>
      <c r="E1319" s="1">
        <v>1059</v>
      </c>
      <c r="F1319" s="1" t="s">
        <v>4314</v>
      </c>
      <c r="G1319" s="1" t="s">
        <v>4315</v>
      </c>
      <c r="H1319" s="1" t="s">
        <v>16</v>
      </c>
      <c r="I1319" s="1" t="s">
        <v>29</v>
      </c>
      <c r="J1319" s="1" t="s">
        <v>4316</v>
      </c>
      <c r="K1319" s="1" t="b">
        <v>0</v>
      </c>
      <c r="L1319" s="1" t="s">
        <v>22</v>
      </c>
      <c r="M1319" s="1">
        <v>2021</v>
      </c>
      <c r="N1319" s="1" t="s">
        <v>23</v>
      </c>
      <c r="O1319" s="1" t="s">
        <v>9940</v>
      </c>
      <c r="P1319" s="1" t="s">
        <v>16</v>
      </c>
      <c r="Q1319" s="1">
        <v>100</v>
      </c>
      <c r="R1319" s="1">
        <v>47841.84</v>
      </c>
      <c r="S1319" s="1">
        <v>47841.84</v>
      </c>
    </row>
    <row r="1320" spans="1:19" ht="12.5" x14ac:dyDescent="0.25">
      <c r="A1320" s="1">
        <v>1285</v>
      </c>
      <c r="B1320" s="1" t="s">
        <v>4317</v>
      </c>
      <c r="C1320" s="1" t="s">
        <v>35</v>
      </c>
      <c r="D1320" s="1" t="s">
        <v>152</v>
      </c>
      <c r="E1320" s="1">
        <v>1060</v>
      </c>
      <c r="F1320" s="1" t="s">
        <v>4318</v>
      </c>
      <c r="G1320" s="1" t="s">
        <v>4319</v>
      </c>
      <c r="H1320" s="1" t="s">
        <v>4320</v>
      </c>
      <c r="I1320" s="1" t="s">
        <v>29</v>
      </c>
      <c r="J1320" s="1" t="s">
        <v>4321</v>
      </c>
      <c r="K1320" s="1" t="b">
        <v>0</v>
      </c>
      <c r="L1320" s="1" t="s">
        <v>22</v>
      </c>
      <c r="M1320" s="1">
        <v>2022</v>
      </c>
      <c r="N1320" s="1" t="s">
        <v>23</v>
      </c>
      <c r="O1320" s="1" t="s">
        <v>9956</v>
      </c>
      <c r="P1320" s="1" t="s">
        <v>10021</v>
      </c>
      <c r="Q1320" s="1">
        <v>100</v>
      </c>
      <c r="R1320" s="1">
        <v>3333</v>
      </c>
      <c r="S1320" s="1">
        <v>3333</v>
      </c>
    </row>
    <row r="1321" spans="1:19" ht="12.5" x14ac:dyDescent="0.25">
      <c r="A1321" s="1">
        <v>1286</v>
      </c>
      <c r="B1321" s="1" t="s">
        <v>4322</v>
      </c>
      <c r="C1321" s="1" t="s">
        <v>35</v>
      </c>
      <c r="D1321" s="1" t="s">
        <v>152</v>
      </c>
      <c r="E1321" s="1">
        <v>1061</v>
      </c>
      <c r="F1321" s="1" t="s">
        <v>4323</v>
      </c>
      <c r="G1321" s="1" t="s">
        <v>4324</v>
      </c>
      <c r="H1321" s="1" t="s">
        <v>16</v>
      </c>
      <c r="I1321" s="1" t="s">
        <v>29</v>
      </c>
      <c r="J1321" s="1" t="s">
        <v>16</v>
      </c>
      <c r="K1321" s="1" t="b">
        <v>0</v>
      </c>
      <c r="L1321" s="1" t="s">
        <v>22</v>
      </c>
      <c r="M1321" s="1" t="s">
        <v>16</v>
      </c>
      <c r="N1321" s="1" t="s">
        <v>16</v>
      </c>
      <c r="O1321" s="1" t="s">
        <v>9956</v>
      </c>
      <c r="P1321" s="1" t="s">
        <v>16</v>
      </c>
      <c r="Q1321" s="1">
        <v>100</v>
      </c>
      <c r="R1321" s="1">
        <v>300000</v>
      </c>
      <c r="S1321" s="1">
        <v>300000</v>
      </c>
    </row>
    <row r="1322" spans="1:19" ht="12.5" x14ac:dyDescent="0.25">
      <c r="A1322" s="1">
        <v>1287</v>
      </c>
      <c r="B1322" s="1" t="s">
        <v>4325</v>
      </c>
      <c r="C1322" s="1" t="s">
        <v>35</v>
      </c>
      <c r="D1322" s="1" t="s">
        <v>152</v>
      </c>
      <c r="E1322" s="1">
        <v>1062</v>
      </c>
      <c r="F1322" s="1" t="s">
        <v>4327</v>
      </c>
      <c r="G1322" s="1" t="s">
        <v>4328</v>
      </c>
      <c r="H1322" s="1" t="s">
        <v>16</v>
      </c>
      <c r="I1322" s="1" t="s">
        <v>29</v>
      </c>
      <c r="J1322" s="1" t="s">
        <v>4329</v>
      </c>
      <c r="K1322" s="1" t="b">
        <v>0</v>
      </c>
      <c r="L1322" s="1" t="s">
        <v>22</v>
      </c>
      <c r="M1322" s="1">
        <v>2022</v>
      </c>
      <c r="N1322" s="1" t="s">
        <v>45</v>
      </c>
      <c r="O1322" s="1" t="s">
        <v>9935</v>
      </c>
      <c r="P1322" s="1" t="s">
        <v>16</v>
      </c>
      <c r="Q1322" s="1">
        <v>100</v>
      </c>
      <c r="R1322" s="1">
        <v>15000</v>
      </c>
      <c r="S1322" s="1">
        <v>15000</v>
      </c>
    </row>
    <row r="1323" spans="1:19" ht="12.5" x14ac:dyDescent="0.25">
      <c r="A1323" s="1">
        <v>1291</v>
      </c>
      <c r="B1323" s="1" t="s">
        <v>4330</v>
      </c>
      <c r="C1323" s="1" t="s">
        <v>35</v>
      </c>
      <c r="D1323" s="1" t="s">
        <v>152</v>
      </c>
      <c r="E1323" s="1">
        <v>1063</v>
      </c>
      <c r="F1323" s="1" t="s">
        <v>4332</v>
      </c>
      <c r="G1323" s="1" t="s">
        <v>4333</v>
      </c>
      <c r="H1323" s="1" t="s">
        <v>16</v>
      </c>
      <c r="I1323" s="1" t="s">
        <v>29</v>
      </c>
      <c r="J1323" s="1" t="s">
        <v>4334</v>
      </c>
      <c r="K1323" s="1" t="b">
        <v>0</v>
      </c>
      <c r="L1323" s="1" t="s">
        <v>22</v>
      </c>
      <c r="M1323" s="1">
        <v>2022</v>
      </c>
      <c r="N1323" s="1" t="s">
        <v>23</v>
      </c>
      <c r="O1323" s="1" t="s">
        <v>9935</v>
      </c>
      <c r="P1323" s="1" t="s">
        <v>16</v>
      </c>
      <c r="Q1323" s="1">
        <v>100</v>
      </c>
      <c r="R1323" s="1">
        <v>85000</v>
      </c>
      <c r="S1323" s="1">
        <v>85000</v>
      </c>
    </row>
    <row r="1324" spans="1:19" ht="12.5" x14ac:dyDescent="0.25">
      <c r="A1324" s="1">
        <v>1292</v>
      </c>
      <c r="B1324" s="1" t="s">
        <v>4335</v>
      </c>
      <c r="C1324" s="1" t="s">
        <v>35</v>
      </c>
      <c r="D1324" s="1" t="s">
        <v>152</v>
      </c>
      <c r="E1324" s="1">
        <v>1064</v>
      </c>
      <c r="F1324" s="1" t="s">
        <v>4337</v>
      </c>
      <c r="G1324" s="1" t="s">
        <v>4338</v>
      </c>
      <c r="H1324" s="1" t="s">
        <v>16</v>
      </c>
      <c r="I1324" s="1" t="s">
        <v>29</v>
      </c>
      <c r="J1324" s="1" t="s">
        <v>4339</v>
      </c>
      <c r="K1324" s="1" t="b">
        <v>0</v>
      </c>
      <c r="L1324" s="1" t="s">
        <v>22</v>
      </c>
      <c r="M1324" s="1" t="s">
        <v>16</v>
      </c>
      <c r="N1324" s="1" t="s">
        <v>16</v>
      </c>
      <c r="O1324" s="1" t="s">
        <v>9956</v>
      </c>
      <c r="P1324" s="1" t="s">
        <v>16</v>
      </c>
      <c r="Q1324" s="1">
        <v>100</v>
      </c>
      <c r="R1324" s="1">
        <v>35000</v>
      </c>
      <c r="S1324" s="1">
        <v>35000</v>
      </c>
    </row>
    <row r="1325" spans="1:19" ht="12.5" x14ac:dyDescent="0.25">
      <c r="A1325" s="1">
        <v>1293</v>
      </c>
      <c r="B1325" s="1" t="s">
        <v>4340</v>
      </c>
      <c r="C1325" s="1" t="s">
        <v>35</v>
      </c>
      <c r="D1325" s="1" t="s">
        <v>152</v>
      </c>
      <c r="E1325" s="1">
        <v>1065</v>
      </c>
      <c r="F1325" s="1" t="s">
        <v>4342</v>
      </c>
      <c r="G1325" s="1" t="s">
        <v>4343</v>
      </c>
      <c r="H1325" s="1" t="s">
        <v>16</v>
      </c>
      <c r="I1325" s="1" t="s">
        <v>29</v>
      </c>
      <c r="J1325" s="1" t="s">
        <v>4344</v>
      </c>
      <c r="K1325" s="1" t="b">
        <v>0</v>
      </c>
      <c r="L1325" s="1" t="s">
        <v>22</v>
      </c>
      <c r="M1325" s="1" t="s">
        <v>16</v>
      </c>
      <c r="N1325" s="1" t="s">
        <v>16</v>
      </c>
      <c r="O1325" s="1" t="s">
        <v>9956</v>
      </c>
      <c r="P1325" s="1" t="s">
        <v>16</v>
      </c>
      <c r="Q1325" s="1">
        <v>100</v>
      </c>
      <c r="R1325" s="1">
        <v>35000</v>
      </c>
      <c r="S1325" s="1">
        <v>35000</v>
      </c>
    </row>
    <row r="1326" spans="1:19" ht="12.5" x14ac:dyDescent="0.25">
      <c r="A1326" s="1">
        <v>1295</v>
      </c>
      <c r="B1326" s="1" t="s">
        <v>4345</v>
      </c>
      <c r="C1326" s="1" t="s">
        <v>35</v>
      </c>
      <c r="D1326" s="1" t="s">
        <v>152</v>
      </c>
      <c r="E1326" s="1">
        <v>1066</v>
      </c>
      <c r="F1326" s="1" t="s">
        <v>4347</v>
      </c>
      <c r="G1326" s="1" t="s">
        <v>4348</v>
      </c>
      <c r="H1326" s="1" t="s">
        <v>4349</v>
      </c>
      <c r="I1326" s="1" t="s">
        <v>29</v>
      </c>
      <c r="J1326" s="1" t="s">
        <v>4350</v>
      </c>
      <c r="K1326" s="1" t="b">
        <v>0</v>
      </c>
      <c r="L1326" s="1" t="s">
        <v>22</v>
      </c>
      <c r="M1326" s="1">
        <v>2023</v>
      </c>
      <c r="N1326" s="1" t="s">
        <v>23</v>
      </c>
      <c r="O1326" s="1" t="s">
        <v>9956</v>
      </c>
      <c r="P1326" s="1" t="s">
        <v>10022</v>
      </c>
      <c r="Q1326" s="1">
        <v>100</v>
      </c>
      <c r="R1326" s="1">
        <v>40403</v>
      </c>
      <c r="S1326" s="1">
        <v>40403</v>
      </c>
    </row>
    <row r="1327" spans="1:19" ht="12.5" x14ac:dyDescent="0.25">
      <c r="A1327" s="1">
        <v>1296</v>
      </c>
      <c r="B1327" s="1" t="s">
        <v>4351</v>
      </c>
      <c r="C1327" s="1" t="s">
        <v>35</v>
      </c>
      <c r="D1327" s="1" t="s">
        <v>152</v>
      </c>
      <c r="E1327" s="1">
        <v>1067</v>
      </c>
      <c r="F1327" s="1" t="s">
        <v>4353</v>
      </c>
      <c r="G1327" s="1" t="s">
        <v>4354</v>
      </c>
      <c r="H1327" s="1" t="s">
        <v>16</v>
      </c>
      <c r="I1327" s="1" t="s">
        <v>29</v>
      </c>
      <c r="J1327" s="1" t="s">
        <v>4355</v>
      </c>
      <c r="K1327" s="1" t="b">
        <v>0</v>
      </c>
      <c r="L1327" s="1" t="s">
        <v>22</v>
      </c>
      <c r="M1327" s="1">
        <v>2022</v>
      </c>
      <c r="N1327" s="1" t="s">
        <v>52</v>
      </c>
      <c r="O1327" s="1" t="s">
        <v>9956</v>
      </c>
      <c r="P1327" s="1" t="s">
        <v>16</v>
      </c>
      <c r="Q1327" s="1">
        <v>100</v>
      </c>
      <c r="R1327" s="1">
        <v>5000</v>
      </c>
      <c r="S1327" s="1">
        <v>5000</v>
      </c>
    </row>
    <row r="1328" spans="1:19" ht="12.5" x14ac:dyDescent="0.25">
      <c r="A1328" s="1">
        <v>1298</v>
      </c>
      <c r="B1328" s="1" t="s">
        <v>4356</v>
      </c>
      <c r="C1328" s="1" t="s">
        <v>35</v>
      </c>
      <c r="D1328" s="1" t="s">
        <v>152</v>
      </c>
      <c r="E1328" s="1">
        <v>1068</v>
      </c>
      <c r="F1328" s="1" t="s">
        <v>4358</v>
      </c>
      <c r="G1328" s="1" t="s">
        <v>4359</v>
      </c>
      <c r="H1328" s="1" t="s">
        <v>4360</v>
      </c>
      <c r="I1328" s="1" t="s">
        <v>29</v>
      </c>
      <c r="J1328" s="1" t="s">
        <v>4361</v>
      </c>
      <c r="K1328" s="1" t="b">
        <v>0</v>
      </c>
      <c r="L1328" s="1" t="s">
        <v>22</v>
      </c>
      <c r="M1328" s="1">
        <v>2022</v>
      </c>
      <c r="N1328" s="1" t="s">
        <v>52</v>
      </c>
      <c r="O1328" s="1" t="s">
        <v>9956</v>
      </c>
      <c r="P1328" s="1" t="s">
        <v>16</v>
      </c>
      <c r="Q1328" s="1">
        <v>100</v>
      </c>
      <c r="R1328" s="1">
        <v>10000</v>
      </c>
      <c r="S1328" s="1">
        <v>10000</v>
      </c>
    </row>
    <row r="1329" spans="1:19" ht="12.5" x14ac:dyDescent="0.25">
      <c r="A1329" s="1">
        <v>1298</v>
      </c>
      <c r="B1329" s="1" t="s">
        <v>4356</v>
      </c>
      <c r="C1329" s="1" t="s">
        <v>35</v>
      </c>
      <c r="D1329" s="1" t="s">
        <v>152</v>
      </c>
      <c r="E1329" s="1">
        <v>1068</v>
      </c>
      <c r="F1329" s="1" t="s">
        <v>4358</v>
      </c>
      <c r="G1329" s="1" t="s">
        <v>4359</v>
      </c>
      <c r="H1329" s="1" t="s">
        <v>4360</v>
      </c>
      <c r="I1329" s="1" t="s">
        <v>29</v>
      </c>
      <c r="J1329" s="1" t="s">
        <v>4361</v>
      </c>
      <c r="K1329" s="1" t="b">
        <v>0</v>
      </c>
      <c r="L1329" s="1" t="s">
        <v>22</v>
      </c>
      <c r="M1329" s="1">
        <v>2022</v>
      </c>
      <c r="N1329" s="1" t="s">
        <v>52</v>
      </c>
      <c r="O1329" s="1" t="s">
        <v>9956</v>
      </c>
      <c r="P1329" s="1" t="s">
        <v>9989</v>
      </c>
      <c r="Q1329" s="1">
        <v>100</v>
      </c>
      <c r="R1329" s="1">
        <v>32027</v>
      </c>
      <c r="S1329" s="1">
        <v>32027</v>
      </c>
    </row>
    <row r="1330" spans="1:19" ht="12.5" x14ac:dyDescent="0.25">
      <c r="A1330" s="1">
        <v>1301</v>
      </c>
      <c r="B1330" s="1" t="s">
        <v>4362</v>
      </c>
      <c r="C1330" s="1" t="s">
        <v>35</v>
      </c>
      <c r="D1330" s="1" t="s">
        <v>152</v>
      </c>
      <c r="E1330" s="1">
        <v>1069</v>
      </c>
      <c r="F1330" s="1" t="s">
        <v>4364</v>
      </c>
      <c r="G1330" s="1" t="s">
        <v>4365</v>
      </c>
      <c r="H1330" s="1" t="s">
        <v>4366</v>
      </c>
      <c r="I1330" s="1" t="s">
        <v>29</v>
      </c>
      <c r="J1330" s="1" t="s">
        <v>4367</v>
      </c>
      <c r="K1330" s="1" t="b">
        <v>0</v>
      </c>
      <c r="L1330" s="1" t="s">
        <v>22</v>
      </c>
      <c r="M1330" s="1">
        <v>2022</v>
      </c>
      <c r="N1330" s="1" t="s">
        <v>52</v>
      </c>
      <c r="O1330" s="1" t="s">
        <v>9956</v>
      </c>
      <c r="P1330" s="1" t="s">
        <v>16</v>
      </c>
      <c r="Q1330" s="1">
        <v>100</v>
      </c>
      <c r="R1330" s="1">
        <v>75000</v>
      </c>
      <c r="S1330" s="1">
        <v>75000</v>
      </c>
    </row>
    <row r="1331" spans="1:19" ht="12.5" x14ac:dyDescent="0.25">
      <c r="A1331" s="1">
        <v>1304</v>
      </c>
      <c r="B1331" s="1" t="s">
        <v>4368</v>
      </c>
      <c r="C1331" s="1" t="s">
        <v>35</v>
      </c>
      <c r="D1331" s="1" t="s">
        <v>152</v>
      </c>
      <c r="E1331" s="1">
        <v>1070</v>
      </c>
      <c r="F1331" s="1" t="s">
        <v>4370</v>
      </c>
      <c r="G1331" s="1" t="s">
        <v>4371</v>
      </c>
      <c r="H1331" s="1" t="s">
        <v>16</v>
      </c>
      <c r="I1331" s="1" t="s">
        <v>29</v>
      </c>
      <c r="J1331" s="1" t="s">
        <v>4372</v>
      </c>
      <c r="K1331" s="1" t="b">
        <v>0</v>
      </c>
      <c r="L1331" s="1" t="s">
        <v>22</v>
      </c>
      <c r="M1331" s="1">
        <v>2021</v>
      </c>
      <c r="N1331" s="1" t="s">
        <v>52</v>
      </c>
      <c r="O1331" s="1" t="s">
        <v>9956</v>
      </c>
      <c r="P1331" s="1" t="s">
        <v>16</v>
      </c>
      <c r="Q1331" s="1">
        <v>100</v>
      </c>
      <c r="R1331" s="1">
        <v>2500</v>
      </c>
      <c r="S1331" s="1">
        <v>2500</v>
      </c>
    </row>
    <row r="1332" spans="1:19" ht="12.5" x14ac:dyDescent="0.25">
      <c r="A1332" s="1">
        <v>1305</v>
      </c>
      <c r="B1332" s="1" t="s">
        <v>4373</v>
      </c>
      <c r="C1332" s="1" t="s">
        <v>35</v>
      </c>
      <c r="D1332" s="1" t="s">
        <v>152</v>
      </c>
      <c r="E1332" s="1">
        <v>1071</v>
      </c>
      <c r="F1332" s="1" t="s">
        <v>4374</v>
      </c>
      <c r="G1332" s="1" t="s">
        <v>4375</v>
      </c>
      <c r="H1332" s="1" t="s">
        <v>16</v>
      </c>
      <c r="I1332" s="1" t="s">
        <v>29</v>
      </c>
      <c r="J1332" s="1" t="s">
        <v>4376</v>
      </c>
      <c r="K1332" s="1" t="b">
        <v>0</v>
      </c>
      <c r="L1332" s="1" t="s">
        <v>22</v>
      </c>
      <c r="M1332" s="1" t="s">
        <v>16</v>
      </c>
      <c r="N1332" s="1" t="s">
        <v>16</v>
      </c>
      <c r="O1332" s="1" t="s">
        <v>9956</v>
      </c>
      <c r="P1332" s="1" t="s">
        <v>16</v>
      </c>
      <c r="Q1332" s="1">
        <v>100</v>
      </c>
      <c r="R1332" s="1">
        <v>8000</v>
      </c>
      <c r="S1332" s="1">
        <v>8000</v>
      </c>
    </row>
    <row r="1333" spans="1:19" ht="12.5" x14ac:dyDescent="0.25">
      <c r="A1333" s="1">
        <v>1306</v>
      </c>
      <c r="B1333" s="1" t="s">
        <v>4377</v>
      </c>
      <c r="C1333" s="1" t="s">
        <v>35</v>
      </c>
      <c r="D1333" s="1" t="s">
        <v>152</v>
      </c>
      <c r="E1333" s="1">
        <v>1072</v>
      </c>
      <c r="F1333" s="1" t="s">
        <v>4379</v>
      </c>
      <c r="G1333" s="1" t="s">
        <v>4380</v>
      </c>
      <c r="H1333" s="1" t="s">
        <v>16</v>
      </c>
      <c r="I1333" s="1" t="s">
        <v>20</v>
      </c>
      <c r="J1333" s="1" t="s">
        <v>16</v>
      </c>
      <c r="K1333" s="1" t="b">
        <v>0</v>
      </c>
      <c r="L1333" s="1" t="s">
        <v>22</v>
      </c>
      <c r="M1333" s="1" t="s">
        <v>16</v>
      </c>
      <c r="N1333" s="1" t="s">
        <v>16</v>
      </c>
      <c r="O1333" s="1" t="s">
        <v>9956</v>
      </c>
      <c r="P1333" s="1" t="s">
        <v>16</v>
      </c>
      <c r="Q1333" s="1">
        <v>100</v>
      </c>
      <c r="R1333" s="1">
        <v>0</v>
      </c>
      <c r="S1333" s="1">
        <v>0</v>
      </c>
    </row>
    <row r="1334" spans="1:19" ht="12.5" x14ac:dyDescent="0.25">
      <c r="A1334" s="1">
        <v>1308</v>
      </c>
      <c r="B1334" s="1" t="s">
        <v>4381</v>
      </c>
      <c r="C1334" s="1" t="s">
        <v>35</v>
      </c>
      <c r="D1334" s="1" t="s">
        <v>152</v>
      </c>
      <c r="E1334" s="1">
        <v>1073</v>
      </c>
      <c r="F1334" s="1" t="s">
        <v>4383</v>
      </c>
      <c r="G1334" s="1" t="s">
        <v>4384</v>
      </c>
      <c r="H1334" s="1" t="s">
        <v>16</v>
      </c>
      <c r="I1334" s="1" t="s">
        <v>29</v>
      </c>
      <c r="J1334" s="1" t="s">
        <v>4385</v>
      </c>
      <c r="K1334" s="1" t="b">
        <v>0</v>
      </c>
      <c r="L1334" s="1" t="s">
        <v>22</v>
      </c>
      <c r="M1334" s="1" t="s">
        <v>16</v>
      </c>
      <c r="N1334" s="1" t="s">
        <v>16</v>
      </c>
      <c r="O1334" s="1" t="s">
        <v>9956</v>
      </c>
      <c r="P1334" s="1" t="s">
        <v>16</v>
      </c>
      <c r="Q1334" s="1">
        <v>100</v>
      </c>
      <c r="R1334" s="1">
        <v>2500</v>
      </c>
      <c r="S1334" s="1">
        <v>2500</v>
      </c>
    </row>
    <row r="1335" spans="1:19" ht="12.5" x14ac:dyDescent="0.25">
      <c r="A1335" s="1">
        <v>1309</v>
      </c>
      <c r="B1335" s="1" t="s">
        <v>4386</v>
      </c>
      <c r="C1335" s="1" t="s">
        <v>35</v>
      </c>
      <c r="D1335" s="1" t="s">
        <v>152</v>
      </c>
      <c r="E1335" s="1">
        <v>1074</v>
      </c>
      <c r="F1335" s="1" t="s">
        <v>4388</v>
      </c>
      <c r="G1335" s="1" t="s">
        <v>4389</v>
      </c>
      <c r="H1335" s="1" t="s">
        <v>16</v>
      </c>
      <c r="I1335" s="1" t="s">
        <v>29</v>
      </c>
      <c r="J1335" s="1" t="s">
        <v>16</v>
      </c>
      <c r="K1335" s="1" t="b">
        <v>0</v>
      </c>
      <c r="L1335" s="1" t="s">
        <v>22</v>
      </c>
      <c r="M1335" s="1" t="s">
        <v>16</v>
      </c>
      <c r="N1335" s="1" t="s">
        <v>16</v>
      </c>
      <c r="O1335" s="1" t="s">
        <v>9956</v>
      </c>
      <c r="P1335" s="1" t="s">
        <v>16</v>
      </c>
      <c r="Q1335" s="1">
        <v>100</v>
      </c>
      <c r="R1335" s="1">
        <v>2500</v>
      </c>
      <c r="S1335" s="1">
        <v>2500</v>
      </c>
    </row>
    <row r="1336" spans="1:19" ht="12.5" x14ac:dyDescent="0.25">
      <c r="A1336" s="1">
        <v>1310</v>
      </c>
      <c r="B1336" s="1" t="s">
        <v>4390</v>
      </c>
      <c r="C1336" s="1" t="s">
        <v>35</v>
      </c>
      <c r="D1336" s="1" t="s">
        <v>152</v>
      </c>
      <c r="E1336" s="1">
        <v>1075</v>
      </c>
      <c r="F1336" s="1" t="s">
        <v>4392</v>
      </c>
      <c r="G1336" s="1" t="s">
        <v>4393</v>
      </c>
      <c r="H1336" s="1" t="s">
        <v>4394</v>
      </c>
      <c r="I1336" s="1" t="s">
        <v>29</v>
      </c>
      <c r="J1336" s="1" t="s">
        <v>4395</v>
      </c>
      <c r="K1336" s="1" t="b">
        <v>0</v>
      </c>
      <c r="L1336" s="1" t="s">
        <v>22</v>
      </c>
      <c r="M1336" s="1">
        <v>2021</v>
      </c>
      <c r="N1336" s="1" t="s">
        <v>45</v>
      </c>
      <c r="O1336" s="1" t="s">
        <v>9935</v>
      </c>
      <c r="P1336" s="1" t="s">
        <v>10023</v>
      </c>
      <c r="Q1336" s="1">
        <v>100</v>
      </c>
      <c r="R1336" s="1">
        <v>1719.16</v>
      </c>
      <c r="S1336" s="1">
        <v>1719.16</v>
      </c>
    </row>
    <row r="1337" spans="1:19" ht="12.5" x14ac:dyDescent="0.25">
      <c r="A1337" s="1">
        <v>1311</v>
      </c>
      <c r="B1337" s="1" t="s">
        <v>4396</v>
      </c>
      <c r="C1337" s="1" t="s">
        <v>35</v>
      </c>
      <c r="D1337" s="1" t="s">
        <v>152</v>
      </c>
      <c r="E1337" s="1">
        <v>1076</v>
      </c>
      <c r="F1337" s="1" t="s">
        <v>4398</v>
      </c>
      <c r="G1337" s="1" t="s">
        <v>4399</v>
      </c>
      <c r="H1337" s="1" t="s">
        <v>4400</v>
      </c>
      <c r="I1337" s="1" t="s">
        <v>29</v>
      </c>
      <c r="J1337" s="1" t="s">
        <v>4401</v>
      </c>
      <c r="K1337" s="1" t="b">
        <v>0</v>
      </c>
      <c r="L1337" s="1" t="s">
        <v>22</v>
      </c>
      <c r="M1337" s="1">
        <v>2022</v>
      </c>
      <c r="N1337" s="1" t="s">
        <v>23</v>
      </c>
      <c r="O1337" s="1" t="s">
        <v>9956</v>
      </c>
      <c r="P1337" s="1" t="s">
        <v>16</v>
      </c>
      <c r="Q1337" s="1">
        <v>100</v>
      </c>
      <c r="R1337" s="1">
        <v>200000</v>
      </c>
      <c r="S1337" s="1">
        <v>200000</v>
      </c>
    </row>
    <row r="1338" spans="1:19" ht="12.5" x14ac:dyDescent="0.25">
      <c r="A1338" s="1">
        <v>1313</v>
      </c>
      <c r="B1338" s="1" t="s">
        <v>786</v>
      </c>
      <c r="C1338" s="1" t="s">
        <v>35</v>
      </c>
      <c r="D1338" s="1" t="s">
        <v>152</v>
      </c>
      <c r="E1338" s="1">
        <v>1077</v>
      </c>
      <c r="F1338" s="1" t="s">
        <v>4402</v>
      </c>
      <c r="G1338" s="1" t="s">
        <v>4403</v>
      </c>
      <c r="H1338" s="1" t="s">
        <v>16</v>
      </c>
      <c r="I1338" s="1" t="s">
        <v>29</v>
      </c>
      <c r="J1338" s="1" t="s">
        <v>16</v>
      </c>
      <c r="K1338" s="1" t="b">
        <v>0</v>
      </c>
      <c r="L1338" s="1" t="s">
        <v>22</v>
      </c>
      <c r="M1338" s="1" t="s">
        <v>16</v>
      </c>
      <c r="N1338" s="1" t="s">
        <v>16</v>
      </c>
      <c r="O1338" s="1" t="s">
        <v>9956</v>
      </c>
      <c r="P1338" s="1" t="s">
        <v>16</v>
      </c>
      <c r="Q1338" s="1">
        <v>100</v>
      </c>
      <c r="R1338" s="1">
        <v>7500</v>
      </c>
      <c r="S1338" s="1">
        <v>7500</v>
      </c>
    </row>
    <row r="1339" spans="1:19" ht="12.5" x14ac:dyDescent="0.25">
      <c r="A1339" s="1">
        <v>1314</v>
      </c>
      <c r="B1339" s="1" t="s">
        <v>788</v>
      </c>
      <c r="C1339" s="1" t="s">
        <v>35</v>
      </c>
      <c r="D1339" s="1" t="s">
        <v>152</v>
      </c>
      <c r="E1339" s="1">
        <v>1078</v>
      </c>
      <c r="F1339" s="1" t="s">
        <v>4404</v>
      </c>
      <c r="G1339" s="1" t="s">
        <v>4405</v>
      </c>
      <c r="H1339" s="1" t="s">
        <v>16</v>
      </c>
      <c r="I1339" s="1" t="s">
        <v>29</v>
      </c>
      <c r="J1339" s="1" t="s">
        <v>4406</v>
      </c>
      <c r="K1339" s="1" t="b">
        <v>0</v>
      </c>
      <c r="L1339" s="1" t="s">
        <v>22</v>
      </c>
      <c r="M1339" s="1" t="s">
        <v>16</v>
      </c>
      <c r="N1339" s="1" t="s">
        <v>16</v>
      </c>
      <c r="O1339" s="1" t="s">
        <v>16</v>
      </c>
      <c r="P1339" s="1" t="s">
        <v>16</v>
      </c>
      <c r="Q1339" s="1">
        <v>100</v>
      </c>
    </row>
    <row r="1340" spans="1:19" ht="12.5" x14ac:dyDescent="0.25">
      <c r="A1340" s="1">
        <v>1315</v>
      </c>
      <c r="B1340" s="1" t="s">
        <v>4407</v>
      </c>
      <c r="C1340" s="1" t="s">
        <v>35</v>
      </c>
      <c r="D1340" s="1" t="s">
        <v>152</v>
      </c>
      <c r="E1340" s="1">
        <v>1079</v>
      </c>
      <c r="F1340" s="1" t="s">
        <v>4408</v>
      </c>
      <c r="G1340" s="1" t="s">
        <v>4409</v>
      </c>
      <c r="H1340" s="1" t="s">
        <v>16</v>
      </c>
      <c r="I1340" s="1" t="s">
        <v>29</v>
      </c>
      <c r="J1340" s="1" t="s">
        <v>4410</v>
      </c>
      <c r="K1340" s="1" t="b">
        <v>0</v>
      </c>
      <c r="L1340" s="1" t="s">
        <v>22</v>
      </c>
      <c r="M1340" s="1">
        <v>2023</v>
      </c>
      <c r="N1340" s="1" t="s">
        <v>45</v>
      </c>
      <c r="O1340" s="1" t="s">
        <v>9956</v>
      </c>
      <c r="P1340" s="1" t="s">
        <v>16</v>
      </c>
      <c r="Q1340" s="1">
        <v>100</v>
      </c>
      <c r="R1340" s="1">
        <v>50000</v>
      </c>
      <c r="S1340" s="1">
        <v>50000</v>
      </c>
    </row>
    <row r="1341" spans="1:19" ht="12.5" x14ac:dyDescent="0.25">
      <c r="A1341" s="1">
        <v>1316</v>
      </c>
      <c r="B1341" s="1" t="s">
        <v>4411</v>
      </c>
      <c r="C1341" s="1" t="s">
        <v>35</v>
      </c>
      <c r="D1341" s="1" t="s">
        <v>152</v>
      </c>
      <c r="E1341" s="1">
        <v>1080</v>
      </c>
      <c r="F1341" s="1" t="s">
        <v>4413</v>
      </c>
      <c r="G1341" s="1" t="s">
        <v>4414</v>
      </c>
      <c r="H1341" s="1" t="s">
        <v>16</v>
      </c>
      <c r="I1341" s="1" t="s">
        <v>20</v>
      </c>
      <c r="J1341" s="1" t="s">
        <v>16</v>
      </c>
      <c r="K1341" s="1" t="b">
        <v>0</v>
      </c>
      <c r="L1341" s="1" t="s">
        <v>22</v>
      </c>
      <c r="M1341" s="1" t="s">
        <v>16</v>
      </c>
      <c r="N1341" s="1" t="s">
        <v>16</v>
      </c>
      <c r="O1341" s="1" t="s">
        <v>9956</v>
      </c>
      <c r="P1341" s="1" t="s">
        <v>16</v>
      </c>
      <c r="Q1341" s="1">
        <v>100</v>
      </c>
      <c r="R1341" s="1">
        <v>0</v>
      </c>
      <c r="S1341" s="1">
        <v>0</v>
      </c>
    </row>
    <row r="1342" spans="1:19" ht="12.5" x14ac:dyDescent="0.25">
      <c r="A1342" s="1">
        <v>1319</v>
      </c>
      <c r="B1342" s="1" t="s">
        <v>4415</v>
      </c>
      <c r="C1342" s="1" t="s">
        <v>35</v>
      </c>
      <c r="D1342" s="1" t="s">
        <v>152</v>
      </c>
      <c r="E1342" s="1">
        <v>1081</v>
      </c>
      <c r="F1342" s="1" t="s">
        <v>4417</v>
      </c>
      <c r="G1342" s="1" t="s">
        <v>4418</v>
      </c>
      <c r="H1342" s="1" t="s">
        <v>4419</v>
      </c>
      <c r="I1342" s="1" t="s">
        <v>29</v>
      </c>
      <c r="J1342" s="1" t="s">
        <v>4420</v>
      </c>
      <c r="K1342" s="1" t="b">
        <v>0</v>
      </c>
      <c r="L1342" s="1" t="s">
        <v>22</v>
      </c>
      <c r="M1342" s="1">
        <v>2022</v>
      </c>
      <c r="N1342" s="1" t="s">
        <v>52</v>
      </c>
      <c r="O1342" s="1" t="s">
        <v>9956</v>
      </c>
      <c r="P1342" s="1" t="s">
        <v>16</v>
      </c>
      <c r="Q1342" s="1">
        <v>100</v>
      </c>
      <c r="R1342" s="1">
        <v>150000</v>
      </c>
      <c r="S1342" s="1">
        <v>150000</v>
      </c>
    </row>
    <row r="1343" spans="1:19" ht="12.5" x14ac:dyDescent="0.25">
      <c r="A1343" s="1">
        <v>1322</v>
      </c>
      <c r="B1343" s="1" t="s">
        <v>4421</v>
      </c>
      <c r="C1343" s="1" t="s">
        <v>35</v>
      </c>
      <c r="D1343" s="1" t="s">
        <v>152</v>
      </c>
      <c r="E1343" s="1">
        <v>1082</v>
      </c>
      <c r="F1343" s="1" t="s">
        <v>4423</v>
      </c>
      <c r="G1343" s="1" t="s">
        <v>4424</v>
      </c>
      <c r="H1343" s="1" t="s">
        <v>16</v>
      </c>
      <c r="I1343" s="1" t="s">
        <v>29</v>
      </c>
      <c r="J1343" s="1" t="s">
        <v>4425</v>
      </c>
      <c r="K1343" s="1" t="b">
        <v>0</v>
      </c>
      <c r="L1343" s="1" t="s">
        <v>22</v>
      </c>
      <c r="M1343" s="1" t="s">
        <v>16</v>
      </c>
      <c r="N1343" s="1" t="s">
        <v>16</v>
      </c>
      <c r="O1343" s="1" t="s">
        <v>9956</v>
      </c>
      <c r="P1343" s="1" t="s">
        <v>16</v>
      </c>
      <c r="Q1343" s="1">
        <v>100</v>
      </c>
      <c r="R1343" s="1">
        <v>1500</v>
      </c>
      <c r="S1343" s="1">
        <v>1500</v>
      </c>
    </row>
    <row r="1344" spans="1:19" ht="12.5" x14ac:dyDescent="0.25">
      <c r="A1344" s="1">
        <v>1323</v>
      </c>
      <c r="B1344" s="1" t="s">
        <v>4426</v>
      </c>
      <c r="C1344" s="1" t="s">
        <v>35</v>
      </c>
      <c r="D1344" s="1" t="s">
        <v>152</v>
      </c>
      <c r="E1344" s="1">
        <v>1083</v>
      </c>
      <c r="F1344" s="1" t="s">
        <v>4428</v>
      </c>
      <c r="G1344" s="1" t="s">
        <v>4424</v>
      </c>
      <c r="H1344" s="1" t="s">
        <v>16</v>
      </c>
      <c r="I1344" s="1" t="s">
        <v>29</v>
      </c>
      <c r="J1344" s="1" t="s">
        <v>4429</v>
      </c>
      <c r="K1344" s="1" t="b">
        <v>0</v>
      </c>
      <c r="L1344" s="1" t="s">
        <v>22</v>
      </c>
      <c r="M1344" s="1" t="s">
        <v>16</v>
      </c>
      <c r="N1344" s="1" t="s">
        <v>16</v>
      </c>
      <c r="O1344" s="1" t="s">
        <v>9956</v>
      </c>
      <c r="P1344" s="1" t="s">
        <v>16</v>
      </c>
      <c r="Q1344" s="1">
        <v>100</v>
      </c>
      <c r="R1344" s="1">
        <v>1500</v>
      </c>
      <c r="S1344" s="1">
        <v>1500</v>
      </c>
    </row>
    <row r="1345" spans="1:19" ht="12.5" x14ac:dyDescent="0.25">
      <c r="A1345" s="1">
        <v>1324</v>
      </c>
      <c r="B1345" s="1" t="s">
        <v>4430</v>
      </c>
      <c r="C1345" s="1" t="s">
        <v>35</v>
      </c>
      <c r="D1345" s="1" t="s">
        <v>152</v>
      </c>
      <c r="E1345" s="1">
        <v>1084</v>
      </c>
      <c r="F1345" s="1" t="s">
        <v>4432</v>
      </c>
      <c r="G1345" s="1" t="s">
        <v>4424</v>
      </c>
      <c r="H1345" s="1" t="s">
        <v>16</v>
      </c>
      <c r="I1345" s="1" t="s">
        <v>29</v>
      </c>
      <c r="J1345" s="1" t="s">
        <v>16</v>
      </c>
      <c r="K1345" s="1" t="b">
        <v>0</v>
      </c>
      <c r="L1345" s="1" t="s">
        <v>22</v>
      </c>
      <c r="M1345" s="1" t="s">
        <v>16</v>
      </c>
      <c r="N1345" s="1" t="s">
        <v>16</v>
      </c>
      <c r="O1345" s="1" t="s">
        <v>9956</v>
      </c>
      <c r="P1345" s="1" t="s">
        <v>16</v>
      </c>
      <c r="Q1345" s="1">
        <v>100</v>
      </c>
      <c r="R1345" s="1">
        <v>1500</v>
      </c>
      <c r="S1345" s="1">
        <v>1500</v>
      </c>
    </row>
    <row r="1346" spans="1:19" ht="12.5" x14ac:dyDescent="0.25">
      <c r="A1346" s="1">
        <v>1325</v>
      </c>
      <c r="B1346" s="1" t="s">
        <v>4433</v>
      </c>
      <c r="C1346" s="1" t="s">
        <v>35</v>
      </c>
      <c r="D1346" s="1" t="s">
        <v>152</v>
      </c>
      <c r="E1346" s="1">
        <v>1085</v>
      </c>
      <c r="F1346" s="1" t="s">
        <v>4435</v>
      </c>
      <c r="G1346" s="1" t="s">
        <v>4424</v>
      </c>
      <c r="H1346" s="1" t="s">
        <v>16</v>
      </c>
      <c r="I1346" s="1" t="s">
        <v>29</v>
      </c>
      <c r="J1346" s="1" t="s">
        <v>4436</v>
      </c>
      <c r="K1346" s="1" t="b">
        <v>0</v>
      </c>
      <c r="L1346" s="1" t="s">
        <v>22</v>
      </c>
      <c r="M1346" s="1" t="s">
        <v>16</v>
      </c>
      <c r="N1346" s="1" t="s">
        <v>16</v>
      </c>
      <c r="O1346" s="1" t="s">
        <v>9956</v>
      </c>
      <c r="P1346" s="1" t="s">
        <v>16</v>
      </c>
      <c r="Q1346" s="1">
        <v>100</v>
      </c>
      <c r="R1346" s="1">
        <v>1500</v>
      </c>
      <c r="S1346" s="1">
        <v>1500</v>
      </c>
    </row>
    <row r="1347" spans="1:19" ht="12.5" x14ac:dyDescent="0.25">
      <c r="A1347" s="1">
        <v>1326</v>
      </c>
      <c r="B1347" s="1" t="s">
        <v>4437</v>
      </c>
      <c r="C1347" s="1" t="s">
        <v>35</v>
      </c>
      <c r="D1347" s="1" t="s">
        <v>152</v>
      </c>
      <c r="E1347" s="1">
        <v>1086</v>
      </c>
      <c r="F1347" s="1" t="s">
        <v>4439</v>
      </c>
      <c r="G1347" s="1" t="s">
        <v>4424</v>
      </c>
      <c r="H1347" s="1" t="s">
        <v>16</v>
      </c>
      <c r="I1347" s="1" t="s">
        <v>29</v>
      </c>
      <c r="J1347" s="1" t="s">
        <v>16</v>
      </c>
      <c r="K1347" s="1" t="b">
        <v>0</v>
      </c>
      <c r="L1347" s="1" t="s">
        <v>22</v>
      </c>
      <c r="M1347" s="1" t="s">
        <v>16</v>
      </c>
      <c r="N1347" s="1" t="s">
        <v>16</v>
      </c>
      <c r="O1347" s="1" t="s">
        <v>9956</v>
      </c>
      <c r="P1347" s="1" t="s">
        <v>16</v>
      </c>
      <c r="Q1347" s="1">
        <v>100</v>
      </c>
      <c r="R1347" s="1">
        <v>1500</v>
      </c>
      <c r="S1347" s="1">
        <v>1500</v>
      </c>
    </row>
    <row r="1348" spans="1:19" ht="12.5" x14ac:dyDescent="0.25">
      <c r="A1348" s="1">
        <v>1327</v>
      </c>
      <c r="B1348" s="1" t="s">
        <v>4440</v>
      </c>
      <c r="C1348" s="1" t="s">
        <v>35</v>
      </c>
      <c r="D1348" s="1" t="s">
        <v>152</v>
      </c>
      <c r="E1348" s="1">
        <v>1087</v>
      </c>
      <c r="F1348" s="1" t="s">
        <v>4442</v>
      </c>
      <c r="G1348" s="1" t="s">
        <v>4424</v>
      </c>
      <c r="H1348" s="1" t="s">
        <v>16</v>
      </c>
      <c r="I1348" s="1" t="s">
        <v>29</v>
      </c>
      <c r="J1348" s="1" t="s">
        <v>4443</v>
      </c>
      <c r="K1348" s="1" t="b">
        <v>0</v>
      </c>
      <c r="L1348" s="1" t="s">
        <v>22</v>
      </c>
      <c r="M1348" s="1" t="s">
        <v>16</v>
      </c>
      <c r="N1348" s="1" t="s">
        <v>16</v>
      </c>
      <c r="O1348" s="1" t="s">
        <v>9956</v>
      </c>
      <c r="P1348" s="1" t="s">
        <v>16</v>
      </c>
      <c r="Q1348" s="1">
        <v>100</v>
      </c>
      <c r="R1348" s="1">
        <v>1500</v>
      </c>
      <c r="S1348" s="1">
        <v>1500</v>
      </c>
    </row>
    <row r="1349" spans="1:19" ht="12.5" x14ac:dyDescent="0.25">
      <c r="A1349" s="1">
        <v>1328</v>
      </c>
      <c r="B1349" s="1" t="s">
        <v>4444</v>
      </c>
      <c r="C1349" s="1" t="s">
        <v>35</v>
      </c>
      <c r="D1349" s="1" t="s">
        <v>152</v>
      </c>
      <c r="E1349" s="1">
        <v>1088</v>
      </c>
      <c r="F1349" s="1" t="s">
        <v>4446</v>
      </c>
      <c r="G1349" s="1" t="s">
        <v>4447</v>
      </c>
      <c r="H1349" s="1" t="s">
        <v>16</v>
      </c>
      <c r="I1349" s="1" t="s">
        <v>29</v>
      </c>
      <c r="J1349" s="1" t="s">
        <v>4448</v>
      </c>
      <c r="K1349" s="1" t="b">
        <v>0</v>
      </c>
      <c r="L1349" s="1" t="s">
        <v>22</v>
      </c>
      <c r="M1349" s="1" t="s">
        <v>16</v>
      </c>
      <c r="N1349" s="1" t="s">
        <v>16</v>
      </c>
      <c r="O1349" s="1" t="s">
        <v>9956</v>
      </c>
      <c r="P1349" s="1" t="s">
        <v>16</v>
      </c>
      <c r="Q1349" s="1">
        <v>100</v>
      </c>
      <c r="R1349" s="1">
        <v>7500</v>
      </c>
      <c r="S1349" s="1">
        <v>7500</v>
      </c>
    </row>
    <row r="1350" spans="1:19" ht="12.5" x14ac:dyDescent="0.25">
      <c r="A1350" s="1">
        <v>1331</v>
      </c>
      <c r="B1350" s="1" t="s">
        <v>4449</v>
      </c>
      <c r="C1350" s="1" t="s">
        <v>35</v>
      </c>
      <c r="D1350" s="1" t="s">
        <v>152</v>
      </c>
      <c r="E1350" s="1">
        <v>1089</v>
      </c>
      <c r="F1350" s="1" t="s">
        <v>4451</v>
      </c>
      <c r="G1350" s="1" t="s">
        <v>4452</v>
      </c>
      <c r="H1350" s="1" t="s">
        <v>16</v>
      </c>
      <c r="I1350" s="1" t="s">
        <v>29</v>
      </c>
      <c r="J1350" s="1" t="s">
        <v>4453</v>
      </c>
      <c r="K1350" s="1" t="b">
        <v>0</v>
      </c>
      <c r="L1350" s="1" t="s">
        <v>22</v>
      </c>
      <c r="M1350" s="1" t="s">
        <v>16</v>
      </c>
      <c r="N1350" s="1" t="s">
        <v>16</v>
      </c>
      <c r="O1350" s="1" t="s">
        <v>9956</v>
      </c>
      <c r="P1350" s="1" t="s">
        <v>16</v>
      </c>
      <c r="Q1350" s="1">
        <v>100</v>
      </c>
      <c r="R1350" s="1">
        <v>100000</v>
      </c>
      <c r="S1350" s="1">
        <v>100000</v>
      </c>
    </row>
    <row r="1351" spans="1:19" ht="12.5" x14ac:dyDescent="0.25">
      <c r="A1351" s="1">
        <v>1333</v>
      </c>
      <c r="B1351" s="1" t="s">
        <v>4454</v>
      </c>
      <c r="C1351" s="1" t="s">
        <v>35</v>
      </c>
      <c r="D1351" s="1" t="s">
        <v>152</v>
      </c>
      <c r="E1351" s="1">
        <v>1090</v>
      </c>
      <c r="F1351" s="1" t="s">
        <v>4456</v>
      </c>
      <c r="G1351" s="1" t="s">
        <v>4457</v>
      </c>
      <c r="H1351" s="1" t="s">
        <v>16</v>
      </c>
      <c r="I1351" s="1" t="s">
        <v>29</v>
      </c>
      <c r="J1351" s="1" t="s">
        <v>16</v>
      </c>
      <c r="K1351" s="1" t="b">
        <v>0</v>
      </c>
      <c r="L1351" s="1" t="s">
        <v>22</v>
      </c>
      <c r="M1351" s="1" t="s">
        <v>16</v>
      </c>
      <c r="N1351" s="1" t="s">
        <v>16</v>
      </c>
      <c r="O1351" s="1" t="s">
        <v>9956</v>
      </c>
      <c r="P1351" s="1" t="s">
        <v>16</v>
      </c>
      <c r="Q1351" s="1">
        <v>100</v>
      </c>
      <c r="R1351" s="1">
        <v>2500</v>
      </c>
      <c r="S1351" s="1">
        <v>2500</v>
      </c>
    </row>
    <row r="1352" spans="1:19" ht="12.5" x14ac:dyDescent="0.25">
      <c r="A1352" s="1">
        <v>1335</v>
      </c>
      <c r="B1352" s="1" t="s">
        <v>4458</v>
      </c>
      <c r="C1352" s="1" t="s">
        <v>35</v>
      </c>
      <c r="D1352" s="1" t="s">
        <v>152</v>
      </c>
      <c r="E1352" s="1">
        <v>1091</v>
      </c>
      <c r="F1352" s="1" t="s">
        <v>4460</v>
      </c>
      <c r="G1352" s="1" t="s">
        <v>4461</v>
      </c>
      <c r="H1352" s="1" t="s">
        <v>16</v>
      </c>
      <c r="I1352" s="1" t="s">
        <v>29</v>
      </c>
      <c r="J1352" s="1" t="s">
        <v>16</v>
      </c>
      <c r="K1352" s="1" t="b">
        <v>0</v>
      </c>
      <c r="L1352" s="1" t="s">
        <v>22</v>
      </c>
      <c r="M1352" s="1" t="s">
        <v>16</v>
      </c>
      <c r="N1352" s="1" t="s">
        <v>16</v>
      </c>
      <c r="O1352" s="1" t="s">
        <v>9956</v>
      </c>
      <c r="P1352" s="1" t="s">
        <v>16</v>
      </c>
      <c r="Q1352" s="1">
        <v>100</v>
      </c>
      <c r="R1352" s="1">
        <v>120000</v>
      </c>
      <c r="S1352" s="1">
        <v>120000</v>
      </c>
    </row>
    <row r="1353" spans="1:19" ht="12.5" x14ac:dyDescent="0.25">
      <c r="A1353" s="1">
        <v>1339</v>
      </c>
      <c r="B1353" s="1" t="s">
        <v>4462</v>
      </c>
      <c r="C1353" s="1" t="s">
        <v>35</v>
      </c>
      <c r="D1353" s="1" t="s">
        <v>152</v>
      </c>
      <c r="E1353" s="1">
        <v>1092</v>
      </c>
      <c r="F1353" s="1" t="s">
        <v>4464</v>
      </c>
      <c r="G1353" s="1" t="s">
        <v>4465</v>
      </c>
      <c r="H1353" s="1" t="s">
        <v>4466</v>
      </c>
      <c r="I1353" s="1" t="s">
        <v>29</v>
      </c>
      <c r="J1353" s="1" t="s">
        <v>4467</v>
      </c>
      <c r="K1353" s="1" t="b">
        <v>0</v>
      </c>
      <c r="L1353" s="1" t="s">
        <v>22</v>
      </c>
      <c r="M1353" s="1">
        <v>2023</v>
      </c>
      <c r="N1353" s="1" t="s">
        <v>45</v>
      </c>
      <c r="O1353" s="1" t="s">
        <v>9956</v>
      </c>
      <c r="P1353" s="1" t="s">
        <v>16</v>
      </c>
      <c r="Q1353" s="1">
        <v>100</v>
      </c>
      <c r="R1353" s="1">
        <v>40000</v>
      </c>
      <c r="S1353" s="1">
        <v>40000</v>
      </c>
    </row>
    <row r="1354" spans="1:19" ht="12.5" x14ac:dyDescent="0.25">
      <c r="A1354" s="1">
        <v>1341</v>
      </c>
      <c r="B1354" s="1" t="s">
        <v>4468</v>
      </c>
      <c r="C1354" s="1" t="s">
        <v>35</v>
      </c>
      <c r="D1354" s="1" t="s">
        <v>152</v>
      </c>
      <c r="E1354" s="1">
        <v>1093</v>
      </c>
      <c r="F1354" s="1" t="s">
        <v>4470</v>
      </c>
      <c r="G1354" s="1" t="s">
        <v>4471</v>
      </c>
      <c r="H1354" s="1" t="s">
        <v>4472</v>
      </c>
      <c r="I1354" s="1" t="s">
        <v>29</v>
      </c>
      <c r="J1354" s="1" t="s">
        <v>4473</v>
      </c>
      <c r="K1354" s="1" t="b">
        <v>0</v>
      </c>
      <c r="L1354" s="1" t="s">
        <v>22</v>
      </c>
      <c r="M1354" s="1" t="s">
        <v>16</v>
      </c>
      <c r="N1354" s="1" t="s">
        <v>16</v>
      </c>
      <c r="O1354" s="1" t="s">
        <v>9956</v>
      </c>
      <c r="P1354" s="1" t="s">
        <v>9989</v>
      </c>
      <c r="Q1354" s="1">
        <v>100</v>
      </c>
      <c r="R1354" s="1">
        <v>28809</v>
      </c>
      <c r="S1354" s="1">
        <v>28809</v>
      </c>
    </row>
    <row r="1355" spans="1:19" ht="12.5" x14ac:dyDescent="0.25">
      <c r="A1355" s="1">
        <v>1345</v>
      </c>
      <c r="B1355" s="1" t="s">
        <v>4474</v>
      </c>
      <c r="C1355" s="1" t="s">
        <v>35</v>
      </c>
      <c r="D1355" s="1" t="s">
        <v>152</v>
      </c>
      <c r="E1355" s="1">
        <v>1094</v>
      </c>
      <c r="F1355" s="1" t="s">
        <v>4476</v>
      </c>
      <c r="G1355" s="1" t="s">
        <v>4477</v>
      </c>
      <c r="H1355" s="1" t="s">
        <v>16</v>
      </c>
      <c r="I1355" s="1" t="s">
        <v>29</v>
      </c>
      <c r="J1355" s="1" t="s">
        <v>4478</v>
      </c>
      <c r="K1355" s="1" t="b">
        <v>0</v>
      </c>
      <c r="L1355" s="1" t="s">
        <v>22</v>
      </c>
      <c r="M1355" s="1">
        <v>2023</v>
      </c>
      <c r="N1355" s="1" t="s">
        <v>45</v>
      </c>
      <c r="O1355" s="1" t="s">
        <v>9956</v>
      </c>
      <c r="P1355" s="1" t="s">
        <v>16</v>
      </c>
      <c r="Q1355" s="1">
        <v>100</v>
      </c>
      <c r="R1355" s="1">
        <v>20000</v>
      </c>
      <c r="S1355" s="1">
        <v>20000</v>
      </c>
    </row>
    <row r="1356" spans="1:19" ht="12.5" x14ac:dyDescent="0.25">
      <c r="A1356" s="1">
        <v>1346</v>
      </c>
      <c r="B1356" s="1" t="s">
        <v>4479</v>
      </c>
      <c r="C1356" s="1" t="s">
        <v>35</v>
      </c>
      <c r="D1356" s="1" t="s">
        <v>152</v>
      </c>
      <c r="E1356" s="1">
        <v>1095</v>
      </c>
      <c r="F1356" s="1" t="s">
        <v>4481</v>
      </c>
      <c r="G1356" s="1" t="s">
        <v>4482</v>
      </c>
      <c r="H1356" s="1" t="s">
        <v>16</v>
      </c>
      <c r="I1356" s="1" t="s">
        <v>29</v>
      </c>
      <c r="J1356" s="1" t="s">
        <v>4483</v>
      </c>
      <c r="K1356" s="1" t="b">
        <v>0</v>
      </c>
      <c r="L1356" s="1" t="s">
        <v>22</v>
      </c>
      <c r="M1356" s="1" t="s">
        <v>16</v>
      </c>
      <c r="N1356" s="1" t="s">
        <v>16</v>
      </c>
      <c r="O1356" s="1" t="s">
        <v>9956</v>
      </c>
      <c r="P1356" s="1" t="s">
        <v>9989</v>
      </c>
      <c r="Q1356" s="1">
        <v>100</v>
      </c>
      <c r="R1356" s="1">
        <v>111732</v>
      </c>
      <c r="S1356" s="1">
        <v>111732</v>
      </c>
    </row>
    <row r="1357" spans="1:19" ht="12.5" x14ac:dyDescent="0.25">
      <c r="A1357" s="1">
        <v>1349</v>
      </c>
      <c r="B1357" s="1" t="s">
        <v>4484</v>
      </c>
      <c r="C1357" s="1" t="s">
        <v>35</v>
      </c>
      <c r="D1357" s="1" t="s">
        <v>152</v>
      </c>
      <c r="E1357" s="1">
        <v>1096</v>
      </c>
      <c r="F1357" s="1" t="s">
        <v>4486</v>
      </c>
      <c r="G1357" s="1" t="s">
        <v>4487</v>
      </c>
      <c r="H1357" s="1" t="s">
        <v>4488</v>
      </c>
      <c r="I1357" s="1" t="s">
        <v>29</v>
      </c>
      <c r="J1357" s="1" t="s">
        <v>4489</v>
      </c>
      <c r="K1357" s="1" t="b">
        <v>1</v>
      </c>
      <c r="L1357" s="1" t="s">
        <v>31</v>
      </c>
      <c r="M1357" s="1">
        <v>2022</v>
      </c>
      <c r="N1357" s="1" t="s">
        <v>45</v>
      </c>
      <c r="O1357" s="1" t="s">
        <v>9956</v>
      </c>
      <c r="P1357" s="1" t="s">
        <v>16</v>
      </c>
      <c r="Q1357" s="1">
        <v>100</v>
      </c>
      <c r="R1357" s="1">
        <v>7500</v>
      </c>
      <c r="S1357" s="1">
        <v>7500</v>
      </c>
    </row>
    <row r="1358" spans="1:19" ht="12.5" x14ac:dyDescent="0.25">
      <c r="A1358" s="1">
        <v>1350</v>
      </c>
      <c r="B1358" s="1" t="s">
        <v>4490</v>
      </c>
      <c r="C1358" s="1" t="s">
        <v>35</v>
      </c>
      <c r="D1358" s="1" t="s">
        <v>152</v>
      </c>
      <c r="E1358" s="1">
        <v>1097</v>
      </c>
      <c r="F1358" s="1" t="s">
        <v>4492</v>
      </c>
      <c r="G1358" s="1" t="s">
        <v>4493</v>
      </c>
      <c r="H1358" s="1" t="s">
        <v>16</v>
      </c>
      <c r="I1358" s="1" t="s">
        <v>29</v>
      </c>
      <c r="J1358" s="1" t="s">
        <v>4494</v>
      </c>
      <c r="K1358" s="1" t="b">
        <v>1</v>
      </c>
      <c r="L1358" s="1" t="s">
        <v>31</v>
      </c>
      <c r="M1358" s="1">
        <v>2022</v>
      </c>
      <c r="N1358" s="1" t="s">
        <v>45</v>
      </c>
      <c r="O1358" s="1" t="s">
        <v>9956</v>
      </c>
      <c r="P1358" s="1" t="s">
        <v>16</v>
      </c>
      <c r="Q1358" s="1">
        <v>100</v>
      </c>
      <c r="R1358" s="1">
        <v>120000</v>
      </c>
      <c r="S1358" s="1">
        <v>120000</v>
      </c>
    </row>
    <row r="1359" spans="1:19" ht="12.5" x14ac:dyDescent="0.25">
      <c r="A1359" s="1">
        <v>1354</v>
      </c>
      <c r="B1359" s="1" t="s">
        <v>4495</v>
      </c>
      <c r="C1359" s="1" t="s">
        <v>35</v>
      </c>
      <c r="D1359" s="1" t="s">
        <v>152</v>
      </c>
      <c r="E1359" s="1">
        <v>1098</v>
      </c>
      <c r="F1359" s="1" t="s">
        <v>4497</v>
      </c>
      <c r="G1359" s="1" t="s">
        <v>4498</v>
      </c>
      <c r="H1359" s="1" t="s">
        <v>16</v>
      </c>
      <c r="I1359" s="1" t="s">
        <v>29</v>
      </c>
      <c r="J1359" s="1" t="s">
        <v>4499</v>
      </c>
      <c r="K1359" s="1" t="b">
        <v>0</v>
      </c>
      <c r="L1359" s="1" t="s">
        <v>22</v>
      </c>
      <c r="M1359" s="1" t="s">
        <v>16</v>
      </c>
      <c r="N1359" s="1" t="s">
        <v>16</v>
      </c>
      <c r="O1359" s="1" t="s">
        <v>9956</v>
      </c>
      <c r="P1359" s="1" t="s">
        <v>16</v>
      </c>
      <c r="Q1359" s="1">
        <v>100</v>
      </c>
      <c r="R1359" s="1">
        <v>0</v>
      </c>
      <c r="S1359" s="1">
        <v>0</v>
      </c>
    </row>
    <row r="1360" spans="1:19" ht="12.5" x14ac:dyDescent="0.25">
      <c r="A1360" s="1">
        <v>1356</v>
      </c>
      <c r="B1360" s="1" t="s">
        <v>4500</v>
      </c>
      <c r="C1360" s="1" t="s">
        <v>35</v>
      </c>
      <c r="D1360" s="1" t="s">
        <v>152</v>
      </c>
      <c r="E1360" s="1">
        <v>1099</v>
      </c>
      <c r="F1360" s="1" t="s">
        <v>4502</v>
      </c>
      <c r="G1360" s="1" t="s">
        <v>4503</v>
      </c>
      <c r="H1360" s="1" t="s">
        <v>16</v>
      </c>
      <c r="I1360" s="1" t="s">
        <v>29</v>
      </c>
      <c r="J1360" s="1" t="s">
        <v>4504</v>
      </c>
      <c r="K1360" s="1" t="b">
        <v>0</v>
      </c>
      <c r="L1360" s="1" t="s">
        <v>22</v>
      </c>
      <c r="M1360" s="1">
        <v>2021</v>
      </c>
      <c r="N1360" s="1" t="s">
        <v>23</v>
      </c>
      <c r="O1360" s="1" t="s">
        <v>9956</v>
      </c>
      <c r="P1360" s="1" t="s">
        <v>10024</v>
      </c>
      <c r="Q1360" s="1">
        <v>100</v>
      </c>
      <c r="R1360" s="1">
        <v>300000</v>
      </c>
      <c r="S1360" s="1">
        <v>300000</v>
      </c>
    </row>
    <row r="1361" spans="1:19" ht="12.5" x14ac:dyDescent="0.25">
      <c r="A1361" s="1">
        <v>1357</v>
      </c>
      <c r="B1361" s="1" t="s">
        <v>4505</v>
      </c>
      <c r="C1361" s="1" t="s">
        <v>35</v>
      </c>
      <c r="D1361" s="1" t="s">
        <v>152</v>
      </c>
      <c r="E1361" s="1">
        <v>1100</v>
      </c>
      <c r="F1361" s="1" t="s">
        <v>4507</v>
      </c>
      <c r="G1361" s="1" t="s">
        <v>4508</v>
      </c>
      <c r="H1361" s="1" t="s">
        <v>4509</v>
      </c>
      <c r="I1361" s="1" t="s">
        <v>29</v>
      </c>
      <c r="J1361" s="1" t="s">
        <v>4510</v>
      </c>
      <c r="K1361" s="1" t="b">
        <v>1</v>
      </c>
      <c r="L1361" s="1" t="s">
        <v>31</v>
      </c>
      <c r="M1361" s="1">
        <v>2021</v>
      </c>
      <c r="N1361" s="1" t="s">
        <v>23</v>
      </c>
      <c r="O1361" s="1" t="s">
        <v>9956</v>
      </c>
      <c r="P1361" s="1" t="s">
        <v>10025</v>
      </c>
      <c r="Q1361" s="1">
        <v>100</v>
      </c>
      <c r="R1361" s="1">
        <v>11948.74</v>
      </c>
      <c r="S1361" s="1">
        <v>11948.74</v>
      </c>
    </row>
    <row r="1362" spans="1:19" ht="12.5" x14ac:dyDescent="0.25">
      <c r="A1362" s="1">
        <v>1359</v>
      </c>
      <c r="B1362" s="1" t="s">
        <v>4511</v>
      </c>
      <c r="C1362" s="1" t="s">
        <v>35</v>
      </c>
      <c r="D1362" s="1" t="s">
        <v>152</v>
      </c>
      <c r="E1362" s="1">
        <v>1101</v>
      </c>
      <c r="F1362" s="1" t="s">
        <v>4513</v>
      </c>
      <c r="G1362" s="1" t="s">
        <v>4514</v>
      </c>
      <c r="H1362" s="1" t="s">
        <v>4515</v>
      </c>
      <c r="I1362" s="1" t="s">
        <v>29</v>
      </c>
      <c r="J1362" s="1" t="s">
        <v>4516</v>
      </c>
      <c r="K1362" s="1" t="b">
        <v>1</v>
      </c>
      <c r="L1362" s="1" t="s">
        <v>31</v>
      </c>
      <c r="M1362" s="1">
        <v>2021</v>
      </c>
      <c r="N1362" s="1" t="s">
        <v>23</v>
      </c>
      <c r="O1362" s="1" t="s">
        <v>9956</v>
      </c>
      <c r="P1362" s="1" t="s">
        <v>10025</v>
      </c>
      <c r="Q1362" s="1">
        <v>100</v>
      </c>
      <c r="R1362" s="1">
        <v>3454.34</v>
      </c>
      <c r="S1362" s="1">
        <v>3454.34</v>
      </c>
    </row>
    <row r="1363" spans="1:19" ht="12.5" x14ac:dyDescent="0.25">
      <c r="A1363" s="1">
        <v>1360</v>
      </c>
      <c r="B1363" s="1" t="s">
        <v>4517</v>
      </c>
      <c r="C1363" s="1" t="s">
        <v>35</v>
      </c>
      <c r="D1363" s="1" t="s">
        <v>152</v>
      </c>
      <c r="E1363" s="1">
        <v>1102</v>
      </c>
      <c r="F1363" s="1" t="s">
        <v>4519</v>
      </c>
      <c r="G1363" s="1" t="s">
        <v>4514</v>
      </c>
      <c r="H1363" s="1" t="s">
        <v>4515</v>
      </c>
      <c r="I1363" s="1" t="s">
        <v>29</v>
      </c>
      <c r="J1363" s="1" t="s">
        <v>4520</v>
      </c>
      <c r="K1363" s="1" t="b">
        <v>1</v>
      </c>
      <c r="L1363" s="1" t="s">
        <v>31</v>
      </c>
      <c r="M1363" s="1">
        <v>2022</v>
      </c>
      <c r="N1363" s="1" t="s">
        <v>32</v>
      </c>
      <c r="O1363" s="1" t="s">
        <v>9956</v>
      </c>
      <c r="P1363" s="1" t="s">
        <v>10025</v>
      </c>
      <c r="Q1363" s="1">
        <v>100</v>
      </c>
      <c r="R1363" s="1">
        <v>16968.3</v>
      </c>
      <c r="S1363" s="1">
        <v>16968.3</v>
      </c>
    </row>
    <row r="1364" spans="1:19" ht="12.5" x14ac:dyDescent="0.25">
      <c r="A1364" s="1">
        <v>1363</v>
      </c>
      <c r="B1364" s="1" t="s">
        <v>4521</v>
      </c>
      <c r="C1364" s="1" t="s">
        <v>35</v>
      </c>
      <c r="D1364" s="1" t="s">
        <v>152</v>
      </c>
      <c r="E1364" s="1">
        <v>1103</v>
      </c>
      <c r="F1364" s="1" t="s">
        <v>4523</v>
      </c>
      <c r="G1364" s="1" t="s">
        <v>4524</v>
      </c>
      <c r="H1364" s="1" t="s">
        <v>16</v>
      </c>
      <c r="I1364" s="1" t="s">
        <v>20</v>
      </c>
      <c r="J1364" s="1" t="s">
        <v>16</v>
      </c>
      <c r="K1364" s="1" t="b">
        <v>0</v>
      </c>
      <c r="L1364" s="1" t="s">
        <v>22</v>
      </c>
      <c r="M1364" s="1" t="s">
        <v>16</v>
      </c>
      <c r="N1364" s="1" t="s">
        <v>16</v>
      </c>
      <c r="O1364" s="1" t="s">
        <v>9956</v>
      </c>
      <c r="P1364" s="1" t="s">
        <v>16</v>
      </c>
      <c r="Q1364" s="1">
        <v>100</v>
      </c>
      <c r="R1364" s="1">
        <v>0</v>
      </c>
      <c r="S1364" s="1">
        <v>0</v>
      </c>
    </row>
    <row r="1365" spans="1:19" ht="12.5" x14ac:dyDescent="0.25">
      <c r="A1365" s="1">
        <v>1364</v>
      </c>
      <c r="B1365" s="1" t="s">
        <v>4525</v>
      </c>
      <c r="C1365" s="1" t="s">
        <v>35</v>
      </c>
      <c r="D1365" s="1" t="s">
        <v>152</v>
      </c>
      <c r="E1365" s="1">
        <v>1104</v>
      </c>
      <c r="F1365" s="1" t="s">
        <v>4527</v>
      </c>
      <c r="G1365" s="1" t="s">
        <v>4528</v>
      </c>
      <c r="H1365" s="1" t="s">
        <v>16</v>
      </c>
      <c r="I1365" s="1" t="s">
        <v>20</v>
      </c>
      <c r="J1365" s="1" t="s">
        <v>16</v>
      </c>
      <c r="K1365" s="1" t="b">
        <v>0</v>
      </c>
      <c r="L1365" s="1" t="s">
        <v>22</v>
      </c>
      <c r="M1365" s="1" t="s">
        <v>16</v>
      </c>
      <c r="N1365" s="1" t="s">
        <v>16</v>
      </c>
      <c r="O1365" s="1" t="s">
        <v>9956</v>
      </c>
      <c r="P1365" s="1" t="s">
        <v>16</v>
      </c>
      <c r="Q1365" s="1">
        <v>100</v>
      </c>
      <c r="R1365" s="1">
        <v>0</v>
      </c>
      <c r="S1365" s="1">
        <v>0</v>
      </c>
    </row>
    <row r="1366" spans="1:19" ht="12.5" x14ac:dyDescent="0.25">
      <c r="A1366" s="1">
        <v>1365</v>
      </c>
      <c r="B1366" s="1" t="s">
        <v>4529</v>
      </c>
      <c r="C1366" s="1" t="s">
        <v>35</v>
      </c>
      <c r="D1366" s="1" t="s">
        <v>152</v>
      </c>
      <c r="E1366" s="1">
        <v>1105</v>
      </c>
      <c r="F1366" s="1" t="s">
        <v>4531</v>
      </c>
      <c r="G1366" s="1" t="s">
        <v>4532</v>
      </c>
      <c r="H1366" s="1" t="s">
        <v>16</v>
      </c>
      <c r="I1366" s="1" t="s">
        <v>20</v>
      </c>
      <c r="J1366" s="1" t="s">
        <v>16</v>
      </c>
      <c r="K1366" s="1" t="b">
        <v>0</v>
      </c>
      <c r="L1366" s="1" t="s">
        <v>22</v>
      </c>
      <c r="M1366" s="1" t="s">
        <v>16</v>
      </c>
      <c r="N1366" s="1" t="s">
        <v>16</v>
      </c>
      <c r="O1366" s="1" t="s">
        <v>9956</v>
      </c>
      <c r="P1366" s="1" t="s">
        <v>16</v>
      </c>
      <c r="Q1366" s="1">
        <v>100</v>
      </c>
      <c r="R1366" s="1">
        <v>0</v>
      </c>
      <c r="S1366" s="1">
        <v>0</v>
      </c>
    </row>
    <row r="1367" spans="1:19" ht="12.5" x14ac:dyDescent="0.25">
      <c r="A1367" s="1">
        <v>1366</v>
      </c>
      <c r="B1367" s="1" t="s">
        <v>4533</v>
      </c>
      <c r="C1367" s="1" t="s">
        <v>35</v>
      </c>
      <c r="D1367" s="1" t="s">
        <v>152</v>
      </c>
      <c r="E1367" s="1">
        <v>1106</v>
      </c>
      <c r="F1367" s="1" t="s">
        <v>4534</v>
      </c>
      <c r="G1367" s="1" t="s">
        <v>4535</v>
      </c>
      <c r="H1367" s="1" t="s">
        <v>16</v>
      </c>
      <c r="I1367" s="1" t="s">
        <v>29</v>
      </c>
      <c r="J1367" s="1" t="s">
        <v>4536</v>
      </c>
      <c r="K1367" s="1" t="b">
        <v>0</v>
      </c>
      <c r="L1367" s="1" t="s">
        <v>22</v>
      </c>
      <c r="M1367" s="1">
        <v>2021</v>
      </c>
      <c r="N1367" s="1" t="s">
        <v>52</v>
      </c>
      <c r="O1367" s="1" t="s">
        <v>9956</v>
      </c>
      <c r="P1367" s="1" t="s">
        <v>10026</v>
      </c>
      <c r="Q1367" s="1">
        <v>100</v>
      </c>
      <c r="R1367" s="1">
        <v>36000</v>
      </c>
      <c r="S1367" s="1">
        <v>36000</v>
      </c>
    </row>
    <row r="1368" spans="1:19" ht="12.5" x14ac:dyDescent="0.25">
      <c r="A1368" s="1">
        <v>1367</v>
      </c>
      <c r="B1368" s="1" t="s">
        <v>4537</v>
      </c>
      <c r="C1368" s="1" t="s">
        <v>35</v>
      </c>
      <c r="D1368" s="1" t="s">
        <v>152</v>
      </c>
      <c r="E1368" s="1">
        <v>1107</v>
      </c>
      <c r="F1368" s="1" t="s">
        <v>4539</v>
      </c>
      <c r="G1368" s="1" t="s">
        <v>4540</v>
      </c>
      <c r="H1368" s="1" t="s">
        <v>16</v>
      </c>
      <c r="I1368" s="1" t="s">
        <v>29</v>
      </c>
      <c r="J1368" s="1" t="s">
        <v>4541</v>
      </c>
      <c r="K1368" s="1" t="b">
        <v>0</v>
      </c>
      <c r="L1368" s="1" t="s">
        <v>22</v>
      </c>
      <c r="M1368" s="1">
        <v>2022</v>
      </c>
      <c r="N1368" s="1" t="s">
        <v>45</v>
      </c>
      <c r="O1368" s="1" t="s">
        <v>9940</v>
      </c>
      <c r="P1368" s="1" t="s">
        <v>16</v>
      </c>
      <c r="Q1368" s="1">
        <v>100</v>
      </c>
      <c r="R1368" s="1">
        <v>35000</v>
      </c>
      <c r="S1368" s="1">
        <v>35000</v>
      </c>
    </row>
    <row r="1369" spans="1:19" ht="12.5" x14ac:dyDescent="0.25">
      <c r="A1369" s="1">
        <v>1368</v>
      </c>
      <c r="B1369" s="1" t="s">
        <v>4542</v>
      </c>
      <c r="C1369" s="1" t="s">
        <v>35</v>
      </c>
      <c r="D1369" s="1" t="s">
        <v>152</v>
      </c>
      <c r="E1369" s="1">
        <v>1108</v>
      </c>
      <c r="F1369" s="1" t="s">
        <v>4544</v>
      </c>
      <c r="G1369" s="1" t="s">
        <v>4545</v>
      </c>
      <c r="H1369" s="1" t="s">
        <v>16</v>
      </c>
      <c r="I1369" s="1" t="s">
        <v>29</v>
      </c>
      <c r="J1369" s="1" t="s">
        <v>16</v>
      </c>
      <c r="K1369" s="1" t="b">
        <v>0</v>
      </c>
      <c r="L1369" s="1" t="s">
        <v>22</v>
      </c>
      <c r="M1369" s="1" t="s">
        <v>16</v>
      </c>
      <c r="N1369" s="1" t="s">
        <v>16</v>
      </c>
      <c r="O1369" s="1" t="s">
        <v>9956</v>
      </c>
      <c r="P1369" s="1" t="s">
        <v>16</v>
      </c>
      <c r="Q1369" s="1">
        <v>100</v>
      </c>
      <c r="R1369" s="1">
        <v>0</v>
      </c>
      <c r="S1369" s="1">
        <v>0</v>
      </c>
    </row>
    <row r="1370" spans="1:19" ht="12.5" x14ac:dyDescent="0.25">
      <c r="A1370" s="1">
        <v>1369</v>
      </c>
      <c r="B1370" s="1" t="s">
        <v>4546</v>
      </c>
      <c r="C1370" s="1" t="s">
        <v>35</v>
      </c>
      <c r="D1370" s="1" t="s">
        <v>152</v>
      </c>
      <c r="E1370" s="1">
        <v>1109</v>
      </c>
      <c r="F1370" s="1" t="s">
        <v>4548</v>
      </c>
      <c r="G1370" s="1" t="s">
        <v>4549</v>
      </c>
      <c r="H1370" s="1" t="s">
        <v>16</v>
      </c>
      <c r="I1370" s="1" t="s">
        <v>29</v>
      </c>
      <c r="J1370" s="1" t="s">
        <v>4550</v>
      </c>
      <c r="K1370" s="1" t="b">
        <v>0</v>
      </c>
      <c r="L1370" s="1" t="s">
        <v>22</v>
      </c>
      <c r="M1370" s="1">
        <v>2022</v>
      </c>
      <c r="N1370" s="1" t="s">
        <v>45</v>
      </c>
      <c r="O1370" s="1" t="s">
        <v>9940</v>
      </c>
      <c r="P1370" s="1" t="s">
        <v>3094</v>
      </c>
      <c r="Q1370" s="1">
        <v>100</v>
      </c>
      <c r="R1370" s="1">
        <v>50000</v>
      </c>
      <c r="S1370" s="1">
        <v>50000</v>
      </c>
    </row>
    <row r="1371" spans="1:19" ht="12.5" x14ac:dyDescent="0.25">
      <c r="A1371" s="1">
        <v>1370</v>
      </c>
      <c r="B1371" s="1" t="s">
        <v>4551</v>
      </c>
      <c r="C1371" s="1" t="s">
        <v>35</v>
      </c>
      <c r="D1371" s="1" t="s">
        <v>152</v>
      </c>
      <c r="E1371" s="1">
        <v>1110</v>
      </c>
      <c r="F1371" s="1" t="s">
        <v>4553</v>
      </c>
      <c r="G1371" s="1" t="s">
        <v>4554</v>
      </c>
      <c r="H1371" s="1" t="s">
        <v>16</v>
      </c>
      <c r="I1371" s="1" t="s">
        <v>29</v>
      </c>
      <c r="J1371" s="1" t="s">
        <v>4555</v>
      </c>
      <c r="K1371" s="1" t="b">
        <v>0</v>
      </c>
      <c r="L1371" s="1" t="s">
        <v>22</v>
      </c>
      <c r="M1371" s="1" t="s">
        <v>16</v>
      </c>
      <c r="N1371" s="1" t="s">
        <v>16</v>
      </c>
      <c r="O1371" s="1" t="s">
        <v>9956</v>
      </c>
      <c r="P1371" s="1" t="s">
        <v>16</v>
      </c>
      <c r="Q1371" s="1">
        <v>100</v>
      </c>
      <c r="R1371" s="1">
        <v>7500</v>
      </c>
      <c r="S1371" s="1">
        <v>7500</v>
      </c>
    </row>
    <row r="1372" spans="1:19" ht="12.5" x14ac:dyDescent="0.25">
      <c r="A1372" s="1">
        <v>1371</v>
      </c>
      <c r="B1372" s="1" t="s">
        <v>4556</v>
      </c>
      <c r="C1372" s="1" t="s">
        <v>35</v>
      </c>
      <c r="D1372" s="1" t="s">
        <v>152</v>
      </c>
      <c r="E1372" s="1">
        <v>1111</v>
      </c>
      <c r="F1372" s="1" t="s">
        <v>4558</v>
      </c>
      <c r="G1372" s="1" t="s">
        <v>4559</v>
      </c>
      <c r="H1372" s="1" t="s">
        <v>16</v>
      </c>
      <c r="I1372" s="1" t="s">
        <v>20</v>
      </c>
      <c r="J1372" s="1" t="s">
        <v>4560</v>
      </c>
      <c r="K1372" s="1" t="b">
        <v>0</v>
      </c>
      <c r="L1372" s="1" t="s">
        <v>22</v>
      </c>
      <c r="M1372" s="1" t="s">
        <v>16</v>
      </c>
      <c r="N1372" s="1" t="s">
        <v>16</v>
      </c>
      <c r="O1372" s="1" t="s">
        <v>9956</v>
      </c>
      <c r="P1372" s="1" t="s">
        <v>16</v>
      </c>
      <c r="Q1372" s="1">
        <v>100</v>
      </c>
      <c r="R1372" s="1">
        <v>0</v>
      </c>
      <c r="S1372" s="1">
        <v>0</v>
      </c>
    </row>
    <row r="1373" spans="1:19" ht="12.5" x14ac:dyDescent="0.25">
      <c r="A1373" s="1">
        <v>1372</v>
      </c>
      <c r="B1373" s="1" t="s">
        <v>4561</v>
      </c>
      <c r="C1373" s="1" t="s">
        <v>35</v>
      </c>
      <c r="D1373" s="1" t="s">
        <v>152</v>
      </c>
      <c r="E1373" s="1">
        <v>1112</v>
      </c>
      <c r="F1373" s="1" t="s">
        <v>4563</v>
      </c>
      <c r="G1373" s="1" t="s">
        <v>4564</v>
      </c>
      <c r="H1373" s="1" t="s">
        <v>16</v>
      </c>
      <c r="I1373" s="1" t="s">
        <v>29</v>
      </c>
      <c r="J1373" s="1" t="s">
        <v>4565</v>
      </c>
      <c r="K1373" s="1" t="b">
        <v>0</v>
      </c>
      <c r="L1373" s="1" t="s">
        <v>22</v>
      </c>
      <c r="M1373" s="1" t="s">
        <v>16</v>
      </c>
      <c r="N1373" s="1" t="s">
        <v>16</v>
      </c>
      <c r="O1373" s="1" t="s">
        <v>9956</v>
      </c>
      <c r="P1373" s="1" t="s">
        <v>16</v>
      </c>
      <c r="Q1373" s="1">
        <v>100</v>
      </c>
      <c r="R1373" s="1">
        <v>35000</v>
      </c>
      <c r="S1373" s="1">
        <v>35000</v>
      </c>
    </row>
    <row r="1374" spans="1:19" ht="12.5" x14ac:dyDescent="0.25">
      <c r="A1374" s="1">
        <v>1373</v>
      </c>
      <c r="B1374" s="1" t="s">
        <v>4566</v>
      </c>
      <c r="C1374" s="1" t="s">
        <v>35</v>
      </c>
      <c r="D1374" s="1" t="s">
        <v>152</v>
      </c>
      <c r="E1374" s="1">
        <v>1113</v>
      </c>
      <c r="F1374" s="1" t="s">
        <v>4568</v>
      </c>
      <c r="G1374" s="1" t="s">
        <v>4569</v>
      </c>
      <c r="H1374" s="1" t="s">
        <v>16</v>
      </c>
      <c r="I1374" s="1" t="s">
        <v>20</v>
      </c>
      <c r="J1374" s="1" t="s">
        <v>16</v>
      </c>
      <c r="K1374" s="1" t="b">
        <v>0</v>
      </c>
      <c r="L1374" s="1" t="s">
        <v>22</v>
      </c>
      <c r="M1374" s="1" t="s">
        <v>16</v>
      </c>
      <c r="N1374" s="1" t="s">
        <v>16</v>
      </c>
      <c r="O1374" s="1" t="s">
        <v>9956</v>
      </c>
      <c r="P1374" s="1" t="s">
        <v>16</v>
      </c>
      <c r="Q1374" s="1">
        <v>100</v>
      </c>
      <c r="R1374" s="1">
        <v>0</v>
      </c>
      <c r="S1374" s="1">
        <v>0</v>
      </c>
    </row>
    <row r="1375" spans="1:19" ht="12.5" x14ac:dyDescent="0.25">
      <c r="A1375" s="1">
        <v>1374</v>
      </c>
      <c r="B1375" s="1" t="s">
        <v>4570</v>
      </c>
      <c r="C1375" s="1" t="s">
        <v>35</v>
      </c>
      <c r="D1375" s="1" t="s">
        <v>152</v>
      </c>
      <c r="E1375" s="1">
        <v>1114</v>
      </c>
      <c r="F1375" s="1" t="s">
        <v>4572</v>
      </c>
      <c r="G1375" s="1" t="s">
        <v>4573</v>
      </c>
      <c r="H1375" s="1" t="s">
        <v>16</v>
      </c>
      <c r="I1375" s="1" t="s">
        <v>29</v>
      </c>
      <c r="J1375" s="1" t="s">
        <v>4574</v>
      </c>
      <c r="K1375" s="1" t="b">
        <v>0</v>
      </c>
      <c r="L1375" s="1" t="s">
        <v>22</v>
      </c>
      <c r="M1375" s="1" t="s">
        <v>16</v>
      </c>
      <c r="N1375" s="1" t="s">
        <v>16</v>
      </c>
      <c r="O1375" s="1" t="s">
        <v>9956</v>
      </c>
      <c r="P1375" s="1" t="s">
        <v>16</v>
      </c>
      <c r="Q1375" s="1">
        <v>100</v>
      </c>
      <c r="R1375" s="1">
        <v>0</v>
      </c>
      <c r="S1375" s="1">
        <v>0</v>
      </c>
    </row>
    <row r="1376" spans="1:19" ht="12.5" x14ac:dyDescent="0.25">
      <c r="A1376" s="1">
        <v>1375</v>
      </c>
      <c r="B1376" s="1" t="s">
        <v>4575</v>
      </c>
      <c r="C1376" s="1" t="s">
        <v>35</v>
      </c>
      <c r="D1376" s="1" t="s">
        <v>152</v>
      </c>
      <c r="E1376" s="1">
        <v>1115</v>
      </c>
      <c r="F1376" s="1" t="s">
        <v>4577</v>
      </c>
      <c r="G1376" s="1" t="s">
        <v>4578</v>
      </c>
      <c r="H1376" s="1" t="s">
        <v>16</v>
      </c>
      <c r="I1376" s="1" t="s">
        <v>29</v>
      </c>
      <c r="J1376" s="1" t="s">
        <v>16</v>
      </c>
      <c r="K1376" s="1" t="b">
        <v>0</v>
      </c>
      <c r="L1376" s="1" t="s">
        <v>22</v>
      </c>
      <c r="M1376" s="1">
        <v>2023</v>
      </c>
      <c r="N1376" s="1" t="s">
        <v>32</v>
      </c>
      <c r="O1376" s="1" t="s">
        <v>9956</v>
      </c>
      <c r="P1376" s="1" t="s">
        <v>16</v>
      </c>
      <c r="Q1376" s="1">
        <v>100</v>
      </c>
      <c r="R1376" s="1">
        <v>15000</v>
      </c>
      <c r="S1376" s="1">
        <v>15000</v>
      </c>
    </row>
    <row r="1377" spans="1:19" ht="12.5" x14ac:dyDescent="0.25">
      <c r="A1377" s="1">
        <v>1379</v>
      </c>
      <c r="B1377" s="1" t="s">
        <v>720</v>
      </c>
      <c r="C1377" s="1" t="s">
        <v>35</v>
      </c>
      <c r="D1377" s="1" t="s">
        <v>152</v>
      </c>
      <c r="E1377" s="1">
        <v>1116</v>
      </c>
      <c r="F1377" s="1" t="s">
        <v>4579</v>
      </c>
      <c r="G1377" s="1" t="s">
        <v>4580</v>
      </c>
      <c r="H1377" s="1" t="s">
        <v>16</v>
      </c>
      <c r="I1377" s="1" t="s">
        <v>20</v>
      </c>
      <c r="J1377" s="1" t="s">
        <v>16</v>
      </c>
      <c r="K1377" s="1" t="b">
        <v>0</v>
      </c>
      <c r="L1377" s="1" t="s">
        <v>22</v>
      </c>
      <c r="M1377" s="1" t="s">
        <v>16</v>
      </c>
      <c r="N1377" s="1" t="s">
        <v>16</v>
      </c>
      <c r="O1377" s="1" t="s">
        <v>9956</v>
      </c>
      <c r="P1377" s="1" t="s">
        <v>16</v>
      </c>
      <c r="Q1377" s="1">
        <v>100</v>
      </c>
      <c r="R1377" s="1">
        <v>0</v>
      </c>
      <c r="S1377" s="1">
        <v>0</v>
      </c>
    </row>
    <row r="1378" spans="1:19" ht="12.5" x14ac:dyDescent="0.25">
      <c r="A1378" s="1">
        <v>1380</v>
      </c>
      <c r="B1378" s="1" t="s">
        <v>240</v>
      </c>
      <c r="C1378" s="1" t="s">
        <v>35</v>
      </c>
      <c r="D1378" s="1" t="s">
        <v>152</v>
      </c>
      <c r="E1378" s="1">
        <v>1117</v>
      </c>
      <c r="F1378" s="1" t="s">
        <v>4581</v>
      </c>
      <c r="G1378" s="1" t="s">
        <v>4582</v>
      </c>
      <c r="H1378" s="1" t="s">
        <v>16</v>
      </c>
      <c r="I1378" s="1" t="s">
        <v>20</v>
      </c>
      <c r="J1378" s="1" t="s">
        <v>4583</v>
      </c>
      <c r="K1378" s="1" t="b">
        <v>0</v>
      </c>
      <c r="L1378" s="1" t="s">
        <v>22</v>
      </c>
      <c r="M1378" s="1" t="s">
        <v>16</v>
      </c>
      <c r="N1378" s="1" t="s">
        <v>16</v>
      </c>
      <c r="O1378" s="1" t="s">
        <v>9956</v>
      </c>
      <c r="P1378" s="1" t="s">
        <v>16</v>
      </c>
      <c r="Q1378" s="1">
        <v>100</v>
      </c>
      <c r="R1378" s="1">
        <v>0</v>
      </c>
      <c r="S1378" s="1">
        <v>0</v>
      </c>
    </row>
    <row r="1379" spans="1:19" ht="12.5" x14ac:dyDescent="0.25">
      <c r="A1379" s="1">
        <v>1381</v>
      </c>
      <c r="B1379" s="1" t="s">
        <v>4584</v>
      </c>
      <c r="C1379" s="1" t="s">
        <v>35</v>
      </c>
      <c r="D1379" s="1" t="s">
        <v>152</v>
      </c>
      <c r="E1379" s="1">
        <v>1118</v>
      </c>
      <c r="F1379" s="1" t="s">
        <v>4586</v>
      </c>
      <c r="G1379" s="1" t="s">
        <v>3528</v>
      </c>
      <c r="H1379" s="1" t="s">
        <v>16</v>
      </c>
      <c r="I1379" s="1" t="s">
        <v>29</v>
      </c>
      <c r="J1379" s="1" t="s">
        <v>4587</v>
      </c>
      <c r="K1379" s="1" t="b">
        <v>0</v>
      </c>
      <c r="L1379" s="1" t="s">
        <v>22</v>
      </c>
      <c r="M1379" s="1">
        <v>2022</v>
      </c>
      <c r="N1379" s="1" t="s">
        <v>16</v>
      </c>
      <c r="O1379" s="1" t="s">
        <v>9956</v>
      </c>
      <c r="P1379" s="1" t="s">
        <v>16</v>
      </c>
      <c r="Q1379" s="1">
        <v>100</v>
      </c>
      <c r="R1379" s="1">
        <v>75000</v>
      </c>
      <c r="S1379" s="1">
        <v>75000</v>
      </c>
    </row>
    <row r="1380" spans="1:19" ht="12.5" x14ac:dyDescent="0.25">
      <c r="A1380" s="1">
        <v>1382</v>
      </c>
      <c r="B1380" s="1" t="s">
        <v>4588</v>
      </c>
      <c r="C1380" s="1" t="s">
        <v>35</v>
      </c>
      <c r="D1380" s="1" t="s">
        <v>152</v>
      </c>
      <c r="E1380" s="1">
        <v>1119</v>
      </c>
      <c r="F1380" s="1" t="s">
        <v>4590</v>
      </c>
      <c r="G1380" s="1" t="s">
        <v>4591</v>
      </c>
      <c r="H1380" s="1" t="s">
        <v>4592</v>
      </c>
      <c r="I1380" s="1" t="s">
        <v>29</v>
      </c>
      <c r="J1380" s="1" t="s">
        <v>4593</v>
      </c>
      <c r="K1380" s="1" t="b">
        <v>1</v>
      </c>
      <c r="L1380" s="1" t="s">
        <v>31</v>
      </c>
      <c r="M1380" s="1">
        <v>2021</v>
      </c>
      <c r="N1380" s="1" t="s">
        <v>23</v>
      </c>
      <c r="O1380" s="1" t="s">
        <v>9956</v>
      </c>
      <c r="P1380" s="1" t="s">
        <v>16</v>
      </c>
      <c r="Q1380" s="1">
        <v>100</v>
      </c>
      <c r="R1380" s="1">
        <v>1580</v>
      </c>
      <c r="S1380" s="1">
        <v>1580</v>
      </c>
    </row>
    <row r="1381" spans="1:19" ht="12.5" x14ac:dyDescent="0.25">
      <c r="A1381" s="1">
        <v>1383</v>
      </c>
      <c r="B1381" s="1" t="s">
        <v>4594</v>
      </c>
      <c r="C1381" s="1" t="s">
        <v>35</v>
      </c>
      <c r="D1381" s="1" t="s">
        <v>152</v>
      </c>
      <c r="E1381" s="1">
        <v>1120</v>
      </c>
      <c r="F1381" s="1" t="s">
        <v>4596</v>
      </c>
      <c r="G1381" s="1" t="s">
        <v>4597</v>
      </c>
      <c r="H1381" s="1" t="s">
        <v>16</v>
      </c>
      <c r="I1381" s="1" t="s">
        <v>29</v>
      </c>
      <c r="J1381" s="1" t="s">
        <v>4598</v>
      </c>
      <c r="K1381" s="1" t="b">
        <v>1</v>
      </c>
      <c r="L1381" s="1" t="s">
        <v>31</v>
      </c>
      <c r="M1381" s="1" t="s">
        <v>16</v>
      </c>
      <c r="N1381" s="1" t="s">
        <v>16</v>
      </c>
      <c r="O1381" s="1" t="s">
        <v>9956</v>
      </c>
      <c r="P1381" s="1" t="s">
        <v>16</v>
      </c>
      <c r="Q1381" s="1">
        <v>100</v>
      </c>
      <c r="R1381" s="1">
        <v>50000</v>
      </c>
      <c r="S1381" s="1">
        <v>50000</v>
      </c>
    </row>
    <row r="1382" spans="1:19" ht="12.5" x14ac:dyDescent="0.25">
      <c r="A1382" s="1">
        <v>1384</v>
      </c>
      <c r="B1382" s="1" t="s">
        <v>4599</v>
      </c>
      <c r="C1382" s="1" t="s">
        <v>35</v>
      </c>
      <c r="D1382" s="1" t="s">
        <v>152</v>
      </c>
      <c r="E1382" s="1">
        <v>1121</v>
      </c>
      <c r="F1382" s="1" t="s">
        <v>4601</v>
      </c>
      <c r="G1382" s="1" t="s">
        <v>3371</v>
      </c>
      <c r="H1382" s="1" t="s">
        <v>16</v>
      </c>
      <c r="I1382" s="1" t="s">
        <v>29</v>
      </c>
      <c r="J1382" s="1" t="s">
        <v>4602</v>
      </c>
      <c r="K1382" s="1" t="b">
        <v>1</v>
      </c>
      <c r="L1382" s="1" t="s">
        <v>31</v>
      </c>
      <c r="M1382" s="1" t="s">
        <v>16</v>
      </c>
      <c r="N1382" s="1" t="s">
        <v>16</v>
      </c>
      <c r="O1382" s="1" t="s">
        <v>9956</v>
      </c>
      <c r="P1382" s="1" t="s">
        <v>16</v>
      </c>
      <c r="Q1382" s="1">
        <v>100</v>
      </c>
      <c r="R1382" s="1">
        <v>458</v>
      </c>
      <c r="S1382" s="1">
        <v>458</v>
      </c>
    </row>
    <row r="1383" spans="1:19" ht="12.5" x14ac:dyDescent="0.25">
      <c r="A1383" s="1">
        <v>1386</v>
      </c>
      <c r="B1383" s="1" t="s">
        <v>4603</v>
      </c>
      <c r="C1383" s="1" t="s">
        <v>35</v>
      </c>
      <c r="D1383" s="1" t="s">
        <v>152</v>
      </c>
      <c r="E1383" s="1">
        <v>1122</v>
      </c>
      <c r="F1383" s="1" t="s">
        <v>4605</v>
      </c>
      <c r="G1383" s="1" t="s">
        <v>4606</v>
      </c>
      <c r="H1383" s="1" t="s">
        <v>16</v>
      </c>
      <c r="I1383" s="1" t="s">
        <v>29</v>
      </c>
      <c r="J1383" s="1" t="s">
        <v>4607</v>
      </c>
      <c r="K1383" s="1" t="b">
        <v>0</v>
      </c>
      <c r="L1383" s="1" t="s">
        <v>22</v>
      </c>
      <c r="M1383" s="1" t="s">
        <v>16</v>
      </c>
      <c r="N1383" s="1" t="s">
        <v>16</v>
      </c>
      <c r="O1383" s="1" t="s">
        <v>16</v>
      </c>
      <c r="P1383" s="1" t="s">
        <v>16</v>
      </c>
      <c r="Q1383" s="1">
        <v>100</v>
      </c>
    </row>
    <row r="1384" spans="1:19" ht="12.5" x14ac:dyDescent="0.25">
      <c r="A1384" s="1">
        <v>1387</v>
      </c>
      <c r="B1384" s="1" t="s">
        <v>4608</v>
      </c>
      <c r="C1384" s="1" t="s">
        <v>35</v>
      </c>
      <c r="D1384" s="1" t="s">
        <v>152</v>
      </c>
      <c r="E1384" s="1">
        <v>1123</v>
      </c>
      <c r="F1384" s="1" t="s">
        <v>4610</v>
      </c>
      <c r="G1384" s="1" t="s">
        <v>4611</v>
      </c>
      <c r="H1384" s="1" t="s">
        <v>4612</v>
      </c>
      <c r="I1384" s="1" t="s">
        <v>29</v>
      </c>
      <c r="J1384" s="1" t="s">
        <v>16</v>
      </c>
      <c r="K1384" s="1" t="b">
        <v>0</v>
      </c>
      <c r="L1384" s="1" t="s">
        <v>22</v>
      </c>
      <c r="M1384" s="1">
        <v>2022</v>
      </c>
      <c r="N1384" s="1" t="s">
        <v>45</v>
      </c>
      <c r="O1384" s="1" t="s">
        <v>9956</v>
      </c>
      <c r="P1384" s="1" t="s">
        <v>16</v>
      </c>
      <c r="Q1384" s="1">
        <v>100</v>
      </c>
      <c r="R1384" s="1">
        <v>6000</v>
      </c>
      <c r="S1384" s="1">
        <v>6000</v>
      </c>
    </row>
    <row r="1385" spans="1:19" ht="12.5" x14ac:dyDescent="0.25">
      <c r="A1385" s="1">
        <v>1390</v>
      </c>
      <c r="B1385" s="1" t="s">
        <v>4613</v>
      </c>
      <c r="C1385" s="1" t="s">
        <v>35</v>
      </c>
      <c r="D1385" s="1" t="s">
        <v>152</v>
      </c>
      <c r="E1385" s="1">
        <v>1124</v>
      </c>
      <c r="F1385" s="1" t="s">
        <v>4615</v>
      </c>
      <c r="G1385" s="1" t="s">
        <v>4616</v>
      </c>
      <c r="H1385" s="1" t="s">
        <v>16</v>
      </c>
      <c r="I1385" s="1" t="s">
        <v>29</v>
      </c>
      <c r="J1385" s="1" t="s">
        <v>4617</v>
      </c>
      <c r="K1385" s="1" t="b">
        <v>0</v>
      </c>
      <c r="L1385" s="1" t="s">
        <v>22</v>
      </c>
      <c r="M1385" s="1" t="s">
        <v>16</v>
      </c>
      <c r="N1385" s="1" t="s">
        <v>16</v>
      </c>
      <c r="O1385" s="1" t="s">
        <v>9956</v>
      </c>
      <c r="P1385" s="1" t="s">
        <v>16</v>
      </c>
      <c r="Q1385" s="1">
        <v>100</v>
      </c>
      <c r="R1385" s="1">
        <v>300000</v>
      </c>
      <c r="S1385" s="1">
        <v>300000</v>
      </c>
    </row>
    <row r="1386" spans="1:19" ht="12.5" x14ac:dyDescent="0.25">
      <c r="A1386" s="1">
        <v>1391</v>
      </c>
      <c r="B1386" s="1" t="s">
        <v>4618</v>
      </c>
      <c r="C1386" s="1" t="s">
        <v>35</v>
      </c>
      <c r="D1386" s="1" t="s">
        <v>152</v>
      </c>
      <c r="E1386" s="1">
        <v>1125</v>
      </c>
      <c r="F1386" s="1" t="s">
        <v>4620</v>
      </c>
      <c r="G1386" s="1" t="s">
        <v>4621</v>
      </c>
      <c r="H1386" s="1" t="s">
        <v>16</v>
      </c>
      <c r="I1386" s="1" t="s">
        <v>29</v>
      </c>
      <c r="J1386" s="1" t="s">
        <v>16</v>
      </c>
      <c r="K1386" s="1" t="b">
        <v>0</v>
      </c>
      <c r="L1386" s="1" t="s">
        <v>22</v>
      </c>
      <c r="M1386" s="1" t="s">
        <v>16</v>
      </c>
      <c r="N1386" s="1" t="s">
        <v>16</v>
      </c>
      <c r="O1386" s="1" t="s">
        <v>16</v>
      </c>
      <c r="P1386" s="1" t="s">
        <v>16</v>
      </c>
      <c r="Q1386" s="1">
        <v>100</v>
      </c>
    </row>
    <row r="1387" spans="1:19" ht="12.5" x14ac:dyDescent="0.25">
      <c r="A1387" s="1">
        <v>1392</v>
      </c>
      <c r="B1387" s="1" t="s">
        <v>4622</v>
      </c>
      <c r="C1387" s="1" t="s">
        <v>35</v>
      </c>
      <c r="D1387" s="1" t="s">
        <v>152</v>
      </c>
      <c r="E1387" s="1">
        <v>1126</v>
      </c>
      <c r="F1387" s="1" t="s">
        <v>4624</v>
      </c>
      <c r="G1387" s="1" t="s">
        <v>4625</v>
      </c>
      <c r="H1387" s="1" t="s">
        <v>4626</v>
      </c>
      <c r="I1387" s="1" t="s">
        <v>29</v>
      </c>
      <c r="J1387" s="1" t="s">
        <v>4627</v>
      </c>
      <c r="K1387" s="1" t="b">
        <v>0</v>
      </c>
      <c r="L1387" s="1" t="s">
        <v>22</v>
      </c>
      <c r="M1387" s="1">
        <v>2022</v>
      </c>
      <c r="N1387" s="1" t="s">
        <v>45</v>
      </c>
      <c r="O1387" s="1" t="s">
        <v>9956</v>
      </c>
      <c r="P1387" s="1" t="s">
        <v>10027</v>
      </c>
      <c r="Q1387" s="1">
        <v>100</v>
      </c>
      <c r="R1387" s="1">
        <v>4430</v>
      </c>
      <c r="S1387" s="1">
        <v>4430</v>
      </c>
    </row>
    <row r="1388" spans="1:19" ht="12.5" x14ac:dyDescent="0.25">
      <c r="A1388" s="1">
        <v>1393</v>
      </c>
      <c r="B1388" s="1" t="s">
        <v>4628</v>
      </c>
      <c r="C1388" s="1" t="s">
        <v>35</v>
      </c>
      <c r="D1388" s="1" t="s">
        <v>152</v>
      </c>
      <c r="E1388" s="1">
        <v>1127</v>
      </c>
      <c r="F1388" s="1" t="s">
        <v>4630</v>
      </c>
      <c r="G1388" s="1" t="s">
        <v>4631</v>
      </c>
      <c r="H1388" s="1" t="s">
        <v>16</v>
      </c>
      <c r="I1388" s="1" t="s">
        <v>29</v>
      </c>
      <c r="J1388" s="1" t="s">
        <v>4632</v>
      </c>
      <c r="K1388" s="1" t="b">
        <v>0</v>
      </c>
      <c r="L1388" s="1" t="s">
        <v>22</v>
      </c>
      <c r="M1388" s="1" t="s">
        <v>16</v>
      </c>
      <c r="N1388" s="1" t="s">
        <v>16</v>
      </c>
      <c r="O1388" s="1" t="s">
        <v>9956</v>
      </c>
      <c r="P1388" s="1" t="s">
        <v>16</v>
      </c>
      <c r="Q1388" s="1">
        <v>100</v>
      </c>
      <c r="R1388" s="1">
        <v>9130</v>
      </c>
      <c r="S1388" s="1">
        <v>9130</v>
      </c>
    </row>
    <row r="1389" spans="1:19" ht="12.5" x14ac:dyDescent="0.25">
      <c r="A1389" s="1">
        <v>1394</v>
      </c>
      <c r="B1389" s="1" t="s">
        <v>4633</v>
      </c>
      <c r="C1389" s="1" t="s">
        <v>35</v>
      </c>
      <c r="D1389" s="1" t="s">
        <v>152</v>
      </c>
      <c r="E1389" s="1">
        <v>1128</v>
      </c>
      <c r="F1389" s="1" t="s">
        <v>4635</v>
      </c>
      <c r="G1389" s="1" t="s">
        <v>4636</v>
      </c>
      <c r="H1389" s="1" t="s">
        <v>16</v>
      </c>
      <c r="I1389" s="1" t="s">
        <v>29</v>
      </c>
      <c r="J1389" s="1" t="s">
        <v>16</v>
      </c>
      <c r="K1389" s="1" t="b">
        <v>0</v>
      </c>
      <c r="L1389" s="1" t="s">
        <v>22</v>
      </c>
      <c r="M1389" s="1">
        <v>2022</v>
      </c>
      <c r="N1389" s="1" t="s">
        <v>23</v>
      </c>
      <c r="O1389" s="1" t="s">
        <v>9956</v>
      </c>
      <c r="P1389" s="1" t="s">
        <v>16</v>
      </c>
      <c r="Q1389" s="1">
        <v>100</v>
      </c>
      <c r="R1389" s="1">
        <v>2220</v>
      </c>
      <c r="S1389" s="1">
        <v>2220</v>
      </c>
    </row>
    <row r="1390" spans="1:19" ht="12.5" x14ac:dyDescent="0.25">
      <c r="A1390" s="1">
        <v>1395</v>
      </c>
      <c r="B1390" s="1" t="s">
        <v>4637</v>
      </c>
      <c r="C1390" s="1" t="s">
        <v>35</v>
      </c>
      <c r="D1390" s="1" t="s">
        <v>152</v>
      </c>
      <c r="E1390" s="1">
        <v>1129</v>
      </c>
      <c r="F1390" s="1" t="s">
        <v>4639</v>
      </c>
      <c r="G1390" s="1" t="s">
        <v>4640</v>
      </c>
      <c r="H1390" s="1" t="s">
        <v>4641</v>
      </c>
      <c r="I1390" s="1" t="s">
        <v>29</v>
      </c>
      <c r="J1390" s="1" t="s">
        <v>4642</v>
      </c>
      <c r="K1390" s="1" t="b">
        <v>1</v>
      </c>
      <c r="L1390" s="1" t="s">
        <v>31</v>
      </c>
      <c r="M1390" s="1">
        <v>2022</v>
      </c>
      <c r="N1390" s="1" t="s">
        <v>45</v>
      </c>
      <c r="O1390" s="1" t="s">
        <v>9935</v>
      </c>
      <c r="P1390" s="1" t="s">
        <v>16</v>
      </c>
      <c r="Q1390" s="1">
        <v>100</v>
      </c>
      <c r="R1390" s="1">
        <v>2000</v>
      </c>
      <c r="S1390" s="1">
        <v>2000</v>
      </c>
    </row>
    <row r="1391" spans="1:19" ht="12.5" x14ac:dyDescent="0.25">
      <c r="A1391" s="1">
        <v>1398</v>
      </c>
      <c r="B1391" s="1" t="s">
        <v>4643</v>
      </c>
      <c r="C1391" s="1" t="s">
        <v>35</v>
      </c>
      <c r="D1391" s="1" t="s">
        <v>152</v>
      </c>
      <c r="E1391" s="1">
        <v>1130</v>
      </c>
      <c r="F1391" s="1" t="s">
        <v>4645</v>
      </c>
      <c r="G1391" s="1" t="s">
        <v>4646</v>
      </c>
      <c r="H1391" s="1" t="s">
        <v>4647</v>
      </c>
      <c r="I1391" s="1" t="s">
        <v>29</v>
      </c>
      <c r="J1391" s="1" t="s">
        <v>4648</v>
      </c>
      <c r="K1391" s="1" t="b">
        <v>0</v>
      </c>
      <c r="L1391" s="1" t="s">
        <v>22</v>
      </c>
      <c r="M1391" s="1" t="s">
        <v>16</v>
      </c>
      <c r="N1391" s="1" t="s">
        <v>16</v>
      </c>
      <c r="O1391" s="1" t="s">
        <v>16</v>
      </c>
      <c r="P1391" s="1" t="s">
        <v>16</v>
      </c>
      <c r="Q1391" s="1">
        <v>100</v>
      </c>
    </row>
    <row r="1392" spans="1:19" ht="12.5" x14ac:dyDescent="0.25">
      <c r="A1392" s="1">
        <v>1399</v>
      </c>
      <c r="B1392" s="1" t="s">
        <v>4649</v>
      </c>
      <c r="C1392" s="1" t="s">
        <v>35</v>
      </c>
      <c r="D1392" s="1" t="s">
        <v>152</v>
      </c>
      <c r="E1392" s="1">
        <v>1131</v>
      </c>
      <c r="F1392" s="1" t="s">
        <v>4650</v>
      </c>
      <c r="G1392" s="1" t="s">
        <v>4651</v>
      </c>
      <c r="H1392" s="1" t="s">
        <v>3357</v>
      </c>
      <c r="I1392" s="1" t="s">
        <v>29</v>
      </c>
      <c r="J1392" s="1" t="s">
        <v>4652</v>
      </c>
      <c r="K1392" s="1" t="b">
        <v>1</v>
      </c>
      <c r="L1392" s="1" t="s">
        <v>31</v>
      </c>
      <c r="M1392" s="1">
        <v>2022</v>
      </c>
      <c r="N1392" s="1" t="s">
        <v>45</v>
      </c>
      <c r="O1392" s="1" t="s">
        <v>9956</v>
      </c>
      <c r="P1392" s="1" t="s">
        <v>16</v>
      </c>
      <c r="Q1392" s="1">
        <v>100</v>
      </c>
      <c r="R1392" s="1">
        <v>2000</v>
      </c>
      <c r="S1392" s="1">
        <v>2000</v>
      </c>
    </row>
    <row r="1393" spans="1:19" ht="12.5" x14ac:dyDescent="0.25">
      <c r="A1393" s="1">
        <v>1400</v>
      </c>
      <c r="B1393" s="1" t="s">
        <v>4653</v>
      </c>
      <c r="C1393" s="1" t="s">
        <v>35</v>
      </c>
      <c r="D1393" s="1" t="s">
        <v>152</v>
      </c>
      <c r="E1393" s="1">
        <v>1132</v>
      </c>
      <c r="F1393" s="1" t="s">
        <v>4655</v>
      </c>
      <c r="G1393" s="1" t="s">
        <v>4656</v>
      </c>
      <c r="H1393" s="1" t="s">
        <v>16</v>
      </c>
      <c r="I1393" s="1" t="s">
        <v>29</v>
      </c>
      <c r="J1393" s="1" t="s">
        <v>4657</v>
      </c>
      <c r="K1393" s="1" t="b">
        <v>0</v>
      </c>
      <c r="L1393" s="1" t="s">
        <v>22</v>
      </c>
      <c r="M1393" s="1">
        <v>2022</v>
      </c>
      <c r="N1393" s="1" t="s">
        <v>16</v>
      </c>
      <c r="O1393" s="1" t="s">
        <v>9956</v>
      </c>
      <c r="P1393" s="1" t="s">
        <v>16</v>
      </c>
      <c r="Q1393" s="1">
        <v>100</v>
      </c>
      <c r="R1393" s="1">
        <v>71011</v>
      </c>
      <c r="S1393" s="1">
        <v>71011</v>
      </c>
    </row>
    <row r="1394" spans="1:19" ht="12.5" x14ac:dyDescent="0.25">
      <c r="A1394" s="1">
        <v>1403</v>
      </c>
      <c r="B1394" s="1" t="s">
        <v>4658</v>
      </c>
      <c r="C1394" s="1" t="s">
        <v>35</v>
      </c>
      <c r="D1394" s="1" t="s">
        <v>152</v>
      </c>
      <c r="E1394" s="1">
        <v>1133</v>
      </c>
      <c r="F1394" s="1" t="s">
        <v>4660</v>
      </c>
      <c r="G1394" s="1" t="s">
        <v>4661</v>
      </c>
      <c r="H1394" s="1" t="s">
        <v>16</v>
      </c>
      <c r="I1394" s="1" t="s">
        <v>20</v>
      </c>
      <c r="J1394" s="1" t="s">
        <v>16</v>
      </c>
      <c r="K1394" s="1" t="b">
        <v>0</v>
      </c>
      <c r="L1394" s="1" t="s">
        <v>22</v>
      </c>
      <c r="M1394" s="1" t="s">
        <v>16</v>
      </c>
      <c r="N1394" s="1" t="s">
        <v>16</v>
      </c>
      <c r="O1394" s="1" t="s">
        <v>9956</v>
      </c>
      <c r="P1394" s="1" t="s">
        <v>16</v>
      </c>
      <c r="Q1394" s="1">
        <v>100</v>
      </c>
      <c r="R1394" s="1">
        <v>0</v>
      </c>
      <c r="S1394" s="1">
        <v>0</v>
      </c>
    </row>
    <row r="1395" spans="1:19" ht="12.5" x14ac:dyDescent="0.25">
      <c r="A1395" s="1">
        <v>1407</v>
      </c>
      <c r="B1395" s="1" t="s">
        <v>4662</v>
      </c>
      <c r="C1395" s="1" t="s">
        <v>35</v>
      </c>
      <c r="D1395" s="1" t="s">
        <v>152</v>
      </c>
      <c r="E1395" s="1">
        <v>1134</v>
      </c>
      <c r="F1395" s="1" t="s">
        <v>4664</v>
      </c>
      <c r="G1395" s="1" t="s">
        <v>4665</v>
      </c>
      <c r="H1395" s="1" t="s">
        <v>16</v>
      </c>
      <c r="I1395" s="1" t="s">
        <v>29</v>
      </c>
      <c r="J1395" s="1" t="s">
        <v>4666</v>
      </c>
      <c r="K1395" s="1" t="b">
        <v>0</v>
      </c>
      <c r="L1395" s="1" t="s">
        <v>22</v>
      </c>
      <c r="M1395" s="1" t="s">
        <v>16</v>
      </c>
      <c r="N1395" s="1" t="s">
        <v>16</v>
      </c>
      <c r="O1395" s="1" t="s">
        <v>9956</v>
      </c>
      <c r="P1395" s="1" t="s">
        <v>16</v>
      </c>
      <c r="Q1395" s="1">
        <v>100</v>
      </c>
      <c r="R1395" s="1">
        <v>200000</v>
      </c>
      <c r="S1395" s="1">
        <v>200000</v>
      </c>
    </row>
    <row r="1396" spans="1:19" ht="12.5" x14ac:dyDescent="0.25">
      <c r="A1396" s="1">
        <v>1408</v>
      </c>
      <c r="B1396" s="1" t="s">
        <v>4667</v>
      </c>
      <c r="C1396" s="1" t="s">
        <v>35</v>
      </c>
      <c r="D1396" s="1" t="s">
        <v>152</v>
      </c>
      <c r="E1396" s="1">
        <v>1135</v>
      </c>
      <c r="F1396" s="1" t="s">
        <v>4669</v>
      </c>
      <c r="G1396" s="1" t="s">
        <v>4670</v>
      </c>
      <c r="H1396" s="1" t="s">
        <v>2178</v>
      </c>
      <c r="I1396" s="1" t="s">
        <v>29</v>
      </c>
      <c r="J1396" s="1" t="s">
        <v>4671</v>
      </c>
      <c r="K1396" s="1" t="b">
        <v>0</v>
      </c>
      <c r="L1396" s="1" t="s">
        <v>22</v>
      </c>
      <c r="M1396" s="1" t="s">
        <v>16</v>
      </c>
      <c r="N1396" s="1" t="s">
        <v>16</v>
      </c>
      <c r="O1396" s="1" t="s">
        <v>9956</v>
      </c>
      <c r="P1396" s="1" t="s">
        <v>16</v>
      </c>
      <c r="Q1396" s="1">
        <v>100</v>
      </c>
      <c r="R1396" s="1">
        <v>75000</v>
      </c>
      <c r="S1396" s="1">
        <v>75000</v>
      </c>
    </row>
    <row r="1397" spans="1:19" ht="12.5" x14ac:dyDescent="0.25">
      <c r="A1397" s="1">
        <v>1410</v>
      </c>
      <c r="B1397" s="1" t="s">
        <v>4672</v>
      </c>
      <c r="C1397" s="1" t="s">
        <v>35</v>
      </c>
      <c r="D1397" s="1" t="s">
        <v>152</v>
      </c>
      <c r="E1397" s="1">
        <v>1136</v>
      </c>
      <c r="F1397" s="1" t="s">
        <v>4674</v>
      </c>
      <c r="G1397" s="1" t="s">
        <v>4675</v>
      </c>
      <c r="H1397" s="1" t="s">
        <v>16</v>
      </c>
      <c r="I1397" s="1" t="s">
        <v>29</v>
      </c>
      <c r="J1397" s="1" t="s">
        <v>4676</v>
      </c>
      <c r="K1397" s="1" t="b">
        <v>0</v>
      </c>
      <c r="L1397" s="1" t="s">
        <v>22</v>
      </c>
      <c r="M1397" s="1" t="s">
        <v>16</v>
      </c>
      <c r="N1397" s="1" t="s">
        <v>16</v>
      </c>
      <c r="O1397" s="1" t="s">
        <v>9956</v>
      </c>
      <c r="P1397" s="1" t="s">
        <v>16</v>
      </c>
      <c r="Q1397" s="1">
        <v>100</v>
      </c>
      <c r="R1397" s="1">
        <v>465500</v>
      </c>
      <c r="S1397" s="1">
        <v>465500</v>
      </c>
    </row>
    <row r="1398" spans="1:19" ht="12.5" x14ac:dyDescent="0.25">
      <c r="A1398" s="1">
        <v>1411</v>
      </c>
      <c r="B1398" s="1" t="s">
        <v>4677</v>
      </c>
      <c r="C1398" s="1" t="s">
        <v>35</v>
      </c>
      <c r="D1398" s="1" t="s">
        <v>152</v>
      </c>
      <c r="E1398" s="1">
        <v>1137</v>
      </c>
      <c r="F1398" s="1" t="s">
        <v>4678</v>
      </c>
      <c r="G1398" s="1" t="s">
        <v>4679</v>
      </c>
      <c r="H1398" s="1" t="s">
        <v>16</v>
      </c>
      <c r="I1398" s="1" t="s">
        <v>29</v>
      </c>
      <c r="J1398" s="1" t="s">
        <v>16</v>
      </c>
      <c r="K1398" s="1" t="b">
        <v>0</v>
      </c>
      <c r="L1398" s="1" t="s">
        <v>22</v>
      </c>
      <c r="M1398" s="1">
        <v>2022</v>
      </c>
      <c r="N1398" s="1" t="s">
        <v>45</v>
      </c>
      <c r="O1398" s="1" t="s">
        <v>9935</v>
      </c>
      <c r="P1398" s="1" t="s">
        <v>16</v>
      </c>
      <c r="Q1398" s="1">
        <v>100</v>
      </c>
      <c r="R1398" s="1">
        <v>25000</v>
      </c>
      <c r="S1398" s="1">
        <v>25000</v>
      </c>
    </row>
    <row r="1399" spans="1:19" ht="12.5" x14ac:dyDescent="0.25">
      <c r="A1399" s="1">
        <v>1412</v>
      </c>
      <c r="B1399" s="1" t="s">
        <v>4680</v>
      </c>
      <c r="C1399" s="1" t="s">
        <v>35</v>
      </c>
      <c r="D1399" s="1" t="s">
        <v>152</v>
      </c>
      <c r="E1399" s="1">
        <v>1138</v>
      </c>
      <c r="F1399" s="1" t="s">
        <v>4682</v>
      </c>
      <c r="G1399" s="1" t="s">
        <v>4683</v>
      </c>
      <c r="H1399" s="1" t="s">
        <v>16</v>
      </c>
      <c r="I1399" s="1" t="s">
        <v>29</v>
      </c>
      <c r="J1399" s="1" t="s">
        <v>4684</v>
      </c>
      <c r="K1399" s="1" t="b">
        <v>1</v>
      </c>
      <c r="L1399" s="1" t="s">
        <v>31</v>
      </c>
      <c r="M1399" s="1">
        <v>2023</v>
      </c>
      <c r="N1399" s="1" t="s">
        <v>45</v>
      </c>
      <c r="O1399" s="1" t="s">
        <v>9935</v>
      </c>
      <c r="P1399" s="1" t="s">
        <v>16</v>
      </c>
      <c r="Q1399" s="1">
        <v>100</v>
      </c>
      <c r="R1399" s="1">
        <v>20000</v>
      </c>
      <c r="S1399" s="1">
        <v>20000</v>
      </c>
    </row>
    <row r="1400" spans="1:19" ht="12.5" x14ac:dyDescent="0.25">
      <c r="A1400" s="1">
        <v>1415</v>
      </c>
      <c r="B1400" s="1" t="s">
        <v>4685</v>
      </c>
      <c r="C1400" s="1" t="s">
        <v>35</v>
      </c>
      <c r="D1400" s="1" t="s">
        <v>152</v>
      </c>
      <c r="E1400" s="1">
        <v>1139</v>
      </c>
      <c r="F1400" s="1" t="s">
        <v>4687</v>
      </c>
      <c r="G1400" s="1" t="s">
        <v>4688</v>
      </c>
      <c r="H1400" s="1" t="s">
        <v>4689</v>
      </c>
      <c r="I1400" s="1" t="s">
        <v>29</v>
      </c>
      <c r="J1400" s="1" t="s">
        <v>4690</v>
      </c>
      <c r="K1400" s="1" t="b">
        <v>1</v>
      </c>
      <c r="L1400" s="1" t="s">
        <v>31</v>
      </c>
      <c r="M1400" s="1">
        <v>2022</v>
      </c>
      <c r="N1400" s="1" t="s">
        <v>45</v>
      </c>
      <c r="O1400" s="1" t="s">
        <v>9956</v>
      </c>
      <c r="P1400" s="1" t="s">
        <v>16</v>
      </c>
      <c r="Q1400" s="1">
        <v>100</v>
      </c>
      <c r="R1400" s="1">
        <v>5000</v>
      </c>
      <c r="S1400" s="1">
        <v>5000</v>
      </c>
    </row>
    <row r="1401" spans="1:19" ht="12.5" x14ac:dyDescent="0.25">
      <c r="A1401" s="1">
        <v>1416</v>
      </c>
      <c r="B1401" s="1" t="s">
        <v>4691</v>
      </c>
      <c r="C1401" s="1" t="s">
        <v>35</v>
      </c>
      <c r="D1401" s="1" t="s">
        <v>152</v>
      </c>
      <c r="E1401" s="1">
        <v>1140</v>
      </c>
      <c r="F1401" s="1" t="s">
        <v>4693</v>
      </c>
      <c r="G1401" s="1" t="s">
        <v>4694</v>
      </c>
      <c r="H1401" s="1" t="s">
        <v>16</v>
      </c>
      <c r="I1401" s="1" t="s">
        <v>29</v>
      </c>
      <c r="J1401" s="1" t="s">
        <v>16</v>
      </c>
      <c r="K1401" s="1" t="b">
        <v>0</v>
      </c>
      <c r="L1401" s="1" t="s">
        <v>22</v>
      </c>
      <c r="M1401" s="1" t="s">
        <v>16</v>
      </c>
      <c r="N1401" s="1" t="s">
        <v>16</v>
      </c>
      <c r="O1401" s="1" t="s">
        <v>9956</v>
      </c>
      <c r="P1401" s="1" t="s">
        <v>16</v>
      </c>
      <c r="Q1401" s="1">
        <v>100</v>
      </c>
      <c r="R1401" s="1">
        <v>1000</v>
      </c>
      <c r="S1401" s="1">
        <v>1000</v>
      </c>
    </row>
    <row r="1402" spans="1:19" ht="12.5" x14ac:dyDescent="0.25">
      <c r="A1402" s="1">
        <v>1418</v>
      </c>
      <c r="B1402" s="1" t="s">
        <v>4695</v>
      </c>
      <c r="C1402" s="1" t="s">
        <v>35</v>
      </c>
      <c r="D1402" s="1" t="s">
        <v>152</v>
      </c>
      <c r="E1402" s="1">
        <v>1141</v>
      </c>
      <c r="F1402" s="1" t="s">
        <v>4697</v>
      </c>
      <c r="G1402" s="1" t="s">
        <v>4698</v>
      </c>
      <c r="H1402" s="1" t="s">
        <v>16</v>
      </c>
      <c r="I1402" s="1" t="s">
        <v>29</v>
      </c>
      <c r="J1402" s="1" t="s">
        <v>16</v>
      </c>
      <c r="K1402" s="1" t="b">
        <v>0</v>
      </c>
      <c r="L1402" s="1" t="s">
        <v>22</v>
      </c>
      <c r="M1402" s="1" t="s">
        <v>16</v>
      </c>
      <c r="N1402" s="1" t="s">
        <v>16</v>
      </c>
      <c r="O1402" s="1" t="s">
        <v>9956</v>
      </c>
      <c r="P1402" s="1" t="s">
        <v>16</v>
      </c>
      <c r="Q1402" s="1">
        <v>100</v>
      </c>
      <c r="R1402" s="1">
        <v>5000</v>
      </c>
      <c r="S1402" s="1">
        <v>5000</v>
      </c>
    </row>
    <row r="1403" spans="1:19" ht="12.5" x14ac:dyDescent="0.25">
      <c r="A1403" s="1">
        <v>1419</v>
      </c>
      <c r="B1403" s="1" t="s">
        <v>4699</v>
      </c>
      <c r="C1403" s="1" t="s">
        <v>35</v>
      </c>
      <c r="D1403" s="1" t="s">
        <v>152</v>
      </c>
      <c r="E1403" s="1">
        <v>1142</v>
      </c>
      <c r="F1403" s="1" t="s">
        <v>4701</v>
      </c>
      <c r="G1403" s="1" t="s">
        <v>4702</v>
      </c>
      <c r="H1403" s="1" t="s">
        <v>4703</v>
      </c>
      <c r="I1403" s="1" t="s">
        <v>29</v>
      </c>
      <c r="J1403" s="1" t="s">
        <v>4704</v>
      </c>
      <c r="K1403" s="1" t="b">
        <v>1</v>
      </c>
      <c r="L1403" s="1" t="s">
        <v>31</v>
      </c>
      <c r="M1403" s="1">
        <v>2022</v>
      </c>
      <c r="N1403" s="1" t="s">
        <v>45</v>
      </c>
      <c r="O1403" s="1" t="s">
        <v>9935</v>
      </c>
      <c r="P1403" s="1" t="s">
        <v>10028</v>
      </c>
      <c r="Q1403" s="1">
        <v>100</v>
      </c>
      <c r="R1403" s="1">
        <v>7500</v>
      </c>
      <c r="S1403" s="1">
        <v>7500</v>
      </c>
    </row>
    <row r="1404" spans="1:19" ht="12.5" x14ac:dyDescent="0.25">
      <c r="A1404" s="1">
        <v>1423</v>
      </c>
      <c r="B1404" s="1" t="s">
        <v>3019</v>
      </c>
      <c r="C1404" s="1" t="s">
        <v>35</v>
      </c>
      <c r="D1404" s="1" t="s">
        <v>152</v>
      </c>
      <c r="E1404" s="1">
        <v>1143</v>
      </c>
      <c r="F1404" s="1" t="s">
        <v>4705</v>
      </c>
      <c r="G1404" s="1" t="s">
        <v>4706</v>
      </c>
      <c r="H1404" s="1" t="s">
        <v>16</v>
      </c>
      <c r="I1404" s="1" t="s">
        <v>20</v>
      </c>
      <c r="J1404" s="1" t="s">
        <v>16</v>
      </c>
      <c r="K1404" s="1" t="b">
        <v>0</v>
      </c>
      <c r="L1404" s="1" t="s">
        <v>22</v>
      </c>
      <c r="M1404" s="1" t="s">
        <v>16</v>
      </c>
      <c r="N1404" s="1" t="s">
        <v>16</v>
      </c>
      <c r="O1404" s="1" t="s">
        <v>9956</v>
      </c>
      <c r="P1404" s="1" t="s">
        <v>16</v>
      </c>
      <c r="Q1404" s="1">
        <v>100</v>
      </c>
      <c r="R1404" s="1">
        <v>431250</v>
      </c>
      <c r="S1404" s="1">
        <v>431250</v>
      </c>
    </row>
    <row r="1405" spans="1:19" ht="12.5" x14ac:dyDescent="0.25">
      <c r="A1405" s="1">
        <v>1424</v>
      </c>
      <c r="B1405" s="1" t="s">
        <v>3021</v>
      </c>
      <c r="C1405" s="1" t="s">
        <v>35</v>
      </c>
      <c r="D1405" s="1" t="s">
        <v>152</v>
      </c>
      <c r="E1405" s="1">
        <v>1144</v>
      </c>
      <c r="F1405" s="1" t="s">
        <v>4707</v>
      </c>
      <c r="G1405" s="1" t="s">
        <v>4708</v>
      </c>
      <c r="H1405" s="1"/>
      <c r="I1405" s="1" t="s">
        <v>20</v>
      </c>
      <c r="J1405" s="1" t="s">
        <v>16</v>
      </c>
      <c r="K1405" s="1" t="b">
        <v>0</v>
      </c>
      <c r="L1405" s="1" t="s">
        <v>22</v>
      </c>
      <c r="M1405" s="1" t="s">
        <v>16</v>
      </c>
      <c r="N1405" s="1" t="s">
        <v>16</v>
      </c>
      <c r="O1405" s="1" t="s">
        <v>9956</v>
      </c>
      <c r="P1405" s="1" t="s">
        <v>16</v>
      </c>
      <c r="Q1405" s="1">
        <v>100</v>
      </c>
      <c r="R1405" s="1">
        <v>0</v>
      </c>
      <c r="S1405" s="1">
        <v>0</v>
      </c>
    </row>
    <row r="1406" spans="1:19" ht="12.5" x14ac:dyDescent="0.25">
      <c r="A1406" s="1">
        <v>1425</v>
      </c>
      <c r="B1406" s="1" t="s">
        <v>4709</v>
      </c>
      <c r="C1406" s="1" t="s">
        <v>35</v>
      </c>
      <c r="D1406" s="1" t="s">
        <v>152</v>
      </c>
      <c r="E1406" s="1">
        <v>1145</v>
      </c>
      <c r="F1406" s="1" t="s">
        <v>4711</v>
      </c>
      <c r="G1406" s="1" t="s">
        <v>4712</v>
      </c>
      <c r="H1406" s="1" t="s">
        <v>16</v>
      </c>
      <c r="I1406" s="1" t="s">
        <v>29</v>
      </c>
      <c r="J1406" s="1" t="s">
        <v>4713</v>
      </c>
      <c r="K1406" s="1" t="b">
        <v>1</v>
      </c>
      <c r="L1406" s="1" t="s">
        <v>31</v>
      </c>
      <c r="M1406" s="1">
        <v>2022</v>
      </c>
      <c r="N1406" s="1" t="s">
        <v>23</v>
      </c>
      <c r="O1406" s="1" t="s">
        <v>9956</v>
      </c>
      <c r="P1406" s="1" t="s">
        <v>16</v>
      </c>
      <c r="Q1406" s="1">
        <v>100</v>
      </c>
      <c r="R1406" s="1">
        <v>76000</v>
      </c>
      <c r="S1406" s="1">
        <v>76000</v>
      </c>
    </row>
    <row r="1407" spans="1:19" ht="12.5" x14ac:dyDescent="0.25">
      <c r="A1407" s="1">
        <v>1426</v>
      </c>
      <c r="B1407" s="1" t="s">
        <v>4714</v>
      </c>
      <c r="C1407" s="1" t="s">
        <v>35</v>
      </c>
      <c r="D1407" s="1" t="s">
        <v>152</v>
      </c>
      <c r="E1407" s="1">
        <v>1146</v>
      </c>
      <c r="F1407" s="1" t="s">
        <v>4716</v>
      </c>
      <c r="G1407" s="1" t="s">
        <v>4717</v>
      </c>
      <c r="H1407" s="1" t="s">
        <v>16</v>
      </c>
      <c r="I1407" s="1" t="s">
        <v>29</v>
      </c>
      <c r="J1407" s="1" t="s">
        <v>4718</v>
      </c>
      <c r="K1407" s="1" t="b">
        <v>0</v>
      </c>
      <c r="L1407" s="1" t="s">
        <v>22</v>
      </c>
      <c r="M1407" s="1" t="s">
        <v>16</v>
      </c>
      <c r="N1407" s="1" t="s">
        <v>16</v>
      </c>
      <c r="O1407" s="1" t="s">
        <v>16</v>
      </c>
      <c r="P1407" s="1" t="s">
        <v>16</v>
      </c>
      <c r="Q1407" s="1">
        <v>100</v>
      </c>
    </row>
    <row r="1408" spans="1:19" ht="12.5" x14ac:dyDescent="0.25">
      <c r="A1408" s="1">
        <v>1427</v>
      </c>
      <c r="B1408" s="1" t="s">
        <v>4719</v>
      </c>
      <c r="C1408" s="1" t="s">
        <v>35</v>
      </c>
      <c r="D1408" s="1" t="s">
        <v>152</v>
      </c>
      <c r="E1408" s="1">
        <v>1147</v>
      </c>
      <c r="F1408" s="1" t="s">
        <v>4721</v>
      </c>
      <c r="G1408" s="1" t="s">
        <v>4722</v>
      </c>
      <c r="H1408" s="1" t="s">
        <v>16</v>
      </c>
      <c r="I1408" s="1" t="s">
        <v>29</v>
      </c>
      <c r="J1408" s="1" t="s">
        <v>16</v>
      </c>
      <c r="K1408" s="1" t="b">
        <v>0</v>
      </c>
      <c r="L1408" s="1" t="s">
        <v>22</v>
      </c>
      <c r="M1408" s="1" t="s">
        <v>16</v>
      </c>
      <c r="N1408" s="1" t="s">
        <v>16</v>
      </c>
      <c r="O1408" s="1" t="s">
        <v>9956</v>
      </c>
      <c r="P1408" s="1" t="s">
        <v>16</v>
      </c>
      <c r="Q1408" s="1">
        <v>100</v>
      </c>
      <c r="R1408" s="1">
        <v>5000</v>
      </c>
      <c r="S1408" s="1">
        <v>5000</v>
      </c>
    </row>
    <row r="1409" spans="1:19" ht="12.5" x14ac:dyDescent="0.25">
      <c r="A1409" s="1">
        <v>1428</v>
      </c>
      <c r="B1409" s="1" t="s">
        <v>4723</v>
      </c>
      <c r="C1409" s="1" t="s">
        <v>35</v>
      </c>
      <c r="D1409" s="1" t="s">
        <v>152</v>
      </c>
      <c r="E1409" s="1">
        <v>1148</v>
      </c>
      <c r="F1409" s="1" t="s">
        <v>4725</v>
      </c>
      <c r="G1409" s="1" t="s">
        <v>4726</v>
      </c>
      <c r="H1409" s="1" t="s">
        <v>16</v>
      </c>
      <c r="I1409" s="1" t="s">
        <v>29</v>
      </c>
      <c r="J1409" s="1" t="s">
        <v>4727</v>
      </c>
      <c r="K1409" s="1" t="b">
        <v>0</v>
      </c>
      <c r="L1409" s="1" t="s">
        <v>22</v>
      </c>
      <c r="M1409" s="1" t="s">
        <v>16</v>
      </c>
      <c r="N1409" s="1" t="s">
        <v>16</v>
      </c>
      <c r="O1409" s="1" t="s">
        <v>16</v>
      </c>
      <c r="P1409" s="1" t="s">
        <v>16</v>
      </c>
      <c r="Q1409" s="1">
        <v>100</v>
      </c>
    </row>
    <row r="1410" spans="1:19" ht="12.5" x14ac:dyDescent="0.25">
      <c r="A1410" s="1">
        <v>1429</v>
      </c>
      <c r="B1410" s="1" t="s">
        <v>4728</v>
      </c>
      <c r="C1410" s="1" t="s">
        <v>35</v>
      </c>
      <c r="D1410" s="1" t="s">
        <v>152</v>
      </c>
      <c r="E1410" s="1">
        <v>1149</v>
      </c>
      <c r="F1410" s="1" t="s">
        <v>4730</v>
      </c>
      <c r="G1410" s="1" t="s">
        <v>4731</v>
      </c>
      <c r="H1410" s="1" t="s">
        <v>4732</v>
      </c>
      <c r="I1410" s="1" t="s">
        <v>29</v>
      </c>
      <c r="J1410" s="1" t="s">
        <v>4733</v>
      </c>
      <c r="K1410" s="1" t="b">
        <v>0</v>
      </c>
      <c r="L1410" s="1" t="s">
        <v>22</v>
      </c>
      <c r="M1410" s="1">
        <v>2022</v>
      </c>
      <c r="N1410" s="1" t="s">
        <v>52</v>
      </c>
      <c r="O1410" s="1" t="s">
        <v>9956</v>
      </c>
      <c r="P1410" s="1" t="s">
        <v>9989</v>
      </c>
      <c r="Q1410" s="1">
        <v>100</v>
      </c>
      <c r="R1410" s="1">
        <v>38453</v>
      </c>
      <c r="S1410" s="1">
        <v>38453</v>
      </c>
    </row>
    <row r="1411" spans="1:19" ht="12.5" x14ac:dyDescent="0.25">
      <c r="A1411" s="1">
        <v>1431</v>
      </c>
      <c r="B1411" s="1" t="s">
        <v>4734</v>
      </c>
      <c r="C1411" s="1" t="s">
        <v>35</v>
      </c>
      <c r="D1411" s="1" t="s">
        <v>152</v>
      </c>
      <c r="E1411" s="1">
        <v>1150</v>
      </c>
      <c r="F1411" s="1" t="s">
        <v>4736</v>
      </c>
      <c r="G1411" s="1" t="s">
        <v>4737</v>
      </c>
      <c r="H1411" s="1" t="s">
        <v>4737</v>
      </c>
      <c r="I1411" s="1" t="s">
        <v>29</v>
      </c>
      <c r="J1411" s="1" t="s">
        <v>4738</v>
      </c>
      <c r="K1411" s="1" t="b">
        <v>1</v>
      </c>
      <c r="L1411" s="1" t="s">
        <v>31</v>
      </c>
      <c r="M1411" s="1">
        <v>2022</v>
      </c>
      <c r="N1411" s="1" t="s">
        <v>23</v>
      </c>
      <c r="O1411" s="1" t="s">
        <v>9956</v>
      </c>
      <c r="P1411" s="1" t="s">
        <v>16</v>
      </c>
      <c r="Q1411" s="1">
        <v>100</v>
      </c>
      <c r="R1411" s="1">
        <v>32860</v>
      </c>
      <c r="S1411" s="1">
        <v>32860</v>
      </c>
    </row>
    <row r="1412" spans="1:19" ht="12.5" x14ac:dyDescent="0.25">
      <c r="A1412" s="1">
        <v>1432</v>
      </c>
      <c r="B1412" s="1" t="s">
        <v>4739</v>
      </c>
      <c r="C1412" s="1" t="s">
        <v>35</v>
      </c>
      <c r="D1412" s="1" t="s">
        <v>152</v>
      </c>
      <c r="E1412" s="1">
        <v>1151</v>
      </c>
      <c r="F1412" s="1" t="s">
        <v>4741</v>
      </c>
      <c r="G1412" s="1" t="s">
        <v>4742</v>
      </c>
      <c r="H1412" s="1" t="s">
        <v>4743</v>
      </c>
      <c r="I1412" s="1" t="s">
        <v>29</v>
      </c>
      <c r="J1412" s="1" t="s">
        <v>4744</v>
      </c>
      <c r="K1412" s="1" t="b">
        <v>0</v>
      </c>
      <c r="L1412" s="1" t="s">
        <v>22</v>
      </c>
      <c r="M1412" s="1">
        <v>2023</v>
      </c>
      <c r="N1412" s="1" t="s">
        <v>16</v>
      </c>
      <c r="O1412" s="1" t="s">
        <v>9956</v>
      </c>
      <c r="P1412" s="1" t="s">
        <v>16</v>
      </c>
      <c r="Q1412" s="1">
        <v>100</v>
      </c>
      <c r="R1412" s="1">
        <v>42620</v>
      </c>
      <c r="S1412" s="1">
        <v>42620</v>
      </c>
    </row>
    <row r="1413" spans="1:19" ht="12.5" x14ac:dyDescent="0.25">
      <c r="A1413" s="1">
        <v>1433</v>
      </c>
      <c r="B1413" s="1" t="s">
        <v>4745</v>
      </c>
      <c r="C1413" s="1" t="s">
        <v>35</v>
      </c>
      <c r="D1413" s="1" t="s">
        <v>152</v>
      </c>
      <c r="E1413" s="1">
        <v>1152</v>
      </c>
      <c r="F1413" s="1" t="s">
        <v>4747</v>
      </c>
      <c r="G1413" s="1" t="s">
        <v>4748</v>
      </c>
      <c r="H1413" s="1" t="s">
        <v>10029</v>
      </c>
      <c r="I1413" s="1" t="s">
        <v>29</v>
      </c>
      <c r="J1413" s="1" t="s">
        <v>4749</v>
      </c>
      <c r="K1413" s="1" t="b">
        <v>0</v>
      </c>
      <c r="L1413" s="1" t="s">
        <v>22</v>
      </c>
      <c r="M1413" s="1">
        <v>2022</v>
      </c>
      <c r="N1413" s="1" t="s">
        <v>16</v>
      </c>
      <c r="O1413" s="1" t="s">
        <v>9956</v>
      </c>
      <c r="P1413" s="1" t="s">
        <v>16</v>
      </c>
      <c r="Q1413" s="1">
        <v>100</v>
      </c>
      <c r="R1413" s="1">
        <v>90000</v>
      </c>
      <c r="S1413" s="1">
        <v>90000</v>
      </c>
    </row>
    <row r="1414" spans="1:19" ht="12.5" x14ac:dyDescent="0.25">
      <c r="A1414" s="1">
        <v>1438</v>
      </c>
      <c r="B1414" s="1" t="s">
        <v>4750</v>
      </c>
      <c r="C1414" s="1" t="s">
        <v>35</v>
      </c>
      <c r="D1414" s="1" t="s">
        <v>152</v>
      </c>
      <c r="E1414" s="1">
        <v>1153</v>
      </c>
      <c r="F1414" s="1" t="s">
        <v>4752</v>
      </c>
      <c r="G1414" s="1" t="s">
        <v>4753</v>
      </c>
      <c r="H1414" s="1" t="s">
        <v>16</v>
      </c>
      <c r="I1414" s="1" t="s">
        <v>29</v>
      </c>
      <c r="J1414" s="1" t="s">
        <v>4754</v>
      </c>
      <c r="K1414" s="1" t="b">
        <v>1</v>
      </c>
      <c r="L1414" s="1" t="s">
        <v>31</v>
      </c>
      <c r="M1414" s="1">
        <v>2022</v>
      </c>
      <c r="N1414" s="1" t="s">
        <v>23</v>
      </c>
      <c r="O1414" s="1" t="s">
        <v>9935</v>
      </c>
      <c r="P1414" s="1" t="s">
        <v>10030</v>
      </c>
      <c r="Q1414" s="1">
        <v>100</v>
      </c>
      <c r="R1414" s="1">
        <v>40000</v>
      </c>
      <c r="S1414" s="1">
        <v>40000</v>
      </c>
    </row>
    <row r="1415" spans="1:19" ht="12.5" x14ac:dyDescent="0.25">
      <c r="A1415" s="1">
        <v>1439</v>
      </c>
      <c r="B1415" s="1" t="s">
        <v>4755</v>
      </c>
      <c r="C1415" s="1" t="s">
        <v>35</v>
      </c>
      <c r="D1415" s="1" t="s">
        <v>152</v>
      </c>
      <c r="E1415" s="1">
        <v>1154</v>
      </c>
      <c r="F1415" s="1" t="s">
        <v>4757</v>
      </c>
      <c r="G1415" s="1" t="s">
        <v>4758</v>
      </c>
      <c r="H1415" s="1" t="s">
        <v>4759</v>
      </c>
      <c r="I1415" s="1" t="s">
        <v>29</v>
      </c>
      <c r="J1415" s="1" t="s">
        <v>4760</v>
      </c>
      <c r="K1415" s="1" t="b">
        <v>1</v>
      </c>
      <c r="L1415" s="1" t="s">
        <v>31</v>
      </c>
      <c r="M1415" s="1">
        <v>2022</v>
      </c>
      <c r="N1415" s="1" t="s">
        <v>23</v>
      </c>
      <c r="O1415" s="1" t="s">
        <v>9942</v>
      </c>
      <c r="P1415" s="1" t="s">
        <v>16</v>
      </c>
      <c r="Q1415" s="1">
        <v>100</v>
      </c>
      <c r="R1415" s="1">
        <v>100000</v>
      </c>
      <c r="S1415" s="1">
        <v>100000</v>
      </c>
    </row>
    <row r="1416" spans="1:19" ht="12.5" x14ac:dyDescent="0.25">
      <c r="A1416" s="1">
        <v>1439</v>
      </c>
      <c r="B1416" s="1" t="s">
        <v>4755</v>
      </c>
      <c r="C1416" s="1" t="s">
        <v>35</v>
      </c>
      <c r="D1416" s="1" t="s">
        <v>152</v>
      </c>
      <c r="E1416" s="1">
        <v>1154</v>
      </c>
      <c r="F1416" s="1" t="s">
        <v>4757</v>
      </c>
      <c r="G1416" s="1" t="s">
        <v>4758</v>
      </c>
      <c r="H1416" s="1" t="s">
        <v>4759</v>
      </c>
      <c r="I1416" s="1" t="s">
        <v>29</v>
      </c>
      <c r="J1416" s="1" t="s">
        <v>4760</v>
      </c>
      <c r="K1416" s="1" t="b">
        <v>1</v>
      </c>
      <c r="L1416" s="1" t="s">
        <v>31</v>
      </c>
      <c r="M1416" s="1">
        <v>2022</v>
      </c>
      <c r="N1416" s="1" t="s">
        <v>23</v>
      </c>
      <c r="O1416" s="1" t="s">
        <v>9935</v>
      </c>
      <c r="P1416" s="1" t="s">
        <v>16</v>
      </c>
      <c r="Q1416" s="1">
        <v>100</v>
      </c>
      <c r="R1416" s="1">
        <v>35000</v>
      </c>
      <c r="S1416" s="1">
        <v>35000</v>
      </c>
    </row>
    <row r="1417" spans="1:19" ht="12.5" x14ac:dyDescent="0.25">
      <c r="A1417" s="1">
        <v>1440</v>
      </c>
      <c r="B1417" s="1" t="s">
        <v>4761</v>
      </c>
      <c r="C1417" s="1" t="s">
        <v>35</v>
      </c>
      <c r="D1417" s="1" t="s">
        <v>152</v>
      </c>
      <c r="E1417" s="1">
        <v>1155</v>
      </c>
      <c r="F1417" s="1" t="s">
        <v>4763</v>
      </c>
      <c r="G1417" s="1" t="s">
        <v>4764</v>
      </c>
      <c r="H1417" s="1" t="s">
        <v>4765</v>
      </c>
      <c r="I1417" s="1" t="s">
        <v>29</v>
      </c>
      <c r="J1417" s="1" t="s">
        <v>4766</v>
      </c>
      <c r="K1417" s="1" t="b">
        <v>1</v>
      </c>
      <c r="L1417" s="1" t="s">
        <v>31</v>
      </c>
      <c r="M1417" s="1">
        <v>2022</v>
      </c>
      <c r="N1417" s="1" t="s">
        <v>45</v>
      </c>
      <c r="O1417" s="1" t="s">
        <v>9935</v>
      </c>
      <c r="P1417" s="1" t="s">
        <v>16</v>
      </c>
      <c r="Q1417" s="1">
        <v>100</v>
      </c>
      <c r="R1417" s="1">
        <v>300000</v>
      </c>
      <c r="S1417" s="1">
        <v>300000</v>
      </c>
    </row>
    <row r="1418" spans="1:19" ht="12.5" x14ac:dyDescent="0.25">
      <c r="A1418" s="1">
        <v>1440</v>
      </c>
      <c r="B1418" s="1" t="s">
        <v>4761</v>
      </c>
      <c r="C1418" s="1" t="s">
        <v>35</v>
      </c>
      <c r="D1418" s="1" t="s">
        <v>152</v>
      </c>
      <c r="E1418" s="1">
        <v>1155</v>
      </c>
      <c r="F1418" s="1" t="s">
        <v>4763</v>
      </c>
      <c r="G1418" s="1" t="s">
        <v>4764</v>
      </c>
      <c r="H1418" s="1" t="s">
        <v>4765</v>
      </c>
      <c r="I1418" s="1" t="s">
        <v>29</v>
      </c>
      <c r="J1418" s="1" t="s">
        <v>4766</v>
      </c>
      <c r="K1418" s="1" t="b">
        <v>1</v>
      </c>
      <c r="L1418" s="1" t="s">
        <v>31</v>
      </c>
      <c r="M1418" s="1">
        <v>2022</v>
      </c>
      <c r="N1418" s="1" t="s">
        <v>52</v>
      </c>
      <c r="O1418" s="1" t="s">
        <v>9940</v>
      </c>
      <c r="P1418" s="1" t="s">
        <v>10031</v>
      </c>
      <c r="Q1418" s="1">
        <v>100</v>
      </c>
      <c r="R1418" s="1">
        <v>210000</v>
      </c>
      <c r="S1418" s="1">
        <v>210000</v>
      </c>
    </row>
    <row r="1419" spans="1:19" ht="12.5" x14ac:dyDescent="0.25">
      <c r="A1419" s="1">
        <v>1441</v>
      </c>
      <c r="B1419" s="1" t="s">
        <v>4767</v>
      </c>
      <c r="C1419" s="1" t="s">
        <v>35</v>
      </c>
      <c r="D1419" s="1" t="s">
        <v>152</v>
      </c>
      <c r="E1419" s="1">
        <v>1156</v>
      </c>
      <c r="F1419" s="1" t="s">
        <v>4769</v>
      </c>
      <c r="G1419" s="1" t="s">
        <v>4770</v>
      </c>
      <c r="H1419" s="1" t="s">
        <v>16</v>
      </c>
      <c r="I1419" s="1" t="s">
        <v>29</v>
      </c>
      <c r="J1419" s="1" t="s">
        <v>4771</v>
      </c>
      <c r="K1419" s="1" t="b">
        <v>0</v>
      </c>
      <c r="L1419" s="1" t="s">
        <v>22</v>
      </c>
      <c r="M1419" s="1">
        <v>2023</v>
      </c>
      <c r="N1419" s="1" t="s">
        <v>16</v>
      </c>
      <c r="O1419" s="1" t="s">
        <v>9956</v>
      </c>
      <c r="P1419" s="1" t="s">
        <v>16</v>
      </c>
      <c r="Q1419" s="1">
        <v>100</v>
      </c>
      <c r="R1419" s="1">
        <v>353122</v>
      </c>
      <c r="S1419" s="1">
        <v>353122</v>
      </c>
    </row>
    <row r="1420" spans="1:19" ht="12.5" x14ac:dyDescent="0.25">
      <c r="A1420" s="1">
        <v>1442</v>
      </c>
      <c r="B1420" s="1" t="s">
        <v>4772</v>
      </c>
      <c r="C1420" s="1" t="s">
        <v>35</v>
      </c>
      <c r="D1420" s="1" t="s">
        <v>152</v>
      </c>
      <c r="E1420" s="1">
        <v>1157</v>
      </c>
      <c r="F1420" s="1" t="s">
        <v>4773</v>
      </c>
      <c r="G1420" s="1" t="s">
        <v>4774</v>
      </c>
      <c r="H1420" s="1" t="s">
        <v>16</v>
      </c>
      <c r="I1420" s="1" t="s">
        <v>29</v>
      </c>
      <c r="J1420" s="1" t="s">
        <v>4775</v>
      </c>
      <c r="K1420" s="1" t="b">
        <v>0</v>
      </c>
      <c r="L1420" s="1" t="s">
        <v>22</v>
      </c>
      <c r="M1420" s="1" t="s">
        <v>16</v>
      </c>
      <c r="N1420" s="1" t="s">
        <v>16</v>
      </c>
      <c r="O1420" s="1" t="s">
        <v>9956</v>
      </c>
      <c r="P1420" s="1" t="s">
        <v>16</v>
      </c>
      <c r="Q1420" s="1">
        <v>100</v>
      </c>
      <c r="R1420" s="1">
        <v>0</v>
      </c>
      <c r="S1420" s="1">
        <v>0</v>
      </c>
    </row>
    <row r="1421" spans="1:19" ht="12.5" x14ac:dyDescent="0.25">
      <c r="A1421" s="1">
        <v>1443</v>
      </c>
      <c r="B1421" s="1" t="s">
        <v>4776</v>
      </c>
      <c r="C1421" s="1" t="s">
        <v>35</v>
      </c>
      <c r="D1421" s="1" t="s">
        <v>152</v>
      </c>
      <c r="E1421" s="1">
        <v>1158</v>
      </c>
      <c r="F1421" s="1" t="s">
        <v>4777</v>
      </c>
      <c r="G1421" s="1" t="s">
        <v>4778</v>
      </c>
      <c r="H1421" s="1" t="s">
        <v>4779</v>
      </c>
      <c r="I1421" s="1" t="s">
        <v>29</v>
      </c>
      <c r="J1421" s="1" t="s">
        <v>4780</v>
      </c>
      <c r="K1421" s="1" t="b">
        <v>0</v>
      </c>
      <c r="L1421" s="1" t="s">
        <v>22</v>
      </c>
      <c r="M1421" s="1" t="s">
        <v>16</v>
      </c>
      <c r="N1421" s="1" t="s">
        <v>16</v>
      </c>
      <c r="O1421" s="1" t="s">
        <v>9956</v>
      </c>
      <c r="P1421" s="1" t="s">
        <v>16</v>
      </c>
      <c r="Q1421" s="1">
        <v>100</v>
      </c>
      <c r="R1421" s="1">
        <v>300000</v>
      </c>
      <c r="S1421" s="1">
        <v>300000</v>
      </c>
    </row>
    <row r="1422" spans="1:19" ht="12.5" x14ac:dyDescent="0.25">
      <c r="A1422" s="1">
        <v>1446</v>
      </c>
      <c r="B1422" s="1" t="s">
        <v>4781</v>
      </c>
      <c r="C1422" s="1" t="s">
        <v>35</v>
      </c>
      <c r="D1422" s="1" t="s">
        <v>152</v>
      </c>
      <c r="E1422" s="1">
        <v>1159</v>
      </c>
      <c r="F1422" s="1" t="s">
        <v>4783</v>
      </c>
      <c r="G1422" s="1" t="s">
        <v>4784</v>
      </c>
      <c r="H1422" s="1"/>
      <c r="I1422" s="1" t="s">
        <v>20</v>
      </c>
      <c r="J1422" s="1" t="s">
        <v>16</v>
      </c>
      <c r="K1422" s="1" t="b">
        <v>0</v>
      </c>
      <c r="L1422" s="1" t="s">
        <v>22</v>
      </c>
      <c r="M1422" s="1" t="s">
        <v>16</v>
      </c>
      <c r="N1422" s="1" t="s">
        <v>16</v>
      </c>
      <c r="O1422" s="1" t="s">
        <v>9956</v>
      </c>
      <c r="P1422" s="1" t="s">
        <v>16</v>
      </c>
      <c r="Q1422" s="1">
        <v>100</v>
      </c>
      <c r="R1422" s="1">
        <v>0</v>
      </c>
      <c r="S1422" s="1">
        <v>0</v>
      </c>
    </row>
    <row r="1423" spans="1:19" ht="12.5" x14ac:dyDescent="0.25">
      <c r="A1423" s="1">
        <v>1447</v>
      </c>
      <c r="B1423" s="1" t="s">
        <v>4785</v>
      </c>
      <c r="C1423" s="1" t="s">
        <v>35</v>
      </c>
      <c r="D1423" s="1" t="s">
        <v>152</v>
      </c>
      <c r="E1423" s="1">
        <v>1160</v>
      </c>
      <c r="F1423" s="1" t="s">
        <v>4787</v>
      </c>
      <c r="G1423" s="1" t="s">
        <v>4788</v>
      </c>
      <c r="H1423" s="1" t="s">
        <v>16</v>
      </c>
      <c r="I1423" s="1" t="s">
        <v>20</v>
      </c>
      <c r="J1423" s="1" t="s">
        <v>16</v>
      </c>
      <c r="K1423" s="1" t="b">
        <v>0</v>
      </c>
      <c r="L1423" s="1" t="s">
        <v>22</v>
      </c>
      <c r="M1423" s="1" t="s">
        <v>16</v>
      </c>
      <c r="N1423" s="1" t="s">
        <v>16</v>
      </c>
      <c r="O1423" s="1" t="s">
        <v>9956</v>
      </c>
      <c r="P1423" s="1" t="s">
        <v>16</v>
      </c>
      <c r="Q1423" s="1">
        <v>100</v>
      </c>
      <c r="R1423" s="1">
        <v>0</v>
      </c>
      <c r="S1423" s="1">
        <v>0</v>
      </c>
    </row>
    <row r="1424" spans="1:19" ht="12.5" x14ac:dyDescent="0.25">
      <c r="A1424" s="1">
        <v>1448</v>
      </c>
      <c r="B1424" s="1" t="s">
        <v>4789</v>
      </c>
      <c r="C1424" s="1" t="s">
        <v>35</v>
      </c>
      <c r="D1424" s="1" t="s">
        <v>152</v>
      </c>
      <c r="E1424" s="1">
        <v>1161</v>
      </c>
      <c r="F1424" s="1" t="s">
        <v>4791</v>
      </c>
      <c r="G1424" s="1" t="s">
        <v>4792</v>
      </c>
      <c r="H1424" s="1" t="s">
        <v>16</v>
      </c>
      <c r="I1424" s="1" t="s">
        <v>29</v>
      </c>
      <c r="J1424" s="1" t="s">
        <v>16</v>
      </c>
      <c r="K1424" s="1" t="b">
        <v>0</v>
      </c>
      <c r="L1424" s="1" t="s">
        <v>22</v>
      </c>
      <c r="M1424" s="1" t="s">
        <v>16</v>
      </c>
      <c r="N1424" s="1" t="s">
        <v>16</v>
      </c>
      <c r="O1424" s="1" t="s">
        <v>9956</v>
      </c>
      <c r="P1424" s="1" t="s">
        <v>16</v>
      </c>
      <c r="Q1424" s="1">
        <v>100</v>
      </c>
      <c r="R1424" s="1">
        <v>0</v>
      </c>
      <c r="S1424" s="1">
        <v>0</v>
      </c>
    </row>
    <row r="1425" spans="1:19" ht="12.5" x14ac:dyDescent="0.25">
      <c r="A1425" s="1">
        <v>1449</v>
      </c>
      <c r="B1425" s="1" t="s">
        <v>4793</v>
      </c>
      <c r="C1425" s="1" t="s">
        <v>35</v>
      </c>
      <c r="D1425" s="1" t="s">
        <v>152</v>
      </c>
      <c r="E1425" s="1">
        <v>1162</v>
      </c>
      <c r="F1425" s="1" t="s">
        <v>4794</v>
      </c>
      <c r="G1425" s="1" t="s">
        <v>4096</v>
      </c>
      <c r="H1425" s="1" t="s">
        <v>16</v>
      </c>
      <c r="I1425" s="1" t="s">
        <v>29</v>
      </c>
      <c r="J1425" s="1" t="s">
        <v>16</v>
      </c>
      <c r="K1425" s="1" t="b">
        <v>0</v>
      </c>
      <c r="L1425" s="1" t="s">
        <v>22</v>
      </c>
      <c r="M1425" s="1" t="s">
        <v>16</v>
      </c>
      <c r="N1425" s="1" t="s">
        <v>16</v>
      </c>
      <c r="O1425" s="1" t="s">
        <v>9956</v>
      </c>
      <c r="P1425" s="1" t="s">
        <v>16</v>
      </c>
      <c r="Q1425" s="1">
        <v>100</v>
      </c>
      <c r="R1425" s="1">
        <v>300000</v>
      </c>
      <c r="S1425" s="1">
        <v>300000</v>
      </c>
    </row>
    <row r="1426" spans="1:19" ht="12.5" x14ac:dyDescent="0.25">
      <c r="A1426" s="1">
        <v>1450</v>
      </c>
      <c r="B1426" s="1" t="s">
        <v>4795</v>
      </c>
      <c r="C1426" s="1" t="s">
        <v>35</v>
      </c>
      <c r="D1426" s="1" t="s">
        <v>152</v>
      </c>
      <c r="E1426" s="1">
        <v>1163</v>
      </c>
      <c r="F1426" s="1" t="s">
        <v>4797</v>
      </c>
      <c r="G1426" s="1" t="s">
        <v>4798</v>
      </c>
      <c r="H1426" s="1" t="s">
        <v>16</v>
      </c>
      <c r="I1426" s="1" t="s">
        <v>29</v>
      </c>
      <c r="J1426" s="1" t="s">
        <v>4799</v>
      </c>
      <c r="K1426" s="1" t="b">
        <v>0</v>
      </c>
      <c r="L1426" s="1" t="s">
        <v>22</v>
      </c>
      <c r="M1426" s="1" t="s">
        <v>16</v>
      </c>
      <c r="N1426" s="1" t="s">
        <v>16</v>
      </c>
      <c r="O1426" s="1" t="s">
        <v>9956</v>
      </c>
      <c r="P1426" s="1" t="s">
        <v>16</v>
      </c>
      <c r="Q1426" s="1">
        <v>100</v>
      </c>
      <c r="R1426" s="1">
        <v>75000</v>
      </c>
      <c r="S1426" s="1">
        <v>75000</v>
      </c>
    </row>
    <row r="1427" spans="1:19" ht="12.5" x14ac:dyDescent="0.25">
      <c r="A1427" s="1">
        <v>1451</v>
      </c>
      <c r="B1427" s="1" t="s">
        <v>4800</v>
      </c>
      <c r="C1427" s="1" t="s">
        <v>35</v>
      </c>
      <c r="D1427" s="1" t="s">
        <v>152</v>
      </c>
      <c r="E1427" s="1">
        <v>1164</v>
      </c>
      <c r="F1427" s="1" t="s">
        <v>4802</v>
      </c>
      <c r="G1427" s="1" t="s">
        <v>4803</v>
      </c>
      <c r="H1427" s="1" t="s">
        <v>16</v>
      </c>
      <c r="I1427" s="1" t="s">
        <v>29</v>
      </c>
      <c r="J1427" s="1" t="s">
        <v>4804</v>
      </c>
      <c r="K1427" s="1" t="b">
        <v>1</v>
      </c>
      <c r="L1427" s="1" t="s">
        <v>31</v>
      </c>
      <c r="M1427" s="1">
        <v>2022</v>
      </c>
      <c r="N1427" s="1" t="s">
        <v>32</v>
      </c>
      <c r="O1427" s="1" t="s">
        <v>9956</v>
      </c>
      <c r="P1427" s="1" t="s">
        <v>16</v>
      </c>
      <c r="Q1427" s="1">
        <v>100</v>
      </c>
      <c r="R1427" s="1">
        <v>10000</v>
      </c>
      <c r="S1427" s="1">
        <v>10000</v>
      </c>
    </row>
    <row r="1428" spans="1:19" ht="12.5" x14ac:dyDescent="0.25">
      <c r="A1428" s="1">
        <v>1453</v>
      </c>
      <c r="B1428" s="1" t="s">
        <v>4805</v>
      </c>
      <c r="C1428" s="1" t="s">
        <v>35</v>
      </c>
      <c r="D1428" s="1" t="s">
        <v>152</v>
      </c>
      <c r="E1428" s="1">
        <v>1165</v>
      </c>
      <c r="F1428" s="1" t="s">
        <v>4807</v>
      </c>
      <c r="G1428" s="1" t="s">
        <v>4808</v>
      </c>
      <c r="H1428" s="1" t="s">
        <v>16</v>
      </c>
      <c r="I1428" s="1" t="s">
        <v>29</v>
      </c>
      <c r="J1428" s="1" t="s">
        <v>4809</v>
      </c>
      <c r="K1428" s="1" t="b">
        <v>1</v>
      </c>
      <c r="L1428" s="1" t="s">
        <v>31</v>
      </c>
      <c r="M1428" s="1">
        <v>2022</v>
      </c>
      <c r="N1428" s="1" t="s">
        <v>45</v>
      </c>
      <c r="O1428" s="1" t="s">
        <v>9956</v>
      </c>
      <c r="P1428" s="1" t="s">
        <v>16</v>
      </c>
      <c r="Q1428" s="1">
        <v>100</v>
      </c>
      <c r="R1428" s="1">
        <v>10000</v>
      </c>
      <c r="S1428" s="1">
        <v>10000</v>
      </c>
    </row>
    <row r="1429" spans="1:19" ht="12.5" x14ac:dyDescent="0.25">
      <c r="A1429" s="1">
        <v>1454</v>
      </c>
      <c r="B1429" s="1" t="s">
        <v>4810</v>
      </c>
      <c r="C1429" s="1" t="s">
        <v>35</v>
      </c>
      <c r="D1429" s="1" t="s">
        <v>152</v>
      </c>
      <c r="E1429" s="1">
        <v>1166</v>
      </c>
      <c r="F1429" s="1" t="s">
        <v>4811</v>
      </c>
      <c r="G1429" s="1" t="s">
        <v>4812</v>
      </c>
      <c r="H1429" s="1" t="s">
        <v>16</v>
      </c>
      <c r="I1429" s="1" t="s">
        <v>29</v>
      </c>
      <c r="J1429" s="1" t="s">
        <v>4813</v>
      </c>
      <c r="K1429" s="1" t="b">
        <v>1</v>
      </c>
      <c r="L1429" s="1" t="s">
        <v>31</v>
      </c>
      <c r="M1429" s="1">
        <v>2022</v>
      </c>
      <c r="N1429" s="1" t="s">
        <v>45</v>
      </c>
      <c r="O1429" s="1" t="s">
        <v>9956</v>
      </c>
      <c r="P1429" s="1" t="s">
        <v>10032</v>
      </c>
      <c r="Q1429" s="1">
        <v>100</v>
      </c>
      <c r="R1429" s="1">
        <v>10000</v>
      </c>
      <c r="S1429" s="1">
        <v>10000</v>
      </c>
    </row>
    <row r="1430" spans="1:19" ht="12.5" x14ac:dyDescent="0.25">
      <c r="A1430" s="1">
        <v>1455</v>
      </c>
      <c r="B1430" s="1" t="s">
        <v>4814</v>
      </c>
      <c r="C1430" s="1" t="s">
        <v>35</v>
      </c>
      <c r="D1430" s="1" t="s">
        <v>152</v>
      </c>
      <c r="E1430" s="1">
        <v>1167</v>
      </c>
      <c r="F1430" s="1" t="s">
        <v>4815</v>
      </c>
      <c r="G1430" s="1" t="s">
        <v>4816</v>
      </c>
      <c r="H1430" s="1" t="s">
        <v>16</v>
      </c>
      <c r="I1430" s="1" t="s">
        <v>29</v>
      </c>
      <c r="J1430" s="1" t="s">
        <v>4817</v>
      </c>
      <c r="K1430" s="1" t="b">
        <v>1</v>
      </c>
      <c r="L1430" s="1" t="s">
        <v>31</v>
      </c>
      <c r="M1430" s="1">
        <v>2022</v>
      </c>
      <c r="N1430" s="1" t="s">
        <v>45</v>
      </c>
      <c r="O1430" s="1" t="s">
        <v>9956</v>
      </c>
      <c r="P1430" s="1" t="s">
        <v>16</v>
      </c>
      <c r="Q1430" s="1">
        <v>100</v>
      </c>
      <c r="R1430" s="1">
        <v>10000</v>
      </c>
      <c r="S1430" s="1">
        <v>10000</v>
      </c>
    </row>
    <row r="1431" spans="1:19" ht="12.5" x14ac:dyDescent="0.25">
      <c r="A1431" s="1">
        <v>1456</v>
      </c>
      <c r="B1431" s="1" t="s">
        <v>4818</v>
      </c>
      <c r="C1431" s="1" t="s">
        <v>35</v>
      </c>
      <c r="D1431" s="1" t="s">
        <v>152</v>
      </c>
      <c r="E1431" s="1">
        <v>1168</v>
      </c>
      <c r="F1431" s="1" t="s">
        <v>4819</v>
      </c>
      <c r="G1431" s="1" t="s">
        <v>4820</v>
      </c>
      <c r="H1431" s="1" t="s">
        <v>16</v>
      </c>
      <c r="I1431" s="1" t="s">
        <v>29</v>
      </c>
      <c r="J1431" s="1" t="s">
        <v>4821</v>
      </c>
      <c r="K1431" s="1" t="b">
        <v>1</v>
      </c>
      <c r="L1431" s="1" t="s">
        <v>31</v>
      </c>
      <c r="M1431" s="1">
        <v>2022</v>
      </c>
      <c r="N1431" s="1" t="s">
        <v>45</v>
      </c>
      <c r="O1431" s="1" t="s">
        <v>9956</v>
      </c>
      <c r="P1431" s="1" t="s">
        <v>16</v>
      </c>
      <c r="Q1431" s="1">
        <v>100</v>
      </c>
      <c r="R1431" s="1">
        <v>5000</v>
      </c>
      <c r="S1431" s="1">
        <v>5000</v>
      </c>
    </row>
    <row r="1432" spans="1:19" ht="12.5" x14ac:dyDescent="0.25">
      <c r="A1432" s="1">
        <v>1457</v>
      </c>
      <c r="B1432" s="1" t="s">
        <v>4822</v>
      </c>
      <c r="C1432" s="1" t="s">
        <v>35</v>
      </c>
      <c r="D1432" s="1" t="s">
        <v>152</v>
      </c>
      <c r="E1432" s="1">
        <v>1169</v>
      </c>
      <c r="F1432" s="1" t="s">
        <v>4824</v>
      </c>
      <c r="G1432" s="1" t="s">
        <v>4825</v>
      </c>
      <c r="H1432" s="1" t="s">
        <v>16</v>
      </c>
      <c r="I1432" s="1" t="s">
        <v>29</v>
      </c>
      <c r="J1432" s="1" t="s">
        <v>4826</v>
      </c>
      <c r="K1432" s="1" t="b">
        <v>0</v>
      </c>
      <c r="L1432" s="1" t="s">
        <v>22</v>
      </c>
      <c r="M1432" s="1" t="s">
        <v>16</v>
      </c>
      <c r="N1432" s="1" t="s">
        <v>16</v>
      </c>
      <c r="O1432" s="1" t="s">
        <v>16</v>
      </c>
      <c r="P1432" s="1" t="s">
        <v>16</v>
      </c>
      <c r="Q1432" s="1">
        <v>100</v>
      </c>
    </row>
    <row r="1433" spans="1:19" ht="12.5" x14ac:dyDescent="0.25">
      <c r="A1433" s="1">
        <v>1458</v>
      </c>
      <c r="B1433" s="1" t="s">
        <v>4827</v>
      </c>
      <c r="C1433" s="1" t="s">
        <v>35</v>
      </c>
      <c r="D1433" s="1" t="s">
        <v>152</v>
      </c>
      <c r="E1433" s="1">
        <v>1170</v>
      </c>
      <c r="F1433" s="1" t="s">
        <v>4829</v>
      </c>
      <c r="G1433" s="1" t="s">
        <v>4830</v>
      </c>
      <c r="H1433" s="1" t="s">
        <v>16</v>
      </c>
      <c r="I1433" s="1" t="s">
        <v>29</v>
      </c>
      <c r="J1433" s="1" t="s">
        <v>4831</v>
      </c>
      <c r="K1433" s="1" t="b">
        <v>1</v>
      </c>
      <c r="L1433" s="1" t="s">
        <v>31</v>
      </c>
      <c r="M1433" s="1">
        <v>2022</v>
      </c>
      <c r="N1433" s="1" t="s">
        <v>45</v>
      </c>
      <c r="O1433" s="1" t="s">
        <v>9956</v>
      </c>
      <c r="P1433" s="1" t="s">
        <v>16</v>
      </c>
      <c r="Q1433" s="1">
        <v>100</v>
      </c>
      <c r="R1433" s="1">
        <v>40000</v>
      </c>
      <c r="S1433" s="1">
        <v>40000</v>
      </c>
    </row>
    <row r="1434" spans="1:19" ht="12.5" x14ac:dyDescent="0.25">
      <c r="A1434" s="1">
        <v>1459</v>
      </c>
      <c r="B1434" s="1" t="s">
        <v>4832</v>
      </c>
      <c r="C1434" s="1" t="s">
        <v>35</v>
      </c>
      <c r="D1434" s="1" t="s">
        <v>152</v>
      </c>
      <c r="E1434" s="1">
        <v>1171</v>
      </c>
      <c r="F1434" s="1" t="s">
        <v>4834</v>
      </c>
      <c r="G1434" s="1" t="s">
        <v>4835</v>
      </c>
      <c r="H1434" s="1" t="s">
        <v>16</v>
      </c>
      <c r="I1434" s="1" t="s">
        <v>29</v>
      </c>
      <c r="J1434" s="1" t="s">
        <v>4836</v>
      </c>
      <c r="K1434" s="1" t="b">
        <v>1</v>
      </c>
      <c r="L1434" s="1" t="s">
        <v>31</v>
      </c>
      <c r="M1434" s="1">
        <v>2022</v>
      </c>
      <c r="N1434" s="1" t="s">
        <v>45</v>
      </c>
      <c r="O1434" s="1" t="s">
        <v>9956</v>
      </c>
      <c r="P1434" s="1"/>
      <c r="Q1434" s="1">
        <v>100</v>
      </c>
      <c r="R1434" s="1">
        <v>500</v>
      </c>
      <c r="S1434" s="1">
        <v>500</v>
      </c>
    </row>
    <row r="1435" spans="1:19" ht="12.5" x14ac:dyDescent="0.25">
      <c r="A1435" s="1">
        <v>1461</v>
      </c>
      <c r="B1435" s="1" t="s">
        <v>4837</v>
      </c>
      <c r="C1435" s="1" t="s">
        <v>35</v>
      </c>
      <c r="D1435" s="1" t="s">
        <v>152</v>
      </c>
      <c r="E1435" s="1">
        <v>1172</v>
      </c>
      <c r="F1435" s="1" t="s">
        <v>4839</v>
      </c>
      <c r="G1435" s="1" t="s">
        <v>4840</v>
      </c>
      <c r="H1435" s="1" t="s">
        <v>16</v>
      </c>
      <c r="I1435" s="1" t="s">
        <v>29</v>
      </c>
      <c r="J1435" s="1" t="s">
        <v>4841</v>
      </c>
      <c r="K1435" s="1" t="b">
        <v>0</v>
      </c>
      <c r="L1435" s="1" t="s">
        <v>22</v>
      </c>
      <c r="M1435" s="1">
        <v>2023</v>
      </c>
      <c r="N1435" s="1" t="s">
        <v>16</v>
      </c>
      <c r="O1435" s="1" t="s">
        <v>9956</v>
      </c>
      <c r="P1435" s="1" t="s">
        <v>16</v>
      </c>
      <c r="Q1435" s="1">
        <v>100</v>
      </c>
      <c r="R1435" s="1">
        <v>7475</v>
      </c>
      <c r="S1435" s="1">
        <v>7475</v>
      </c>
    </row>
    <row r="1436" spans="1:19" ht="12.5" x14ac:dyDescent="0.25">
      <c r="A1436" s="1">
        <v>1464</v>
      </c>
      <c r="B1436" s="1" t="s">
        <v>4842</v>
      </c>
      <c r="C1436" s="1" t="s">
        <v>35</v>
      </c>
      <c r="D1436" s="1" t="s">
        <v>152</v>
      </c>
      <c r="E1436" s="1">
        <v>1173</v>
      </c>
      <c r="F1436" s="1" t="s">
        <v>4843</v>
      </c>
      <c r="G1436" s="1" t="s">
        <v>4844</v>
      </c>
      <c r="H1436" s="1" t="s">
        <v>16</v>
      </c>
      <c r="I1436" s="1" t="s">
        <v>29</v>
      </c>
      <c r="J1436" s="1" t="s">
        <v>4845</v>
      </c>
      <c r="K1436" s="1" t="b">
        <v>0</v>
      </c>
      <c r="L1436" s="1" t="s">
        <v>22</v>
      </c>
      <c r="M1436" s="1" t="s">
        <v>16</v>
      </c>
      <c r="N1436" s="1" t="s">
        <v>16</v>
      </c>
      <c r="O1436" s="1" t="s">
        <v>16</v>
      </c>
      <c r="P1436" s="1" t="s">
        <v>16</v>
      </c>
      <c r="Q1436" s="1">
        <v>100</v>
      </c>
    </row>
    <row r="1437" spans="1:19" ht="12.5" x14ac:dyDescent="0.25">
      <c r="A1437" s="1">
        <v>1467</v>
      </c>
      <c r="B1437" s="1" t="s">
        <v>4846</v>
      </c>
      <c r="C1437" s="1" t="s">
        <v>35</v>
      </c>
      <c r="D1437" s="1" t="s">
        <v>152</v>
      </c>
      <c r="E1437" s="1">
        <v>1174</v>
      </c>
      <c r="F1437" s="1" t="s">
        <v>4847</v>
      </c>
      <c r="G1437" s="1" t="s">
        <v>4848</v>
      </c>
      <c r="H1437" s="1" t="s">
        <v>16</v>
      </c>
      <c r="I1437" s="1" t="s">
        <v>29</v>
      </c>
      <c r="J1437" s="1" t="s">
        <v>16</v>
      </c>
      <c r="K1437" s="1" t="b">
        <v>0</v>
      </c>
      <c r="L1437" s="1" t="s">
        <v>22</v>
      </c>
      <c r="M1437" s="1" t="s">
        <v>16</v>
      </c>
      <c r="N1437" s="1" t="s">
        <v>16</v>
      </c>
      <c r="O1437" s="1" t="s">
        <v>9956</v>
      </c>
      <c r="P1437" s="1" t="s">
        <v>16</v>
      </c>
      <c r="Q1437" s="1">
        <v>100</v>
      </c>
      <c r="R1437" s="1">
        <v>24000</v>
      </c>
      <c r="S1437" s="1">
        <v>24000</v>
      </c>
    </row>
    <row r="1438" spans="1:19" ht="12.5" x14ac:dyDescent="0.25">
      <c r="A1438" s="1">
        <v>1468</v>
      </c>
      <c r="B1438" s="1" t="s">
        <v>4849</v>
      </c>
      <c r="C1438" s="1" t="s">
        <v>35</v>
      </c>
      <c r="D1438" s="1" t="s">
        <v>152</v>
      </c>
      <c r="E1438" s="1">
        <v>1175</v>
      </c>
      <c r="F1438" s="1" t="s">
        <v>4851</v>
      </c>
      <c r="G1438" s="1" t="s">
        <v>4852</v>
      </c>
      <c r="H1438" s="1" t="s">
        <v>4853</v>
      </c>
      <c r="I1438" s="1" t="s">
        <v>29</v>
      </c>
      <c r="J1438" s="1" t="s">
        <v>4854</v>
      </c>
      <c r="K1438" s="1" t="b">
        <v>1</v>
      </c>
      <c r="L1438" s="1" t="s">
        <v>31</v>
      </c>
      <c r="M1438" s="1">
        <v>2022</v>
      </c>
      <c r="N1438" s="1" t="s">
        <v>23</v>
      </c>
      <c r="O1438" s="1" t="s">
        <v>9956</v>
      </c>
      <c r="P1438" s="1" t="s">
        <v>16</v>
      </c>
      <c r="Q1438" s="1">
        <v>100</v>
      </c>
      <c r="R1438" s="1">
        <v>15000</v>
      </c>
      <c r="S1438" s="1">
        <v>15000</v>
      </c>
    </row>
    <row r="1439" spans="1:19" ht="12.5" x14ac:dyDescent="0.25">
      <c r="A1439" s="1">
        <v>1469</v>
      </c>
      <c r="B1439" s="1" t="s">
        <v>4855</v>
      </c>
      <c r="C1439" s="1" t="s">
        <v>35</v>
      </c>
      <c r="D1439" s="1" t="s">
        <v>152</v>
      </c>
      <c r="E1439" s="1">
        <v>1176</v>
      </c>
      <c r="F1439" s="1" t="s">
        <v>4857</v>
      </c>
      <c r="G1439" s="1" t="s">
        <v>4858</v>
      </c>
      <c r="H1439" s="1" t="s">
        <v>16</v>
      </c>
      <c r="I1439" s="1" t="s">
        <v>29</v>
      </c>
      <c r="J1439" s="1" t="s">
        <v>4859</v>
      </c>
      <c r="K1439" s="1" t="b">
        <v>1</v>
      </c>
      <c r="L1439" s="1" t="s">
        <v>31</v>
      </c>
      <c r="M1439" s="1">
        <v>2022</v>
      </c>
      <c r="N1439" s="1" t="s">
        <v>45</v>
      </c>
      <c r="O1439" s="1" t="s">
        <v>9956</v>
      </c>
      <c r="P1439" s="1" t="s">
        <v>16</v>
      </c>
      <c r="Q1439" s="1">
        <v>100</v>
      </c>
      <c r="R1439" s="1">
        <v>150000</v>
      </c>
      <c r="S1439" s="1">
        <v>150000</v>
      </c>
    </row>
    <row r="1440" spans="1:19" ht="12.5" x14ac:dyDescent="0.25">
      <c r="A1440" s="1">
        <v>1474</v>
      </c>
      <c r="B1440" s="1" t="s">
        <v>4860</v>
      </c>
      <c r="C1440" s="1" t="s">
        <v>35</v>
      </c>
      <c r="D1440" s="1" t="s">
        <v>152</v>
      </c>
      <c r="E1440" s="1">
        <v>1177</v>
      </c>
      <c r="F1440" s="1" t="s">
        <v>4862</v>
      </c>
      <c r="G1440" s="1" t="s">
        <v>2153</v>
      </c>
      <c r="H1440" s="1" t="s">
        <v>4863</v>
      </c>
      <c r="I1440" s="1" t="s">
        <v>29</v>
      </c>
      <c r="J1440" s="1" t="s">
        <v>16</v>
      </c>
      <c r="K1440" s="1" t="b">
        <v>0</v>
      </c>
      <c r="L1440" s="1" t="s">
        <v>22</v>
      </c>
      <c r="M1440" s="1">
        <v>2022</v>
      </c>
      <c r="N1440" s="1" t="s">
        <v>16</v>
      </c>
      <c r="O1440" s="1" t="s">
        <v>9935</v>
      </c>
      <c r="P1440" s="1" t="s">
        <v>16</v>
      </c>
      <c r="Q1440" s="1">
        <v>100</v>
      </c>
      <c r="R1440" s="1">
        <v>2000</v>
      </c>
      <c r="S1440" s="1">
        <v>2000</v>
      </c>
    </row>
    <row r="1441" spans="1:19" ht="12.5" x14ac:dyDescent="0.25">
      <c r="A1441" s="1">
        <v>1475</v>
      </c>
      <c r="B1441" s="1" t="s">
        <v>4864</v>
      </c>
      <c r="C1441" s="1" t="s">
        <v>35</v>
      </c>
      <c r="D1441" s="1" t="s">
        <v>152</v>
      </c>
      <c r="E1441" s="1">
        <v>1178</v>
      </c>
      <c r="F1441" s="1" t="s">
        <v>4866</v>
      </c>
      <c r="G1441" s="1" t="s">
        <v>4867</v>
      </c>
      <c r="H1441" s="1" t="s">
        <v>16</v>
      </c>
      <c r="I1441" s="1" t="s">
        <v>29</v>
      </c>
      <c r="J1441" s="1" t="s">
        <v>4868</v>
      </c>
      <c r="K1441" s="1" t="b">
        <v>0</v>
      </c>
      <c r="L1441" s="1" t="s">
        <v>22</v>
      </c>
      <c r="M1441" s="1" t="s">
        <v>16</v>
      </c>
      <c r="N1441" s="1" t="s">
        <v>16</v>
      </c>
      <c r="O1441" s="1" t="s">
        <v>9956</v>
      </c>
      <c r="P1441" s="1" t="s">
        <v>16</v>
      </c>
      <c r="Q1441" s="1">
        <v>100</v>
      </c>
      <c r="R1441" s="1">
        <v>15000</v>
      </c>
      <c r="S1441" s="1">
        <v>15000</v>
      </c>
    </row>
    <row r="1442" spans="1:19" ht="12.5" x14ac:dyDescent="0.25">
      <c r="A1442" s="1">
        <v>1476</v>
      </c>
      <c r="B1442" s="1" t="s">
        <v>4869</v>
      </c>
      <c r="C1442" s="1" t="s">
        <v>35</v>
      </c>
      <c r="D1442" s="1" t="s">
        <v>152</v>
      </c>
      <c r="E1442" s="1">
        <v>1179</v>
      </c>
      <c r="F1442" s="1" t="s">
        <v>4871</v>
      </c>
      <c r="G1442" s="1" t="s">
        <v>4872</v>
      </c>
      <c r="H1442" s="1" t="s">
        <v>16</v>
      </c>
      <c r="I1442" s="1" t="s">
        <v>29</v>
      </c>
      <c r="J1442" s="1" t="s">
        <v>4873</v>
      </c>
      <c r="K1442" s="1" t="b">
        <v>0</v>
      </c>
      <c r="L1442" s="1" t="s">
        <v>22</v>
      </c>
      <c r="M1442" s="1">
        <v>2022</v>
      </c>
      <c r="N1442" s="1" t="s">
        <v>23</v>
      </c>
      <c r="O1442" s="1" t="s">
        <v>9935</v>
      </c>
      <c r="P1442" s="1" t="s">
        <v>10033</v>
      </c>
      <c r="Q1442" s="1">
        <v>100</v>
      </c>
      <c r="R1442" s="1">
        <v>30000</v>
      </c>
      <c r="S1442" s="1">
        <v>30000</v>
      </c>
    </row>
    <row r="1443" spans="1:19" ht="12.5" x14ac:dyDescent="0.25">
      <c r="A1443" s="1">
        <v>1477</v>
      </c>
      <c r="B1443" s="1" t="s">
        <v>4874</v>
      </c>
      <c r="C1443" s="1" t="s">
        <v>35</v>
      </c>
      <c r="D1443" s="1" t="s">
        <v>152</v>
      </c>
      <c r="E1443" s="1">
        <v>1180</v>
      </c>
      <c r="F1443" s="1" t="s">
        <v>4876</v>
      </c>
      <c r="G1443" s="1" t="s">
        <v>4877</v>
      </c>
      <c r="H1443" s="1" t="s">
        <v>16</v>
      </c>
      <c r="I1443" s="1" t="s">
        <v>29</v>
      </c>
      <c r="J1443" s="1" t="s">
        <v>16</v>
      </c>
      <c r="K1443" s="1" t="b">
        <v>0</v>
      </c>
      <c r="L1443" s="1" t="s">
        <v>22</v>
      </c>
      <c r="M1443" s="1">
        <v>2022</v>
      </c>
      <c r="N1443" s="1" t="s">
        <v>23</v>
      </c>
      <c r="O1443" s="1" t="s">
        <v>9935</v>
      </c>
      <c r="P1443" s="1" t="s">
        <v>10033</v>
      </c>
      <c r="Q1443" s="1">
        <v>100</v>
      </c>
      <c r="R1443" s="1">
        <v>30000</v>
      </c>
      <c r="S1443" s="1">
        <v>30000</v>
      </c>
    </row>
    <row r="1444" spans="1:19" ht="12.5" x14ac:dyDescent="0.25">
      <c r="A1444" s="1">
        <v>1478</v>
      </c>
      <c r="B1444" s="1" t="s">
        <v>4878</v>
      </c>
      <c r="C1444" s="1" t="s">
        <v>35</v>
      </c>
      <c r="D1444" s="1" t="s">
        <v>152</v>
      </c>
      <c r="E1444" s="1">
        <v>1181</v>
      </c>
      <c r="F1444" s="1" t="s">
        <v>4880</v>
      </c>
      <c r="G1444" s="1" t="s">
        <v>4881</v>
      </c>
      <c r="H1444" s="1" t="s">
        <v>4882</v>
      </c>
      <c r="I1444" s="1" t="s">
        <v>29</v>
      </c>
      <c r="J1444" s="1" t="s">
        <v>4883</v>
      </c>
      <c r="K1444" s="1" t="b">
        <v>0</v>
      </c>
      <c r="L1444" s="1" t="s">
        <v>22</v>
      </c>
      <c r="M1444" s="1">
        <v>2021</v>
      </c>
      <c r="N1444" s="1" t="s">
        <v>52</v>
      </c>
      <c r="O1444" s="1" t="s">
        <v>9956</v>
      </c>
      <c r="P1444" s="1" t="s">
        <v>16</v>
      </c>
      <c r="Q1444" s="1">
        <v>100</v>
      </c>
      <c r="R1444" s="1">
        <v>2500</v>
      </c>
      <c r="S1444" s="1">
        <v>2500</v>
      </c>
    </row>
    <row r="1445" spans="1:19" ht="12.5" x14ac:dyDescent="0.25">
      <c r="A1445" s="1">
        <v>1479</v>
      </c>
      <c r="B1445" s="1" t="s">
        <v>4884</v>
      </c>
      <c r="C1445" s="1" t="s">
        <v>35</v>
      </c>
      <c r="D1445" s="1" t="s">
        <v>152</v>
      </c>
      <c r="E1445" s="1">
        <v>1182</v>
      </c>
      <c r="F1445" s="1" t="s">
        <v>4885</v>
      </c>
      <c r="G1445" s="1" t="s">
        <v>4886</v>
      </c>
      <c r="H1445" s="1" t="s">
        <v>4887</v>
      </c>
      <c r="I1445" s="1" t="s">
        <v>29</v>
      </c>
      <c r="J1445" s="1" t="s">
        <v>4888</v>
      </c>
      <c r="K1445" s="1" t="b">
        <v>0</v>
      </c>
      <c r="L1445" s="1" t="s">
        <v>22</v>
      </c>
      <c r="M1445" s="1">
        <v>2022</v>
      </c>
      <c r="N1445" s="1" t="s">
        <v>16</v>
      </c>
      <c r="O1445" s="1" t="s">
        <v>9956</v>
      </c>
      <c r="P1445" s="1" t="s">
        <v>16</v>
      </c>
      <c r="Q1445" s="1">
        <v>100</v>
      </c>
      <c r="R1445" s="1">
        <v>48780</v>
      </c>
      <c r="S1445" s="1">
        <v>48780</v>
      </c>
    </row>
    <row r="1446" spans="1:19" ht="12.5" x14ac:dyDescent="0.25">
      <c r="A1446" s="1">
        <v>1480</v>
      </c>
      <c r="B1446" s="1" t="s">
        <v>4889</v>
      </c>
      <c r="C1446" s="1" t="s">
        <v>35</v>
      </c>
      <c r="D1446" s="1" t="s">
        <v>152</v>
      </c>
      <c r="E1446" s="1">
        <v>1183</v>
      </c>
      <c r="F1446" s="1" t="s">
        <v>4891</v>
      </c>
      <c r="G1446" s="1" t="s">
        <v>4892</v>
      </c>
      <c r="H1446" s="1" t="s">
        <v>16</v>
      </c>
      <c r="I1446" s="1" t="s">
        <v>29</v>
      </c>
      <c r="J1446" s="1" t="s">
        <v>4893</v>
      </c>
      <c r="K1446" s="1" t="b">
        <v>0</v>
      </c>
      <c r="L1446" s="1" t="s">
        <v>22</v>
      </c>
      <c r="M1446" s="1" t="s">
        <v>16</v>
      </c>
      <c r="N1446" s="1" t="s">
        <v>16</v>
      </c>
      <c r="O1446" s="1" t="s">
        <v>16</v>
      </c>
      <c r="P1446" s="1" t="s">
        <v>16</v>
      </c>
      <c r="Q1446" s="1">
        <v>100</v>
      </c>
    </row>
    <row r="1447" spans="1:19" ht="12.5" x14ac:dyDescent="0.25">
      <c r="A1447" s="1">
        <v>1481</v>
      </c>
      <c r="B1447" s="1" t="s">
        <v>4894</v>
      </c>
      <c r="C1447" s="1" t="s">
        <v>35</v>
      </c>
      <c r="D1447" s="1" t="s">
        <v>152</v>
      </c>
      <c r="E1447" s="1">
        <v>1184</v>
      </c>
      <c r="F1447" s="1" t="s">
        <v>4896</v>
      </c>
      <c r="G1447" s="1" t="s">
        <v>4897</v>
      </c>
      <c r="H1447" s="1" t="s">
        <v>16</v>
      </c>
      <c r="I1447" s="1" t="s">
        <v>29</v>
      </c>
      <c r="J1447" s="1" t="s">
        <v>4898</v>
      </c>
      <c r="K1447" s="1" t="b">
        <v>0</v>
      </c>
      <c r="L1447" s="1" t="s">
        <v>22</v>
      </c>
      <c r="M1447" s="1" t="s">
        <v>16</v>
      </c>
      <c r="N1447" s="1" t="s">
        <v>16</v>
      </c>
      <c r="O1447" s="1" t="s">
        <v>16</v>
      </c>
      <c r="P1447" s="1" t="s">
        <v>16</v>
      </c>
      <c r="Q1447" s="1">
        <v>100</v>
      </c>
    </row>
    <row r="1448" spans="1:19" ht="12.5" x14ac:dyDescent="0.25">
      <c r="A1448" s="1">
        <v>1482</v>
      </c>
      <c r="B1448" s="1" t="s">
        <v>4899</v>
      </c>
      <c r="C1448" s="1" t="s">
        <v>35</v>
      </c>
      <c r="D1448" s="1" t="s">
        <v>152</v>
      </c>
      <c r="E1448" s="1">
        <v>1185</v>
      </c>
      <c r="F1448" s="1" t="s">
        <v>4901</v>
      </c>
      <c r="G1448" s="1" t="s">
        <v>4902</v>
      </c>
      <c r="H1448" s="1" t="s">
        <v>16</v>
      </c>
      <c r="I1448" s="1" t="s">
        <v>29</v>
      </c>
      <c r="J1448" s="1" t="s">
        <v>4903</v>
      </c>
      <c r="K1448" s="1" t="b">
        <v>0</v>
      </c>
      <c r="L1448" s="1" t="s">
        <v>22</v>
      </c>
      <c r="M1448" s="1" t="s">
        <v>16</v>
      </c>
      <c r="N1448" s="1" t="s">
        <v>16</v>
      </c>
      <c r="O1448" s="1" t="s">
        <v>9956</v>
      </c>
      <c r="P1448" s="1" t="s">
        <v>16</v>
      </c>
      <c r="Q1448" s="1">
        <v>100</v>
      </c>
      <c r="R1448" s="1">
        <v>200000</v>
      </c>
      <c r="S1448" s="1">
        <v>200000</v>
      </c>
    </row>
    <row r="1449" spans="1:19" ht="12.5" x14ac:dyDescent="0.25">
      <c r="A1449" s="1">
        <v>1483</v>
      </c>
      <c r="B1449" s="1" t="s">
        <v>4904</v>
      </c>
      <c r="C1449" s="1" t="s">
        <v>35</v>
      </c>
      <c r="D1449" s="1" t="s">
        <v>152</v>
      </c>
      <c r="E1449" s="1">
        <v>1186</v>
      </c>
      <c r="F1449" s="1" t="s">
        <v>4906</v>
      </c>
      <c r="G1449" s="1" t="s">
        <v>4907</v>
      </c>
      <c r="H1449" s="1" t="s">
        <v>16</v>
      </c>
      <c r="I1449" s="1" t="s">
        <v>29</v>
      </c>
      <c r="J1449" s="1" t="s">
        <v>4908</v>
      </c>
      <c r="K1449" s="1" t="b">
        <v>0</v>
      </c>
      <c r="L1449" s="1" t="s">
        <v>22</v>
      </c>
      <c r="M1449" s="1">
        <v>2022</v>
      </c>
      <c r="N1449" s="1" t="s">
        <v>45</v>
      </c>
      <c r="O1449" s="1" t="s">
        <v>9956</v>
      </c>
      <c r="P1449" s="1" t="s">
        <v>16</v>
      </c>
      <c r="Q1449" s="1">
        <v>100</v>
      </c>
      <c r="R1449" s="1">
        <v>40000</v>
      </c>
      <c r="S1449" s="1">
        <v>40000</v>
      </c>
    </row>
    <row r="1450" spans="1:19" ht="12.5" x14ac:dyDescent="0.25">
      <c r="A1450" s="1">
        <v>1485</v>
      </c>
      <c r="B1450" s="1" t="s">
        <v>4909</v>
      </c>
      <c r="C1450" s="1" t="s">
        <v>35</v>
      </c>
      <c r="D1450" s="1" t="s">
        <v>152</v>
      </c>
      <c r="E1450" s="1">
        <v>1187</v>
      </c>
      <c r="F1450" s="1" t="s">
        <v>4911</v>
      </c>
      <c r="G1450" s="1" t="s">
        <v>4912</v>
      </c>
      <c r="H1450" s="1" t="s">
        <v>16</v>
      </c>
      <c r="I1450" s="1" t="s">
        <v>29</v>
      </c>
      <c r="J1450" s="1" t="s">
        <v>4913</v>
      </c>
      <c r="K1450" s="1" t="b">
        <v>0</v>
      </c>
      <c r="L1450" s="1" t="s">
        <v>22</v>
      </c>
      <c r="M1450" s="1" t="s">
        <v>16</v>
      </c>
      <c r="N1450" s="1" t="s">
        <v>16</v>
      </c>
      <c r="O1450" s="1" t="s">
        <v>16</v>
      </c>
      <c r="P1450" s="1" t="s">
        <v>16</v>
      </c>
      <c r="Q1450" s="1">
        <v>100</v>
      </c>
    </row>
    <row r="1451" spans="1:19" ht="12.5" x14ac:dyDescent="0.25">
      <c r="A1451" s="1">
        <v>1486</v>
      </c>
      <c r="B1451" s="1" t="s">
        <v>4914</v>
      </c>
      <c r="C1451" s="1" t="s">
        <v>35</v>
      </c>
      <c r="D1451" s="1" t="s">
        <v>152</v>
      </c>
      <c r="E1451" s="1">
        <v>1188</v>
      </c>
      <c r="F1451" s="1" t="s">
        <v>4916</v>
      </c>
      <c r="G1451" s="1" t="s">
        <v>4917</v>
      </c>
      <c r="H1451" s="1" t="s">
        <v>4918</v>
      </c>
      <c r="I1451" s="1" t="s">
        <v>29</v>
      </c>
      <c r="J1451" s="1" t="s">
        <v>4919</v>
      </c>
      <c r="K1451" s="1" t="b">
        <v>0</v>
      </c>
      <c r="L1451" s="1" t="s">
        <v>22</v>
      </c>
      <c r="M1451" s="1" t="s">
        <v>16</v>
      </c>
      <c r="N1451" s="1" t="s">
        <v>16</v>
      </c>
      <c r="O1451" s="1" t="s">
        <v>16</v>
      </c>
      <c r="P1451" s="1" t="s">
        <v>16</v>
      </c>
      <c r="Q1451" s="1">
        <v>100</v>
      </c>
    </row>
    <row r="1452" spans="1:19" ht="12.5" x14ac:dyDescent="0.25">
      <c r="A1452" s="1">
        <v>1490</v>
      </c>
      <c r="B1452" s="1" t="s">
        <v>4920</v>
      </c>
      <c r="C1452" s="1" t="s">
        <v>35</v>
      </c>
      <c r="D1452" s="1" t="s">
        <v>152</v>
      </c>
      <c r="E1452" s="1">
        <v>1189</v>
      </c>
      <c r="F1452" s="1" t="s">
        <v>4922</v>
      </c>
      <c r="G1452" s="1" t="s">
        <v>4471</v>
      </c>
      <c r="H1452" s="1" t="s">
        <v>4923</v>
      </c>
      <c r="I1452" s="1" t="s">
        <v>29</v>
      </c>
      <c r="J1452" s="1" t="s">
        <v>4924</v>
      </c>
      <c r="K1452" s="1" t="b">
        <v>0</v>
      </c>
      <c r="L1452" s="1" t="s">
        <v>22</v>
      </c>
      <c r="M1452" s="1">
        <v>2022</v>
      </c>
      <c r="N1452" s="1" t="s">
        <v>23</v>
      </c>
      <c r="O1452" s="1" t="s">
        <v>9956</v>
      </c>
      <c r="P1452" s="1" t="s">
        <v>9990</v>
      </c>
      <c r="Q1452" s="1">
        <v>100</v>
      </c>
      <c r="R1452" s="1">
        <v>5880</v>
      </c>
      <c r="S1452" s="1">
        <v>5880</v>
      </c>
    </row>
    <row r="1453" spans="1:19" ht="12.5" x14ac:dyDescent="0.25">
      <c r="A1453" s="1">
        <v>1491</v>
      </c>
      <c r="B1453" s="1" t="s">
        <v>4925</v>
      </c>
      <c r="C1453" s="1" t="s">
        <v>35</v>
      </c>
      <c r="D1453" s="1" t="s">
        <v>152</v>
      </c>
      <c r="E1453" s="1">
        <v>1190</v>
      </c>
      <c r="F1453" s="1" t="s">
        <v>4926</v>
      </c>
      <c r="G1453" s="1" t="s">
        <v>4927</v>
      </c>
      <c r="H1453" s="1" t="s">
        <v>4928</v>
      </c>
      <c r="I1453" s="1" t="s">
        <v>29</v>
      </c>
      <c r="J1453" s="1" t="s">
        <v>16</v>
      </c>
      <c r="K1453" s="1" t="b">
        <v>0</v>
      </c>
      <c r="L1453" s="1" t="s">
        <v>22</v>
      </c>
      <c r="M1453" s="1">
        <v>2022</v>
      </c>
      <c r="N1453" s="1" t="s">
        <v>45</v>
      </c>
      <c r="O1453" s="1" t="s">
        <v>9956</v>
      </c>
      <c r="P1453" s="1" t="s">
        <v>5923</v>
      </c>
      <c r="Q1453" s="1">
        <v>100</v>
      </c>
      <c r="R1453" s="1">
        <v>165000</v>
      </c>
      <c r="S1453" s="1">
        <v>165000</v>
      </c>
    </row>
    <row r="1454" spans="1:19" ht="12.5" x14ac:dyDescent="0.25">
      <c r="A1454" s="1">
        <v>1492</v>
      </c>
      <c r="B1454" s="1" t="s">
        <v>4929</v>
      </c>
      <c r="C1454" s="1" t="s">
        <v>35</v>
      </c>
      <c r="D1454" s="1" t="s">
        <v>152</v>
      </c>
      <c r="E1454" s="1">
        <v>1191</v>
      </c>
      <c r="F1454" s="1" t="s">
        <v>4930</v>
      </c>
      <c r="G1454" s="1" t="s">
        <v>3923</v>
      </c>
      <c r="H1454" s="1" t="s">
        <v>16</v>
      </c>
      <c r="I1454" s="1" t="s">
        <v>29</v>
      </c>
      <c r="J1454" s="1" t="s">
        <v>4931</v>
      </c>
      <c r="K1454" s="1" t="b">
        <v>0</v>
      </c>
      <c r="L1454" s="1" t="s">
        <v>22</v>
      </c>
      <c r="M1454" s="1" t="s">
        <v>16</v>
      </c>
      <c r="N1454" s="1" t="s">
        <v>16</v>
      </c>
      <c r="O1454" s="1" t="s">
        <v>9956</v>
      </c>
      <c r="P1454" s="1" t="s">
        <v>16</v>
      </c>
      <c r="Q1454" s="1">
        <v>100</v>
      </c>
      <c r="R1454" s="1">
        <v>50000</v>
      </c>
      <c r="S1454" s="1">
        <v>50000</v>
      </c>
    </row>
    <row r="1455" spans="1:19" ht="12.5" x14ac:dyDescent="0.25">
      <c r="A1455" s="1">
        <v>1493</v>
      </c>
      <c r="B1455" s="1" t="s">
        <v>4932</v>
      </c>
      <c r="C1455" s="1" t="s">
        <v>35</v>
      </c>
      <c r="D1455" s="1" t="s">
        <v>152</v>
      </c>
      <c r="E1455" s="1">
        <v>1192</v>
      </c>
      <c r="F1455" s="1" t="s">
        <v>4933</v>
      </c>
      <c r="G1455" s="1" t="s">
        <v>3923</v>
      </c>
      <c r="H1455" s="1" t="s">
        <v>16</v>
      </c>
      <c r="I1455" s="1" t="s">
        <v>29</v>
      </c>
      <c r="J1455" s="1" t="s">
        <v>4934</v>
      </c>
      <c r="K1455" s="1" t="b">
        <v>1</v>
      </c>
      <c r="L1455" s="1" t="s">
        <v>31</v>
      </c>
      <c r="M1455" s="1">
        <v>2022</v>
      </c>
      <c r="N1455" s="1" t="s">
        <v>52</v>
      </c>
      <c r="O1455" s="1" t="s">
        <v>9940</v>
      </c>
      <c r="P1455" s="1" t="s">
        <v>10034</v>
      </c>
      <c r="Q1455" s="1">
        <v>100</v>
      </c>
      <c r="R1455" s="1">
        <v>30000</v>
      </c>
      <c r="S1455" s="1">
        <v>30000</v>
      </c>
    </row>
    <row r="1456" spans="1:19" ht="12.5" x14ac:dyDescent="0.25">
      <c r="A1456" s="1">
        <v>1494</v>
      </c>
      <c r="B1456" s="1" t="s">
        <v>4935</v>
      </c>
      <c r="C1456" s="1" t="s">
        <v>35</v>
      </c>
      <c r="D1456" s="1" t="s">
        <v>152</v>
      </c>
      <c r="E1456" s="1">
        <v>1193</v>
      </c>
      <c r="F1456" s="1" t="s">
        <v>4936</v>
      </c>
      <c r="G1456" s="1" t="s">
        <v>4927</v>
      </c>
      <c r="H1456" s="1" t="s">
        <v>4937</v>
      </c>
      <c r="I1456" s="1" t="s">
        <v>29</v>
      </c>
      <c r="J1456" s="1" t="s">
        <v>4938</v>
      </c>
      <c r="K1456" s="1" t="b">
        <v>0</v>
      </c>
      <c r="L1456" s="1" t="s">
        <v>22</v>
      </c>
      <c r="M1456" s="1">
        <v>2022</v>
      </c>
      <c r="N1456" s="1" t="s">
        <v>45</v>
      </c>
      <c r="O1456" s="1" t="s">
        <v>9956</v>
      </c>
      <c r="P1456" s="1" t="s">
        <v>5923</v>
      </c>
      <c r="Q1456" s="1">
        <v>100</v>
      </c>
      <c r="R1456" s="1">
        <v>165000</v>
      </c>
      <c r="S1456" s="1">
        <v>165000</v>
      </c>
    </row>
    <row r="1457" spans="1:19" ht="12.5" x14ac:dyDescent="0.25">
      <c r="A1457" s="1">
        <v>1495</v>
      </c>
      <c r="B1457" s="1" t="s">
        <v>4939</v>
      </c>
      <c r="C1457" s="1" t="s">
        <v>35</v>
      </c>
      <c r="D1457" s="1" t="s">
        <v>152</v>
      </c>
      <c r="E1457" s="1">
        <v>1194</v>
      </c>
      <c r="F1457" s="1" t="s">
        <v>4940</v>
      </c>
      <c r="G1457" s="1" t="s">
        <v>3923</v>
      </c>
      <c r="H1457" s="1" t="s">
        <v>16</v>
      </c>
      <c r="I1457" s="1" t="s">
        <v>29</v>
      </c>
      <c r="J1457" s="1" t="s">
        <v>4941</v>
      </c>
      <c r="K1457" s="1" t="b">
        <v>1</v>
      </c>
      <c r="L1457" s="1" t="s">
        <v>31</v>
      </c>
      <c r="M1457" s="1">
        <v>2022</v>
      </c>
      <c r="N1457" s="1" t="s">
        <v>45</v>
      </c>
      <c r="O1457" s="1" t="s">
        <v>9956</v>
      </c>
      <c r="P1457" s="1" t="s">
        <v>16</v>
      </c>
      <c r="Q1457" s="1">
        <v>100</v>
      </c>
      <c r="R1457" s="1">
        <v>5000</v>
      </c>
      <c r="S1457" s="1">
        <v>5000</v>
      </c>
    </row>
    <row r="1458" spans="1:19" ht="12.5" x14ac:dyDescent="0.25">
      <c r="A1458" s="1">
        <v>1496</v>
      </c>
      <c r="B1458" s="1" t="s">
        <v>4942</v>
      </c>
      <c r="C1458" s="1" t="s">
        <v>35</v>
      </c>
      <c r="D1458" s="1" t="s">
        <v>152</v>
      </c>
      <c r="E1458" s="1">
        <v>1195</v>
      </c>
      <c r="F1458" s="1" t="s">
        <v>4943</v>
      </c>
      <c r="G1458" s="1" t="s">
        <v>4944</v>
      </c>
      <c r="H1458" s="1" t="s">
        <v>4945</v>
      </c>
      <c r="I1458" s="1" t="s">
        <v>29</v>
      </c>
      <c r="J1458" s="1" t="s">
        <v>4946</v>
      </c>
      <c r="K1458" s="1" t="b">
        <v>0</v>
      </c>
      <c r="L1458" s="1" t="s">
        <v>22</v>
      </c>
      <c r="M1458" s="1">
        <v>2022</v>
      </c>
      <c r="N1458" s="1" t="s">
        <v>16</v>
      </c>
      <c r="O1458" s="1" t="s">
        <v>9956</v>
      </c>
      <c r="P1458" s="1" t="s">
        <v>5923</v>
      </c>
      <c r="Q1458" s="1">
        <v>100</v>
      </c>
      <c r="R1458" s="1">
        <v>165000</v>
      </c>
      <c r="S1458" s="1">
        <v>165000</v>
      </c>
    </row>
    <row r="1459" spans="1:19" ht="12.5" x14ac:dyDescent="0.25">
      <c r="A1459" s="1">
        <v>1497</v>
      </c>
      <c r="B1459" s="1" t="s">
        <v>4947</v>
      </c>
      <c r="C1459" s="1" t="s">
        <v>35</v>
      </c>
      <c r="D1459" s="1" t="s">
        <v>152</v>
      </c>
      <c r="E1459" s="1">
        <v>1196</v>
      </c>
      <c r="F1459" s="1" t="s">
        <v>4948</v>
      </c>
      <c r="G1459" s="1" t="s">
        <v>4949</v>
      </c>
      <c r="H1459" s="1" t="s">
        <v>4950</v>
      </c>
      <c r="I1459" s="1" t="s">
        <v>29</v>
      </c>
      <c r="J1459" s="1" t="s">
        <v>4951</v>
      </c>
      <c r="K1459" s="1" t="b">
        <v>0</v>
      </c>
      <c r="L1459" s="1" t="s">
        <v>22</v>
      </c>
      <c r="M1459" s="1">
        <v>2022</v>
      </c>
      <c r="N1459" s="1" t="s">
        <v>45</v>
      </c>
      <c r="O1459" s="1" t="s">
        <v>9956</v>
      </c>
      <c r="P1459" s="1" t="s">
        <v>10035</v>
      </c>
      <c r="Q1459" s="1">
        <v>100</v>
      </c>
      <c r="R1459" s="1">
        <v>80000</v>
      </c>
      <c r="S1459" s="1">
        <v>80000</v>
      </c>
    </row>
    <row r="1460" spans="1:19" ht="12.5" x14ac:dyDescent="0.25">
      <c r="A1460" s="1">
        <v>1498</v>
      </c>
      <c r="B1460" s="1" t="s">
        <v>4952</v>
      </c>
      <c r="C1460" s="1" t="s">
        <v>35</v>
      </c>
      <c r="D1460" s="1" t="s">
        <v>152</v>
      </c>
      <c r="E1460" s="1">
        <v>1197</v>
      </c>
      <c r="F1460" s="1" t="s">
        <v>4953</v>
      </c>
      <c r="G1460" s="1" t="s">
        <v>3923</v>
      </c>
      <c r="H1460" s="1" t="s">
        <v>16</v>
      </c>
      <c r="I1460" s="1" t="s">
        <v>29</v>
      </c>
      <c r="J1460" s="1" t="s">
        <v>4954</v>
      </c>
      <c r="K1460" s="1" t="b">
        <v>1</v>
      </c>
      <c r="L1460" s="1" t="s">
        <v>31</v>
      </c>
      <c r="M1460" s="1">
        <v>2022</v>
      </c>
      <c r="N1460" s="1" t="s">
        <v>45</v>
      </c>
      <c r="O1460" s="1" t="s">
        <v>9956</v>
      </c>
      <c r="P1460" s="1" t="s">
        <v>16</v>
      </c>
      <c r="Q1460" s="1">
        <v>100</v>
      </c>
      <c r="R1460" s="1">
        <v>2000</v>
      </c>
      <c r="S1460" s="1">
        <v>2000</v>
      </c>
    </row>
    <row r="1461" spans="1:19" ht="12.5" x14ac:dyDescent="0.25">
      <c r="A1461" s="1">
        <v>1498</v>
      </c>
      <c r="B1461" s="1" t="s">
        <v>4952</v>
      </c>
      <c r="C1461" s="1" t="s">
        <v>35</v>
      </c>
      <c r="D1461" s="1" t="s">
        <v>152</v>
      </c>
      <c r="E1461" s="1">
        <v>1197</v>
      </c>
      <c r="F1461" s="1" t="s">
        <v>4953</v>
      </c>
      <c r="G1461" s="1" t="s">
        <v>3923</v>
      </c>
      <c r="H1461" s="1" t="s">
        <v>16</v>
      </c>
      <c r="I1461" s="1" t="s">
        <v>29</v>
      </c>
      <c r="J1461" s="1" t="s">
        <v>4954</v>
      </c>
      <c r="K1461" s="1" t="b">
        <v>1</v>
      </c>
      <c r="L1461" s="1" t="s">
        <v>31</v>
      </c>
      <c r="M1461" s="1">
        <v>2022</v>
      </c>
      <c r="N1461" s="1" t="s">
        <v>52</v>
      </c>
      <c r="O1461" s="1" t="s">
        <v>9940</v>
      </c>
      <c r="P1461" s="1" t="s">
        <v>10034</v>
      </c>
      <c r="Q1461" s="1">
        <v>100</v>
      </c>
      <c r="R1461" s="1">
        <v>30000</v>
      </c>
      <c r="S1461" s="1">
        <v>30000</v>
      </c>
    </row>
    <row r="1462" spans="1:19" ht="12.5" x14ac:dyDescent="0.25">
      <c r="A1462" s="1">
        <v>1499</v>
      </c>
      <c r="B1462" s="1" t="s">
        <v>4955</v>
      </c>
      <c r="C1462" s="1" t="s">
        <v>35</v>
      </c>
      <c r="D1462" s="1" t="s">
        <v>152</v>
      </c>
      <c r="E1462" s="1">
        <v>1198</v>
      </c>
      <c r="F1462" s="1" t="s">
        <v>4956</v>
      </c>
      <c r="G1462" s="1" t="s">
        <v>3923</v>
      </c>
      <c r="H1462" s="1" t="s">
        <v>16</v>
      </c>
      <c r="I1462" s="1" t="s">
        <v>29</v>
      </c>
      <c r="J1462" s="1" t="s">
        <v>4957</v>
      </c>
      <c r="K1462" s="1" t="b">
        <v>1</v>
      </c>
      <c r="L1462" s="1" t="s">
        <v>31</v>
      </c>
      <c r="M1462" s="1">
        <v>2022</v>
      </c>
      <c r="N1462" s="1" t="s">
        <v>45</v>
      </c>
      <c r="O1462" s="1" t="s">
        <v>9956</v>
      </c>
      <c r="P1462" s="1" t="s">
        <v>16</v>
      </c>
      <c r="Q1462" s="1">
        <v>100</v>
      </c>
      <c r="R1462" s="1">
        <v>5000</v>
      </c>
      <c r="S1462" s="1">
        <v>5000</v>
      </c>
    </row>
    <row r="1463" spans="1:19" ht="12.5" x14ac:dyDescent="0.25">
      <c r="A1463" s="1">
        <v>1500</v>
      </c>
      <c r="B1463" s="1" t="s">
        <v>4958</v>
      </c>
      <c r="C1463" s="1" t="s">
        <v>35</v>
      </c>
      <c r="D1463" s="1" t="s">
        <v>152</v>
      </c>
      <c r="E1463" s="1">
        <v>1199</v>
      </c>
      <c r="F1463" s="1" t="s">
        <v>4959</v>
      </c>
      <c r="G1463" s="1" t="s">
        <v>4960</v>
      </c>
      <c r="H1463" s="1" t="s">
        <v>4961</v>
      </c>
      <c r="I1463" s="1" t="s">
        <v>29</v>
      </c>
      <c r="J1463" s="1" t="s">
        <v>4962</v>
      </c>
      <c r="K1463" s="1" t="b">
        <v>0</v>
      </c>
      <c r="L1463" s="1" t="s">
        <v>22</v>
      </c>
      <c r="M1463" s="1">
        <v>2022</v>
      </c>
      <c r="N1463" s="1" t="s">
        <v>45</v>
      </c>
      <c r="O1463" s="1" t="s">
        <v>9956</v>
      </c>
      <c r="P1463" s="1" t="s">
        <v>5923</v>
      </c>
      <c r="Q1463" s="1">
        <v>100</v>
      </c>
      <c r="R1463" s="1">
        <v>165000</v>
      </c>
      <c r="S1463" s="1">
        <v>165000</v>
      </c>
    </row>
    <row r="1464" spans="1:19" ht="12.5" x14ac:dyDescent="0.25">
      <c r="A1464" s="1">
        <v>1501</v>
      </c>
      <c r="B1464" s="1" t="s">
        <v>4963</v>
      </c>
      <c r="C1464" s="1" t="s">
        <v>35</v>
      </c>
      <c r="D1464" s="1" t="s">
        <v>152</v>
      </c>
      <c r="E1464" s="1">
        <v>1200</v>
      </c>
      <c r="F1464" s="1" t="s">
        <v>4964</v>
      </c>
      <c r="G1464" s="1" t="s">
        <v>3923</v>
      </c>
      <c r="H1464" s="1" t="s">
        <v>16</v>
      </c>
      <c r="I1464" s="1" t="s">
        <v>29</v>
      </c>
      <c r="J1464" s="1" t="s">
        <v>4965</v>
      </c>
      <c r="K1464" s="1" t="b">
        <v>0</v>
      </c>
      <c r="L1464" s="1" t="s">
        <v>22</v>
      </c>
      <c r="M1464" s="1">
        <v>2022</v>
      </c>
      <c r="N1464" s="1" t="s">
        <v>52</v>
      </c>
      <c r="O1464" s="1" t="s">
        <v>9940</v>
      </c>
      <c r="P1464" s="1" t="s">
        <v>16</v>
      </c>
      <c r="Q1464" s="1">
        <v>100</v>
      </c>
      <c r="R1464" s="1">
        <v>30000</v>
      </c>
      <c r="S1464" s="1">
        <v>30000</v>
      </c>
    </row>
    <row r="1465" spans="1:19" ht="12.5" x14ac:dyDescent="0.25">
      <c r="A1465" s="1">
        <v>1502</v>
      </c>
      <c r="B1465" s="1" t="s">
        <v>4966</v>
      </c>
      <c r="C1465" s="1" t="s">
        <v>35</v>
      </c>
      <c r="D1465" s="1" t="s">
        <v>152</v>
      </c>
      <c r="E1465" s="1">
        <v>1201</v>
      </c>
      <c r="F1465" s="1" t="s">
        <v>4967</v>
      </c>
      <c r="G1465" s="1" t="s">
        <v>3923</v>
      </c>
      <c r="H1465" s="1" t="s">
        <v>16</v>
      </c>
      <c r="I1465" s="1" t="s">
        <v>29</v>
      </c>
      <c r="J1465" s="1" t="s">
        <v>4968</v>
      </c>
      <c r="K1465" s="1" t="b">
        <v>1</v>
      </c>
      <c r="L1465" s="1" t="s">
        <v>31</v>
      </c>
      <c r="M1465" s="1">
        <v>2022</v>
      </c>
      <c r="N1465" s="1" t="s">
        <v>52</v>
      </c>
      <c r="O1465" s="1" t="s">
        <v>9956</v>
      </c>
      <c r="P1465" s="1" t="s">
        <v>16</v>
      </c>
      <c r="Q1465" s="1">
        <v>100</v>
      </c>
      <c r="R1465" s="1">
        <v>20000</v>
      </c>
      <c r="S1465" s="1">
        <v>20000</v>
      </c>
    </row>
    <row r="1466" spans="1:19" ht="12.5" x14ac:dyDescent="0.25">
      <c r="A1466" s="1">
        <v>1502</v>
      </c>
      <c r="B1466" s="1" t="s">
        <v>4966</v>
      </c>
      <c r="C1466" s="1" t="s">
        <v>35</v>
      </c>
      <c r="D1466" s="1" t="s">
        <v>152</v>
      </c>
      <c r="E1466" s="1">
        <v>1201</v>
      </c>
      <c r="F1466" s="1" t="s">
        <v>4967</v>
      </c>
      <c r="G1466" s="1" t="s">
        <v>3923</v>
      </c>
      <c r="H1466" s="1" t="s">
        <v>16</v>
      </c>
      <c r="I1466" s="1" t="s">
        <v>29</v>
      </c>
      <c r="J1466" s="1" t="s">
        <v>4968</v>
      </c>
      <c r="K1466" s="1" t="b">
        <v>1</v>
      </c>
      <c r="L1466" s="1" t="s">
        <v>31</v>
      </c>
      <c r="M1466" s="1">
        <v>2022</v>
      </c>
      <c r="N1466" s="1" t="s">
        <v>52</v>
      </c>
      <c r="O1466" s="1" t="s">
        <v>9942</v>
      </c>
      <c r="P1466" s="1" t="s">
        <v>16</v>
      </c>
      <c r="Q1466" s="1">
        <v>100</v>
      </c>
      <c r="R1466" s="1">
        <v>25000</v>
      </c>
      <c r="S1466" s="1">
        <v>25000</v>
      </c>
    </row>
    <row r="1467" spans="1:19" ht="12.5" x14ac:dyDescent="0.25">
      <c r="A1467" s="1">
        <v>1505</v>
      </c>
      <c r="B1467" s="1" t="s">
        <v>4969</v>
      </c>
      <c r="C1467" s="1" t="s">
        <v>35</v>
      </c>
      <c r="D1467" s="1" t="s">
        <v>152</v>
      </c>
      <c r="E1467" s="1">
        <v>1202</v>
      </c>
      <c r="F1467" s="1" t="s">
        <v>4970</v>
      </c>
      <c r="G1467" s="1" t="s">
        <v>4971</v>
      </c>
      <c r="H1467" s="1" t="s">
        <v>4972</v>
      </c>
      <c r="I1467" s="1" t="s">
        <v>29</v>
      </c>
      <c r="J1467" s="1" t="s">
        <v>4973</v>
      </c>
      <c r="K1467" s="1" t="b">
        <v>0</v>
      </c>
      <c r="L1467" s="1" t="s">
        <v>22</v>
      </c>
      <c r="M1467" s="1" t="s">
        <v>16</v>
      </c>
      <c r="N1467" s="1" t="s">
        <v>16</v>
      </c>
      <c r="O1467" s="1" t="s">
        <v>9956</v>
      </c>
      <c r="P1467" s="1" t="s">
        <v>16</v>
      </c>
      <c r="Q1467" s="1">
        <v>100</v>
      </c>
      <c r="R1467" s="1">
        <v>18000</v>
      </c>
      <c r="S1467" s="1">
        <v>18000</v>
      </c>
    </row>
    <row r="1468" spans="1:19" ht="12.5" x14ac:dyDescent="0.25">
      <c r="A1468" s="1">
        <v>1506</v>
      </c>
      <c r="B1468" s="1" t="s">
        <v>4974</v>
      </c>
      <c r="C1468" s="1" t="s">
        <v>35</v>
      </c>
      <c r="D1468" s="1" t="s">
        <v>152</v>
      </c>
      <c r="E1468" s="1">
        <v>1203</v>
      </c>
      <c r="F1468" s="1" t="s">
        <v>4975</v>
      </c>
      <c r="G1468" s="1" t="s">
        <v>4976</v>
      </c>
      <c r="H1468" s="1" t="s">
        <v>2178</v>
      </c>
      <c r="I1468" s="1" t="s">
        <v>29</v>
      </c>
      <c r="J1468" s="1" t="s">
        <v>4977</v>
      </c>
      <c r="K1468" s="1" t="b">
        <v>0</v>
      </c>
      <c r="L1468" s="1" t="s">
        <v>22</v>
      </c>
      <c r="M1468" s="1">
        <v>2021</v>
      </c>
      <c r="N1468" s="1" t="s">
        <v>52</v>
      </c>
      <c r="O1468" s="1" t="s">
        <v>9956</v>
      </c>
      <c r="P1468" s="1" t="s">
        <v>16</v>
      </c>
      <c r="Q1468" s="1">
        <v>100</v>
      </c>
      <c r="R1468" s="1">
        <v>18000</v>
      </c>
      <c r="S1468" s="1">
        <v>18000</v>
      </c>
    </row>
    <row r="1469" spans="1:19" ht="12.5" x14ac:dyDescent="0.25">
      <c r="A1469" s="1">
        <v>1507</v>
      </c>
      <c r="B1469" s="1" t="s">
        <v>4978</v>
      </c>
      <c r="C1469" s="1" t="s">
        <v>35</v>
      </c>
      <c r="D1469" s="1" t="s">
        <v>152</v>
      </c>
      <c r="E1469" s="1">
        <v>1204</v>
      </c>
      <c r="F1469" s="1" t="s">
        <v>4980</v>
      </c>
      <c r="G1469" s="1" t="s">
        <v>4981</v>
      </c>
      <c r="H1469" s="1" t="s">
        <v>16</v>
      </c>
      <c r="I1469" s="1" t="s">
        <v>29</v>
      </c>
      <c r="J1469" s="1" t="s">
        <v>4982</v>
      </c>
      <c r="K1469" s="1" t="b">
        <v>0</v>
      </c>
      <c r="L1469" s="1" t="s">
        <v>22</v>
      </c>
      <c r="M1469" s="1" t="s">
        <v>16</v>
      </c>
      <c r="N1469" s="1" t="s">
        <v>16</v>
      </c>
      <c r="O1469" s="1" t="s">
        <v>9956</v>
      </c>
      <c r="P1469" s="1" t="s">
        <v>16</v>
      </c>
      <c r="Q1469" s="1">
        <v>100</v>
      </c>
      <c r="R1469" s="1">
        <v>0</v>
      </c>
      <c r="S1469" s="1">
        <v>0</v>
      </c>
    </row>
    <row r="1470" spans="1:19" ht="12.5" x14ac:dyDescent="0.25">
      <c r="A1470" s="1" t="s">
        <v>16</v>
      </c>
      <c r="B1470" s="1" t="s">
        <v>16</v>
      </c>
      <c r="C1470" s="1" t="s">
        <v>16</v>
      </c>
      <c r="D1470" s="1" t="s">
        <v>16</v>
      </c>
      <c r="E1470" s="1">
        <v>1205</v>
      </c>
      <c r="F1470" s="1" t="s">
        <v>4983</v>
      </c>
      <c r="G1470" s="1" t="s">
        <v>3371</v>
      </c>
      <c r="H1470" s="1" t="s">
        <v>1161</v>
      </c>
      <c r="I1470" s="1" t="s">
        <v>20</v>
      </c>
      <c r="J1470" s="1" t="s">
        <v>16</v>
      </c>
      <c r="K1470" s="1" t="b">
        <v>0</v>
      </c>
      <c r="L1470" s="1" t="s">
        <v>22</v>
      </c>
      <c r="M1470" s="1" t="s">
        <v>16</v>
      </c>
      <c r="N1470" s="1" t="s">
        <v>16</v>
      </c>
      <c r="O1470" s="1" t="s">
        <v>9956</v>
      </c>
      <c r="P1470" s="1" t="s">
        <v>16</v>
      </c>
      <c r="R1470" s="1">
        <v>0</v>
      </c>
    </row>
    <row r="1471" spans="1:19" ht="12.5" x14ac:dyDescent="0.25">
      <c r="A1471" s="1">
        <v>1509</v>
      </c>
      <c r="B1471" s="1" t="s">
        <v>4984</v>
      </c>
      <c r="C1471" s="1" t="s">
        <v>35</v>
      </c>
      <c r="D1471" s="1" t="s">
        <v>152</v>
      </c>
      <c r="E1471" s="1">
        <v>1206</v>
      </c>
      <c r="F1471" s="1" t="s">
        <v>4986</v>
      </c>
      <c r="G1471" s="1" t="s">
        <v>4987</v>
      </c>
      <c r="H1471" s="1" t="s">
        <v>16</v>
      </c>
      <c r="I1471" s="1" t="s">
        <v>29</v>
      </c>
      <c r="J1471" s="1" t="s">
        <v>4988</v>
      </c>
      <c r="K1471" s="1" t="b">
        <v>0</v>
      </c>
      <c r="L1471" s="1" t="s">
        <v>22</v>
      </c>
      <c r="M1471" s="1">
        <v>2022</v>
      </c>
      <c r="N1471" s="1" t="s">
        <v>23</v>
      </c>
      <c r="O1471" s="1" t="s">
        <v>9940</v>
      </c>
      <c r="P1471" s="1" t="s">
        <v>10036</v>
      </c>
      <c r="Q1471" s="1">
        <v>100</v>
      </c>
      <c r="R1471" s="1">
        <v>60000</v>
      </c>
      <c r="S1471" s="1">
        <v>60000</v>
      </c>
    </row>
    <row r="1472" spans="1:19" ht="12.5" x14ac:dyDescent="0.25">
      <c r="A1472" s="1">
        <v>1509</v>
      </c>
      <c r="B1472" s="1" t="s">
        <v>4984</v>
      </c>
      <c r="C1472" s="1" t="s">
        <v>35</v>
      </c>
      <c r="D1472" s="1" t="s">
        <v>152</v>
      </c>
      <c r="E1472" s="1">
        <v>1206</v>
      </c>
      <c r="F1472" s="1" t="s">
        <v>4986</v>
      </c>
      <c r="G1472" s="1" t="s">
        <v>4987</v>
      </c>
      <c r="H1472" s="1" t="s">
        <v>16</v>
      </c>
      <c r="I1472" s="1" t="s">
        <v>29</v>
      </c>
      <c r="J1472" s="1" t="s">
        <v>4988</v>
      </c>
      <c r="K1472" s="1" t="b">
        <v>0</v>
      </c>
      <c r="L1472" s="1" t="s">
        <v>22</v>
      </c>
      <c r="M1472" s="1">
        <v>2022</v>
      </c>
      <c r="N1472" s="1" t="s">
        <v>45</v>
      </c>
      <c r="O1472" s="1" t="s">
        <v>9935</v>
      </c>
      <c r="P1472" s="1" t="s">
        <v>16</v>
      </c>
      <c r="Q1472" s="1">
        <v>100</v>
      </c>
      <c r="R1472" s="1">
        <v>80000</v>
      </c>
      <c r="S1472" s="1">
        <v>80000</v>
      </c>
    </row>
    <row r="1473" spans="1:19" ht="12.5" x14ac:dyDescent="0.25">
      <c r="A1473" s="1">
        <v>1510</v>
      </c>
      <c r="B1473" s="1" t="s">
        <v>4989</v>
      </c>
      <c r="C1473" s="1" t="s">
        <v>35</v>
      </c>
      <c r="D1473" s="1" t="s">
        <v>152</v>
      </c>
      <c r="E1473" s="1">
        <v>1207</v>
      </c>
      <c r="F1473" s="1" t="s">
        <v>4991</v>
      </c>
      <c r="G1473" s="1" t="s">
        <v>4992</v>
      </c>
      <c r="H1473" s="1" t="s">
        <v>16</v>
      </c>
      <c r="I1473" s="1" t="s">
        <v>29</v>
      </c>
      <c r="J1473" s="1" t="s">
        <v>4993</v>
      </c>
      <c r="K1473" s="1" t="b">
        <v>0</v>
      </c>
      <c r="L1473" s="1" t="s">
        <v>22</v>
      </c>
      <c r="M1473" s="1">
        <v>2022</v>
      </c>
      <c r="N1473" s="1" t="s">
        <v>45</v>
      </c>
      <c r="O1473" s="1" t="s">
        <v>9935</v>
      </c>
      <c r="P1473" s="1" t="s">
        <v>16</v>
      </c>
      <c r="Q1473" s="1">
        <v>100</v>
      </c>
      <c r="R1473" s="1">
        <v>200000</v>
      </c>
      <c r="S1473" s="1">
        <v>200000</v>
      </c>
    </row>
    <row r="1474" spans="1:19" ht="12.5" x14ac:dyDescent="0.25">
      <c r="A1474" s="1">
        <v>1510</v>
      </c>
      <c r="B1474" s="1" t="s">
        <v>4989</v>
      </c>
      <c r="C1474" s="1" t="s">
        <v>35</v>
      </c>
      <c r="D1474" s="1" t="s">
        <v>152</v>
      </c>
      <c r="E1474" s="1">
        <v>1207</v>
      </c>
      <c r="F1474" s="1" t="s">
        <v>4991</v>
      </c>
      <c r="G1474" s="1" t="s">
        <v>4992</v>
      </c>
      <c r="H1474" s="1" t="s">
        <v>16</v>
      </c>
      <c r="I1474" s="1" t="s">
        <v>29</v>
      </c>
      <c r="J1474" s="1" t="s">
        <v>4993</v>
      </c>
      <c r="K1474" s="1" t="b">
        <v>0</v>
      </c>
      <c r="L1474" s="1" t="s">
        <v>22</v>
      </c>
      <c r="M1474" s="1">
        <v>2022</v>
      </c>
      <c r="N1474" s="1" t="s">
        <v>23</v>
      </c>
      <c r="O1474" s="1" t="s">
        <v>9940</v>
      </c>
      <c r="P1474" s="1" t="s">
        <v>10036</v>
      </c>
      <c r="Q1474" s="1">
        <v>100</v>
      </c>
      <c r="R1474" s="1">
        <v>60000</v>
      </c>
      <c r="S1474" s="1">
        <v>60000</v>
      </c>
    </row>
    <row r="1475" spans="1:19" ht="12.5" x14ac:dyDescent="0.25">
      <c r="A1475" s="1">
        <v>1512</v>
      </c>
      <c r="B1475" s="1" t="s">
        <v>4994</v>
      </c>
      <c r="C1475" s="1" t="s">
        <v>35</v>
      </c>
      <c r="D1475" s="1" t="s">
        <v>152</v>
      </c>
      <c r="E1475" s="1">
        <v>1208</v>
      </c>
      <c r="F1475" s="1" t="s">
        <v>4995</v>
      </c>
      <c r="G1475" s="1" t="s">
        <v>4996</v>
      </c>
      <c r="H1475" s="1" t="s">
        <v>16</v>
      </c>
      <c r="I1475" s="1" t="s">
        <v>29</v>
      </c>
      <c r="J1475" s="1" t="s">
        <v>4997</v>
      </c>
      <c r="K1475" s="1" t="b">
        <v>0</v>
      </c>
      <c r="L1475" s="1" t="s">
        <v>22</v>
      </c>
      <c r="M1475" s="1" t="s">
        <v>16</v>
      </c>
      <c r="N1475" s="1" t="s">
        <v>16</v>
      </c>
      <c r="O1475" s="1" t="s">
        <v>16</v>
      </c>
      <c r="P1475" s="1" t="s">
        <v>16</v>
      </c>
      <c r="Q1475" s="1">
        <v>100</v>
      </c>
    </row>
    <row r="1476" spans="1:19" ht="12.5" x14ac:dyDescent="0.25">
      <c r="A1476" s="1">
        <v>1513</v>
      </c>
      <c r="B1476" s="1" t="s">
        <v>4998</v>
      </c>
      <c r="C1476" s="1" t="s">
        <v>35</v>
      </c>
      <c r="D1476" s="1" t="s">
        <v>152</v>
      </c>
      <c r="E1476" s="1">
        <v>1209</v>
      </c>
      <c r="F1476" s="1" t="s">
        <v>4999</v>
      </c>
      <c r="G1476" s="1" t="s">
        <v>5000</v>
      </c>
      <c r="H1476" s="1" t="s">
        <v>16</v>
      </c>
      <c r="I1476" s="1" t="s">
        <v>29</v>
      </c>
      <c r="J1476" s="1" t="s">
        <v>5001</v>
      </c>
      <c r="K1476" s="1" t="b">
        <v>0</v>
      </c>
      <c r="L1476" s="1" t="s">
        <v>22</v>
      </c>
      <c r="M1476" s="1" t="s">
        <v>16</v>
      </c>
      <c r="N1476" s="1" t="s">
        <v>16</v>
      </c>
      <c r="O1476" s="1" t="s">
        <v>16</v>
      </c>
      <c r="P1476" s="1" t="s">
        <v>16</v>
      </c>
      <c r="Q1476" s="1">
        <v>100</v>
      </c>
    </row>
    <row r="1477" spans="1:19" ht="12.5" x14ac:dyDescent="0.25">
      <c r="A1477" s="1">
        <v>1515</v>
      </c>
      <c r="B1477" s="1" t="s">
        <v>5002</v>
      </c>
      <c r="C1477" s="1" t="s">
        <v>35</v>
      </c>
      <c r="D1477" s="1" t="s">
        <v>152</v>
      </c>
      <c r="E1477" s="1">
        <v>1210</v>
      </c>
      <c r="F1477" s="1" t="s">
        <v>5003</v>
      </c>
      <c r="G1477" s="1" t="s">
        <v>5004</v>
      </c>
      <c r="H1477" s="1" t="s">
        <v>16</v>
      </c>
      <c r="I1477" s="1" t="s">
        <v>29</v>
      </c>
      <c r="J1477" s="1" t="s">
        <v>5005</v>
      </c>
      <c r="K1477" s="1" t="b">
        <v>0</v>
      </c>
      <c r="L1477" s="1" t="s">
        <v>22</v>
      </c>
      <c r="M1477" s="1">
        <v>2022</v>
      </c>
      <c r="N1477" s="1" t="s">
        <v>32</v>
      </c>
      <c r="O1477" s="1" t="s">
        <v>9935</v>
      </c>
      <c r="P1477" s="1" t="s">
        <v>16</v>
      </c>
      <c r="Q1477" s="1">
        <v>100</v>
      </c>
      <c r="R1477" s="1">
        <v>4000</v>
      </c>
      <c r="S1477" s="1">
        <v>4000</v>
      </c>
    </row>
    <row r="1478" spans="1:19" ht="12.5" x14ac:dyDescent="0.25">
      <c r="A1478" s="1">
        <v>1520</v>
      </c>
      <c r="B1478" s="1" t="s">
        <v>5006</v>
      </c>
      <c r="C1478" s="1" t="s">
        <v>35</v>
      </c>
      <c r="D1478" s="1" t="s">
        <v>152</v>
      </c>
      <c r="E1478" s="1">
        <v>1211</v>
      </c>
      <c r="F1478" s="1" t="s">
        <v>5007</v>
      </c>
      <c r="G1478" s="1" t="s">
        <v>5008</v>
      </c>
      <c r="H1478" s="1" t="s">
        <v>16</v>
      </c>
      <c r="I1478" s="1" t="s">
        <v>29</v>
      </c>
      <c r="J1478" s="1" t="s">
        <v>5009</v>
      </c>
      <c r="K1478" s="1" t="b">
        <v>0</v>
      </c>
      <c r="L1478" s="1" t="s">
        <v>22</v>
      </c>
      <c r="M1478" s="1" t="s">
        <v>16</v>
      </c>
      <c r="N1478" s="1" t="s">
        <v>16</v>
      </c>
      <c r="O1478" s="1" t="s">
        <v>9956</v>
      </c>
      <c r="P1478" s="1" t="s">
        <v>16</v>
      </c>
      <c r="Q1478" s="1">
        <v>100</v>
      </c>
      <c r="R1478" s="1">
        <v>6500</v>
      </c>
      <c r="S1478" s="1">
        <v>6500</v>
      </c>
    </row>
    <row r="1479" spans="1:19" ht="12.5" x14ac:dyDescent="0.25">
      <c r="A1479" s="1">
        <v>1521</v>
      </c>
      <c r="B1479" s="1" t="s">
        <v>5010</v>
      </c>
      <c r="C1479" s="1" t="s">
        <v>35</v>
      </c>
      <c r="D1479" s="1" t="s">
        <v>152</v>
      </c>
      <c r="E1479" s="1">
        <v>1212</v>
      </c>
      <c r="F1479" s="1" t="s">
        <v>5011</v>
      </c>
      <c r="G1479" s="1" t="s">
        <v>5012</v>
      </c>
      <c r="H1479" s="1" t="s">
        <v>16</v>
      </c>
      <c r="I1479" s="1" t="s">
        <v>29</v>
      </c>
      <c r="J1479" s="1" t="s">
        <v>5013</v>
      </c>
      <c r="K1479" s="1" t="b">
        <v>0</v>
      </c>
      <c r="L1479" s="1" t="s">
        <v>22</v>
      </c>
      <c r="M1479" s="1" t="s">
        <v>16</v>
      </c>
      <c r="N1479" s="1" t="s">
        <v>16</v>
      </c>
      <c r="O1479" s="1" t="s">
        <v>9956</v>
      </c>
      <c r="P1479" s="1" t="s">
        <v>16</v>
      </c>
      <c r="Q1479" s="1">
        <v>100</v>
      </c>
      <c r="R1479" s="1">
        <v>2500</v>
      </c>
      <c r="S1479" s="1">
        <v>2500</v>
      </c>
    </row>
    <row r="1480" spans="1:19" ht="12.5" x14ac:dyDescent="0.25">
      <c r="A1480" s="1">
        <v>1527</v>
      </c>
      <c r="B1480" s="1" t="s">
        <v>5014</v>
      </c>
      <c r="C1480" s="1" t="s">
        <v>35</v>
      </c>
      <c r="D1480" s="1" t="s">
        <v>152</v>
      </c>
      <c r="E1480" s="1">
        <v>1213</v>
      </c>
      <c r="F1480" s="1" t="s">
        <v>5015</v>
      </c>
      <c r="G1480" s="1" t="s">
        <v>5016</v>
      </c>
      <c r="H1480" s="1" t="s">
        <v>16</v>
      </c>
      <c r="I1480" s="1" t="s">
        <v>20</v>
      </c>
      <c r="J1480" s="1" t="s">
        <v>16</v>
      </c>
      <c r="K1480" s="1" t="b">
        <v>0</v>
      </c>
      <c r="L1480" s="1" t="s">
        <v>22</v>
      </c>
      <c r="M1480" s="1" t="s">
        <v>16</v>
      </c>
      <c r="N1480" s="1" t="s">
        <v>16</v>
      </c>
      <c r="O1480" s="1" t="s">
        <v>9956</v>
      </c>
      <c r="P1480" s="1" t="s">
        <v>16</v>
      </c>
      <c r="Q1480" s="1">
        <v>100</v>
      </c>
      <c r="R1480" s="1">
        <v>0</v>
      </c>
      <c r="S1480" s="1">
        <v>0</v>
      </c>
    </row>
    <row r="1481" spans="1:19" ht="12.5" x14ac:dyDescent="0.25">
      <c r="A1481" s="1">
        <v>1527</v>
      </c>
      <c r="B1481" s="1" t="s">
        <v>5014</v>
      </c>
      <c r="C1481" s="1" t="s">
        <v>35</v>
      </c>
      <c r="D1481" s="1" t="s">
        <v>152</v>
      </c>
      <c r="E1481" s="1">
        <v>1214</v>
      </c>
      <c r="F1481" s="1" t="s">
        <v>5017</v>
      </c>
      <c r="G1481" s="1" t="s">
        <v>5018</v>
      </c>
      <c r="H1481" s="1" t="s">
        <v>16</v>
      </c>
      <c r="I1481" s="1" t="s">
        <v>20</v>
      </c>
      <c r="J1481" s="1" t="s">
        <v>5019</v>
      </c>
      <c r="K1481" s="1" t="b">
        <v>0</v>
      </c>
      <c r="L1481" s="1" t="s">
        <v>22</v>
      </c>
      <c r="M1481" s="1" t="s">
        <v>16</v>
      </c>
      <c r="N1481" s="1" t="s">
        <v>16</v>
      </c>
      <c r="O1481" s="1" t="s">
        <v>9956</v>
      </c>
      <c r="P1481" s="1" t="s">
        <v>16</v>
      </c>
      <c r="Q1481" s="1">
        <v>98</v>
      </c>
      <c r="R1481" s="1">
        <v>0</v>
      </c>
      <c r="S1481" s="1">
        <v>0</v>
      </c>
    </row>
    <row r="1482" spans="1:19" ht="12.5" x14ac:dyDescent="0.25">
      <c r="A1482" s="1">
        <v>1528</v>
      </c>
      <c r="B1482" s="1" t="s">
        <v>5020</v>
      </c>
      <c r="C1482" s="1" t="s">
        <v>35</v>
      </c>
      <c r="D1482" s="1" t="s">
        <v>152</v>
      </c>
      <c r="E1482" s="1">
        <v>1214</v>
      </c>
      <c r="F1482" s="1" t="s">
        <v>5017</v>
      </c>
      <c r="G1482" s="1" t="s">
        <v>5018</v>
      </c>
      <c r="H1482" s="1" t="s">
        <v>16</v>
      </c>
      <c r="I1482" s="1" t="s">
        <v>20</v>
      </c>
      <c r="J1482" s="1" t="s">
        <v>5019</v>
      </c>
      <c r="K1482" s="1" t="b">
        <v>0</v>
      </c>
      <c r="L1482" s="1" t="s">
        <v>22</v>
      </c>
      <c r="M1482" s="1" t="s">
        <v>16</v>
      </c>
      <c r="N1482" s="1" t="s">
        <v>16</v>
      </c>
      <c r="O1482" s="1" t="s">
        <v>9956</v>
      </c>
      <c r="P1482" s="1" t="s">
        <v>16</v>
      </c>
      <c r="Q1482" s="1">
        <v>2</v>
      </c>
      <c r="R1482" s="1">
        <v>0</v>
      </c>
      <c r="S1482" s="1">
        <v>0</v>
      </c>
    </row>
    <row r="1483" spans="1:19" ht="12.5" x14ac:dyDescent="0.25">
      <c r="A1483" s="1">
        <v>1530</v>
      </c>
      <c r="B1483" s="1" t="s">
        <v>5021</v>
      </c>
      <c r="C1483" s="1" t="s">
        <v>35</v>
      </c>
      <c r="D1483" s="1" t="s">
        <v>152</v>
      </c>
      <c r="E1483" s="1">
        <v>1215</v>
      </c>
      <c r="F1483" s="1" t="s">
        <v>5022</v>
      </c>
      <c r="G1483" s="1" t="s">
        <v>5023</v>
      </c>
      <c r="H1483" s="1" t="s">
        <v>16</v>
      </c>
      <c r="I1483" s="1" t="s">
        <v>29</v>
      </c>
      <c r="J1483" s="1" t="s">
        <v>16</v>
      </c>
      <c r="K1483" s="1" t="b">
        <v>0</v>
      </c>
      <c r="L1483" s="1" t="s">
        <v>22</v>
      </c>
      <c r="M1483" s="1" t="s">
        <v>16</v>
      </c>
      <c r="N1483" s="1" t="s">
        <v>16</v>
      </c>
      <c r="O1483" s="1" t="s">
        <v>9956</v>
      </c>
      <c r="P1483" s="1" t="s">
        <v>16</v>
      </c>
      <c r="Q1483" s="1">
        <v>100</v>
      </c>
      <c r="R1483" s="1">
        <v>0</v>
      </c>
      <c r="S1483" s="1">
        <v>0</v>
      </c>
    </row>
    <row r="1484" spans="1:19" ht="12.5" x14ac:dyDescent="0.25">
      <c r="A1484" s="1">
        <v>1532</v>
      </c>
      <c r="B1484" s="1" t="s">
        <v>5024</v>
      </c>
      <c r="C1484" s="1" t="s">
        <v>35</v>
      </c>
      <c r="D1484" s="1" t="s">
        <v>152</v>
      </c>
      <c r="E1484" s="1">
        <v>1216</v>
      </c>
      <c r="F1484" s="1" t="s">
        <v>5025</v>
      </c>
      <c r="G1484" s="1" t="s">
        <v>5026</v>
      </c>
      <c r="H1484" s="1" t="s">
        <v>16</v>
      </c>
      <c r="I1484" s="1" t="s">
        <v>29</v>
      </c>
      <c r="J1484" s="1" t="s">
        <v>16</v>
      </c>
      <c r="K1484" s="1" t="b">
        <v>0</v>
      </c>
      <c r="L1484" s="1" t="s">
        <v>22</v>
      </c>
      <c r="M1484" s="1" t="s">
        <v>16</v>
      </c>
      <c r="N1484" s="1" t="s">
        <v>16</v>
      </c>
      <c r="O1484" s="1" t="s">
        <v>16</v>
      </c>
      <c r="P1484" s="1" t="s">
        <v>16</v>
      </c>
      <c r="Q1484" s="1">
        <v>100</v>
      </c>
    </row>
    <row r="1485" spans="1:19" ht="12.5" x14ac:dyDescent="0.25">
      <c r="A1485" s="1">
        <v>1534</v>
      </c>
      <c r="B1485" s="1" t="s">
        <v>5027</v>
      </c>
      <c r="C1485" s="1" t="s">
        <v>35</v>
      </c>
      <c r="D1485" s="1" t="s">
        <v>152</v>
      </c>
      <c r="E1485" s="1">
        <v>1217</v>
      </c>
      <c r="F1485" s="1" t="s">
        <v>5028</v>
      </c>
      <c r="G1485" s="1" t="s">
        <v>5029</v>
      </c>
      <c r="H1485" s="1" t="s">
        <v>16</v>
      </c>
      <c r="I1485" s="1" t="s">
        <v>29</v>
      </c>
      <c r="J1485" s="1" t="s">
        <v>5030</v>
      </c>
      <c r="K1485" s="1" t="b">
        <v>0</v>
      </c>
      <c r="L1485" s="1" t="s">
        <v>22</v>
      </c>
      <c r="M1485" s="1" t="s">
        <v>16</v>
      </c>
      <c r="N1485" s="1" t="s">
        <v>16</v>
      </c>
      <c r="O1485" s="1" t="s">
        <v>9956</v>
      </c>
      <c r="P1485" s="1" t="s">
        <v>16</v>
      </c>
      <c r="Q1485" s="1">
        <v>100</v>
      </c>
      <c r="R1485" s="1">
        <v>9000</v>
      </c>
      <c r="S1485" s="1">
        <v>9000</v>
      </c>
    </row>
    <row r="1486" spans="1:19" ht="12.5" x14ac:dyDescent="0.25">
      <c r="A1486" s="1">
        <v>1536</v>
      </c>
      <c r="B1486" s="1" t="s">
        <v>5031</v>
      </c>
      <c r="C1486" s="1" t="s">
        <v>35</v>
      </c>
      <c r="D1486" s="1" t="s">
        <v>152</v>
      </c>
      <c r="E1486" s="1">
        <v>1218</v>
      </c>
      <c r="F1486" s="1" t="s">
        <v>5032</v>
      </c>
      <c r="G1486" s="1" t="s">
        <v>5033</v>
      </c>
      <c r="H1486" s="1" t="s">
        <v>16</v>
      </c>
      <c r="I1486" s="1" t="s">
        <v>29</v>
      </c>
      <c r="J1486" s="1" t="s">
        <v>5034</v>
      </c>
      <c r="K1486" s="1" t="b">
        <v>0</v>
      </c>
      <c r="L1486" s="1" t="s">
        <v>22</v>
      </c>
      <c r="M1486" s="1" t="s">
        <v>16</v>
      </c>
      <c r="N1486" s="1" t="s">
        <v>16</v>
      </c>
      <c r="O1486" s="1" t="s">
        <v>16</v>
      </c>
      <c r="P1486" s="1" t="s">
        <v>16</v>
      </c>
      <c r="Q1486" s="1">
        <v>100</v>
      </c>
    </row>
    <row r="1487" spans="1:19" ht="12.5" x14ac:dyDescent="0.25">
      <c r="A1487" s="1">
        <v>1537</v>
      </c>
      <c r="B1487" s="1" t="s">
        <v>5035</v>
      </c>
      <c r="C1487" s="1" t="s">
        <v>35</v>
      </c>
      <c r="D1487" s="1" t="s">
        <v>152</v>
      </c>
      <c r="E1487" s="1">
        <v>1219</v>
      </c>
      <c r="F1487" s="1" t="s">
        <v>5036</v>
      </c>
      <c r="G1487" s="1" t="s">
        <v>5037</v>
      </c>
      <c r="H1487" s="1" t="s">
        <v>5038</v>
      </c>
      <c r="I1487" s="1" t="s">
        <v>20</v>
      </c>
      <c r="J1487" s="1" t="s">
        <v>5039</v>
      </c>
      <c r="K1487" s="1" t="b">
        <v>0</v>
      </c>
      <c r="L1487" s="1" t="s">
        <v>22</v>
      </c>
      <c r="M1487" s="1" t="s">
        <v>16</v>
      </c>
      <c r="N1487" s="1" t="s">
        <v>16</v>
      </c>
      <c r="O1487" s="1" t="s">
        <v>9956</v>
      </c>
      <c r="P1487" s="1" t="s">
        <v>16</v>
      </c>
      <c r="Q1487" s="1">
        <v>25</v>
      </c>
      <c r="R1487" s="1">
        <v>0</v>
      </c>
      <c r="S1487" s="1">
        <v>0</v>
      </c>
    </row>
    <row r="1488" spans="1:19" ht="12.5" x14ac:dyDescent="0.25">
      <c r="A1488" s="1">
        <v>1538</v>
      </c>
      <c r="B1488" s="1" t="s">
        <v>5040</v>
      </c>
      <c r="C1488" s="1" t="s">
        <v>35</v>
      </c>
      <c r="D1488" s="1" t="s">
        <v>152</v>
      </c>
      <c r="E1488" s="1">
        <v>1219</v>
      </c>
      <c r="F1488" s="1" t="s">
        <v>5036</v>
      </c>
      <c r="G1488" s="1" t="s">
        <v>5037</v>
      </c>
      <c r="H1488" s="1" t="s">
        <v>5038</v>
      </c>
      <c r="I1488" s="1" t="s">
        <v>20</v>
      </c>
      <c r="J1488" s="1" t="s">
        <v>5039</v>
      </c>
      <c r="K1488" s="1" t="b">
        <v>0</v>
      </c>
      <c r="L1488" s="1" t="s">
        <v>22</v>
      </c>
      <c r="M1488" s="1" t="s">
        <v>16</v>
      </c>
      <c r="N1488" s="1" t="s">
        <v>16</v>
      </c>
      <c r="O1488" s="1" t="s">
        <v>9956</v>
      </c>
      <c r="P1488" s="1" t="s">
        <v>16</v>
      </c>
      <c r="Q1488" s="1">
        <v>25</v>
      </c>
      <c r="R1488" s="1">
        <v>0</v>
      </c>
      <c r="S1488" s="1">
        <v>0</v>
      </c>
    </row>
    <row r="1489" spans="1:19" ht="12.5" x14ac:dyDescent="0.25">
      <c r="A1489" s="1">
        <v>1538</v>
      </c>
      <c r="B1489" s="1" t="s">
        <v>5040</v>
      </c>
      <c r="C1489" s="1" t="s">
        <v>35</v>
      </c>
      <c r="D1489" s="1" t="s">
        <v>152</v>
      </c>
      <c r="E1489" s="1">
        <v>1220</v>
      </c>
      <c r="F1489" s="1" t="s">
        <v>5041</v>
      </c>
      <c r="G1489" s="1" t="s">
        <v>5042</v>
      </c>
      <c r="H1489" s="1" t="s">
        <v>16</v>
      </c>
      <c r="I1489" s="1" t="s">
        <v>20</v>
      </c>
      <c r="J1489" s="1" t="s">
        <v>16</v>
      </c>
      <c r="K1489" s="1" t="b">
        <v>0</v>
      </c>
      <c r="L1489" s="1" t="s">
        <v>22</v>
      </c>
      <c r="M1489" s="1" t="s">
        <v>16</v>
      </c>
      <c r="N1489" s="1" t="s">
        <v>16</v>
      </c>
      <c r="O1489" s="1" t="s">
        <v>9956</v>
      </c>
      <c r="P1489" s="1" t="s">
        <v>16</v>
      </c>
      <c r="Q1489" s="1">
        <v>100</v>
      </c>
      <c r="R1489" s="1">
        <v>0</v>
      </c>
      <c r="S1489" s="1">
        <v>0</v>
      </c>
    </row>
    <row r="1490" spans="1:19" ht="12.5" x14ac:dyDescent="0.25">
      <c r="A1490" s="1">
        <v>1539</v>
      </c>
      <c r="B1490" s="1" t="s">
        <v>5043</v>
      </c>
      <c r="C1490" s="1" t="s">
        <v>35</v>
      </c>
      <c r="D1490" s="1" t="s">
        <v>152</v>
      </c>
      <c r="E1490" s="1">
        <v>1221</v>
      </c>
      <c r="F1490" s="1" t="s">
        <v>5044</v>
      </c>
      <c r="G1490" s="1" t="s">
        <v>5045</v>
      </c>
      <c r="H1490" s="1" t="s">
        <v>16</v>
      </c>
      <c r="I1490" s="1" t="s">
        <v>20</v>
      </c>
      <c r="J1490" s="1" t="s">
        <v>16</v>
      </c>
      <c r="K1490" s="1" t="b">
        <v>0</v>
      </c>
      <c r="L1490" s="1" t="s">
        <v>22</v>
      </c>
      <c r="M1490" s="1" t="s">
        <v>16</v>
      </c>
      <c r="N1490" s="1" t="s">
        <v>16</v>
      </c>
      <c r="O1490" s="1" t="s">
        <v>9956</v>
      </c>
      <c r="P1490" s="1" t="s">
        <v>16</v>
      </c>
      <c r="Q1490" s="1">
        <v>100</v>
      </c>
      <c r="R1490" s="1">
        <v>0</v>
      </c>
      <c r="S1490" s="1">
        <v>0</v>
      </c>
    </row>
    <row r="1491" spans="1:19" ht="12.5" x14ac:dyDescent="0.25">
      <c r="A1491" s="1">
        <v>1540</v>
      </c>
      <c r="B1491" s="1" t="s">
        <v>5046</v>
      </c>
      <c r="C1491" s="1" t="s">
        <v>35</v>
      </c>
      <c r="D1491" s="1" t="s">
        <v>152</v>
      </c>
      <c r="E1491" s="1">
        <v>1222</v>
      </c>
      <c r="F1491" s="1" t="s">
        <v>5047</v>
      </c>
      <c r="G1491" s="1" t="s">
        <v>5048</v>
      </c>
      <c r="H1491" s="1" t="s">
        <v>16</v>
      </c>
      <c r="I1491" s="1" t="s">
        <v>29</v>
      </c>
      <c r="J1491" s="1" t="s">
        <v>5049</v>
      </c>
      <c r="K1491" s="1" t="b">
        <v>0</v>
      </c>
      <c r="L1491" s="1" t="s">
        <v>22</v>
      </c>
      <c r="M1491" s="1">
        <v>2022</v>
      </c>
      <c r="N1491" s="1" t="s">
        <v>23</v>
      </c>
      <c r="O1491" s="1" t="s">
        <v>9935</v>
      </c>
      <c r="P1491" s="1" t="s">
        <v>16</v>
      </c>
      <c r="Q1491" s="1">
        <v>100</v>
      </c>
      <c r="R1491" s="1">
        <v>6000</v>
      </c>
      <c r="S1491" s="1">
        <v>6000</v>
      </c>
    </row>
    <row r="1492" spans="1:19" ht="12.5" x14ac:dyDescent="0.25">
      <c r="A1492" s="1">
        <v>1543</v>
      </c>
      <c r="B1492" s="1" t="s">
        <v>5050</v>
      </c>
      <c r="C1492" s="1" t="s">
        <v>35</v>
      </c>
      <c r="D1492" s="1" t="s">
        <v>152</v>
      </c>
      <c r="E1492" s="1">
        <v>1223</v>
      </c>
      <c r="F1492" s="1" t="s">
        <v>5051</v>
      </c>
      <c r="G1492" s="1" t="s">
        <v>5052</v>
      </c>
      <c r="H1492" s="1" t="s">
        <v>16</v>
      </c>
      <c r="I1492" s="1" t="s">
        <v>29</v>
      </c>
      <c r="J1492" s="1" t="s">
        <v>5053</v>
      </c>
      <c r="K1492" s="1" t="b">
        <v>1</v>
      </c>
      <c r="L1492" s="1" t="s">
        <v>31</v>
      </c>
      <c r="M1492" s="1">
        <v>2022</v>
      </c>
      <c r="N1492" s="1" t="s">
        <v>45</v>
      </c>
      <c r="O1492" s="1" t="s">
        <v>9935</v>
      </c>
      <c r="P1492" s="1" t="s">
        <v>10037</v>
      </c>
      <c r="Q1492" s="1">
        <v>33.33</v>
      </c>
      <c r="R1492" s="1">
        <v>6100</v>
      </c>
      <c r="S1492" s="1">
        <v>2033.13</v>
      </c>
    </row>
    <row r="1493" spans="1:19" ht="12.5" x14ac:dyDescent="0.25">
      <c r="A1493" s="1">
        <v>1543</v>
      </c>
      <c r="B1493" s="1" t="s">
        <v>5050</v>
      </c>
      <c r="C1493" s="1" t="s">
        <v>35</v>
      </c>
      <c r="D1493" s="1" t="s">
        <v>152</v>
      </c>
      <c r="E1493" s="1">
        <v>1223</v>
      </c>
      <c r="F1493" s="1" t="s">
        <v>5051</v>
      </c>
      <c r="G1493" s="1" t="s">
        <v>5052</v>
      </c>
      <c r="H1493" s="1" t="s">
        <v>16</v>
      </c>
      <c r="I1493" s="1" t="s">
        <v>29</v>
      </c>
      <c r="J1493" s="1" t="s">
        <v>5053</v>
      </c>
      <c r="K1493" s="1" t="b">
        <v>1</v>
      </c>
      <c r="L1493" s="1" t="s">
        <v>31</v>
      </c>
      <c r="M1493" s="1">
        <v>2022</v>
      </c>
      <c r="N1493" s="1" t="s">
        <v>45</v>
      </c>
      <c r="O1493" s="1" t="s">
        <v>9935</v>
      </c>
      <c r="P1493" s="1" t="s">
        <v>10038</v>
      </c>
      <c r="Q1493" s="1">
        <v>33.33</v>
      </c>
      <c r="R1493" s="1">
        <v>6100</v>
      </c>
      <c r="S1493" s="1">
        <v>2033.13</v>
      </c>
    </row>
    <row r="1494" spans="1:19" ht="12.5" x14ac:dyDescent="0.25">
      <c r="A1494" s="1">
        <v>1543</v>
      </c>
      <c r="B1494" s="1" t="s">
        <v>5050</v>
      </c>
      <c r="C1494" s="1" t="s">
        <v>35</v>
      </c>
      <c r="D1494" s="1" t="s">
        <v>152</v>
      </c>
      <c r="E1494" s="1">
        <v>1223</v>
      </c>
      <c r="F1494" s="1" t="s">
        <v>5051</v>
      </c>
      <c r="G1494" s="1" t="s">
        <v>5052</v>
      </c>
      <c r="H1494" s="1" t="s">
        <v>16</v>
      </c>
      <c r="I1494" s="1" t="s">
        <v>29</v>
      </c>
      <c r="J1494" s="1" t="s">
        <v>5053</v>
      </c>
      <c r="K1494" s="1" t="b">
        <v>1</v>
      </c>
      <c r="L1494" s="1" t="s">
        <v>31</v>
      </c>
      <c r="M1494" s="1">
        <v>2022</v>
      </c>
      <c r="N1494" s="1" t="s">
        <v>45</v>
      </c>
      <c r="O1494" s="1" t="s">
        <v>9935</v>
      </c>
      <c r="P1494" s="1" t="s">
        <v>10039</v>
      </c>
      <c r="Q1494" s="1">
        <v>33.33</v>
      </c>
      <c r="R1494" s="1">
        <v>6100</v>
      </c>
      <c r="S1494" s="1">
        <v>2033.13</v>
      </c>
    </row>
    <row r="1495" spans="1:19" ht="12.5" x14ac:dyDescent="0.25">
      <c r="A1495" s="1">
        <v>1544</v>
      </c>
      <c r="B1495" s="1" t="s">
        <v>5054</v>
      </c>
      <c r="C1495" s="1" t="s">
        <v>35</v>
      </c>
      <c r="D1495" s="1" t="s">
        <v>152</v>
      </c>
      <c r="E1495" s="1">
        <v>1223</v>
      </c>
      <c r="F1495" s="1" t="s">
        <v>5051</v>
      </c>
      <c r="G1495" s="1" t="s">
        <v>5052</v>
      </c>
      <c r="H1495" s="1" t="s">
        <v>16</v>
      </c>
      <c r="I1495" s="1" t="s">
        <v>29</v>
      </c>
      <c r="J1495" s="1" t="s">
        <v>5053</v>
      </c>
      <c r="K1495" s="1" t="b">
        <v>1</v>
      </c>
      <c r="L1495" s="1" t="s">
        <v>31</v>
      </c>
      <c r="M1495" s="1">
        <v>2022</v>
      </c>
      <c r="N1495" s="1" t="s">
        <v>45</v>
      </c>
      <c r="O1495" s="1" t="s">
        <v>9935</v>
      </c>
      <c r="P1495" s="1" t="s">
        <v>10037</v>
      </c>
      <c r="Q1495" s="1">
        <v>33.33</v>
      </c>
      <c r="R1495" s="1">
        <v>6100</v>
      </c>
      <c r="S1495" s="1">
        <v>2033.13</v>
      </c>
    </row>
    <row r="1496" spans="1:19" ht="12.5" x14ac:dyDescent="0.25">
      <c r="A1496" s="1">
        <v>1544</v>
      </c>
      <c r="B1496" s="1" t="s">
        <v>5054</v>
      </c>
      <c r="C1496" s="1" t="s">
        <v>35</v>
      </c>
      <c r="D1496" s="1" t="s">
        <v>152</v>
      </c>
      <c r="E1496" s="1">
        <v>1223</v>
      </c>
      <c r="F1496" s="1" t="s">
        <v>5051</v>
      </c>
      <c r="G1496" s="1" t="s">
        <v>5052</v>
      </c>
      <c r="H1496" s="1" t="s">
        <v>16</v>
      </c>
      <c r="I1496" s="1" t="s">
        <v>29</v>
      </c>
      <c r="J1496" s="1" t="s">
        <v>5053</v>
      </c>
      <c r="K1496" s="1" t="b">
        <v>1</v>
      </c>
      <c r="L1496" s="1" t="s">
        <v>31</v>
      </c>
      <c r="M1496" s="1">
        <v>2022</v>
      </c>
      <c r="N1496" s="1" t="s">
        <v>45</v>
      </c>
      <c r="O1496" s="1" t="s">
        <v>9935</v>
      </c>
      <c r="P1496" s="1" t="s">
        <v>10039</v>
      </c>
      <c r="Q1496" s="1">
        <v>33.33</v>
      </c>
      <c r="R1496" s="1">
        <v>6100</v>
      </c>
      <c r="S1496" s="1">
        <v>2033.13</v>
      </c>
    </row>
    <row r="1497" spans="1:19" ht="12.5" x14ac:dyDescent="0.25">
      <c r="A1497" s="1">
        <v>1544</v>
      </c>
      <c r="B1497" s="1" t="s">
        <v>5054</v>
      </c>
      <c r="C1497" s="1" t="s">
        <v>35</v>
      </c>
      <c r="D1497" s="1" t="s">
        <v>152</v>
      </c>
      <c r="E1497" s="1">
        <v>1223</v>
      </c>
      <c r="F1497" s="1" t="s">
        <v>5051</v>
      </c>
      <c r="G1497" s="1" t="s">
        <v>5052</v>
      </c>
      <c r="H1497" s="1" t="s">
        <v>16</v>
      </c>
      <c r="I1497" s="1" t="s">
        <v>29</v>
      </c>
      <c r="J1497" s="1" t="s">
        <v>5053</v>
      </c>
      <c r="K1497" s="1" t="b">
        <v>1</v>
      </c>
      <c r="L1497" s="1" t="s">
        <v>31</v>
      </c>
      <c r="M1497" s="1">
        <v>2022</v>
      </c>
      <c r="N1497" s="1" t="s">
        <v>45</v>
      </c>
      <c r="O1497" s="1" t="s">
        <v>9935</v>
      </c>
      <c r="P1497" s="1" t="s">
        <v>10038</v>
      </c>
      <c r="Q1497" s="1">
        <v>33.33</v>
      </c>
      <c r="R1497" s="1">
        <v>6100</v>
      </c>
      <c r="S1497" s="1">
        <v>2033.13</v>
      </c>
    </row>
    <row r="1498" spans="1:19" ht="12.5" x14ac:dyDescent="0.25">
      <c r="A1498" s="1">
        <v>1545</v>
      </c>
      <c r="B1498" s="1" t="s">
        <v>5055</v>
      </c>
      <c r="C1498" s="1" t="s">
        <v>35</v>
      </c>
      <c r="D1498" s="1" t="s">
        <v>152</v>
      </c>
      <c r="E1498" s="1">
        <v>1223</v>
      </c>
      <c r="F1498" s="1" t="s">
        <v>5051</v>
      </c>
      <c r="G1498" s="1" t="s">
        <v>5052</v>
      </c>
      <c r="H1498" s="1" t="s">
        <v>16</v>
      </c>
      <c r="I1498" s="1" t="s">
        <v>29</v>
      </c>
      <c r="J1498" s="1" t="s">
        <v>5053</v>
      </c>
      <c r="K1498" s="1" t="b">
        <v>1</v>
      </c>
      <c r="L1498" s="1" t="s">
        <v>31</v>
      </c>
      <c r="M1498" s="1">
        <v>2022</v>
      </c>
      <c r="N1498" s="1" t="s">
        <v>45</v>
      </c>
      <c r="O1498" s="1" t="s">
        <v>9935</v>
      </c>
      <c r="P1498" s="1" t="s">
        <v>10038</v>
      </c>
      <c r="Q1498" s="1">
        <v>33.340000000000003</v>
      </c>
      <c r="R1498" s="1">
        <v>6100</v>
      </c>
      <c r="S1498" s="1">
        <v>2033.74</v>
      </c>
    </row>
    <row r="1499" spans="1:19" ht="12.5" x14ac:dyDescent="0.25">
      <c r="A1499" s="1">
        <v>1545</v>
      </c>
      <c r="B1499" s="1" t="s">
        <v>5055</v>
      </c>
      <c r="C1499" s="1" t="s">
        <v>35</v>
      </c>
      <c r="D1499" s="1" t="s">
        <v>152</v>
      </c>
      <c r="E1499" s="1">
        <v>1223</v>
      </c>
      <c r="F1499" s="1" t="s">
        <v>5051</v>
      </c>
      <c r="G1499" s="1" t="s">
        <v>5052</v>
      </c>
      <c r="H1499" s="1" t="s">
        <v>16</v>
      </c>
      <c r="I1499" s="1" t="s">
        <v>29</v>
      </c>
      <c r="J1499" s="1" t="s">
        <v>5053</v>
      </c>
      <c r="K1499" s="1" t="b">
        <v>1</v>
      </c>
      <c r="L1499" s="1" t="s">
        <v>31</v>
      </c>
      <c r="M1499" s="1">
        <v>2022</v>
      </c>
      <c r="N1499" s="1" t="s">
        <v>45</v>
      </c>
      <c r="O1499" s="1" t="s">
        <v>9935</v>
      </c>
      <c r="P1499" s="1" t="s">
        <v>10037</v>
      </c>
      <c r="Q1499" s="1">
        <v>33.340000000000003</v>
      </c>
      <c r="R1499" s="1">
        <v>6100</v>
      </c>
      <c r="S1499" s="1">
        <v>2033.74</v>
      </c>
    </row>
    <row r="1500" spans="1:19" ht="12.5" x14ac:dyDescent="0.25">
      <c r="A1500" s="1">
        <v>1545</v>
      </c>
      <c r="B1500" s="1" t="s">
        <v>5055</v>
      </c>
      <c r="C1500" s="1" t="s">
        <v>35</v>
      </c>
      <c r="D1500" s="1" t="s">
        <v>152</v>
      </c>
      <c r="E1500" s="1">
        <v>1223</v>
      </c>
      <c r="F1500" s="1" t="s">
        <v>5051</v>
      </c>
      <c r="G1500" s="1" t="s">
        <v>5052</v>
      </c>
      <c r="H1500" s="1" t="s">
        <v>16</v>
      </c>
      <c r="I1500" s="1" t="s">
        <v>29</v>
      </c>
      <c r="J1500" s="1" t="s">
        <v>5053</v>
      </c>
      <c r="K1500" s="1" t="b">
        <v>1</v>
      </c>
      <c r="L1500" s="1" t="s">
        <v>31</v>
      </c>
      <c r="M1500" s="1">
        <v>2022</v>
      </c>
      <c r="N1500" s="1" t="s">
        <v>45</v>
      </c>
      <c r="O1500" s="1" t="s">
        <v>9935</v>
      </c>
      <c r="P1500" s="1" t="s">
        <v>10039</v>
      </c>
      <c r="Q1500" s="1">
        <v>33.340000000000003</v>
      </c>
      <c r="R1500" s="1">
        <v>6100</v>
      </c>
      <c r="S1500" s="1">
        <v>2033.74</v>
      </c>
    </row>
    <row r="1501" spans="1:19" ht="12.5" x14ac:dyDescent="0.25">
      <c r="A1501" s="1" t="s">
        <v>16</v>
      </c>
      <c r="B1501" s="1" t="s">
        <v>16</v>
      </c>
      <c r="C1501" s="1" t="s">
        <v>16</v>
      </c>
      <c r="D1501" s="1" t="s">
        <v>16</v>
      </c>
      <c r="E1501" s="1">
        <v>1224</v>
      </c>
      <c r="F1501" s="1" t="s">
        <v>5056</v>
      </c>
      <c r="G1501" s="1" t="s">
        <v>5057</v>
      </c>
      <c r="H1501" s="1"/>
      <c r="I1501" s="1" t="s">
        <v>29</v>
      </c>
      <c r="J1501" s="1" t="s">
        <v>16</v>
      </c>
      <c r="K1501" s="1" t="b">
        <v>0</v>
      </c>
      <c r="L1501" s="1" t="s">
        <v>22</v>
      </c>
      <c r="M1501" s="1">
        <v>2022</v>
      </c>
      <c r="N1501" s="1" t="s">
        <v>16</v>
      </c>
      <c r="O1501" s="1" t="s">
        <v>9956</v>
      </c>
      <c r="P1501" s="1" t="s">
        <v>16</v>
      </c>
      <c r="R1501" s="1">
        <v>6100</v>
      </c>
    </row>
    <row r="1502" spans="1:19" ht="12.5" x14ac:dyDescent="0.25">
      <c r="A1502" s="1" t="s">
        <v>16</v>
      </c>
      <c r="B1502" s="1" t="s">
        <v>16</v>
      </c>
      <c r="C1502" s="1" t="s">
        <v>16</v>
      </c>
      <c r="D1502" s="1" t="s">
        <v>16</v>
      </c>
      <c r="E1502" s="1">
        <v>1225</v>
      </c>
      <c r="F1502" s="1" t="s">
        <v>5058</v>
      </c>
      <c r="G1502" s="1" t="s">
        <v>5059</v>
      </c>
      <c r="H1502" s="1" t="s">
        <v>16</v>
      </c>
      <c r="I1502" s="1" t="s">
        <v>29</v>
      </c>
      <c r="J1502" s="1" t="s">
        <v>16</v>
      </c>
      <c r="K1502" s="1" t="b">
        <v>0</v>
      </c>
      <c r="L1502" s="1" t="s">
        <v>22</v>
      </c>
      <c r="M1502" s="1">
        <v>2022</v>
      </c>
      <c r="N1502" s="1" t="s">
        <v>45</v>
      </c>
      <c r="O1502" s="1" t="s">
        <v>9935</v>
      </c>
      <c r="P1502" s="1"/>
      <c r="R1502" s="1">
        <v>6100</v>
      </c>
    </row>
    <row r="1503" spans="1:19" ht="12.5" x14ac:dyDescent="0.25">
      <c r="A1503" s="1">
        <v>1546</v>
      </c>
      <c r="B1503" s="1" t="s">
        <v>5060</v>
      </c>
      <c r="C1503" s="1" t="s">
        <v>35</v>
      </c>
      <c r="D1503" s="1" t="s">
        <v>152</v>
      </c>
      <c r="E1503" s="1">
        <v>1226</v>
      </c>
      <c r="F1503" s="1" t="s">
        <v>5061</v>
      </c>
      <c r="G1503" s="1" t="s">
        <v>5062</v>
      </c>
      <c r="H1503" s="1" t="s">
        <v>16</v>
      </c>
      <c r="I1503" s="1" t="s">
        <v>20</v>
      </c>
      <c r="J1503" s="1" t="s">
        <v>16</v>
      </c>
      <c r="K1503" s="1" t="b">
        <v>0</v>
      </c>
      <c r="L1503" s="1" t="s">
        <v>22</v>
      </c>
      <c r="M1503" s="1" t="s">
        <v>16</v>
      </c>
      <c r="N1503" s="1" t="s">
        <v>16</v>
      </c>
      <c r="O1503" s="1" t="s">
        <v>9956</v>
      </c>
      <c r="P1503" s="1" t="s">
        <v>16</v>
      </c>
      <c r="Q1503" s="1">
        <v>100</v>
      </c>
      <c r="R1503" s="1">
        <v>0</v>
      </c>
      <c r="S1503" s="1">
        <v>0</v>
      </c>
    </row>
    <row r="1504" spans="1:19" ht="12.5" x14ac:dyDescent="0.25">
      <c r="A1504" s="1">
        <v>1548</v>
      </c>
      <c r="B1504" s="1" t="s">
        <v>5063</v>
      </c>
      <c r="C1504" s="1" t="s">
        <v>35</v>
      </c>
      <c r="D1504" s="1" t="s">
        <v>152</v>
      </c>
      <c r="E1504" s="1">
        <v>1227</v>
      </c>
      <c r="F1504" s="1" t="s">
        <v>5064</v>
      </c>
      <c r="G1504" s="1" t="s">
        <v>5065</v>
      </c>
      <c r="H1504" s="1" t="s">
        <v>16</v>
      </c>
      <c r="I1504" s="1" t="s">
        <v>29</v>
      </c>
      <c r="J1504" s="1" t="s">
        <v>5066</v>
      </c>
      <c r="K1504" s="1" t="b">
        <v>0</v>
      </c>
      <c r="L1504" s="1" t="s">
        <v>22</v>
      </c>
      <c r="M1504" s="1" t="s">
        <v>16</v>
      </c>
      <c r="N1504" s="1" t="s">
        <v>16</v>
      </c>
      <c r="O1504" s="1" t="s">
        <v>16</v>
      </c>
      <c r="P1504" s="1" t="s">
        <v>16</v>
      </c>
      <c r="Q1504" s="1">
        <v>100</v>
      </c>
    </row>
    <row r="1505" spans="1:19" ht="12.5" x14ac:dyDescent="0.25">
      <c r="A1505" s="1" t="s">
        <v>16</v>
      </c>
      <c r="B1505" s="1" t="s">
        <v>16</v>
      </c>
      <c r="C1505" s="1" t="s">
        <v>16</v>
      </c>
      <c r="D1505" s="1" t="s">
        <v>16</v>
      </c>
      <c r="E1505" s="1">
        <v>1228</v>
      </c>
      <c r="F1505" s="1" t="s">
        <v>5067</v>
      </c>
      <c r="G1505" s="1" t="s">
        <v>5068</v>
      </c>
      <c r="H1505" s="1" t="s">
        <v>16</v>
      </c>
      <c r="I1505" s="1" t="s">
        <v>29</v>
      </c>
      <c r="J1505" s="1" t="s">
        <v>16</v>
      </c>
      <c r="K1505" s="1" t="b">
        <v>0</v>
      </c>
      <c r="L1505" s="1" t="s">
        <v>22</v>
      </c>
      <c r="M1505" s="1" t="s">
        <v>16</v>
      </c>
      <c r="N1505" s="1" t="s">
        <v>16</v>
      </c>
      <c r="O1505" s="1" t="s">
        <v>9956</v>
      </c>
      <c r="P1505" s="1" t="s">
        <v>16</v>
      </c>
      <c r="R1505" s="1">
        <v>0</v>
      </c>
    </row>
    <row r="1506" spans="1:19" ht="12.5" x14ac:dyDescent="0.25">
      <c r="A1506" s="1">
        <v>1551</v>
      </c>
      <c r="B1506" s="1" t="s">
        <v>5069</v>
      </c>
      <c r="C1506" s="1" t="s">
        <v>35</v>
      </c>
      <c r="D1506" s="1" t="s">
        <v>152</v>
      </c>
      <c r="E1506" s="1">
        <v>1229</v>
      </c>
      <c r="F1506" s="1" t="s">
        <v>5070</v>
      </c>
      <c r="G1506" s="1" t="s">
        <v>5071</v>
      </c>
      <c r="H1506" s="1" t="s">
        <v>16</v>
      </c>
      <c r="I1506" s="1" t="s">
        <v>29</v>
      </c>
      <c r="J1506" s="1" t="s">
        <v>5072</v>
      </c>
      <c r="K1506" s="1" t="b">
        <v>0</v>
      </c>
      <c r="L1506" s="1" t="s">
        <v>22</v>
      </c>
      <c r="M1506" s="1">
        <v>2022</v>
      </c>
      <c r="N1506" s="1" t="s">
        <v>45</v>
      </c>
      <c r="O1506" s="1" t="s">
        <v>9956</v>
      </c>
      <c r="P1506" s="1" t="s">
        <v>16</v>
      </c>
      <c r="Q1506" s="1">
        <v>100</v>
      </c>
      <c r="R1506" s="1">
        <v>40000</v>
      </c>
      <c r="S1506" s="1">
        <v>40000</v>
      </c>
    </row>
    <row r="1507" spans="1:19" ht="12.5" x14ac:dyDescent="0.25">
      <c r="A1507" s="1">
        <v>1552</v>
      </c>
      <c r="B1507" s="1" t="s">
        <v>5073</v>
      </c>
      <c r="C1507" s="1" t="s">
        <v>35</v>
      </c>
      <c r="D1507" s="1" t="s">
        <v>152</v>
      </c>
      <c r="E1507" s="1">
        <v>1230</v>
      </c>
      <c r="F1507" s="1" t="s">
        <v>5074</v>
      </c>
      <c r="G1507" s="1" t="s">
        <v>5075</v>
      </c>
      <c r="H1507" s="1" t="s">
        <v>16</v>
      </c>
      <c r="I1507" s="1" t="s">
        <v>29</v>
      </c>
      <c r="J1507" s="1" t="s">
        <v>5076</v>
      </c>
      <c r="K1507" s="1" t="b">
        <v>0</v>
      </c>
      <c r="L1507" s="1" t="s">
        <v>22</v>
      </c>
      <c r="M1507" s="1">
        <v>2022</v>
      </c>
      <c r="N1507" s="1" t="s">
        <v>16</v>
      </c>
      <c r="O1507" s="1" t="s">
        <v>9956</v>
      </c>
      <c r="P1507" s="1" t="s">
        <v>16</v>
      </c>
      <c r="Q1507" s="1">
        <v>100</v>
      </c>
      <c r="R1507" s="1">
        <v>40000</v>
      </c>
      <c r="S1507" s="1">
        <v>40000</v>
      </c>
    </row>
    <row r="1508" spans="1:19" ht="12.5" x14ac:dyDescent="0.25">
      <c r="A1508" s="1">
        <v>1553</v>
      </c>
      <c r="B1508" s="1" t="s">
        <v>5077</v>
      </c>
      <c r="C1508" s="1" t="s">
        <v>35</v>
      </c>
      <c r="D1508" s="1" t="s">
        <v>152</v>
      </c>
      <c r="E1508" s="1">
        <v>1231</v>
      </c>
      <c r="F1508" s="1" t="s">
        <v>5078</v>
      </c>
      <c r="G1508" s="1" t="s">
        <v>5079</v>
      </c>
      <c r="H1508" s="1" t="s">
        <v>5080</v>
      </c>
      <c r="I1508" s="1" t="s">
        <v>29</v>
      </c>
      <c r="J1508" s="1" t="s">
        <v>5081</v>
      </c>
      <c r="K1508" s="1" t="b">
        <v>0</v>
      </c>
      <c r="L1508" s="1" t="s">
        <v>22</v>
      </c>
      <c r="M1508" s="1">
        <v>2022</v>
      </c>
      <c r="N1508" s="1" t="s">
        <v>23</v>
      </c>
      <c r="O1508" s="1" t="s">
        <v>9956</v>
      </c>
      <c r="P1508" s="1" t="s">
        <v>16</v>
      </c>
      <c r="Q1508" s="1">
        <v>100</v>
      </c>
      <c r="R1508" s="1">
        <v>40000</v>
      </c>
      <c r="S1508" s="1">
        <v>40000</v>
      </c>
    </row>
    <row r="1509" spans="1:19" ht="12.5" x14ac:dyDescent="0.25">
      <c r="A1509" s="1">
        <v>1554</v>
      </c>
      <c r="B1509" s="1" t="s">
        <v>5082</v>
      </c>
      <c r="C1509" s="1" t="s">
        <v>35</v>
      </c>
      <c r="D1509" s="1" t="s">
        <v>152</v>
      </c>
      <c r="E1509" s="1">
        <v>1232</v>
      </c>
      <c r="F1509" s="1" t="s">
        <v>5083</v>
      </c>
      <c r="G1509" s="1" t="s">
        <v>5084</v>
      </c>
      <c r="H1509" s="1" t="s">
        <v>5085</v>
      </c>
      <c r="I1509" s="1" t="s">
        <v>29</v>
      </c>
      <c r="J1509" s="1" t="s">
        <v>5086</v>
      </c>
      <c r="K1509" s="1" t="b">
        <v>0</v>
      </c>
      <c r="L1509" s="1" t="s">
        <v>22</v>
      </c>
      <c r="M1509" s="1">
        <v>2022</v>
      </c>
      <c r="N1509" s="1" t="s">
        <v>23</v>
      </c>
      <c r="O1509" s="1" t="s">
        <v>9956</v>
      </c>
      <c r="P1509" s="1" t="s">
        <v>16</v>
      </c>
      <c r="Q1509" s="1">
        <v>100</v>
      </c>
      <c r="R1509" s="1">
        <v>40000</v>
      </c>
      <c r="S1509" s="1">
        <v>40000</v>
      </c>
    </row>
    <row r="1510" spans="1:19" ht="12.5" x14ac:dyDescent="0.25">
      <c r="A1510" s="1">
        <v>1555</v>
      </c>
      <c r="B1510" s="1" t="s">
        <v>5087</v>
      </c>
      <c r="C1510" s="1" t="s">
        <v>35</v>
      </c>
      <c r="D1510" s="1" t="s">
        <v>152</v>
      </c>
      <c r="E1510" s="1">
        <v>1233</v>
      </c>
      <c r="F1510" s="1" t="s">
        <v>5088</v>
      </c>
      <c r="G1510" s="1" t="s">
        <v>5089</v>
      </c>
      <c r="H1510" s="1" t="s">
        <v>5090</v>
      </c>
      <c r="I1510" s="1" t="s">
        <v>29</v>
      </c>
      <c r="J1510" s="1" t="s">
        <v>5091</v>
      </c>
      <c r="K1510" s="1" t="b">
        <v>0</v>
      </c>
      <c r="L1510" s="1" t="s">
        <v>22</v>
      </c>
      <c r="M1510" s="1">
        <v>2022</v>
      </c>
      <c r="N1510" s="1" t="s">
        <v>23</v>
      </c>
      <c r="O1510" s="1" t="s">
        <v>9956</v>
      </c>
      <c r="P1510" s="1" t="s">
        <v>16</v>
      </c>
      <c r="Q1510" s="1">
        <v>100</v>
      </c>
      <c r="R1510" s="1">
        <v>20000</v>
      </c>
      <c r="S1510" s="1">
        <v>20000</v>
      </c>
    </row>
    <row r="1511" spans="1:19" ht="12.5" x14ac:dyDescent="0.25">
      <c r="A1511" s="1">
        <v>1556</v>
      </c>
      <c r="B1511" s="1" t="s">
        <v>5092</v>
      </c>
      <c r="C1511" s="1" t="s">
        <v>35</v>
      </c>
      <c r="D1511" s="1" t="s">
        <v>152</v>
      </c>
      <c r="E1511" s="1">
        <v>1234</v>
      </c>
      <c r="F1511" s="1" t="s">
        <v>5093</v>
      </c>
      <c r="G1511" s="1" t="s">
        <v>5094</v>
      </c>
      <c r="H1511" s="1" t="s">
        <v>16</v>
      </c>
      <c r="I1511" s="1" t="s">
        <v>29</v>
      </c>
      <c r="J1511" s="1" t="s">
        <v>5095</v>
      </c>
      <c r="K1511" s="1" t="b">
        <v>0</v>
      </c>
      <c r="L1511" s="1" t="s">
        <v>22</v>
      </c>
      <c r="M1511" s="1" t="s">
        <v>16</v>
      </c>
      <c r="N1511" s="1" t="s">
        <v>16</v>
      </c>
      <c r="O1511" s="1" t="s">
        <v>9956</v>
      </c>
      <c r="P1511" s="1" t="s">
        <v>16</v>
      </c>
      <c r="Q1511" s="1">
        <v>100</v>
      </c>
      <c r="R1511" s="1">
        <v>1500</v>
      </c>
      <c r="S1511" s="1">
        <v>1500</v>
      </c>
    </row>
    <row r="1512" spans="1:19" ht="12.5" x14ac:dyDescent="0.25">
      <c r="A1512" s="1">
        <v>1557</v>
      </c>
      <c r="B1512" s="1" t="s">
        <v>5096</v>
      </c>
      <c r="C1512" s="1" t="s">
        <v>35</v>
      </c>
      <c r="D1512" s="1" t="s">
        <v>152</v>
      </c>
      <c r="E1512" s="1">
        <v>1235</v>
      </c>
      <c r="F1512" s="1" t="s">
        <v>5097</v>
      </c>
      <c r="G1512" s="1" t="s">
        <v>5098</v>
      </c>
      <c r="H1512" s="1" t="s">
        <v>16</v>
      </c>
      <c r="I1512" s="1" t="s">
        <v>29</v>
      </c>
      <c r="J1512" s="1" t="s">
        <v>5099</v>
      </c>
      <c r="K1512" s="1" t="b">
        <v>0</v>
      </c>
      <c r="L1512" s="1" t="s">
        <v>22</v>
      </c>
      <c r="M1512" s="1" t="s">
        <v>16</v>
      </c>
      <c r="N1512" s="1" t="s">
        <v>16</v>
      </c>
      <c r="O1512" s="1" t="s">
        <v>9956</v>
      </c>
      <c r="P1512" s="1" t="s">
        <v>16</v>
      </c>
      <c r="Q1512" s="1">
        <v>100</v>
      </c>
      <c r="R1512" s="1">
        <v>1500</v>
      </c>
      <c r="S1512" s="1">
        <v>1500</v>
      </c>
    </row>
    <row r="1513" spans="1:19" ht="12.5" x14ac:dyDescent="0.25">
      <c r="A1513" s="1">
        <v>1558</v>
      </c>
      <c r="B1513" s="1" t="s">
        <v>5100</v>
      </c>
      <c r="C1513" s="1" t="s">
        <v>35</v>
      </c>
      <c r="D1513" s="1" t="s">
        <v>152</v>
      </c>
      <c r="E1513" s="1">
        <v>1236</v>
      </c>
      <c r="F1513" s="1" t="s">
        <v>5101</v>
      </c>
      <c r="G1513" s="1" t="s">
        <v>5102</v>
      </c>
      <c r="H1513" s="1" t="s">
        <v>16</v>
      </c>
      <c r="I1513" s="1" t="s">
        <v>29</v>
      </c>
      <c r="J1513" s="1" t="s">
        <v>5103</v>
      </c>
      <c r="K1513" s="1" t="b">
        <v>0</v>
      </c>
      <c r="L1513" s="1" t="s">
        <v>22</v>
      </c>
      <c r="M1513" s="1" t="s">
        <v>16</v>
      </c>
      <c r="N1513" s="1" t="s">
        <v>16</v>
      </c>
      <c r="O1513" s="1" t="s">
        <v>9956</v>
      </c>
      <c r="P1513" s="1" t="s">
        <v>16</v>
      </c>
      <c r="Q1513" s="1">
        <v>100</v>
      </c>
      <c r="R1513" s="1">
        <v>1500</v>
      </c>
      <c r="S1513" s="1">
        <v>1500</v>
      </c>
    </row>
    <row r="1514" spans="1:19" ht="12.5" x14ac:dyDescent="0.25">
      <c r="A1514" s="1">
        <v>1559</v>
      </c>
      <c r="B1514" s="1" t="s">
        <v>5104</v>
      </c>
      <c r="C1514" s="1" t="s">
        <v>35</v>
      </c>
      <c r="D1514" s="1" t="s">
        <v>152</v>
      </c>
      <c r="E1514" s="1">
        <v>1237</v>
      </c>
      <c r="F1514" s="1" t="s">
        <v>5105</v>
      </c>
      <c r="G1514" s="1" t="s">
        <v>5106</v>
      </c>
      <c r="H1514" s="1" t="s">
        <v>16</v>
      </c>
      <c r="I1514" s="1" t="s">
        <v>29</v>
      </c>
      <c r="J1514" s="1" t="s">
        <v>5107</v>
      </c>
      <c r="K1514" s="1" t="b">
        <v>0</v>
      </c>
      <c r="L1514" s="1" t="s">
        <v>22</v>
      </c>
      <c r="M1514" s="1" t="s">
        <v>16</v>
      </c>
      <c r="N1514" s="1" t="s">
        <v>16</v>
      </c>
      <c r="O1514" s="1" t="s">
        <v>9956</v>
      </c>
      <c r="P1514" s="1" t="s">
        <v>16</v>
      </c>
      <c r="Q1514" s="1">
        <v>100</v>
      </c>
      <c r="R1514" s="1">
        <v>1500</v>
      </c>
      <c r="S1514" s="1">
        <v>1500</v>
      </c>
    </row>
    <row r="1515" spans="1:19" ht="12.5" x14ac:dyDescent="0.25">
      <c r="A1515" s="1">
        <v>1560</v>
      </c>
      <c r="B1515" s="1" t="s">
        <v>5108</v>
      </c>
      <c r="C1515" s="1" t="s">
        <v>35</v>
      </c>
      <c r="D1515" s="1" t="s">
        <v>152</v>
      </c>
      <c r="E1515" s="1">
        <v>1238</v>
      </c>
      <c r="F1515" s="1" t="s">
        <v>5109</v>
      </c>
      <c r="G1515" s="1" t="s">
        <v>5110</v>
      </c>
      <c r="H1515" s="1" t="s">
        <v>16</v>
      </c>
      <c r="I1515" s="1" t="s">
        <v>29</v>
      </c>
      <c r="J1515" s="1" t="s">
        <v>5111</v>
      </c>
      <c r="K1515" s="1" t="b">
        <v>0</v>
      </c>
      <c r="L1515" s="1" t="s">
        <v>22</v>
      </c>
      <c r="M1515" s="1" t="s">
        <v>16</v>
      </c>
      <c r="N1515" s="1" t="s">
        <v>16</v>
      </c>
      <c r="O1515" s="1" t="s">
        <v>9956</v>
      </c>
      <c r="P1515" s="1" t="s">
        <v>16</v>
      </c>
      <c r="Q1515" s="1">
        <v>100</v>
      </c>
      <c r="R1515" s="1">
        <v>1500</v>
      </c>
      <c r="S1515" s="1">
        <v>1500</v>
      </c>
    </row>
    <row r="1516" spans="1:19" ht="12.5" x14ac:dyDescent="0.25">
      <c r="A1516" s="1">
        <v>1561</v>
      </c>
      <c r="B1516" s="1" t="s">
        <v>5112</v>
      </c>
      <c r="C1516" s="1" t="s">
        <v>35</v>
      </c>
      <c r="D1516" s="1" t="s">
        <v>152</v>
      </c>
      <c r="E1516" s="1">
        <v>1239</v>
      </c>
      <c r="F1516" s="1" t="s">
        <v>5113</v>
      </c>
      <c r="G1516" s="1" t="s">
        <v>5114</v>
      </c>
      <c r="H1516" s="1" t="s">
        <v>16</v>
      </c>
      <c r="I1516" s="1" t="s">
        <v>29</v>
      </c>
      <c r="J1516" s="1" t="s">
        <v>16</v>
      </c>
      <c r="K1516" s="1" t="b">
        <v>0</v>
      </c>
      <c r="L1516" s="1" t="s">
        <v>22</v>
      </c>
      <c r="M1516" s="1" t="s">
        <v>16</v>
      </c>
      <c r="N1516" s="1" t="s">
        <v>16</v>
      </c>
      <c r="O1516" s="1" t="s">
        <v>16</v>
      </c>
      <c r="P1516" s="1" t="s">
        <v>16</v>
      </c>
      <c r="Q1516" s="1">
        <v>100</v>
      </c>
    </row>
    <row r="1517" spans="1:19" ht="12.5" x14ac:dyDescent="0.25">
      <c r="A1517" s="1">
        <v>1562</v>
      </c>
      <c r="B1517" s="1" t="s">
        <v>5115</v>
      </c>
      <c r="C1517" s="1" t="s">
        <v>35</v>
      </c>
      <c r="D1517" s="1" t="s">
        <v>152</v>
      </c>
      <c r="E1517" s="1">
        <v>1240</v>
      </c>
      <c r="F1517" s="1" t="s">
        <v>5116</v>
      </c>
      <c r="G1517" s="1" t="s">
        <v>5117</v>
      </c>
      <c r="H1517" s="1" t="s">
        <v>16</v>
      </c>
      <c r="I1517" s="1" t="s">
        <v>20</v>
      </c>
      <c r="J1517" s="1" t="s">
        <v>5118</v>
      </c>
      <c r="K1517" s="1" t="b">
        <v>0</v>
      </c>
      <c r="L1517" s="1" t="s">
        <v>22</v>
      </c>
      <c r="M1517" s="1" t="s">
        <v>16</v>
      </c>
      <c r="N1517" s="1" t="s">
        <v>16</v>
      </c>
      <c r="O1517" s="1" t="s">
        <v>9956</v>
      </c>
      <c r="P1517" s="1" t="s">
        <v>16</v>
      </c>
      <c r="Q1517" s="1">
        <v>100</v>
      </c>
      <c r="R1517" s="1">
        <v>0</v>
      </c>
      <c r="S1517" s="1">
        <v>0</v>
      </c>
    </row>
    <row r="1518" spans="1:19" ht="12.5" x14ac:dyDescent="0.25">
      <c r="A1518" s="1">
        <v>1564</v>
      </c>
      <c r="B1518" s="1" t="s">
        <v>5119</v>
      </c>
      <c r="C1518" s="1" t="s">
        <v>35</v>
      </c>
      <c r="D1518" s="1" t="s">
        <v>152</v>
      </c>
      <c r="E1518" s="1">
        <v>1241</v>
      </c>
      <c r="F1518" s="1" t="s">
        <v>5120</v>
      </c>
      <c r="G1518" s="1" t="s">
        <v>5121</v>
      </c>
      <c r="H1518" s="1" t="s">
        <v>16</v>
      </c>
      <c r="I1518" s="1" t="s">
        <v>29</v>
      </c>
      <c r="J1518" s="1" t="s">
        <v>5122</v>
      </c>
      <c r="K1518" s="1" t="b">
        <v>0</v>
      </c>
      <c r="L1518" s="1" t="s">
        <v>22</v>
      </c>
      <c r="M1518" s="1">
        <v>2023</v>
      </c>
      <c r="N1518" s="1" t="s">
        <v>23</v>
      </c>
      <c r="O1518" s="1" t="s">
        <v>9956</v>
      </c>
      <c r="P1518" s="1" t="s">
        <v>16</v>
      </c>
      <c r="Q1518" s="1">
        <v>100</v>
      </c>
      <c r="R1518" s="1">
        <v>400000</v>
      </c>
      <c r="S1518" s="1">
        <v>400000</v>
      </c>
    </row>
    <row r="1519" spans="1:19" ht="12.5" x14ac:dyDescent="0.25">
      <c r="A1519" s="1">
        <v>1566</v>
      </c>
      <c r="B1519" s="1" t="s">
        <v>5123</v>
      </c>
      <c r="C1519" s="1" t="s">
        <v>35</v>
      </c>
      <c r="D1519" s="1" t="s">
        <v>152</v>
      </c>
      <c r="E1519" s="1">
        <v>1242</v>
      </c>
      <c r="F1519" s="1" t="s">
        <v>5124</v>
      </c>
      <c r="G1519" s="1" t="s">
        <v>5125</v>
      </c>
      <c r="H1519" s="1" t="s">
        <v>16</v>
      </c>
      <c r="I1519" s="1" t="s">
        <v>29</v>
      </c>
      <c r="J1519" s="1" t="s">
        <v>5126</v>
      </c>
      <c r="K1519" s="1" t="b">
        <v>0</v>
      </c>
      <c r="L1519" s="1" t="s">
        <v>22</v>
      </c>
      <c r="M1519" s="1">
        <v>2023</v>
      </c>
      <c r="N1519" s="1" t="s">
        <v>23</v>
      </c>
      <c r="O1519" s="1" t="s">
        <v>9956</v>
      </c>
      <c r="P1519" s="1" t="s">
        <v>16</v>
      </c>
      <c r="Q1519" s="1">
        <v>100</v>
      </c>
      <c r="R1519" s="1">
        <v>40000</v>
      </c>
      <c r="S1519" s="1">
        <v>40000</v>
      </c>
    </row>
    <row r="1520" spans="1:19" ht="12.5" x14ac:dyDescent="0.25">
      <c r="A1520" s="1">
        <v>1567</v>
      </c>
      <c r="B1520" s="1" t="s">
        <v>5127</v>
      </c>
      <c r="C1520" s="1" t="s">
        <v>35</v>
      </c>
      <c r="D1520" s="1" t="s">
        <v>152</v>
      </c>
      <c r="E1520" s="1">
        <v>1243</v>
      </c>
      <c r="F1520" s="1" t="s">
        <v>5128</v>
      </c>
      <c r="G1520" s="1" t="s">
        <v>5129</v>
      </c>
      <c r="H1520" s="1" t="s">
        <v>16</v>
      </c>
      <c r="I1520" s="1" t="s">
        <v>29</v>
      </c>
      <c r="J1520" s="1" t="s">
        <v>5130</v>
      </c>
      <c r="K1520" s="1" t="b">
        <v>0</v>
      </c>
      <c r="L1520" s="1" t="s">
        <v>22</v>
      </c>
      <c r="M1520" s="1" t="s">
        <v>16</v>
      </c>
      <c r="N1520" s="1" t="s">
        <v>16</v>
      </c>
      <c r="O1520" s="1" t="s">
        <v>9956</v>
      </c>
      <c r="P1520" s="1" t="s">
        <v>16</v>
      </c>
      <c r="Q1520" s="1">
        <v>100</v>
      </c>
      <c r="R1520" s="1">
        <v>4000</v>
      </c>
      <c r="S1520" s="1">
        <v>4000</v>
      </c>
    </row>
    <row r="1521" spans="1:19" ht="12.5" x14ac:dyDescent="0.25">
      <c r="A1521" s="1">
        <v>1568</v>
      </c>
      <c r="B1521" s="1" t="s">
        <v>5131</v>
      </c>
      <c r="C1521" s="1" t="s">
        <v>35</v>
      </c>
      <c r="D1521" s="1" t="s">
        <v>152</v>
      </c>
      <c r="E1521" s="1">
        <v>1244</v>
      </c>
      <c r="F1521" s="1" t="s">
        <v>5132</v>
      </c>
      <c r="G1521" s="1" t="s">
        <v>5133</v>
      </c>
      <c r="H1521" s="1" t="s">
        <v>16</v>
      </c>
      <c r="I1521" s="1" t="s">
        <v>20</v>
      </c>
      <c r="J1521" s="1" t="s">
        <v>5134</v>
      </c>
      <c r="K1521" s="1" t="b">
        <v>0</v>
      </c>
      <c r="L1521" s="1" t="s">
        <v>22</v>
      </c>
      <c r="M1521" s="1">
        <v>2022</v>
      </c>
      <c r="N1521" s="1" t="s">
        <v>16</v>
      </c>
      <c r="O1521" s="1" t="s">
        <v>9935</v>
      </c>
      <c r="P1521" s="1" t="s">
        <v>16</v>
      </c>
      <c r="Q1521" s="1">
        <v>100</v>
      </c>
      <c r="R1521" s="1">
        <v>0</v>
      </c>
      <c r="S1521" s="1">
        <v>0</v>
      </c>
    </row>
    <row r="1522" spans="1:19" ht="12.5" x14ac:dyDescent="0.25">
      <c r="A1522" s="1">
        <v>1569</v>
      </c>
      <c r="B1522" s="1" t="s">
        <v>5135</v>
      </c>
      <c r="C1522" s="1" t="s">
        <v>35</v>
      </c>
      <c r="D1522" s="1" t="s">
        <v>152</v>
      </c>
      <c r="E1522" s="1">
        <v>1245</v>
      </c>
      <c r="F1522" s="1" t="s">
        <v>5136</v>
      </c>
      <c r="G1522" s="1" t="s">
        <v>5137</v>
      </c>
      <c r="H1522" s="1" t="s">
        <v>16</v>
      </c>
      <c r="I1522" s="1" t="s">
        <v>29</v>
      </c>
      <c r="J1522" s="1" t="s">
        <v>5138</v>
      </c>
      <c r="K1522" s="1" t="b">
        <v>0</v>
      </c>
      <c r="L1522" s="1" t="s">
        <v>22</v>
      </c>
      <c r="M1522" s="1" t="s">
        <v>16</v>
      </c>
      <c r="N1522" s="1" t="s">
        <v>16</v>
      </c>
      <c r="O1522" s="1" t="s">
        <v>9956</v>
      </c>
      <c r="P1522" s="1" t="s">
        <v>16</v>
      </c>
      <c r="Q1522" s="1">
        <v>100</v>
      </c>
      <c r="R1522" s="1">
        <v>3000</v>
      </c>
      <c r="S1522" s="1">
        <v>3000</v>
      </c>
    </row>
    <row r="1523" spans="1:19" ht="12.5" x14ac:dyDescent="0.25">
      <c r="A1523" s="1">
        <v>1570</v>
      </c>
      <c r="B1523" s="1" t="s">
        <v>5139</v>
      </c>
      <c r="C1523" s="1" t="s">
        <v>35</v>
      </c>
      <c r="D1523" s="1" t="s">
        <v>152</v>
      </c>
      <c r="E1523" s="1">
        <v>1246</v>
      </c>
      <c r="F1523" s="1" t="s">
        <v>5140</v>
      </c>
      <c r="G1523" s="1" t="s">
        <v>5141</v>
      </c>
      <c r="H1523" s="1" t="s">
        <v>16</v>
      </c>
      <c r="I1523" s="1" t="s">
        <v>29</v>
      </c>
      <c r="J1523" s="1" t="s">
        <v>16</v>
      </c>
      <c r="K1523" s="1" t="b">
        <v>0</v>
      </c>
      <c r="L1523" s="1" t="s">
        <v>22</v>
      </c>
      <c r="M1523" s="1" t="s">
        <v>16</v>
      </c>
      <c r="N1523" s="1" t="s">
        <v>16</v>
      </c>
      <c r="O1523" s="1" t="s">
        <v>9956</v>
      </c>
      <c r="P1523" s="1" t="s">
        <v>16</v>
      </c>
      <c r="Q1523" s="1">
        <v>100</v>
      </c>
      <c r="R1523" s="1">
        <v>4000</v>
      </c>
      <c r="S1523" s="1">
        <v>4000</v>
      </c>
    </row>
    <row r="1524" spans="1:19" ht="12.5" x14ac:dyDescent="0.25">
      <c r="A1524" s="1">
        <v>1573</v>
      </c>
      <c r="B1524" s="1" t="s">
        <v>5142</v>
      </c>
      <c r="C1524" s="1" t="s">
        <v>35</v>
      </c>
      <c r="D1524" s="1" t="s">
        <v>152</v>
      </c>
      <c r="E1524" s="1">
        <v>1247</v>
      </c>
      <c r="F1524" s="1" t="s">
        <v>5143</v>
      </c>
      <c r="G1524" s="1" t="s">
        <v>5144</v>
      </c>
      <c r="H1524" s="1" t="s">
        <v>16</v>
      </c>
      <c r="I1524" s="1" t="s">
        <v>29</v>
      </c>
      <c r="J1524" s="1" t="s">
        <v>16</v>
      </c>
      <c r="K1524" s="1" t="b">
        <v>0</v>
      </c>
      <c r="L1524" s="1" t="s">
        <v>22</v>
      </c>
      <c r="M1524" s="1" t="s">
        <v>16</v>
      </c>
      <c r="N1524" s="1" t="s">
        <v>16</v>
      </c>
      <c r="O1524" s="1" t="s">
        <v>16</v>
      </c>
      <c r="P1524" s="1" t="s">
        <v>16</v>
      </c>
      <c r="Q1524" s="1">
        <v>100</v>
      </c>
    </row>
    <row r="1525" spans="1:19" ht="12.5" x14ac:dyDescent="0.25">
      <c r="A1525" s="1">
        <v>1574</v>
      </c>
      <c r="B1525" s="1" t="s">
        <v>5145</v>
      </c>
      <c r="C1525" s="1" t="s">
        <v>35</v>
      </c>
      <c r="D1525" s="1" t="s">
        <v>152</v>
      </c>
      <c r="E1525" s="1">
        <v>1248</v>
      </c>
      <c r="F1525" s="1" t="s">
        <v>5146</v>
      </c>
      <c r="G1525" s="1" t="s">
        <v>5147</v>
      </c>
      <c r="H1525" s="1" t="s">
        <v>5148</v>
      </c>
      <c r="I1525" s="1" t="s">
        <v>29</v>
      </c>
      <c r="J1525" s="1" t="s">
        <v>5149</v>
      </c>
      <c r="K1525" s="1" t="b">
        <v>1</v>
      </c>
      <c r="L1525" s="1" t="s">
        <v>31</v>
      </c>
      <c r="M1525" s="1">
        <v>2022</v>
      </c>
      <c r="N1525" s="1" t="s">
        <v>45</v>
      </c>
      <c r="O1525" s="1" t="s">
        <v>9935</v>
      </c>
      <c r="P1525" s="1" t="s">
        <v>16</v>
      </c>
      <c r="Q1525" s="1">
        <v>50</v>
      </c>
      <c r="R1525" s="1">
        <v>140000</v>
      </c>
      <c r="S1525" s="1">
        <v>70000</v>
      </c>
    </row>
    <row r="1526" spans="1:19" ht="12.5" x14ac:dyDescent="0.25">
      <c r="A1526" s="1">
        <v>1575</v>
      </c>
      <c r="B1526" s="1" t="s">
        <v>5150</v>
      </c>
      <c r="C1526" s="1" t="s">
        <v>35</v>
      </c>
      <c r="D1526" s="1" t="s">
        <v>152</v>
      </c>
      <c r="E1526" s="1">
        <v>1248</v>
      </c>
      <c r="F1526" s="1" t="s">
        <v>5146</v>
      </c>
      <c r="G1526" s="1" t="s">
        <v>5147</v>
      </c>
      <c r="H1526" s="1" t="s">
        <v>5148</v>
      </c>
      <c r="I1526" s="1" t="s">
        <v>29</v>
      </c>
      <c r="J1526" s="1" t="s">
        <v>5149</v>
      </c>
      <c r="K1526" s="1" t="b">
        <v>1</v>
      </c>
      <c r="L1526" s="1" t="s">
        <v>31</v>
      </c>
      <c r="M1526" s="1">
        <v>2022</v>
      </c>
      <c r="N1526" s="1" t="s">
        <v>45</v>
      </c>
      <c r="O1526" s="1" t="s">
        <v>9935</v>
      </c>
      <c r="P1526" s="1" t="s">
        <v>16</v>
      </c>
      <c r="Q1526" s="1">
        <v>50</v>
      </c>
      <c r="R1526" s="1">
        <v>140000</v>
      </c>
      <c r="S1526" s="1">
        <v>70000</v>
      </c>
    </row>
    <row r="1527" spans="1:19" ht="12.5" x14ac:dyDescent="0.25">
      <c r="A1527" s="1">
        <v>1576</v>
      </c>
      <c r="B1527" s="1" t="s">
        <v>5151</v>
      </c>
      <c r="C1527" s="1" t="s">
        <v>35</v>
      </c>
      <c r="D1527" s="1" t="s">
        <v>152</v>
      </c>
      <c r="E1527" s="1">
        <v>1249</v>
      </c>
      <c r="F1527" s="1" t="s">
        <v>5152</v>
      </c>
      <c r="G1527" s="1" t="s">
        <v>5153</v>
      </c>
      <c r="H1527" s="1" t="s">
        <v>16</v>
      </c>
      <c r="I1527" s="1" t="s">
        <v>29</v>
      </c>
      <c r="J1527" s="1" t="s">
        <v>5154</v>
      </c>
      <c r="K1527" s="1" t="b">
        <v>0</v>
      </c>
      <c r="L1527" s="1" t="s">
        <v>22</v>
      </c>
      <c r="M1527" s="1" t="s">
        <v>16</v>
      </c>
      <c r="N1527" s="1" t="s">
        <v>16</v>
      </c>
      <c r="O1527" s="1" t="s">
        <v>16</v>
      </c>
      <c r="P1527" s="1" t="s">
        <v>16</v>
      </c>
      <c r="Q1527" s="1">
        <v>100</v>
      </c>
    </row>
    <row r="1528" spans="1:19" ht="12.5" x14ac:dyDescent="0.25">
      <c r="A1528" s="1">
        <v>1577</v>
      </c>
      <c r="B1528" s="1" t="s">
        <v>5155</v>
      </c>
      <c r="C1528" s="1" t="s">
        <v>35</v>
      </c>
      <c r="D1528" s="1" t="s">
        <v>152</v>
      </c>
      <c r="E1528" s="1">
        <v>1250</v>
      </c>
      <c r="F1528" s="1" t="s">
        <v>5156</v>
      </c>
      <c r="G1528" s="1" t="s">
        <v>5157</v>
      </c>
      <c r="H1528" s="1" t="s">
        <v>16</v>
      </c>
      <c r="I1528" s="1" t="s">
        <v>29</v>
      </c>
      <c r="J1528" s="1" t="s">
        <v>5158</v>
      </c>
      <c r="K1528" s="1" t="b">
        <v>0</v>
      </c>
      <c r="L1528" s="1" t="s">
        <v>22</v>
      </c>
      <c r="M1528" s="1" t="s">
        <v>16</v>
      </c>
      <c r="N1528" s="1" t="s">
        <v>16</v>
      </c>
      <c r="O1528" s="1" t="s">
        <v>9956</v>
      </c>
      <c r="P1528" s="1" t="s">
        <v>16</v>
      </c>
      <c r="Q1528" s="1">
        <v>100</v>
      </c>
      <c r="R1528" s="1">
        <v>3000</v>
      </c>
      <c r="S1528" s="1">
        <v>3000</v>
      </c>
    </row>
    <row r="1529" spans="1:19" ht="12.5" x14ac:dyDescent="0.25">
      <c r="A1529" s="1">
        <v>1578</v>
      </c>
      <c r="B1529" s="1" t="s">
        <v>5159</v>
      </c>
      <c r="C1529" s="1" t="s">
        <v>35</v>
      </c>
      <c r="D1529" s="1" t="s">
        <v>152</v>
      </c>
      <c r="E1529" s="1">
        <v>1251</v>
      </c>
      <c r="F1529" s="1" t="s">
        <v>5160</v>
      </c>
      <c r="G1529" s="1" t="s">
        <v>5161</v>
      </c>
      <c r="H1529" s="1" t="s">
        <v>16</v>
      </c>
      <c r="I1529" s="1" t="s">
        <v>29</v>
      </c>
      <c r="J1529" s="1" t="s">
        <v>5162</v>
      </c>
      <c r="K1529" s="1" t="b">
        <v>0</v>
      </c>
      <c r="L1529" s="1" t="s">
        <v>22</v>
      </c>
      <c r="M1529" s="1">
        <v>2021</v>
      </c>
      <c r="N1529" s="1" t="s">
        <v>23</v>
      </c>
      <c r="O1529" s="1" t="s">
        <v>9956</v>
      </c>
      <c r="P1529" s="1" t="s">
        <v>16</v>
      </c>
      <c r="Q1529" s="1">
        <v>100</v>
      </c>
      <c r="R1529" s="1">
        <v>1500</v>
      </c>
      <c r="S1529" s="1">
        <v>1500</v>
      </c>
    </row>
    <row r="1530" spans="1:19" ht="12.5" x14ac:dyDescent="0.25">
      <c r="A1530" s="1">
        <v>1583</v>
      </c>
      <c r="B1530" s="1" t="s">
        <v>5163</v>
      </c>
      <c r="C1530" s="1" t="s">
        <v>35</v>
      </c>
      <c r="D1530" s="1" t="s">
        <v>152</v>
      </c>
      <c r="E1530" s="1">
        <v>1252</v>
      </c>
      <c r="F1530" s="1" t="s">
        <v>5164</v>
      </c>
      <c r="G1530" s="1" t="s">
        <v>5165</v>
      </c>
      <c r="H1530" s="1" t="s">
        <v>16</v>
      </c>
      <c r="I1530" s="1" t="s">
        <v>29</v>
      </c>
      <c r="J1530" s="1" t="s">
        <v>5166</v>
      </c>
      <c r="K1530" s="1" t="b">
        <v>0</v>
      </c>
      <c r="L1530" s="1" t="s">
        <v>22</v>
      </c>
      <c r="M1530" s="1" t="s">
        <v>16</v>
      </c>
      <c r="N1530" s="1" t="s">
        <v>16</v>
      </c>
      <c r="O1530" s="1" t="s">
        <v>9956</v>
      </c>
      <c r="P1530" s="1" t="s">
        <v>16</v>
      </c>
      <c r="Q1530" s="1">
        <v>100</v>
      </c>
      <c r="R1530" s="1">
        <v>26000</v>
      </c>
      <c r="S1530" s="1">
        <v>26000</v>
      </c>
    </row>
    <row r="1531" spans="1:19" ht="12.5" x14ac:dyDescent="0.25">
      <c r="A1531" s="1">
        <v>1586</v>
      </c>
      <c r="B1531" s="1" t="s">
        <v>5167</v>
      </c>
      <c r="C1531" s="1" t="s">
        <v>35</v>
      </c>
      <c r="D1531" s="1" t="s">
        <v>152</v>
      </c>
      <c r="E1531" s="1">
        <v>1253</v>
      </c>
      <c r="F1531" s="1" t="s">
        <v>5168</v>
      </c>
      <c r="G1531" s="1" t="s">
        <v>5169</v>
      </c>
      <c r="H1531" s="1" t="s">
        <v>16</v>
      </c>
      <c r="I1531" s="1" t="s">
        <v>20</v>
      </c>
      <c r="J1531" s="1" t="s">
        <v>16</v>
      </c>
      <c r="K1531" s="1" t="b">
        <v>0</v>
      </c>
      <c r="L1531" s="1" t="s">
        <v>22</v>
      </c>
      <c r="M1531" s="1" t="s">
        <v>16</v>
      </c>
      <c r="N1531" s="1" t="s">
        <v>16</v>
      </c>
      <c r="O1531" s="1" t="s">
        <v>9956</v>
      </c>
      <c r="P1531" s="1" t="s">
        <v>16</v>
      </c>
      <c r="Q1531" s="1">
        <v>100</v>
      </c>
      <c r="R1531" s="1">
        <v>0</v>
      </c>
      <c r="S1531" s="1">
        <v>0</v>
      </c>
    </row>
    <row r="1532" spans="1:19" ht="12.5" x14ac:dyDescent="0.25">
      <c r="A1532" s="1">
        <v>1588</v>
      </c>
      <c r="B1532" s="1" t="s">
        <v>5170</v>
      </c>
      <c r="C1532" s="1" t="s">
        <v>35</v>
      </c>
      <c r="D1532" s="1" t="s">
        <v>152</v>
      </c>
      <c r="E1532" s="1">
        <v>1254</v>
      </c>
      <c r="F1532" s="1" t="s">
        <v>5171</v>
      </c>
      <c r="G1532" s="1" t="s">
        <v>5172</v>
      </c>
      <c r="H1532" s="1" t="s">
        <v>16</v>
      </c>
      <c r="I1532" s="1" t="s">
        <v>29</v>
      </c>
      <c r="J1532" s="1" t="s">
        <v>5173</v>
      </c>
      <c r="K1532" s="1" t="b">
        <v>1</v>
      </c>
      <c r="L1532" s="1" t="s">
        <v>31</v>
      </c>
      <c r="M1532" s="1">
        <v>2022</v>
      </c>
      <c r="N1532" s="1" t="s">
        <v>23</v>
      </c>
      <c r="O1532" s="1" t="s">
        <v>9935</v>
      </c>
      <c r="P1532" s="1" t="s">
        <v>10040</v>
      </c>
      <c r="Q1532" s="1">
        <v>100</v>
      </c>
      <c r="R1532" s="1">
        <v>110000</v>
      </c>
      <c r="S1532" s="1">
        <v>110000</v>
      </c>
    </row>
    <row r="1533" spans="1:19" ht="12.5" x14ac:dyDescent="0.25">
      <c r="A1533" s="1">
        <v>1592</v>
      </c>
      <c r="B1533" s="1" t="s">
        <v>5174</v>
      </c>
      <c r="C1533" s="1" t="s">
        <v>35</v>
      </c>
      <c r="D1533" s="1" t="s">
        <v>152</v>
      </c>
      <c r="E1533" s="1">
        <v>1255</v>
      </c>
      <c r="F1533" s="1" t="s">
        <v>5175</v>
      </c>
      <c r="G1533" s="1" t="s">
        <v>5176</v>
      </c>
      <c r="H1533" s="1" t="s">
        <v>16</v>
      </c>
      <c r="I1533" s="1" t="s">
        <v>29</v>
      </c>
      <c r="J1533" s="1" t="s">
        <v>16</v>
      </c>
      <c r="K1533" s="1" t="b">
        <v>0</v>
      </c>
      <c r="L1533" s="1" t="s">
        <v>22</v>
      </c>
      <c r="M1533" s="1">
        <v>2022</v>
      </c>
      <c r="N1533" s="1" t="s">
        <v>52</v>
      </c>
      <c r="O1533" s="1" t="s">
        <v>9935</v>
      </c>
      <c r="P1533" s="1"/>
      <c r="Q1533" s="1">
        <v>100</v>
      </c>
      <c r="R1533" s="1">
        <v>15000</v>
      </c>
      <c r="S1533" s="1">
        <v>15000</v>
      </c>
    </row>
    <row r="1534" spans="1:19" ht="12.5" x14ac:dyDescent="0.25">
      <c r="A1534" s="1">
        <v>1593</v>
      </c>
      <c r="B1534" s="1" t="s">
        <v>5177</v>
      </c>
      <c r="C1534" s="1" t="s">
        <v>35</v>
      </c>
      <c r="D1534" s="1" t="s">
        <v>152</v>
      </c>
      <c r="E1534" s="1">
        <v>1256</v>
      </c>
      <c r="F1534" s="1" t="s">
        <v>5178</v>
      </c>
      <c r="G1534" s="1" t="s">
        <v>5179</v>
      </c>
      <c r="H1534" s="1" t="s">
        <v>16</v>
      </c>
      <c r="I1534" s="1" t="s">
        <v>29</v>
      </c>
      <c r="J1534" s="1" t="s">
        <v>5180</v>
      </c>
      <c r="K1534" s="1" t="b">
        <v>1</v>
      </c>
      <c r="L1534" s="1" t="s">
        <v>31</v>
      </c>
      <c r="M1534" s="1">
        <v>2022</v>
      </c>
      <c r="N1534" s="1" t="s">
        <v>45</v>
      </c>
      <c r="O1534" s="1" t="s">
        <v>9935</v>
      </c>
      <c r="P1534" s="1" t="s">
        <v>16</v>
      </c>
      <c r="Q1534" s="1">
        <v>100</v>
      </c>
      <c r="R1534" s="1">
        <v>5000</v>
      </c>
      <c r="S1534" s="1">
        <v>5000</v>
      </c>
    </row>
    <row r="1535" spans="1:19" ht="12.5" x14ac:dyDescent="0.25">
      <c r="A1535" s="1">
        <v>1594</v>
      </c>
      <c r="B1535" s="1" t="s">
        <v>5181</v>
      </c>
      <c r="C1535" s="1" t="s">
        <v>35</v>
      </c>
      <c r="D1535" s="1" t="s">
        <v>152</v>
      </c>
      <c r="E1535" s="1">
        <v>1257</v>
      </c>
      <c r="F1535" s="1" t="s">
        <v>5182</v>
      </c>
      <c r="G1535" s="1" t="s">
        <v>5183</v>
      </c>
      <c r="H1535" s="1" t="s">
        <v>16</v>
      </c>
      <c r="I1535" s="1" t="s">
        <v>29</v>
      </c>
      <c r="J1535" s="1" t="s">
        <v>5184</v>
      </c>
      <c r="K1535" s="1" t="b">
        <v>0</v>
      </c>
      <c r="L1535" s="1" t="s">
        <v>22</v>
      </c>
      <c r="M1535" s="1" t="s">
        <v>16</v>
      </c>
      <c r="N1535" s="1" t="s">
        <v>16</v>
      </c>
      <c r="O1535" s="1" t="s">
        <v>9956</v>
      </c>
      <c r="P1535" s="1" t="s">
        <v>16</v>
      </c>
      <c r="Q1535" s="1">
        <v>100</v>
      </c>
      <c r="R1535" s="1">
        <v>4000</v>
      </c>
      <c r="S1535" s="1">
        <v>4000</v>
      </c>
    </row>
    <row r="1536" spans="1:19" ht="12.5" x14ac:dyDescent="0.25">
      <c r="A1536" s="1">
        <v>1596</v>
      </c>
      <c r="B1536" s="1" t="s">
        <v>5185</v>
      </c>
      <c r="C1536" s="1" t="s">
        <v>35</v>
      </c>
      <c r="D1536" s="1" t="s">
        <v>152</v>
      </c>
      <c r="E1536" s="1">
        <v>1258</v>
      </c>
      <c r="F1536" s="1" t="s">
        <v>5186</v>
      </c>
      <c r="G1536" s="1" t="s">
        <v>5187</v>
      </c>
      <c r="H1536" s="1" t="s">
        <v>16</v>
      </c>
      <c r="I1536" s="1" t="s">
        <v>29</v>
      </c>
      <c r="J1536" s="1" t="s">
        <v>5188</v>
      </c>
      <c r="K1536" s="1" t="b">
        <v>0</v>
      </c>
      <c r="L1536" s="1" t="s">
        <v>22</v>
      </c>
      <c r="M1536" s="1">
        <v>2022</v>
      </c>
      <c r="N1536" s="1" t="s">
        <v>23</v>
      </c>
      <c r="O1536" s="1" t="s">
        <v>9956</v>
      </c>
      <c r="P1536" s="1" t="s">
        <v>16</v>
      </c>
      <c r="Q1536" s="1">
        <v>100</v>
      </c>
      <c r="R1536" s="1">
        <v>35000</v>
      </c>
      <c r="S1536" s="1">
        <v>35000</v>
      </c>
    </row>
    <row r="1537" spans="1:19" ht="12.5" x14ac:dyDescent="0.25">
      <c r="A1537" s="1">
        <v>1599</v>
      </c>
      <c r="B1537" s="1" t="s">
        <v>5189</v>
      </c>
      <c r="C1537" s="1" t="s">
        <v>35</v>
      </c>
      <c r="D1537" s="1" t="s">
        <v>152</v>
      </c>
      <c r="E1537" s="1">
        <v>1259</v>
      </c>
      <c r="F1537" s="1" t="s">
        <v>5190</v>
      </c>
      <c r="G1537" s="1" t="s">
        <v>5191</v>
      </c>
      <c r="H1537" s="1" t="s">
        <v>16</v>
      </c>
      <c r="I1537" s="1" t="s">
        <v>29</v>
      </c>
      <c r="J1537" s="1" t="s">
        <v>16</v>
      </c>
      <c r="K1537" s="1" t="b">
        <v>0</v>
      </c>
      <c r="L1537" s="1" t="s">
        <v>22</v>
      </c>
      <c r="M1537" s="1" t="s">
        <v>16</v>
      </c>
      <c r="N1537" s="1" t="s">
        <v>16</v>
      </c>
      <c r="O1537" s="1" t="s">
        <v>16</v>
      </c>
      <c r="P1537" s="1" t="s">
        <v>16</v>
      </c>
      <c r="Q1537" s="1">
        <v>100</v>
      </c>
    </row>
    <row r="1538" spans="1:19" ht="12.5" x14ac:dyDescent="0.25">
      <c r="A1538" s="1">
        <v>1600</v>
      </c>
      <c r="B1538" s="1" t="s">
        <v>5192</v>
      </c>
      <c r="C1538" s="1" t="s">
        <v>35</v>
      </c>
      <c r="D1538" s="1" t="s">
        <v>152</v>
      </c>
      <c r="E1538" s="1">
        <v>1260</v>
      </c>
      <c r="F1538" s="1" t="s">
        <v>5193</v>
      </c>
      <c r="G1538" s="1" t="s">
        <v>5194</v>
      </c>
      <c r="H1538" s="1" t="s">
        <v>5195</v>
      </c>
      <c r="I1538" s="1" t="s">
        <v>29</v>
      </c>
      <c r="J1538" s="1" t="s">
        <v>5196</v>
      </c>
      <c r="K1538" s="1" t="b">
        <v>0</v>
      </c>
      <c r="L1538" s="1" t="s">
        <v>22</v>
      </c>
      <c r="M1538" s="1">
        <v>2022</v>
      </c>
      <c r="N1538" s="1" t="s">
        <v>23</v>
      </c>
      <c r="O1538" s="1" t="s">
        <v>9956</v>
      </c>
      <c r="P1538" s="1" t="s">
        <v>16</v>
      </c>
      <c r="Q1538" s="1">
        <v>100</v>
      </c>
      <c r="R1538" s="1">
        <v>40000</v>
      </c>
      <c r="S1538" s="1">
        <v>40000</v>
      </c>
    </row>
    <row r="1539" spans="1:19" ht="12.5" x14ac:dyDescent="0.25">
      <c r="A1539" s="1">
        <v>1602</v>
      </c>
      <c r="B1539" s="1" t="s">
        <v>5197</v>
      </c>
      <c r="C1539" s="1" t="s">
        <v>35</v>
      </c>
      <c r="D1539" s="1" t="s">
        <v>152</v>
      </c>
      <c r="E1539" s="1">
        <v>1261</v>
      </c>
      <c r="F1539" s="1" t="s">
        <v>5198</v>
      </c>
      <c r="G1539" s="1" t="s">
        <v>5199</v>
      </c>
      <c r="H1539" s="1" t="s">
        <v>16</v>
      </c>
      <c r="I1539" s="1" t="s">
        <v>29</v>
      </c>
      <c r="J1539" s="1" t="s">
        <v>5200</v>
      </c>
      <c r="K1539" s="1" t="b">
        <v>0</v>
      </c>
      <c r="L1539" s="1" t="s">
        <v>22</v>
      </c>
      <c r="M1539" s="1" t="s">
        <v>16</v>
      </c>
      <c r="N1539" s="1" t="s">
        <v>16</v>
      </c>
      <c r="O1539" s="1" t="s">
        <v>9956</v>
      </c>
      <c r="P1539" s="1" t="s">
        <v>16</v>
      </c>
      <c r="Q1539" s="1">
        <v>100</v>
      </c>
      <c r="R1539" s="1">
        <v>40000</v>
      </c>
      <c r="S1539" s="1">
        <v>40000</v>
      </c>
    </row>
    <row r="1540" spans="1:19" ht="12.5" x14ac:dyDescent="0.25">
      <c r="A1540" s="1">
        <v>1604</v>
      </c>
      <c r="B1540" s="1" t="s">
        <v>5201</v>
      </c>
      <c r="C1540" s="1" t="s">
        <v>35</v>
      </c>
      <c r="D1540" s="1" t="s">
        <v>152</v>
      </c>
      <c r="E1540" s="1">
        <v>1262</v>
      </c>
      <c r="F1540" s="1" t="s">
        <v>5202</v>
      </c>
      <c r="G1540" s="1" t="s">
        <v>5203</v>
      </c>
      <c r="H1540" s="1" t="s">
        <v>16</v>
      </c>
      <c r="I1540" s="1" t="s">
        <v>29</v>
      </c>
      <c r="J1540" s="1" t="s">
        <v>5204</v>
      </c>
      <c r="K1540" s="1" t="b">
        <v>0</v>
      </c>
      <c r="L1540" s="1" t="s">
        <v>22</v>
      </c>
      <c r="M1540" s="1">
        <v>2021</v>
      </c>
      <c r="N1540" s="1" t="s">
        <v>52</v>
      </c>
      <c r="O1540" s="1" t="s">
        <v>9942</v>
      </c>
      <c r="P1540" s="1" t="s">
        <v>16</v>
      </c>
      <c r="Q1540" s="1">
        <v>100</v>
      </c>
      <c r="R1540" s="1">
        <v>2000</v>
      </c>
      <c r="S1540" s="1">
        <v>2000</v>
      </c>
    </row>
    <row r="1541" spans="1:19" ht="12.5" x14ac:dyDescent="0.25">
      <c r="A1541" s="1">
        <v>1605</v>
      </c>
      <c r="B1541" s="1" t="s">
        <v>5205</v>
      </c>
      <c r="C1541" s="1" t="s">
        <v>35</v>
      </c>
      <c r="D1541" s="1" t="s">
        <v>152</v>
      </c>
      <c r="E1541" s="1">
        <v>1263</v>
      </c>
      <c r="F1541" s="1" t="s">
        <v>5206</v>
      </c>
      <c r="G1541" s="1" t="s">
        <v>5207</v>
      </c>
      <c r="H1541" s="1" t="s">
        <v>16</v>
      </c>
      <c r="I1541" s="1" t="s">
        <v>29</v>
      </c>
      <c r="J1541" s="1" t="s">
        <v>16</v>
      </c>
      <c r="K1541" s="1" t="b">
        <v>0</v>
      </c>
      <c r="L1541" s="1" t="s">
        <v>22</v>
      </c>
      <c r="M1541" s="1" t="s">
        <v>16</v>
      </c>
      <c r="N1541" s="1" t="s">
        <v>16</v>
      </c>
      <c r="O1541" s="1" t="s">
        <v>16</v>
      </c>
      <c r="P1541" s="1" t="s">
        <v>16</v>
      </c>
      <c r="Q1541" s="1">
        <v>100</v>
      </c>
    </row>
    <row r="1542" spans="1:19" ht="12.5" x14ac:dyDescent="0.25">
      <c r="A1542" s="1">
        <v>1606</v>
      </c>
      <c r="B1542" s="1" t="s">
        <v>5208</v>
      </c>
      <c r="C1542" s="1" t="s">
        <v>35</v>
      </c>
      <c r="D1542" s="1" t="s">
        <v>152</v>
      </c>
      <c r="E1542" s="1">
        <v>1264</v>
      </c>
      <c r="F1542" s="1" t="s">
        <v>5209</v>
      </c>
      <c r="G1542" s="1" t="s">
        <v>5210</v>
      </c>
      <c r="H1542" s="1" t="s">
        <v>16</v>
      </c>
      <c r="I1542" s="1" t="s">
        <v>29</v>
      </c>
      <c r="J1542" s="1" t="s">
        <v>5211</v>
      </c>
      <c r="K1542" s="1" t="b">
        <v>0</v>
      </c>
      <c r="L1542" s="1" t="s">
        <v>22</v>
      </c>
      <c r="M1542" s="1" t="s">
        <v>16</v>
      </c>
      <c r="N1542" s="1" t="s">
        <v>16</v>
      </c>
      <c r="O1542" s="1" t="s">
        <v>16</v>
      </c>
      <c r="P1542" s="1" t="s">
        <v>16</v>
      </c>
      <c r="Q1542" s="1">
        <v>100</v>
      </c>
    </row>
    <row r="1543" spans="1:19" ht="12.5" x14ac:dyDescent="0.25">
      <c r="A1543" s="1">
        <v>1609</v>
      </c>
      <c r="B1543" s="1" t="s">
        <v>5212</v>
      </c>
      <c r="C1543" s="1" t="s">
        <v>35</v>
      </c>
      <c r="D1543" s="1" t="s">
        <v>152</v>
      </c>
      <c r="E1543" s="1">
        <v>1265</v>
      </c>
      <c r="F1543" s="1" t="s">
        <v>5213</v>
      </c>
      <c r="G1543" s="1" t="s">
        <v>5214</v>
      </c>
      <c r="H1543" s="1" t="s">
        <v>16</v>
      </c>
      <c r="I1543" s="1" t="s">
        <v>29</v>
      </c>
      <c r="J1543" s="1" t="s">
        <v>5215</v>
      </c>
      <c r="K1543" s="1" t="b">
        <v>0</v>
      </c>
      <c r="L1543" s="1" t="s">
        <v>22</v>
      </c>
      <c r="M1543" s="1">
        <v>2021</v>
      </c>
      <c r="N1543" s="1" t="s">
        <v>52</v>
      </c>
      <c r="O1543" s="1" t="s">
        <v>9942</v>
      </c>
      <c r="P1543" s="1" t="s">
        <v>16</v>
      </c>
      <c r="Q1543" s="1">
        <v>100</v>
      </c>
      <c r="R1543" s="1">
        <v>10000</v>
      </c>
      <c r="S1543" s="1">
        <v>10000</v>
      </c>
    </row>
    <row r="1544" spans="1:19" ht="12.5" x14ac:dyDescent="0.25">
      <c r="A1544" s="1">
        <v>1615</v>
      </c>
      <c r="B1544" s="1" t="s">
        <v>5216</v>
      </c>
      <c r="C1544" s="1" t="s">
        <v>35</v>
      </c>
      <c r="D1544" s="1" t="s">
        <v>152</v>
      </c>
      <c r="E1544" s="1">
        <v>1266</v>
      </c>
      <c r="F1544" s="1" t="s">
        <v>5217</v>
      </c>
      <c r="G1544" s="1" t="s">
        <v>5218</v>
      </c>
      <c r="H1544" s="1" t="s">
        <v>5219</v>
      </c>
      <c r="I1544" s="1" t="s">
        <v>29</v>
      </c>
      <c r="J1544" s="1" t="s">
        <v>5220</v>
      </c>
      <c r="K1544" s="1" t="b">
        <v>1</v>
      </c>
      <c r="L1544" s="1" t="s">
        <v>31</v>
      </c>
      <c r="M1544" s="1">
        <v>2022</v>
      </c>
      <c r="N1544" s="1" t="s">
        <v>45</v>
      </c>
      <c r="O1544" s="1" t="s">
        <v>9935</v>
      </c>
      <c r="P1544" s="1" t="s">
        <v>16</v>
      </c>
      <c r="Q1544" s="1">
        <v>100</v>
      </c>
      <c r="R1544" s="1">
        <v>120000</v>
      </c>
      <c r="S1544" s="1">
        <v>120000</v>
      </c>
    </row>
    <row r="1545" spans="1:19" ht="12.5" x14ac:dyDescent="0.25">
      <c r="A1545" s="1">
        <v>1621</v>
      </c>
      <c r="B1545" s="1" t="s">
        <v>5221</v>
      </c>
      <c r="C1545" s="1" t="s">
        <v>35</v>
      </c>
      <c r="D1545" s="1" t="s">
        <v>152</v>
      </c>
      <c r="E1545" s="1">
        <v>1267</v>
      </c>
      <c r="F1545" s="1" t="s">
        <v>5222</v>
      </c>
      <c r="G1545" s="1" t="s">
        <v>5223</v>
      </c>
      <c r="H1545" s="1" t="s">
        <v>16</v>
      </c>
      <c r="I1545" s="1" t="s">
        <v>29</v>
      </c>
      <c r="J1545" s="1" t="s">
        <v>5224</v>
      </c>
      <c r="K1545" s="1" t="b">
        <v>0</v>
      </c>
      <c r="L1545" s="1" t="s">
        <v>22</v>
      </c>
      <c r="M1545" s="1" t="s">
        <v>16</v>
      </c>
      <c r="N1545" s="1" t="s">
        <v>16</v>
      </c>
      <c r="O1545" s="1" t="s">
        <v>9935</v>
      </c>
      <c r="P1545" s="1" t="s">
        <v>16</v>
      </c>
      <c r="Q1545" s="1">
        <v>100</v>
      </c>
      <c r="R1545" s="1">
        <v>2000</v>
      </c>
      <c r="S1545" s="1">
        <v>2000</v>
      </c>
    </row>
    <row r="1546" spans="1:19" ht="12.5" x14ac:dyDescent="0.25">
      <c r="A1546" s="1">
        <v>1626</v>
      </c>
      <c r="B1546" s="1" t="s">
        <v>5225</v>
      </c>
      <c r="C1546" s="1" t="s">
        <v>35</v>
      </c>
      <c r="D1546" s="1" t="s">
        <v>152</v>
      </c>
      <c r="E1546" s="1">
        <v>1268</v>
      </c>
      <c r="F1546" s="1" t="s">
        <v>5226</v>
      </c>
      <c r="G1546" s="1" t="s">
        <v>5227</v>
      </c>
      <c r="H1546" s="1" t="s">
        <v>16</v>
      </c>
      <c r="I1546" s="1" t="s">
        <v>29</v>
      </c>
      <c r="J1546" s="1" t="s">
        <v>5228</v>
      </c>
      <c r="K1546" s="1" t="b">
        <v>0</v>
      </c>
      <c r="L1546" s="1" t="s">
        <v>22</v>
      </c>
      <c r="M1546" s="1" t="s">
        <v>16</v>
      </c>
      <c r="N1546" s="1" t="s">
        <v>16</v>
      </c>
      <c r="O1546" s="1" t="s">
        <v>16</v>
      </c>
      <c r="P1546" s="1" t="s">
        <v>16</v>
      </c>
      <c r="Q1546" s="1">
        <v>100</v>
      </c>
    </row>
    <row r="1547" spans="1:19" ht="12.5" x14ac:dyDescent="0.25">
      <c r="A1547" s="1">
        <v>1627</v>
      </c>
      <c r="B1547" s="1" t="s">
        <v>5229</v>
      </c>
      <c r="C1547" s="1" t="s">
        <v>35</v>
      </c>
      <c r="D1547" s="1" t="s">
        <v>152</v>
      </c>
      <c r="E1547" s="1">
        <v>1269</v>
      </c>
      <c r="F1547" s="1" t="s">
        <v>5230</v>
      </c>
      <c r="G1547" s="1" t="s">
        <v>5231</v>
      </c>
      <c r="H1547" s="1" t="s">
        <v>16</v>
      </c>
      <c r="I1547" s="1" t="s">
        <v>29</v>
      </c>
      <c r="J1547" s="1" t="s">
        <v>5232</v>
      </c>
      <c r="K1547" s="1" t="b">
        <v>0</v>
      </c>
      <c r="L1547" s="1" t="s">
        <v>22</v>
      </c>
      <c r="M1547" s="1" t="s">
        <v>16</v>
      </c>
      <c r="N1547" s="1" t="s">
        <v>16</v>
      </c>
      <c r="O1547" s="1" t="s">
        <v>9956</v>
      </c>
      <c r="P1547" s="1" t="s">
        <v>16</v>
      </c>
      <c r="Q1547" s="1">
        <v>100</v>
      </c>
      <c r="R1547" s="1">
        <v>1500</v>
      </c>
      <c r="S1547" s="1">
        <v>1500</v>
      </c>
    </row>
    <row r="1548" spans="1:19" ht="12.5" x14ac:dyDescent="0.25">
      <c r="A1548" s="1">
        <v>1628</v>
      </c>
      <c r="B1548" s="1" t="s">
        <v>5233</v>
      </c>
      <c r="C1548" s="1" t="s">
        <v>35</v>
      </c>
      <c r="D1548" s="1" t="s">
        <v>152</v>
      </c>
      <c r="E1548" s="1">
        <v>1270</v>
      </c>
      <c r="F1548" s="1" t="s">
        <v>5234</v>
      </c>
      <c r="G1548" s="1" t="s">
        <v>5235</v>
      </c>
      <c r="H1548" s="1" t="s">
        <v>5236</v>
      </c>
      <c r="I1548" s="1" t="s">
        <v>29</v>
      </c>
      <c r="J1548" s="1" t="s">
        <v>5237</v>
      </c>
      <c r="K1548" s="1" t="b">
        <v>1</v>
      </c>
      <c r="L1548" s="1" t="s">
        <v>31</v>
      </c>
      <c r="M1548" s="1">
        <v>2022</v>
      </c>
      <c r="N1548" s="1" t="s">
        <v>45</v>
      </c>
      <c r="O1548" s="1" t="s">
        <v>9935</v>
      </c>
      <c r="P1548" s="1" t="s">
        <v>10024</v>
      </c>
      <c r="Q1548" s="1">
        <v>100</v>
      </c>
      <c r="R1548" s="1">
        <v>1500</v>
      </c>
      <c r="S1548" s="1">
        <v>1500</v>
      </c>
    </row>
    <row r="1549" spans="1:19" ht="12.5" x14ac:dyDescent="0.25">
      <c r="A1549" s="1">
        <v>1633</v>
      </c>
      <c r="B1549" s="1" t="s">
        <v>5238</v>
      </c>
      <c r="C1549" s="1" t="s">
        <v>35</v>
      </c>
      <c r="D1549" s="1" t="s">
        <v>152</v>
      </c>
      <c r="E1549" s="1">
        <v>1271</v>
      </c>
      <c r="F1549" s="1" t="s">
        <v>5239</v>
      </c>
      <c r="G1549" s="1" t="s">
        <v>5240</v>
      </c>
      <c r="H1549" s="1" t="s">
        <v>16</v>
      </c>
      <c r="I1549" s="1" t="s">
        <v>20</v>
      </c>
      <c r="J1549" s="1" t="s">
        <v>16</v>
      </c>
      <c r="K1549" s="1" t="b">
        <v>0</v>
      </c>
      <c r="L1549" s="1" t="s">
        <v>22</v>
      </c>
      <c r="M1549" s="1">
        <v>2022</v>
      </c>
      <c r="N1549" s="1" t="s">
        <v>45</v>
      </c>
      <c r="O1549" s="1" t="s">
        <v>9956</v>
      </c>
      <c r="P1549" s="1" t="s">
        <v>10041</v>
      </c>
      <c r="Q1549" s="1">
        <v>100</v>
      </c>
      <c r="R1549" s="1">
        <v>15000</v>
      </c>
      <c r="S1549" s="1">
        <v>15000</v>
      </c>
    </row>
    <row r="1550" spans="1:19" ht="12.5" x14ac:dyDescent="0.25">
      <c r="A1550" s="1">
        <v>1635</v>
      </c>
      <c r="B1550" s="1" t="s">
        <v>5241</v>
      </c>
      <c r="C1550" s="1" t="s">
        <v>35</v>
      </c>
      <c r="D1550" s="1" t="s">
        <v>152</v>
      </c>
      <c r="E1550" s="1">
        <v>1272</v>
      </c>
      <c r="F1550" s="1" t="s">
        <v>5242</v>
      </c>
      <c r="G1550" s="1" t="s">
        <v>5243</v>
      </c>
      <c r="H1550" s="1" t="s">
        <v>16</v>
      </c>
      <c r="I1550" s="1" t="s">
        <v>20</v>
      </c>
      <c r="J1550" s="1" t="s">
        <v>16</v>
      </c>
      <c r="K1550" s="1" t="b">
        <v>0</v>
      </c>
      <c r="L1550" s="1" t="s">
        <v>22</v>
      </c>
      <c r="M1550" s="1" t="s">
        <v>16</v>
      </c>
      <c r="N1550" s="1" t="s">
        <v>16</v>
      </c>
      <c r="O1550" s="1" t="s">
        <v>9956</v>
      </c>
      <c r="P1550" s="1" t="s">
        <v>16</v>
      </c>
      <c r="Q1550" s="1">
        <v>100</v>
      </c>
      <c r="R1550" s="1">
        <v>0</v>
      </c>
      <c r="S1550" s="1">
        <v>0</v>
      </c>
    </row>
    <row r="1551" spans="1:19" ht="12.5" x14ac:dyDescent="0.25">
      <c r="A1551" s="1">
        <v>493</v>
      </c>
      <c r="B1551" s="1" t="s">
        <v>2029</v>
      </c>
      <c r="C1551" s="1" t="s">
        <v>35</v>
      </c>
      <c r="D1551" s="1" t="s">
        <v>36</v>
      </c>
      <c r="E1551" s="1">
        <v>1273</v>
      </c>
      <c r="F1551" s="1" t="s">
        <v>5244</v>
      </c>
      <c r="G1551" s="1" t="s">
        <v>5245</v>
      </c>
      <c r="H1551" s="1" t="s">
        <v>16</v>
      </c>
      <c r="I1551" s="1" t="s">
        <v>20</v>
      </c>
      <c r="J1551" s="1" t="s">
        <v>5246</v>
      </c>
      <c r="K1551" s="1" t="b">
        <v>0</v>
      </c>
      <c r="L1551" s="1" t="s">
        <v>22</v>
      </c>
      <c r="M1551" s="1" t="s">
        <v>16</v>
      </c>
      <c r="N1551" s="1" t="s">
        <v>16</v>
      </c>
      <c r="O1551" s="1" t="s">
        <v>9956</v>
      </c>
      <c r="P1551" s="1" t="s">
        <v>16</v>
      </c>
      <c r="Q1551" s="1">
        <v>25</v>
      </c>
      <c r="R1551" s="1">
        <v>0</v>
      </c>
      <c r="S1551" s="1">
        <v>0</v>
      </c>
    </row>
    <row r="1552" spans="1:19" ht="12.5" x14ac:dyDescent="0.25">
      <c r="A1552" s="1">
        <v>1635</v>
      </c>
      <c r="B1552" s="1" t="s">
        <v>5241</v>
      </c>
      <c r="C1552" s="1" t="s">
        <v>35</v>
      </c>
      <c r="D1552" s="1" t="s">
        <v>152</v>
      </c>
      <c r="E1552" s="1">
        <v>1273</v>
      </c>
      <c r="F1552" s="1" t="s">
        <v>5244</v>
      </c>
      <c r="G1552" s="1" t="s">
        <v>5245</v>
      </c>
      <c r="H1552" s="1" t="s">
        <v>16</v>
      </c>
      <c r="I1552" s="1" t="s">
        <v>20</v>
      </c>
      <c r="J1552" s="1" t="s">
        <v>5246</v>
      </c>
      <c r="K1552" s="1" t="b">
        <v>0</v>
      </c>
      <c r="L1552" s="1" t="s">
        <v>22</v>
      </c>
      <c r="M1552" s="1" t="s">
        <v>16</v>
      </c>
      <c r="N1552" s="1" t="s">
        <v>16</v>
      </c>
      <c r="O1552" s="1" t="s">
        <v>9956</v>
      </c>
      <c r="P1552" s="1" t="s">
        <v>16</v>
      </c>
      <c r="Q1552" s="1">
        <v>25</v>
      </c>
      <c r="R1552" s="1">
        <v>0</v>
      </c>
      <c r="S1552" s="1">
        <v>0</v>
      </c>
    </row>
    <row r="1553" spans="1:19" ht="12.5" x14ac:dyDescent="0.25">
      <c r="A1553" s="1">
        <v>1636</v>
      </c>
      <c r="B1553" s="1" t="s">
        <v>5247</v>
      </c>
      <c r="C1553" s="1" t="s">
        <v>35</v>
      </c>
      <c r="D1553" s="1" t="s">
        <v>152</v>
      </c>
      <c r="E1553" s="1">
        <v>1273</v>
      </c>
      <c r="F1553" s="1" t="s">
        <v>5244</v>
      </c>
      <c r="G1553" s="1" t="s">
        <v>5245</v>
      </c>
      <c r="H1553" s="1" t="s">
        <v>16</v>
      </c>
      <c r="I1553" s="1" t="s">
        <v>20</v>
      </c>
      <c r="J1553" s="1" t="s">
        <v>5246</v>
      </c>
      <c r="K1553" s="1" t="b">
        <v>0</v>
      </c>
      <c r="L1553" s="1" t="s">
        <v>22</v>
      </c>
      <c r="M1553" s="1" t="s">
        <v>16</v>
      </c>
      <c r="N1553" s="1" t="s">
        <v>16</v>
      </c>
      <c r="O1553" s="1" t="s">
        <v>9956</v>
      </c>
      <c r="P1553" s="1" t="s">
        <v>16</v>
      </c>
      <c r="Q1553" s="1">
        <v>25</v>
      </c>
      <c r="R1553" s="1">
        <v>0</v>
      </c>
      <c r="S1553" s="1">
        <v>0</v>
      </c>
    </row>
    <row r="1554" spans="1:19" ht="12.5" x14ac:dyDescent="0.25">
      <c r="A1554" s="1">
        <v>1701</v>
      </c>
      <c r="B1554" s="1" t="s">
        <v>5248</v>
      </c>
      <c r="C1554" s="1" t="s">
        <v>35</v>
      </c>
      <c r="D1554" s="1" t="s">
        <v>152</v>
      </c>
      <c r="E1554" s="1">
        <v>1273</v>
      </c>
      <c r="F1554" s="1" t="s">
        <v>5244</v>
      </c>
      <c r="G1554" s="1" t="s">
        <v>5245</v>
      </c>
      <c r="H1554" s="1" t="s">
        <v>16</v>
      </c>
      <c r="I1554" s="1" t="s">
        <v>20</v>
      </c>
      <c r="J1554" s="1" t="s">
        <v>5246</v>
      </c>
      <c r="K1554" s="1" t="b">
        <v>0</v>
      </c>
      <c r="L1554" s="1" t="s">
        <v>22</v>
      </c>
      <c r="M1554" s="1" t="s">
        <v>16</v>
      </c>
      <c r="N1554" s="1" t="s">
        <v>16</v>
      </c>
      <c r="O1554" s="1" t="s">
        <v>9956</v>
      </c>
      <c r="P1554" s="1" t="s">
        <v>16</v>
      </c>
      <c r="Q1554" s="1">
        <v>25</v>
      </c>
      <c r="R1554" s="1">
        <v>0</v>
      </c>
      <c r="S1554" s="1">
        <v>0</v>
      </c>
    </row>
    <row r="1555" spans="1:19" ht="12.5" x14ac:dyDescent="0.25">
      <c r="A1555" s="1">
        <v>1641</v>
      </c>
      <c r="B1555" s="1" t="s">
        <v>5249</v>
      </c>
      <c r="C1555" s="1" t="s">
        <v>35</v>
      </c>
      <c r="D1555" s="1" t="s">
        <v>152</v>
      </c>
      <c r="E1555" s="1">
        <v>1274</v>
      </c>
      <c r="F1555" s="1" t="s">
        <v>5250</v>
      </c>
      <c r="G1555" s="1" t="s">
        <v>5251</v>
      </c>
      <c r="H1555" s="1" t="s">
        <v>16</v>
      </c>
      <c r="I1555" s="1" t="s">
        <v>29</v>
      </c>
      <c r="J1555" s="1" t="s">
        <v>5252</v>
      </c>
      <c r="K1555" s="1" t="b">
        <v>0</v>
      </c>
      <c r="L1555" s="1" t="s">
        <v>22</v>
      </c>
      <c r="M1555" s="1" t="s">
        <v>16</v>
      </c>
      <c r="N1555" s="1" t="s">
        <v>16</v>
      </c>
      <c r="O1555" s="1" t="s">
        <v>16</v>
      </c>
      <c r="P1555" s="1" t="s">
        <v>16</v>
      </c>
      <c r="Q1555" s="1">
        <v>100</v>
      </c>
    </row>
    <row r="1556" spans="1:19" ht="12.5" x14ac:dyDescent="0.25">
      <c r="A1556" s="1">
        <v>1643</v>
      </c>
      <c r="B1556" s="1" t="s">
        <v>5253</v>
      </c>
      <c r="C1556" s="1" t="s">
        <v>35</v>
      </c>
      <c r="D1556" s="1" t="s">
        <v>152</v>
      </c>
      <c r="E1556" s="1">
        <v>1275</v>
      </c>
      <c r="F1556" s="1" t="s">
        <v>5254</v>
      </c>
      <c r="G1556" s="1" t="s">
        <v>5255</v>
      </c>
      <c r="H1556" s="1" t="s">
        <v>16</v>
      </c>
      <c r="I1556" s="1" t="s">
        <v>29</v>
      </c>
      <c r="J1556" s="1" t="s">
        <v>16</v>
      </c>
      <c r="K1556" s="1" t="b">
        <v>0</v>
      </c>
      <c r="L1556" s="1" t="s">
        <v>22</v>
      </c>
      <c r="M1556" s="1" t="s">
        <v>16</v>
      </c>
      <c r="N1556" s="1" t="s">
        <v>16</v>
      </c>
      <c r="O1556" s="1" t="s">
        <v>9956</v>
      </c>
      <c r="P1556" s="1" t="s">
        <v>16</v>
      </c>
      <c r="Q1556" s="1">
        <v>100</v>
      </c>
      <c r="R1556" s="1">
        <v>4000</v>
      </c>
      <c r="S1556" s="1">
        <v>4000</v>
      </c>
    </row>
    <row r="1557" spans="1:19" ht="12.5" x14ac:dyDescent="0.25">
      <c r="A1557" s="1">
        <v>1644</v>
      </c>
      <c r="B1557" s="1" t="s">
        <v>5256</v>
      </c>
      <c r="C1557" s="1" t="s">
        <v>35</v>
      </c>
      <c r="D1557" s="1" t="s">
        <v>152</v>
      </c>
      <c r="E1557" s="1">
        <v>1276</v>
      </c>
      <c r="F1557" s="1" t="s">
        <v>5257</v>
      </c>
      <c r="G1557" s="1" t="s">
        <v>5258</v>
      </c>
      <c r="H1557" s="1" t="s">
        <v>16</v>
      </c>
      <c r="I1557" s="1" t="s">
        <v>29</v>
      </c>
      <c r="J1557" s="1" t="s">
        <v>5259</v>
      </c>
      <c r="K1557" s="1" t="b">
        <v>0</v>
      </c>
      <c r="L1557" s="1" t="s">
        <v>22</v>
      </c>
      <c r="M1557" s="1">
        <v>2022</v>
      </c>
      <c r="N1557" s="1" t="s">
        <v>16</v>
      </c>
      <c r="O1557" s="1" t="s">
        <v>9935</v>
      </c>
      <c r="P1557" s="1" t="s">
        <v>16</v>
      </c>
      <c r="Q1557" s="1">
        <v>100</v>
      </c>
      <c r="R1557" s="1">
        <v>10000</v>
      </c>
      <c r="S1557" s="1">
        <v>10000</v>
      </c>
    </row>
    <row r="1558" spans="1:19" ht="12.5" x14ac:dyDescent="0.25">
      <c r="A1558" s="1">
        <v>1646</v>
      </c>
      <c r="B1558" s="1" t="s">
        <v>5260</v>
      </c>
      <c r="C1558" s="1" t="s">
        <v>35</v>
      </c>
      <c r="D1558" s="1" t="s">
        <v>152</v>
      </c>
      <c r="E1558" s="1">
        <v>1277</v>
      </c>
      <c r="F1558" s="1" t="s">
        <v>5261</v>
      </c>
      <c r="G1558" s="1" t="s">
        <v>5262</v>
      </c>
      <c r="H1558" s="1" t="s">
        <v>16</v>
      </c>
      <c r="I1558" s="1" t="s">
        <v>29</v>
      </c>
      <c r="J1558" s="1" t="s">
        <v>5263</v>
      </c>
      <c r="K1558" s="1" t="b">
        <v>0</v>
      </c>
      <c r="L1558" s="1" t="s">
        <v>22</v>
      </c>
      <c r="M1558" s="1" t="s">
        <v>16</v>
      </c>
      <c r="N1558" s="1" t="s">
        <v>16</v>
      </c>
      <c r="O1558" s="1" t="s">
        <v>9956</v>
      </c>
      <c r="P1558" s="1" t="s">
        <v>16</v>
      </c>
      <c r="Q1558" s="1">
        <v>100</v>
      </c>
      <c r="R1558" s="1">
        <v>7500</v>
      </c>
      <c r="S1558" s="1">
        <v>7500</v>
      </c>
    </row>
    <row r="1559" spans="1:19" ht="12.5" x14ac:dyDescent="0.25">
      <c r="A1559" s="1">
        <v>1648</v>
      </c>
      <c r="B1559" s="1" t="s">
        <v>5264</v>
      </c>
      <c r="C1559" s="1" t="s">
        <v>35</v>
      </c>
      <c r="D1559" s="1" t="s">
        <v>152</v>
      </c>
      <c r="E1559" s="1">
        <v>1278</v>
      </c>
      <c r="F1559" s="1" t="s">
        <v>5265</v>
      </c>
      <c r="G1559" s="1" t="s">
        <v>5266</v>
      </c>
      <c r="H1559" s="1" t="s">
        <v>16</v>
      </c>
      <c r="I1559" s="1" t="s">
        <v>29</v>
      </c>
      <c r="J1559" s="1" t="s">
        <v>5267</v>
      </c>
      <c r="K1559" s="1" t="b">
        <v>0</v>
      </c>
      <c r="L1559" s="1" t="s">
        <v>22</v>
      </c>
      <c r="M1559" s="1">
        <v>2022</v>
      </c>
      <c r="N1559" s="1" t="s">
        <v>45</v>
      </c>
      <c r="O1559" s="1" t="s">
        <v>9935</v>
      </c>
      <c r="P1559" s="1" t="s">
        <v>16</v>
      </c>
      <c r="Q1559" s="1">
        <v>100</v>
      </c>
      <c r="R1559" s="1">
        <v>1500</v>
      </c>
      <c r="S1559" s="1">
        <v>1500</v>
      </c>
    </row>
    <row r="1560" spans="1:19" ht="12.5" x14ac:dyDescent="0.25">
      <c r="A1560" s="1">
        <v>1649</v>
      </c>
      <c r="B1560" s="1" t="s">
        <v>5268</v>
      </c>
      <c r="C1560" s="1" t="s">
        <v>35</v>
      </c>
      <c r="D1560" s="1" t="s">
        <v>152</v>
      </c>
      <c r="E1560" s="1">
        <v>1279</v>
      </c>
      <c r="F1560" s="1" t="s">
        <v>5269</v>
      </c>
      <c r="G1560" s="1" t="s">
        <v>5266</v>
      </c>
      <c r="H1560" s="1" t="s">
        <v>16</v>
      </c>
      <c r="I1560" s="1" t="s">
        <v>29</v>
      </c>
      <c r="J1560" s="1" t="s">
        <v>5270</v>
      </c>
      <c r="K1560" s="1" t="b">
        <v>0</v>
      </c>
      <c r="L1560" s="1" t="s">
        <v>22</v>
      </c>
      <c r="M1560" s="1">
        <v>2022</v>
      </c>
      <c r="N1560" s="1" t="s">
        <v>23</v>
      </c>
      <c r="O1560" s="1" t="s">
        <v>9935</v>
      </c>
      <c r="P1560" s="1" t="s">
        <v>16</v>
      </c>
      <c r="Q1560" s="1">
        <v>100</v>
      </c>
      <c r="R1560" s="1">
        <v>1500</v>
      </c>
      <c r="S1560" s="1">
        <v>1500</v>
      </c>
    </row>
    <row r="1561" spans="1:19" ht="12.5" x14ac:dyDescent="0.25">
      <c r="A1561" s="1">
        <v>1660</v>
      </c>
      <c r="B1561" s="1" t="s">
        <v>5271</v>
      </c>
      <c r="C1561" s="1" t="s">
        <v>35</v>
      </c>
      <c r="D1561" s="1" t="s">
        <v>152</v>
      </c>
      <c r="E1561" s="1">
        <v>1280</v>
      </c>
      <c r="F1561" s="1" t="s">
        <v>5272</v>
      </c>
      <c r="G1561" s="1" t="s">
        <v>5273</v>
      </c>
      <c r="H1561" s="1" t="s">
        <v>16</v>
      </c>
      <c r="I1561" s="1" t="s">
        <v>29</v>
      </c>
      <c r="J1561" s="1" t="s">
        <v>5274</v>
      </c>
      <c r="K1561" s="1" t="b">
        <v>0</v>
      </c>
      <c r="L1561" s="1" t="s">
        <v>22</v>
      </c>
      <c r="M1561" s="1" t="s">
        <v>16</v>
      </c>
      <c r="N1561" s="1" t="s">
        <v>16</v>
      </c>
      <c r="O1561" s="1" t="s">
        <v>16</v>
      </c>
      <c r="P1561" s="1" t="s">
        <v>16</v>
      </c>
      <c r="Q1561" s="1">
        <v>100</v>
      </c>
    </row>
    <row r="1562" spans="1:19" ht="12.5" x14ac:dyDescent="0.25">
      <c r="A1562" s="1">
        <v>1661</v>
      </c>
      <c r="B1562" s="1" t="s">
        <v>5275</v>
      </c>
      <c r="C1562" s="1" t="s">
        <v>35</v>
      </c>
      <c r="D1562" s="1" t="s">
        <v>152</v>
      </c>
      <c r="E1562" s="1">
        <v>1281</v>
      </c>
      <c r="F1562" s="1" t="s">
        <v>5276</v>
      </c>
      <c r="G1562" s="1" t="s">
        <v>5277</v>
      </c>
      <c r="H1562" s="1" t="s">
        <v>16</v>
      </c>
      <c r="I1562" s="1" t="s">
        <v>20</v>
      </c>
      <c r="J1562" s="1" t="s">
        <v>5278</v>
      </c>
      <c r="K1562" s="1" t="b">
        <v>0</v>
      </c>
      <c r="L1562" s="1" t="s">
        <v>22</v>
      </c>
      <c r="M1562" s="1" t="s">
        <v>16</v>
      </c>
      <c r="N1562" s="1" t="s">
        <v>16</v>
      </c>
      <c r="O1562" s="1" t="s">
        <v>9956</v>
      </c>
      <c r="P1562" s="1" t="s">
        <v>16</v>
      </c>
      <c r="Q1562" s="1">
        <v>100</v>
      </c>
      <c r="R1562" s="1">
        <v>0</v>
      </c>
      <c r="S1562" s="1">
        <v>0</v>
      </c>
    </row>
    <row r="1563" spans="1:19" ht="12.5" x14ac:dyDescent="0.25">
      <c r="A1563" s="1">
        <v>1666</v>
      </c>
      <c r="B1563" s="1" t="s">
        <v>5279</v>
      </c>
      <c r="C1563" s="1" t="s">
        <v>35</v>
      </c>
      <c r="D1563" s="1" t="s">
        <v>152</v>
      </c>
      <c r="E1563" s="1">
        <v>1282</v>
      </c>
      <c r="F1563" s="1" t="s">
        <v>5280</v>
      </c>
      <c r="G1563" s="1" t="s">
        <v>5281</v>
      </c>
      <c r="H1563" s="1" t="s">
        <v>16</v>
      </c>
      <c r="I1563" s="1" t="s">
        <v>29</v>
      </c>
      <c r="J1563" s="1" t="s">
        <v>16</v>
      </c>
      <c r="K1563" s="1" t="b">
        <v>0</v>
      </c>
      <c r="L1563" s="1" t="s">
        <v>22</v>
      </c>
      <c r="M1563" s="1" t="s">
        <v>16</v>
      </c>
      <c r="N1563" s="1" t="s">
        <v>16</v>
      </c>
      <c r="O1563" s="1" t="s">
        <v>16</v>
      </c>
      <c r="P1563" s="1" t="s">
        <v>16</v>
      </c>
      <c r="Q1563" s="1">
        <v>100</v>
      </c>
    </row>
    <row r="1564" spans="1:19" ht="12.5" x14ac:dyDescent="0.25">
      <c r="A1564" s="1">
        <v>1667</v>
      </c>
      <c r="B1564" s="1" t="s">
        <v>5282</v>
      </c>
      <c r="C1564" s="1" t="s">
        <v>35</v>
      </c>
      <c r="D1564" s="1" t="s">
        <v>152</v>
      </c>
      <c r="E1564" s="1">
        <v>1283</v>
      </c>
      <c r="F1564" s="1" t="s">
        <v>5283</v>
      </c>
      <c r="G1564" s="1" t="s">
        <v>5284</v>
      </c>
      <c r="H1564" s="1" t="s">
        <v>16</v>
      </c>
      <c r="I1564" s="1" t="s">
        <v>29</v>
      </c>
      <c r="J1564" s="1" t="s">
        <v>5285</v>
      </c>
      <c r="K1564" s="1" t="b">
        <v>0</v>
      </c>
      <c r="L1564" s="1" t="s">
        <v>22</v>
      </c>
      <c r="M1564" s="1" t="s">
        <v>16</v>
      </c>
      <c r="N1564" s="1" t="s">
        <v>16</v>
      </c>
      <c r="O1564" s="1" t="s">
        <v>16</v>
      </c>
      <c r="P1564" s="1" t="s">
        <v>16</v>
      </c>
      <c r="Q1564" s="1">
        <v>100</v>
      </c>
    </row>
    <row r="1565" spans="1:19" ht="12.5" x14ac:dyDescent="0.25">
      <c r="A1565" s="1">
        <v>1670</v>
      </c>
      <c r="B1565" s="1" t="s">
        <v>5286</v>
      </c>
      <c r="C1565" s="1" t="s">
        <v>35</v>
      </c>
      <c r="D1565" s="1" t="s">
        <v>152</v>
      </c>
      <c r="E1565" s="1">
        <v>1284</v>
      </c>
      <c r="F1565" s="1" t="s">
        <v>5287</v>
      </c>
      <c r="G1565" s="1" t="s">
        <v>5288</v>
      </c>
      <c r="H1565" s="1" t="s">
        <v>16</v>
      </c>
      <c r="I1565" s="1" t="s">
        <v>29</v>
      </c>
      <c r="J1565" s="1" t="s">
        <v>16</v>
      </c>
      <c r="K1565" s="1" t="b">
        <v>0</v>
      </c>
      <c r="L1565" s="1" t="s">
        <v>22</v>
      </c>
      <c r="M1565" s="1" t="s">
        <v>16</v>
      </c>
      <c r="N1565" s="1" t="s">
        <v>16</v>
      </c>
      <c r="O1565" s="1" t="s">
        <v>16</v>
      </c>
      <c r="P1565" s="1" t="s">
        <v>16</v>
      </c>
      <c r="Q1565" s="1">
        <v>100</v>
      </c>
    </row>
    <row r="1566" spans="1:19" ht="12.5" x14ac:dyDescent="0.25">
      <c r="A1566" s="1">
        <v>1671</v>
      </c>
      <c r="B1566" s="1" t="s">
        <v>5289</v>
      </c>
      <c r="C1566" s="1" t="s">
        <v>35</v>
      </c>
      <c r="D1566" s="1" t="s">
        <v>152</v>
      </c>
      <c r="E1566" s="1">
        <v>1285</v>
      </c>
      <c r="F1566" s="1" t="s">
        <v>5290</v>
      </c>
      <c r="G1566" s="1" t="s">
        <v>5291</v>
      </c>
      <c r="H1566" s="1" t="s">
        <v>16</v>
      </c>
      <c r="I1566" s="1" t="s">
        <v>29</v>
      </c>
      <c r="J1566" s="1" t="s">
        <v>5292</v>
      </c>
      <c r="K1566" s="1" t="b">
        <v>0</v>
      </c>
      <c r="L1566" s="1" t="s">
        <v>22</v>
      </c>
      <c r="M1566" s="1" t="s">
        <v>16</v>
      </c>
      <c r="N1566" s="1" t="s">
        <v>16</v>
      </c>
      <c r="O1566" s="1" t="s">
        <v>16</v>
      </c>
      <c r="P1566" s="1" t="s">
        <v>16</v>
      </c>
      <c r="Q1566" s="1">
        <v>100</v>
      </c>
    </row>
    <row r="1567" spans="1:19" ht="12.5" x14ac:dyDescent="0.25">
      <c r="A1567" s="1">
        <v>1672</v>
      </c>
      <c r="B1567" s="1" t="s">
        <v>5293</v>
      </c>
      <c r="C1567" s="1" t="s">
        <v>35</v>
      </c>
      <c r="D1567" s="1" t="s">
        <v>152</v>
      </c>
      <c r="E1567" s="1">
        <v>1286</v>
      </c>
      <c r="F1567" s="1" t="s">
        <v>5294</v>
      </c>
      <c r="G1567" s="1" t="s">
        <v>5295</v>
      </c>
      <c r="H1567" s="1" t="s">
        <v>16</v>
      </c>
      <c r="I1567" s="1" t="s">
        <v>29</v>
      </c>
      <c r="J1567" s="1" t="s">
        <v>5296</v>
      </c>
      <c r="K1567" s="1" t="b">
        <v>0</v>
      </c>
      <c r="L1567" s="1" t="s">
        <v>22</v>
      </c>
      <c r="M1567" s="1" t="s">
        <v>16</v>
      </c>
      <c r="N1567" s="1" t="s">
        <v>16</v>
      </c>
      <c r="O1567" s="1" t="s">
        <v>16</v>
      </c>
      <c r="P1567" s="1" t="s">
        <v>16</v>
      </c>
      <c r="Q1567" s="1">
        <v>100</v>
      </c>
    </row>
    <row r="1568" spans="1:19" ht="12.5" x14ac:dyDescent="0.25">
      <c r="A1568" s="1">
        <v>1674</v>
      </c>
      <c r="B1568" s="1" t="s">
        <v>5297</v>
      </c>
      <c r="C1568" s="1" t="s">
        <v>35</v>
      </c>
      <c r="D1568" s="1" t="s">
        <v>152</v>
      </c>
      <c r="E1568" s="1">
        <v>1287</v>
      </c>
      <c r="F1568" s="1" t="s">
        <v>5298</v>
      </c>
      <c r="G1568" s="1" t="s">
        <v>5299</v>
      </c>
      <c r="H1568" s="1" t="s">
        <v>16</v>
      </c>
      <c r="I1568" s="1" t="s">
        <v>29</v>
      </c>
      <c r="J1568" s="1" t="s">
        <v>5300</v>
      </c>
      <c r="K1568" s="1" t="b">
        <v>0</v>
      </c>
      <c r="L1568" s="1" t="s">
        <v>22</v>
      </c>
      <c r="M1568" s="1" t="s">
        <v>16</v>
      </c>
      <c r="N1568" s="1" t="s">
        <v>16</v>
      </c>
      <c r="O1568" s="1" t="s">
        <v>16</v>
      </c>
      <c r="P1568" s="1" t="s">
        <v>16</v>
      </c>
      <c r="Q1568" s="1">
        <v>100</v>
      </c>
    </row>
    <row r="1569" spans="1:19" ht="12.5" x14ac:dyDescent="0.25">
      <c r="A1569" s="1">
        <v>1675</v>
      </c>
      <c r="B1569" s="1" t="s">
        <v>5301</v>
      </c>
      <c r="C1569" s="1" t="s">
        <v>35</v>
      </c>
      <c r="D1569" s="1" t="s">
        <v>152</v>
      </c>
      <c r="E1569" s="1">
        <v>1288</v>
      </c>
      <c r="F1569" s="1" t="s">
        <v>5302</v>
      </c>
      <c r="G1569" s="1" t="s">
        <v>5303</v>
      </c>
      <c r="H1569" s="1" t="s">
        <v>16</v>
      </c>
      <c r="I1569" s="1" t="s">
        <v>29</v>
      </c>
      <c r="J1569" s="1" t="s">
        <v>16</v>
      </c>
      <c r="K1569" s="1" t="b">
        <v>0</v>
      </c>
      <c r="L1569" s="1" t="s">
        <v>22</v>
      </c>
      <c r="M1569" s="1" t="s">
        <v>16</v>
      </c>
      <c r="N1569" s="1" t="s">
        <v>16</v>
      </c>
      <c r="O1569" s="1" t="s">
        <v>16</v>
      </c>
      <c r="P1569" s="1" t="s">
        <v>16</v>
      </c>
      <c r="Q1569" s="1">
        <v>100</v>
      </c>
    </row>
    <row r="1570" spans="1:19" ht="12.5" x14ac:dyDescent="0.25">
      <c r="A1570" s="1">
        <v>1676</v>
      </c>
      <c r="B1570" s="1" t="s">
        <v>5304</v>
      </c>
      <c r="C1570" s="1" t="s">
        <v>35</v>
      </c>
      <c r="D1570" s="1" t="s">
        <v>152</v>
      </c>
      <c r="E1570" s="1">
        <v>1289</v>
      </c>
      <c r="F1570" s="1" t="s">
        <v>5305</v>
      </c>
      <c r="G1570" s="1" t="s">
        <v>5306</v>
      </c>
      <c r="H1570" s="1" t="s">
        <v>16</v>
      </c>
      <c r="I1570" s="1" t="s">
        <v>29</v>
      </c>
      <c r="J1570" s="1" t="s">
        <v>5307</v>
      </c>
      <c r="K1570" s="1" t="b">
        <v>0</v>
      </c>
      <c r="L1570" s="1" t="s">
        <v>22</v>
      </c>
      <c r="M1570" s="1" t="s">
        <v>16</v>
      </c>
      <c r="N1570" s="1" t="s">
        <v>16</v>
      </c>
      <c r="O1570" s="1" t="s">
        <v>16</v>
      </c>
      <c r="P1570" s="1" t="s">
        <v>16</v>
      </c>
      <c r="Q1570" s="1">
        <v>100</v>
      </c>
    </row>
    <row r="1571" spans="1:19" ht="12.5" x14ac:dyDescent="0.25">
      <c r="A1571" s="1">
        <v>1677</v>
      </c>
      <c r="B1571" s="1" t="s">
        <v>5308</v>
      </c>
      <c r="C1571" s="1" t="s">
        <v>35</v>
      </c>
      <c r="D1571" s="1" t="s">
        <v>152</v>
      </c>
      <c r="E1571" s="1">
        <v>1290</v>
      </c>
      <c r="F1571" s="1" t="s">
        <v>5309</v>
      </c>
      <c r="G1571" s="1" t="s">
        <v>5310</v>
      </c>
      <c r="H1571" s="1" t="s">
        <v>16</v>
      </c>
      <c r="I1571" s="1" t="s">
        <v>29</v>
      </c>
      <c r="J1571" s="1" t="s">
        <v>5311</v>
      </c>
      <c r="K1571" s="1" t="b">
        <v>0</v>
      </c>
      <c r="L1571" s="1" t="s">
        <v>22</v>
      </c>
      <c r="M1571" s="1" t="s">
        <v>16</v>
      </c>
      <c r="N1571" s="1" t="s">
        <v>16</v>
      </c>
      <c r="O1571" s="1" t="s">
        <v>16</v>
      </c>
      <c r="P1571" s="1" t="s">
        <v>16</v>
      </c>
      <c r="Q1571" s="1">
        <v>100</v>
      </c>
    </row>
    <row r="1572" spans="1:19" ht="12.5" x14ac:dyDescent="0.25">
      <c r="A1572" s="1">
        <v>1678</v>
      </c>
      <c r="B1572" s="1" t="s">
        <v>5312</v>
      </c>
      <c r="C1572" s="1" t="s">
        <v>35</v>
      </c>
      <c r="D1572" s="1" t="s">
        <v>152</v>
      </c>
      <c r="E1572" s="1">
        <v>1291</v>
      </c>
      <c r="F1572" s="1" t="s">
        <v>5313</v>
      </c>
      <c r="G1572" s="1" t="s">
        <v>5314</v>
      </c>
      <c r="H1572" s="1" t="s">
        <v>16</v>
      </c>
      <c r="I1572" s="1" t="s">
        <v>29</v>
      </c>
      <c r="J1572" s="1" t="s">
        <v>5315</v>
      </c>
      <c r="K1572" s="1" t="b">
        <v>0</v>
      </c>
      <c r="L1572" s="1" t="s">
        <v>22</v>
      </c>
      <c r="M1572" s="1" t="s">
        <v>16</v>
      </c>
      <c r="N1572" s="1" t="s">
        <v>16</v>
      </c>
      <c r="O1572" s="1" t="s">
        <v>16</v>
      </c>
      <c r="P1572" s="1" t="s">
        <v>16</v>
      </c>
      <c r="Q1572" s="1">
        <v>100</v>
      </c>
    </row>
    <row r="1573" spans="1:19" ht="12.5" x14ac:dyDescent="0.25">
      <c r="A1573" s="1">
        <v>1679</v>
      </c>
      <c r="B1573" s="1" t="s">
        <v>5316</v>
      </c>
      <c r="C1573" s="1" t="s">
        <v>35</v>
      </c>
      <c r="D1573" s="1" t="s">
        <v>152</v>
      </c>
      <c r="E1573" s="1">
        <v>1292</v>
      </c>
      <c r="F1573" s="1" t="s">
        <v>5317</v>
      </c>
      <c r="G1573" s="1" t="s">
        <v>5318</v>
      </c>
      <c r="H1573" s="1" t="s">
        <v>16</v>
      </c>
      <c r="I1573" s="1" t="s">
        <v>29</v>
      </c>
      <c r="J1573" s="1" t="s">
        <v>16</v>
      </c>
      <c r="K1573" s="1" t="b">
        <v>0</v>
      </c>
      <c r="L1573" s="1" t="s">
        <v>22</v>
      </c>
      <c r="M1573" s="1" t="s">
        <v>16</v>
      </c>
      <c r="N1573" s="1" t="s">
        <v>16</v>
      </c>
      <c r="O1573" s="1" t="s">
        <v>16</v>
      </c>
      <c r="P1573" s="1" t="s">
        <v>16</v>
      </c>
      <c r="Q1573" s="1">
        <v>100</v>
      </c>
    </row>
    <row r="1574" spans="1:19" ht="12.5" x14ac:dyDescent="0.25">
      <c r="A1574" s="1">
        <v>1680</v>
      </c>
      <c r="B1574" s="1" t="s">
        <v>5319</v>
      </c>
      <c r="C1574" s="1" t="s">
        <v>35</v>
      </c>
      <c r="D1574" s="1" t="s">
        <v>152</v>
      </c>
      <c r="E1574" s="1">
        <v>1293</v>
      </c>
      <c r="F1574" s="1" t="s">
        <v>5320</v>
      </c>
      <c r="G1574" s="1" t="s">
        <v>5321</v>
      </c>
      <c r="H1574" s="1" t="s">
        <v>16</v>
      </c>
      <c r="I1574" s="1" t="s">
        <v>29</v>
      </c>
      <c r="J1574" s="1" t="s">
        <v>5322</v>
      </c>
      <c r="K1574" s="1" t="b">
        <v>0</v>
      </c>
      <c r="L1574" s="1" t="s">
        <v>22</v>
      </c>
      <c r="M1574" s="1" t="s">
        <v>16</v>
      </c>
      <c r="N1574" s="1" t="s">
        <v>16</v>
      </c>
      <c r="O1574" s="1" t="s">
        <v>16</v>
      </c>
      <c r="P1574" s="1" t="s">
        <v>16</v>
      </c>
      <c r="Q1574" s="1">
        <v>100</v>
      </c>
    </row>
    <row r="1575" spans="1:19" ht="12.5" x14ac:dyDescent="0.25">
      <c r="A1575" s="1">
        <v>1681</v>
      </c>
      <c r="B1575" s="1" t="s">
        <v>5323</v>
      </c>
      <c r="C1575" s="1" t="s">
        <v>35</v>
      </c>
      <c r="D1575" s="1" t="s">
        <v>152</v>
      </c>
      <c r="E1575" s="1">
        <v>1294</v>
      </c>
      <c r="F1575" s="1" t="s">
        <v>5324</v>
      </c>
      <c r="G1575" s="1" t="s">
        <v>5325</v>
      </c>
      <c r="H1575" s="1" t="s">
        <v>16</v>
      </c>
      <c r="I1575" s="1" t="s">
        <v>29</v>
      </c>
      <c r="J1575" s="1" t="s">
        <v>16</v>
      </c>
      <c r="K1575" s="1" t="b">
        <v>0</v>
      </c>
      <c r="L1575" s="1" t="s">
        <v>22</v>
      </c>
      <c r="M1575" s="1" t="s">
        <v>16</v>
      </c>
      <c r="N1575" s="1" t="s">
        <v>16</v>
      </c>
      <c r="O1575" s="1" t="s">
        <v>16</v>
      </c>
      <c r="P1575" s="1" t="s">
        <v>16</v>
      </c>
      <c r="Q1575" s="1">
        <v>100</v>
      </c>
    </row>
    <row r="1576" spans="1:19" ht="12.5" x14ac:dyDescent="0.25">
      <c r="A1576" s="1">
        <v>1683</v>
      </c>
      <c r="B1576" s="1" t="s">
        <v>5326</v>
      </c>
      <c r="C1576" s="1" t="s">
        <v>35</v>
      </c>
      <c r="D1576" s="1" t="s">
        <v>152</v>
      </c>
      <c r="E1576" s="1">
        <v>1295</v>
      </c>
      <c r="F1576" s="1" t="s">
        <v>5327</v>
      </c>
      <c r="G1576" s="1" t="s">
        <v>5328</v>
      </c>
      <c r="H1576" s="1" t="s">
        <v>16</v>
      </c>
      <c r="I1576" s="1" t="s">
        <v>29</v>
      </c>
      <c r="J1576" s="1" t="s">
        <v>5329</v>
      </c>
      <c r="K1576" s="1" t="b">
        <v>0</v>
      </c>
      <c r="L1576" s="1" t="s">
        <v>22</v>
      </c>
      <c r="M1576" s="1" t="s">
        <v>16</v>
      </c>
      <c r="N1576" s="1" t="s">
        <v>16</v>
      </c>
      <c r="O1576" s="1" t="s">
        <v>16</v>
      </c>
      <c r="P1576" s="1" t="s">
        <v>16</v>
      </c>
      <c r="Q1576" s="1">
        <v>100</v>
      </c>
    </row>
    <row r="1577" spans="1:19" ht="12.5" x14ac:dyDescent="0.25">
      <c r="A1577" s="1">
        <v>1684</v>
      </c>
      <c r="B1577" s="1" t="s">
        <v>5330</v>
      </c>
      <c r="C1577" s="1" t="s">
        <v>35</v>
      </c>
      <c r="D1577" s="1" t="s">
        <v>152</v>
      </c>
      <c r="E1577" s="1">
        <v>1296</v>
      </c>
      <c r="F1577" s="1" t="s">
        <v>5331</v>
      </c>
      <c r="G1577" s="1" t="s">
        <v>5332</v>
      </c>
      <c r="H1577" s="1" t="s">
        <v>16</v>
      </c>
      <c r="I1577" s="1" t="s">
        <v>29</v>
      </c>
      <c r="J1577" s="1" t="s">
        <v>5333</v>
      </c>
      <c r="K1577" s="1" t="b">
        <v>1</v>
      </c>
      <c r="L1577" s="1" t="s">
        <v>31</v>
      </c>
      <c r="M1577" s="1">
        <v>2022</v>
      </c>
      <c r="N1577" s="1" t="s">
        <v>23</v>
      </c>
      <c r="O1577" s="1" t="s">
        <v>9935</v>
      </c>
      <c r="P1577" s="1" t="s">
        <v>16</v>
      </c>
      <c r="Q1577" s="1">
        <v>100</v>
      </c>
      <c r="R1577" s="1">
        <v>200000</v>
      </c>
      <c r="S1577" s="1">
        <v>200000</v>
      </c>
    </row>
    <row r="1578" spans="1:19" ht="12.5" x14ac:dyDescent="0.25">
      <c r="A1578" s="1">
        <v>1685</v>
      </c>
      <c r="B1578" s="1" t="s">
        <v>5334</v>
      </c>
      <c r="C1578" s="1" t="s">
        <v>35</v>
      </c>
      <c r="D1578" s="1" t="s">
        <v>152</v>
      </c>
      <c r="E1578" s="1">
        <v>1297</v>
      </c>
      <c r="F1578" s="1" t="s">
        <v>5335</v>
      </c>
      <c r="G1578" s="1" t="s">
        <v>5336</v>
      </c>
      <c r="H1578" s="1" t="s">
        <v>16</v>
      </c>
      <c r="I1578" s="1" t="s">
        <v>29</v>
      </c>
      <c r="J1578" s="1" t="s">
        <v>5337</v>
      </c>
      <c r="K1578" s="1" t="b">
        <v>0</v>
      </c>
      <c r="L1578" s="1" t="s">
        <v>22</v>
      </c>
      <c r="M1578" s="1">
        <v>2022</v>
      </c>
      <c r="N1578" s="1" t="s">
        <v>23</v>
      </c>
      <c r="O1578" s="1" t="s">
        <v>9935</v>
      </c>
      <c r="P1578" s="1" t="s">
        <v>16</v>
      </c>
      <c r="Q1578" s="1">
        <v>100</v>
      </c>
      <c r="R1578" s="1">
        <v>100000</v>
      </c>
      <c r="S1578" s="1">
        <v>100000</v>
      </c>
    </row>
    <row r="1579" spans="1:19" ht="12.5" x14ac:dyDescent="0.25">
      <c r="A1579" s="1">
        <v>1688</v>
      </c>
      <c r="B1579" s="1" t="s">
        <v>5338</v>
      </c>
      <c r="C1579" s="1" t="s">
        <v>35</v>
      </c>
      <c r="D1579" s="1" t="s">
        <v>152</v>
      </c>
      <c r="E1579" s="1">
        <v>1298</v>
      </c>
      <c r="F1579" s="1" t="s">
        <v>5339</v>
      </c>
      <c r="G1579" s="1" t="s">
        <v>5340</v>
      </c>
      <c r="H1579" s="1" t="s">
        <v>16</v>
      </c>
      <c r="I1579" s="1" t="s">
        <v>29</v>
      </c>
      <c r="J1579" s="1" t="s">
        <v>5341</v>
      </c>
      <c r="K1579" s="1" t="b">
        <v>0</v>
      </c>
      <c r="L1579" s="1" t="s">
        <v>22</v>
      </c>
      <c r="M1579" s="1">
        <v>2022</v>
      </c>
      <c r="N1579" s="1" t="s">
        <v>23</v>
      </c>
      <c r="O1579" s="1" t="s">
        <v>9935</v>
      </c>
      <c r="P1579" s="1" t="s">
        <v>16</v>
      </c>
      <c r="Q1579" s="1">
        <v>100</v>
      </c>
      <c r="R1579" s="1">
        <v>120000</v>
      </c>
      <c r="S1579" s="1">
        <v>120000</v>
      </c>
    </row>
    <row r="1580" spans="1:19" ht="12.5" x14ac:dyDescent="0.25">
      <c r="A1580" s="1">
        <v>1690</v>
      </c>
      <c r="B1580" s="1" t="s">
        <v>5342</v>
      </c>
      <c r="C1580" s="1" t="s">
        <v>35</v>
      </c>
      <c r="D1580" s="1" t="s">
        <v>152</v>
      </c>
      <c r="E1580" s="1">
        <v>1299</v>
      </c>
      <c r="F1580" s="1" t="s">
        <v>5343</v>
      </c>
      <c r="G1580" s="1" t="s">
        <v>5344</v>
      </c>
      <c r="H1580" s="1" t="s">
        <v>16</v>
      </c>
      <c r="I1580" s="1" t="s">
        <v>29</v>
      </c>
      <c r="J1580" s="1" t="s">
        <v>5345</v>
      </c>
      <c r="K1580" s="1" t="b">
        <v>0</v>
      </c>
      <c r="L1580" s="1" t="s">
        <v>22</v>
      </c>
      <c r="M1580" s="1" t="s">
        <v>16</v>
      </c>
      <c r="N1580" s="1" t="s">
        <v>16</v>
      </c>
      <c r="O1580" s="1" t="s">
        <v>16</v>
      </c>
      <c r="P1580" s="1" t="s">
        <v>16</v>
      </c>
      <c r="Q1580" s="1">
        <v>100</v>
      </c>
    </row>
    <row r="1581" spans="1:19" ht="12.5" x14ac:dyDescent="0.25">
      <c r="A1581" s="1" t="s">
        <v>16</v>
      </c>
      <c r="B1581" s="1" t="s">
        <v>16</v>
      </c>
      <c r="C1581" s="1" t="s">
        <v>16</v>
      </c>
      <c r="D1581" s="1" t="s">
        <v>16</v>
      </c>
      <c r="E1581" s="1">
        <v>1300</v>
      </c>
      <c r="F1581" s="1" t="s">
        <v>5346</v>
      </c>
      <c r="G1581" s="1" t="s">
        <v>5347</v>
      </c>
      <c r="H1581" s="1" t="s">
        <v>16</v>
      </c>
      <c r="I1581" s="1" t="s">
        <v>29</v>
      </c>
      <c r="J1581" s="1" t="s">
        <v>5348</v>
      </c>
      <c r="K1581" s="1" t="b">
        <v>0</v>
      </c>
      <c r="L1581" s="1" t="s">
        <v>22</v>
      </c>
      <c r="M1581" s="1" t="s">
        <v>16</v>
      </c>
      <c r="N1581" s="1" t="s">
        <v>16</v>
      </c>
      <c r="O1581" s="1" t="s">
        <v>9956</v>
      </c>
      <c r="P1581" s="1" t="s">
        <v>16</v>
      </c>
      <c r="R1581" s="1">
        <v>5000</v>
      </c>
    </row>
    <row r="1582" spans="1:19" ht="12.5" x14ac:dyDescent="0.25">
      <c r="A1582" s="1">
        <v>1692</v>
      </c>
      <c r="B1582" s="1" t="s">
        <v>5349</v>
      </c>
      <c r="C1582" s="1" t="s">
        <v>35</v>
      </c>
      <c r="D1582" s="1" t="s">
        <v>152</v>
      </c>
      <c r="E1582" s="1">
        <v>1301</v>
      </c>
      <c r="F1582" s="1" t="s">
        <v>5350</v>
      </c>
      <c r="G1582" s="1" t="s">
        <v>5351</v>
      </c>
      <c r="H1582" s="1" t="s">
        <v>16</v>
      </c>
      <c r="I1582" s="1" t="s">
        <v>29</v>
      </c>
      <c r="J1582" s="1" t="s">
        <v>5352</v>
      </c>
      <c r="K1582" s="1" t="b">
        <v>0</v>
      </c>
      <c r="L1582" s="1" t="s">
        <v>22</v>
      </c>
      <c r="M1582" s="1">
        <v>2021</v>
      </c>
      <c r="N1582" s="1" t="s">
        <v>52</v>
      </c>
      <c r="O1582" s="1" t="s">
        <v>9956</v>
      </c>
      <c r="P1582" s="1" t="s">
        <v>16</v>
      </c>
      <c r="Q1582" s="1">
        <v>100</v>
      </c>
      <c r="R1582" s="1">
        <v>6390</v>
      </c>
      <c r="S1582" s="1">
        <v>6390</v>
      </c>
    </row>
    <row r="1583" spans="1:19" ht="12.5" x14ac:dyDescent="0.25">
      <c r="A1583" s="1">
        <v>1693</v>
      </c>
      <c r="B1583" s="1" t="s">
        <v>5353</v>
      </c>
      <c r="C1583" s="1" t="s">
        <v>35</v>
      </c>
      <c r="D1583" s="1" t="s">
        <v>152</v>
      </c>
      <c r="E1583" s="1">
        <v>1302</v>
      </c>
      <c r="F1583" s="1" t="s">
        <v>5354</v>
      </c>
      <c r="G1583" s="1" t="s">
        <v>5347</v>
      </c>
      <c r="H1583" s="1" t="s">
        <v>16</v>
      </c>
      <c r="I1583" s="1" t="s">
        <v>29</v>
      </c>
      <c r="J1583" s="1" t="s">
        <v>5355</v>
      </c>
      <c r="K1583" s="1" t="b">
        <v>0</v>
      </c>
      <c r="L1583" s="1" t="s">
        <v>22</v>
      </c>
      <c r="M1583" s="1" t="s">
        <v>16</v>
      </c>
      <c r="N1583" s="1" t="s">
        <v>16</v>
      </c>
      <c r="O1583" s="1" t="s">
        <v>9956</v>
      </c>
      <c r="P1583" s="1" t="s">
        <v>16</v>
      </c>
      <c r="Q1583" s="1">
        <v>100</v>
      </c>
      <c r="R1583" s="1">
        <v>5000</v>
      </c>
      <c r="S1583" s="1">
        <v>5000</v>
      </c>
    </row>
    <row r="1584" spans="1:19" ht="12.5" x14ac:dyDescent="0.25">
      <c r="A1584" s="1" t="s">
        <v>16</v>
      </c>
      <c r="B1584" s="1" t="s">
        <v>16</v>
      </c>
      <c r="C1584" s="1" t="s">
        <v>16</v>
      </c>
      <c r="D1584" s="1" t="s">
        <v>16</v>
      </c>
      <c r="E1584" s="1">
        <v>1303</v>
      </c>
      <c r="F1584" s="1" t="s">
        <v>5356</v>
      </c>
      <c r="G1584" s="1" t="s">
        <v>5357</v>
      </c>
      <c r="H1584" s="1" t="s">
        <v>16</v>
      </c>
      <c r="I1584" s="1" t="s">
        <v>29</v>
      </c>
      <c r="J1584" s="1" t="s">
        <v>5358</v>
      </c>
      <c r="K1584" s="1" t="b">
        <v>0</v>
      </c>
      <c r="L1584" s="1" t="s">
        <v>22</v>
      </c>
      <c r="M1584" s="1">
        <v>2022</v>
      </c>
      <c r="N1584" s="1" t="s">
        <v>45</v>
      </c>
      <c r="O1584" s="1" t="s">
        <v>9956</v>
      </c>
      <c r="P1584" s="1" t="s">
        <v>10042</v>
      </c>
      <c r="R1584" s="1">
        <v>1500</v>
      </c>
    </row>
    <row r="1585" spans="1:19" ht="12.5" x14ac:dyDescent="0.25">
      <c r="A1585" s="1">
        <v>1696</v>
      </c>
      <c r="B1585" s="1" t="s">
        <v>5359</v>
      </c>
      <c r="C1585" s="1" t="s">
        <v>35</v>
      </c>
      <c r="D1585" s="1" t="s">
        <v>152</v>
      </c>
      <c r="E1585" s="1">
        <v>1304</v>
      </c>
      <c r="F1585" s="1" t="s">
        <v>5360</v>
      </c>
      <c r="G1585" s="1" t="s">
        <v>5357</v>
      </c>
      <c r="H1585" s="1" t="s">
        <v>16</v>
      </c>
      <c r="I1585" s="1" t="s">
        <v>29</v>
      </c>
      <c r="J1585" s="1" t="s">
        <v>5361</v>
      </c>
      <c r="K1585" s="1" t="b">
        <v>0</v>
      </c>
      <c r="L1585" s="1" t="s">
        <v>22</v>
      </c>
      <c r="M1585" s="1" t="s">
        <v>16</v>
      </c>
      <c r="N1585" s="1" t="s">
        <v>16</v>
      </c>
      <c r="O1585" s="1" t="s">
        <v>16</v>
      </c>
      <c r="P1585" s="1" t="s">
        <v>16</v>
      </c>
      <c r="Q1585" s="1">
        <v>100</v>
      </c>
    </row>
    <row r="1586" spans="1:19" ht="12.5" x14ac:dyDescent="0.25">
      <c r="A1586" s="1">
        <v>1697</v>
      </c>
      <c r="B1586" s="1" t="s">
        <v>5362</v>
      </c>
      <c r="C1586" s="1" t="s">
        <v>35</v>
      </c>
      <c r="D1586" s="1" t="s">
        <v>152</v>
      </c>
      <c r="E1586" s="1">
        <v>1305</v>
      </c>
      <c r="F1586" s="1" t="s">
        <v>5363</v>
      </c>
      <c r="G1586" s="1" t="s">
        <v>5357</v>
      </c>
      <c r="H1586" s="1" t="s">
        <v>16</v>
      </c>
      <c r="I1586" s="1" t="s">
        <v>29</v>
      </c>
      <c r="J1586" s="1" t="s">
        <v>5364</v>
      </c>
      <c r="K1586" s="1" t="b">
        <v>0</v>
      </c>
      <c r="L1586" s="1" t="s">
        <v>22</v>
      </c>
      <c r="M1586" s="1" t="s">
        <v>16</v>
      </c>
      <c r="N1586" s="1" t="s">
        <v>16</v>
      </c>
      <c r="O1586" s="1" t="s">
        <v>16</v>
      </c>
      <c r="P1586" s="1" t="s">
        <v>16</v>
      </c>
      <c r="Q1586" s="1">
        <v>100</v>
      </c>
    </row>
    <row r="1587" spans="1:19" ht="12.5" x14ac:dyDescent="0.25">
      <c r="A1587" s="1">
        <v>1698</v>
      </c>
      <c r="B1587" s="1" t="s">
        <v>5365</v>
      </c>
      <c r="C1587" s="1" t="s">
        <v>35</v>
      </c>
      <c r="D1587" s="1" t="s">
        <v>152</v>
      </c>
      <c r="E1587" s="1">
        <v>1306</v>
      </c>
      <c r="F1587" s="1" t="s">
        <v>5366</v>
      </c>
      <c r="G1587" s="1" t="s">
        <v>5367</v>
      </c>
      <c r="H1587" s="1" t="s">
        <v>16</v>
      </c>
      <c r="I1587" s="1" t="s">
        <v>29</v>
      </c>
      <c r="J1587" s="1" t="s">
        <v>5368</v>
      </c>
      <c r="K1587" s="1" t="b">
        <v>0</v>
      </c>
      <c r="L1587" s="1" t="s">
        <v>22</v>
      </c>
      <c r="M1587" s="1">
        <v>2021</v>
      </c>
      <c r="N1587" s="1" t="s">
        <v>32</v>
      </c>
      <c r="O1587" s="1" t="s">
        <v>9935</v>
      </c>
      <c r="P1587" s="1" t="s">
        <v>10043</v>
      </c>
      <c r="Q1587" s="1">
        <v>100</v>
      </c>
      <c r="R1587" s="1">
        <v>500</v>
      </c>
      <c r="S1587" s="1">
        <v>500</v>
      </c>
    </row>
    <row r="1588" spans="1:19" ht="12.5" x14ac:dyDescent="0.25">
      <c r="A1588" s="1">
        <v>1702</v>
      </c>
      <c r="B1588" s="1" t="s">
        <v>5369</v>
      </c>
      <c r="C1588" s="1" t="s">
        <v>35</v>
      </c>
      <c r="D1588" s="1" t="s">
        <v>152</v>
      </c>
      <c r="E1588" s="1">
        <v>1307</v>
      </c>
      <c r="F1588" s="1" t="s">
        <v>5370</v>
      </c>
      <c r="G1588" s="1" t="s">
        <v>5371</v>
      </c>
      <c r="H1588" s="1" t="s">
        <v>16</v>
      </c>
      <c r="I1588" s="1" t="s">
        <v>29</v>
      </c>
      <c r="J1588" s="1" t="s">
        <v>5372</v>
      </c>
      <c r="K1588" s="1" t="b">
        <v>0</v>
      </c>
      <c r="L1588" s="1" t="s">
        <v>22</v>
      </c>
      <c r="M1588" s="1">
        <v>2021</v>
      </c>
      <c r="N1588" s="1" t="s">
        <v>52</v>
      </c>
      <c r="O1588" s="1" t="s">
        <v>9956</v>
      </c>
      <c r="P1588" s="1" t="s">
        <v>16</v>
      </c>
      <c r="Q1588" s="1">
        <v>100</v>
      </c>
      <c r="R1588" s="1">
        <v>1500</v>
      </c>
      <c r="S1588" s="1">
        <v>1500</v>
      </c>
    </row>
    <row r="1589" spans="1:19" ht="12.5" x14ac:dyDescent="0.25">
      <c r="A1589" s="1">
        <v>1710</v>
      </c>
      <c r="B1589" s="1" t="s">
        <v>5373</v>
      </c>
      <c r="C1589" s="1" t="s">
        <v>35</v>
      </c>
      <c r="D1589" s="1" t="s">
        <v>152</v>
      </c>
      <c r="E1589" s="1">
        <v>1308</v>
      </c>
      <c r="F1589" s="1" t="s">
        <v>5375</v>
      </c>
      <c r="G1589" s="1" t="s">
        <v>5376</v>
      </c>
      <c r="H1589" s="1" t="s">
        <v>16</v>
      </c>
      <c r="I1589" s="1" t="s">
        <v>29</v>
      </c>
      <c r="J1589" s="1" t="s">
        <v>16</v>
      </c>
      <c r="K1589" s="1" t="b">
        <v>0</v>
      </c>
      <c r="L1589" s="1" t="s">
        <v>22</v>
      </c>
      <c r="M1589" s="1" t="s">
        <v>16</v>
      </c>
      <c r="N1589" s="1" t="s">
        <v>16</v>
      </c>
      <c r="O1589" s="1" t="s">
        <v>16</v>
      </c>
      <c r="P1589" s="1" t="s">
        <v>16</v>
      </c>
      <c r="Q1589" s="1">
        <v>100</v>
      </c>
    </row>
    <row r="1590" spans="1:19" ht="12.5" x14ac:dyDescent="0.25">
      <c r="A1590" s="1">
        <v>1711</v>
      </c>
      <c r="B1590" s="1" t="s">
        <v>5377</v>
      </c>
      <c r="C1590" s="1" t="s">
        <v>35</v>
      </c>
      <c r="D1590" s="1" t="s">
        <v>152</v>
      </c>
      <c r="E1590" s="1">
        <v>1309</v>
      </c>
      <c r="F1590" s="1" t="s">
        <v>5379</v>
      </c>
      <c r="G1590" s="1" t="s">
        <v>5380</v>
      </c>
      <c r="H1590" s="1" t="s">
        <v>16</v>
      </c>
      <c r="I1590" s="1" t="s">
        <v>29</v>
      </c>
      <c r="J1590" s="1" t="s">
        <v>5381</v>
      </c>
      <c r="K1590" s="1" t="b">
        <v>0</v>
      </c>
      <c r="L1590" s="1" t="s">
        <v>22</v>
      </c>
      <c r="M1590" s="1" t="s">
        <v>16</v>
      </c>
      <c r="N1590" s="1" t="s">
        <v>16</v>
      </c>
      <c r="O1590" s="1" t="s">
        <v>16</v>
      </c>
      <c r="P1590" s="1" t="s">
        <v>16</v>
      </c>
      <c r="Q1590" s="1">
        <v>100</v>
      </c>
    </row>
    <row r="1591" spans="1:19" ht="12.5" x14ac:dyDescent="0.25">
      <c r="A1591" s="1">
        <v>1712</v>
      </c>
      <c r="B1591" s="1" t="s">
        <v>5382</v>
      </c>
      <c r="C1591" s="1" t="s">
        <v>35</v>
      </c>
      <c r="D1591" s="1" t="s">
        <v>152</v>
      </c>
      <c r="E1591" s="1">
        <v>1310</v>
      </c>
      <c r="F1591" s="1" t="s">
        <v>5383</v>
      </c>
      <c r="G1591" s="1" t="s">
        <v>5384</v>
      </c>
      <c r="H1591" s="1" t="s">
        <v>16</v>
      </c>
      <c r="I1591" s="1" t="s">
        <v>29</v>
      </c>
      <c r="J1591" s="1" t="s">
        <v>5385</v>
      </c>
      <c r="K1591" s="1" t="b">
        <v>0</v>
      </c>
      <c r="L1591" s="1" t="s">
        <v>22</v>
      </c>
      <c r="M1591" s="1" t="s">
        <v>16</v>
      </c>
      <c r="N1591" s="1" t="s">
        <v>16</v>
      </c>
      <c r="O1591" s="1" t="s">
        <v>16</v>
      </c>
      <c r="P1591" s="1" t="s">
        <v>16</v>
      </c>
      <c r="Q1591" s="1">
        <v>100</v>
      </c>
    </row>
    <row r="1592" spans="1:19" ht="12.5" x14ac:dyDescent="0.25">
      <c r="A1592" s="1">
        <v>1511</v>
      </c>
      <c r="B1592" s="1" t="s">
        <v>5386</v>
      </c>
      <c r="C1592" s="1" t="s">
        <v>35</v>
      </c>
      <c r="D1592" s="1" t="s">
        <v>152</v>
      </c>
      <c r="E1592" s="1">
        <v>1352</v>
      </c>
      <c r="F1592" s="1" t="s">
        <v>5388</v>
      </c>
      <c r="G1592" s="1" t="s">
        <v>5389</v>
      </c>
      <c r="H1592" s="1" t="s">
        <v>16</v>
      </c>
      <c r="I1592" s="1" t="s">
        <v>29</v>
      </c>
      <c r="J1592" s="1" t="s">
        <v>5390</v>
      </c>
      <c r="K1592" s="1" t="b">
        <v>0</v>
      </c>
      <c r="L1592" s="1" t="s">
        <v>22</v>
      </c>
      <c r="M1592" s="1">
        <v>2022</v>
      </c>
      <c r="N1592" s="1" t="s">
        <v>23</v>
      </c>
      <c r="O1592" s="1" t="s">
        <v>9940</v>
      </c>
      <c r="P1592" s="1" t="s">
        <v>16</v>
      </c>
      <c r="Q1592" s="1">
        <v>100</v>
      </c>
      <c r="R1592" s="1">
        <v>40000</v>
      </c>
      <c r="S1592" s="1">
        <v>40000</v>
      </c>
    </row>
    <row r="1593" spans="1:19" ht="12.5" x14ac:dyDescent="0.25">
      <c r="A1593" s="1">
        <v>635</v>
      </c>
      <c r="B1593" s="1" t="s">
        <v>2599</v>
      </c>
      <c r="C1593" s="1" t="s">
        <v>35</v>
      </c>
      <c r="D1593" s="1" t="s">
        <v>36</v>
      </c>
      <c r="E1593" s="1">
        <v>1353</v>
      </c>
      <c r="F1593" s="1" t="s">
        <v>5391</v>
      </c>
      <c r="G1593" s="1" t="s">
        <v>4224</v>
      </c>
      <c r="H1593" s="1" t="s">
        <v>16</v>
      </c>
      <c r="I1593" s="1" t="s">
        <v>29</v>
      </c>
      <c r="J1593" s="1" t="s">
        <v>16</v>
      </c>
      <c r="K1593" s="1" t="b">
        <v>0</v>
      </c>
      <c r="L1593" s="1" t="s">
        <v>22</v>
      </c>
      <c r="M1593" s="1" t="s">
        <v>16</v>
      </c>
      <c r="N1593" s="1" t="s">
        <v>16</v>
      </c>
      <c r="O1593" s="1" t="s">
        <v>16</v>
      </c>
      <c r="P1593" s="1" t="s">
        <v>16</v>
      </c>
      <c r="Q1593" s="1">
        <v>50</v>
      </c>
    </row>
    <row r="1594" spans="1:19" ht="12.5" x14ac:dyDescent="0.25">
      <c r="A1594" s="1">
        <v>1420</v>
      </c>
      <c r="B1594" s="1" t="s">
        <v>5392</v>
      </c>
      <c r="C1594" s="1" t="s">
        <v>35</v>
      </c>
      <c r="D1594" s="1" t="s">
        <v>152</v>
      </c>
      <c r="E1594" s="1">
        <v>1353</v>
      </c>
      <c r="F1594" s="1" t="s">
        <v>5391</v>
      </c>
      <c r="G1594" s="1" t="s">
        <v>4224</v>
      </c>
      <c r="H1594" s="1" t="s">
        <v>16</v>
      </c>
      <c r="I1594" s="1" t="s">
        <v>29</v>
      </c>
      <c r="J1594" s="1" t="s">
        <v>16</v>
      </c>
      <c r="K1594" s="1" t="b">
        <v>0</v>
      </c>
      <c r="L1594" s="1" t="s">
        <v>22</v>
      </c>
      <c r="M1594" s="1" t="s">
        <v>16</v>
      </c>
      <c r="N1594" s="1" t="s">
        <v>16</v>
      </c>
      <c r="O1594" s="1" t="s">
        <v>16</v>
      </c>
      <c r="P1594" s="1" t="s">
        <v>16</v>
      </c>
      <c r="Q1594" s="1">
        <v>50</v>
      </c>
    </row>
    <row r="1595" spans="1:19" ht="12.5" x14ac:dyDescent="0.25">
      <c r="A1595" s="1" t="s">
        <v>16</v>
      </c>
      <c r="B1595" s="1" t="s">
        <v>16</v>
      </c>
      <c r="C1595" s="1" t="s">
        <v>16</v>
      </c>
      <c r="D1595" s="1" t="s">
        <v>16</v>
      </c>
      <c r="E1595" s="1">
        <v>1354</v>
      </c>
      <c r="F1595" s="1" t="s">
        <v>5394</v>
      </c>
      <c r="G1595" s="1" t="s">
        <v>5395</v>
      </c>
      <c r="H1595" s="1" t="s">
        <v>16</v>
      </c>
      <c r="I1595" s="1" t="s">
        <v>20</v>
      </c>
      <c r="J1595" s="1" t="s">
        <v>16</v>
      </c>
      <c r="K1595" s="1" t="b">
        <v>0</v>
      </c>
      <c r="L1595" s="1" t="s">
        <v>22</v>
      </c>
      <c r="M1595" s="1">
        <v>2022</v>
      </c>
      <c r="N1595" s="1" t="s">
        <v>45</v>
      </c>
      <c r="O1595" s="1" t="s">
        <v>9942</v>
      </c>
      <c r="P1595" s="1" t="s">
        <v>16</v>
      </c>
      <c r="R1595" s="1">
        <v>250000</v>
      </c>
    </row>
    <row r="1596" spans="1:19" ht="12.5" x14ac:dyDescent="0.25">
      <c r="A1596" s="1" t="s">
        <v>16</v>
      </c>
      <c r="B1596" s="1" t="s">
        <v>16</v>
      </c>
      <c r="C1596" s="1" t="s">
        <v>16</v>
      </c>
      <c r="D1596" s="1" t="s">
        <v>16</v>
      </c>
      <c r="E1596" s="1">
        <v>1354</v>
      </c>
      <c r="F1596" s="1" t="s">
        <v>5394</v>
      </c>
      <c r="G1596" s="1" t="s">
        <v>5395</v>
      </c>
      <c r="H1596" s="1" t="s">
        <v>16</v>
      </c>
      <c r="I1596" s="1" t="s">
        <v>20</v>
      </c>
      <c r="J1596" s="1" t="s">
        <v>16</v>
      </c>
      <c r="K1596" s="1" t="b">
        <v>0</v>
      </c>
      <c r="L1596" s="1" t="s">
        <v>22</v>
      </c>
      <c r="M1596" s="1">
        <v>2022</v>
      </c>
      <c r="N1596" s="1" t="s">
        <v>45</v>
      </c>
      <c r="O1596" s="1" t="s">
        <v>9935</v>
      </c>
      <c r="P1596" s="1" t="s">
        <v>16</v>
      </c>
      <c r="R1596" s="1">
        <v>350000</v>
      </c>
    </row>
    <row r="1597" spans="1:19" ht="12.5" x14ac:dyDescent="0.25">
      <c r="A1597" s="1">
        <v>1430</v>
      </c>
      <c r="B1597" s="1" t="s">
        <v>5396</v>
      </c>
      <c r="C1597" s="1" t="s">
        <v>35</v>
      </c>
      <c r="D1597" s="1" t="s">
        <v>152</v>
      </c>
      <c r="E1597" s="1">
        <v>1355</v>
      </c>
      <c r="F1597" s="1" t="s">
        <v>5398</v>
      </c>
      <c r="G1597" s="1" t="s">
        <v>5399</v>
      </c>
      <c r="H1597" s="1" t="s">
        <v>5400</v>
      </c>
      <c r="I1597" s="1" t="s">
        <v>29</v>
      </c>
      <c r="J1597" s="1" t="s">
        <v>5401</v>
      </c>
      <c r="K1597" s="1" t="b">
        <v>0</v>
      </c>
      <c r="L1597" s="1" t="s">
        <v>22</v>
      </c>
      <c r="M1597" s="1">
        <v>2018</v>
      </c>
      <c r="N1597" s="1" t="s">
        <v>16</v>
      </c>
      <c r="O1597" s="1" t="s">
        <v>9940</v>
      </c>
      <c r="P1597" s="1" t="s">
        <v>16</v>
      </c>
      <c r="Q1597" s="1">
        <v>100</v>
      </c>
      <c r="R1597" s="1">
        <v>1</v>
      </c>
      <c r="S1597" s="1">
        <v>1</v>
      </c>
    </row>
    <row r="1598" spans="1:19" ht="12.5" x14ac:dyDescent="0.25">
      <c r="A1598" s="1" t="s">
        <v>16</v>
      </c>
      <c r="B1598" s="1" t="s">
        <v>16</v>
      </c>
      <c r="C1598" s="1" t="s">
        <v>16</v>
      </c>
      <c r="D1598" s="1" t="s">
        <v>16</v>
      </c>
      <c r="E1598" s="1">
        <v>1402</v>
      </c>
      <c r="F1598" s="1" t="s">
        <v>5402</v>
      </c>
      <c r="G1598" s="1" t="s">
        <v>5403</v>
      </c>
      <c r="H1598" s="1" t="s">
        <v>16</v>
      </c>
      <c r="I1598" s="1" t="s">
        <v>29</v>
      </c>
      <c r="J1598" s="1" t="s">
        <v>16</v>
      </c>
      <c r="K1598" s="1" t="b">
        <v>0</v>
      </c>
      <c r="L1598" s="1" t="s">
        <v>22</v>
      </c>
      <c r="M1598" s="1">
        <v>2021</v>
      </c>
      <c r="N1598" s="1" t="s">
        <v>16</v>
      </c>
      <c r="O1598" s="1" t="s">
        <v>9935</v>
      </c>
      <c r="P1598" s="1" t="s">
        <v>16</v>
      </c>
      <c r="R1598" s="1">
        <v>0</v>
      </c>
    </row>
    <row r="1599" spans="1:19" ht="12.5" x14ac:dyDescent="0.25">
      <c r="A1599" s="1">
        <v>1575</v>
      </c>
      <c r="B1599" s="1" t="s">
        <v>5150</v>
      </c>
      <c r="C1599" s="1" t="s">
        <v>35</v>
      </c>
      <c r="D1599" s="1" t="s">
        <v>152</v>
      </c>
      <c r="E1599" s="1">
        <v>1403</v>
      </c>
      <c r="F1599" s="1" t="s">
        <v>5404</v>
      </c>
      <c r="G1599" s="1" t="s">
        <v>5405</v>
      </c>
      <c r="H1599" s="1" t="s">
        <v>5406</v>
      </c>
      <c r="I1599" s="1" t="s">
        <v>29</v>
      </c>
      <c r="J1599" s="1" t="s">
        <v>5407</v>
      </c>
      <c r="K1599" s="1" t="b">
        <v>0</v>
      </c>
      <c r="L1599" s="1" t="s">
        <v>22</v>
      </c>
      <c r="M1599" s="1">
        <v>2021</v>
      </c>
      <c r="N1599" s="1" t="s">
        <v>52</v>
      </c>
      <c r="O1599" s="1" t="s">
        <v>9935</v>
      </c>
      <c r="P1599" s="1" t="s">
        <v>16</v>
      </c>
      <c r="Q1599" s="1">
        <v>100</v>
      </c>
      <c r="R1599" s="1">
        <v>2000</v>
      </c>
      <c r="S1599" s="1">
        <v>2000</v>
      </c>
    </row>
    <row r="1600" spans="1:19" ht="12.5" x14ac:dyDescent="0.25">
      <c r="A1600" s="1">
        <v>1798</v>
      </c>
      <c r="B1600" s="1" t="s">
        <v>5408</v>
      </c>
      <c r="C1600" s="1" t="s">
        <v>35</v>
      </c>
      <c r="D1600" s="1" t="s">
        <v>5409</v>
      </c>
      <c r="E1600" s="1">
        <v>1404</v>
      </c>
      <c r="F1600" s="1" t="s">
        <v>5410</v>
      </c>
      <c r="G1600" s="1" t="s">
        <v>5411</v>
      </c>
      <c r="H1600" s="1" t="s">
        <v>5411</v>
      </c>
      <c r="I1600" s="1" t="s">
        <v>29</v>
      </c>
      <c r="J1600" s="1" t="s">
        <v>5412</v>
      </c>
      <c r="K1600" s="1" t="b">
        <v>1</v>
      </c>
      <c r="L1600" s="1" t="s">
        <v>31</v>
      </c>
      <c r="M1600" s="1">
        <v>2021</v>
      </c>
      <c r="N1600" s="1" t="s">
        <v>52</v>
      </c>
      <c r="O1600" s="1" t="s">
        <v>9956</v>
      </c>
      <c r="P1600" s="1" t="s">
        <v>16</v>
      </c>
      <c r="Q1600" s="1">
        <v>100</v>
      </c>
      <c r="R1600" s="1">
        <v>25000</v>
      </c>
      <c r="S1600" s="1">
        <v>25000</v>
      </c>
    </row>
    <row r="1601" spans="1:19" ht="12.5" x14ac:dyDescent="0.25">
      <c r="A1601" s="1">
        <v>1783</v>
      </c>
      <c r="B1601" s="1" t="s">
        <v>5413</v>
      </c>
      <c r="C1601" s="1" t="s">
        <v>35</v>
      </c>
      <c r="D1601" s="1" t="s">
        <v>5409</v>
      </c>
      <c r="E1601" s="1">
        <v>1405</v>
      </c>
      <c r="F1601" s="1" t="s">
        <v>5414</v>
      </c>
      <c r="G1601" s="1" t="s">
        <v>5415</v>
      </c>
      <c r="H1601" s="1" t="s">
        <v>5416</v>
      </c>
      <c r="I1601" s="1" t="s">
        <v>29</v>
      </c>
      <c r="J1601" s="1" t="s">
        <v>5417</v>
      </c>
      <c r="K1601" s="1" t="b">
        <v>1</v>
      </c>
      <c r="L1601" s="1" t="s">
        <v>31</v>
      </c>
      <c r="M1601" s="1">
        <v>2023</v>
      </c>
      <c r="N1601" s="1" t="s">
        <v>16</v>
      </c>
      <c r="O1601" s="1" t="s">
        <v>9935</v>
      </c>
      <c r="P1601" s="1" t="s">
        <v>16</v>
      </c>
      <c r="Q1601" s="1">
        <v>100</v>
      </c>
      <c r="R1601" s="1">
        <v>225000</v>
      </c>
      <c r="S1601" s="1">
        <v>225000</v>
      </c>
    </row>
    <row r="1602" spans="1:19" ht="12.5" x14ac:dyDescent="0.25">
      <c r="A1602" s="1">
        <v>1784</v>
      </c>
      <c r="B1602" s="1" t="s">
        <v>5418</v>
      </c>
      <c r="C1602" s="1" t="s">
        <v>35</v>
      </c>
      <c r="D1602" s="1" t="s">
        <v>5409</v>
      </c>
      <c r="E1602" s="1">
        <v>1406</v>
      </c>
      <c r="F1602" s="1" t="s">
        <v>5419</v>
      </c>
      <c r="G1602" s="1" t="s">
        <v>5420</v>
      </c>
      <c r="H1602" s="1" t="s">
        <v>5421</v>
      </c>
      <c r="I1602" s="1" t="s">
        <v>29</v>
      </c>
      <c r="J1602" s="1" t="s">
        <v>5422</v>
      </c>
      <c r="K1602" s="1" t="b">
        <v>1</v>
      </c>
      <c r="L1602" s="1" t="s">
        <v>31</v>
      </c>
      <c r="M1602" s="1">
        <v>2022</v>
      </c>
      <c r="N1602" s="1" t="s">
        <v>16</v>
      </c>
      <c r="O1602" s="1" t="s">
        <v>9935</v>
      </c>
      <c r="P1602" s="1" t="s">
        <v>16</v>
      </c>
      <c r="Q1602" s="1">
        <v>100</v>
      </c>
      <c r="R1602" s="1">
        <v>100000</v>
      </c>
      <c r="S1602" s="1">
        <v>100000</v>
      </c>
    </row>
    <row r="1603" spans="1:19" ht="12.5" x14ac:dyDescent="0.25">
      <c r="A1603" s="1">
        <v>1785</v>
      </c>
      <c r="B1603" s="1" t="s">
        <v>5423</v>
      </c>
      <c r="C1603" s="1" t="s">
        <v>35</v>
      </c>
      <c r="D1603" s="1" t="s">
        <v>5409</v>
      </c>
      <c r="E1603" s="1">
        <v>1407</v>
      </c>
      <c r="F1603" s="1" t="s">
        <v>5424</v>
      </c>
      <c r="G1603" s="1" t="s">
        <v>5425</v>
      </c>
      <c r="H1603" s="1" t="s">
        <v>5426</v>
      </c>
      <c r="I1603" s="1" t="s">
        <v>29</v>
      </c>
      <c r="J1603" s="1" t="s">
        <v>5427</v>
      </c>
      <c r="K1603" s="1" t="b">
        <v>1</v>
      </c>
      <c r="L1603" s="1" t="s">
        <v>31</v>
      </c>
      <c r="M1603" s="1">
        <v>2023</v>
      </c>
      <c r="N1603" s="1" t="s">
        <v>45</v>
      </c>
      <c r="O1603" s="1" t="s">
        <v>9935</v>
      </c>
      <c r="P1603" s="1" t="s">
        <v>16</v>
      </c>
      <c r="Q1603" s="1">
        <v>100</v>
      </c>
      <c r="R1603" s="1">
        <v>300000</v>
      </c>
      <c r="S1603" s="1">
        <v>300000</v>
      </c>
    </row>
    <row r="1604" spans="1:19" ht="12.5" x14ac:dyDescent="0.25">
      <c r="A1604" s="1">
        <v>1786</v>
      </c>
      <c r="B1604" s="1" t="s">
        <v>5428</v>
      </c>
      <c r="C1604" s="1" t="s">
        <v>35</v>
      </c>
      <c r="D1604" s="1" t="s">
        <v>5409</v>
      </c>
      <c r="E1604" s="1">
        <v>1408</v>
      </c>
      <c r="F1604" s="1" t="s">
        <v>5429</v>
      </c>
      <c r="G1604" s="1" t="s">
        <v>5430</v>
      </c>
      <c r="H1604" s="1" t="s">
        <v>16</v>
      </c>
      <c r="I1604" s="1" t="s">
        <v>29</v>
      </c>
      <c r="J1604" s="1" t="s">
        <v>5431</v>
      </c>
      <c r="K1604" s="1" t="b">
        <v>1</v>
      </c>
      <c r="L1604" s="1" t="s">
        <v>31</v>
      </c>
      <c r="M1604" s="1">
        <v>2023</v>
      </c>
      <c r="N1604" s="1" t="s">
        <v>45</v>
      </c>
      <c r="O1604" s="1" t="s">
        <v>9935</v>
      </c>
      <c r="P1604" s="1" t="s">
        <v>16</v>
      </c>
      <c r="Q1604" s="1">
        <v>100</v>
      </c>
      <c r="R1604" s="1">
        <v>50000</v>
      </c>
      <c r="S1604" s="1">
        <v>50000</v>
      </c>
    </row>
    <row r="1605" spans="1:19" ht="12.5" x14ac:dyDescent="0.25">
      <c r="A1605" s="1">
        <v>1786</v>
      </c>
      <c r="B1605" s="1" t="s">
        <v>5428</v>
      </c>
      <c r="C1605" s="1" t="s">
        <v>35</v>
      </c>
      <c r="D1605" s="1" t="s">
        <v>5409</v>
      </c>
      <c r="E1605" s="1">
        <v>1408</v>
      </c>
      <c r="F1605" s="1" t="s">
        <v>5429</v>
      </c>
      <c r="G1605" s="1" t="s">
        <v>5430</v>
      </c>
      <c r="H1605" s="1" t="s">
        <v>16</v>
      </c>
      <c r="I1605" s="1" t="s">
        <v>29</v>
      </c>
      <c r="J1605" s="1" t="s">
        <v>5431</v>
      </c>
      <c r="K1605" s="1" t="b">
        <v>1</v>
      </c>
      <c r="L1605" s="1" t="s">
        <v>31</v>
      </c>
      <c r="M1605" s="1">
        <v>2023</v>
      </c>
      <c r="N1605" s="1" t="s">
        <v>45</v>
      </c>
      <c r="O1605" s="1" t="s">
        <v>9940</v>
      </c>
      <c r="P1605" s="1" t="s">
        <v>5582</v>
      </c>
      <c r="Q1605" s="1">
        <v>100</v>
      </c>
      <c r="R1605" s="1">
        <v>30000</v>
      </c>
      <c r="S1605" s="1">
        <v>30000</v>
      </c>
    </row>
    <row r="1606" spans="1:19" ht="12.5" x14ac:dyDescent="0.25">
      <c r="A1606" s="1">
        <v>1787</v>
      </c>
      <c r="B1606" s="1" t="s">
        <v>5432</v>
      </c>
      <c r="C1606" s="1" t="s">
        <v>35</v>
      </c>
      <c r="D1606" s="1" t="s">
        <v>5409</v>
      </c>
      <c r="E1606" s="1">
        <v>1409</v>
      </c>
      <c r="F1606" s="1" t="s">
        <v>5433</v>
      </c>
      <c r="G1606" s="1" t="s">
        <v>5434</v>
      </c>
      <c r="H1606" s="1" t="s">
        <v>5435</v>
      </c>
      <c r="I1606" s="1" t="s">
        <v>29</v>
      </c>
      <c r="J1606" s="1" t="s">
        <v>5436</v>
      </c>
      <c r="K1606" s="1" t="b">
        <v>1</v>
      </c>
      <c r="L1606" s="1" t="s">
        <v>31</v>
      </c>
      <c r="M1606" s="1">
        <v>2022</v>
      </c>
      <c r="N1606" s="1" t="s">
        <v>23</v>
      </c>
      <c r="O1606" s="1" t="s">
        <v>9935</v>
      </c>
      <c r="P1606" s="1" t="s">
        <v>16</v>
      </c>
      <c r="Q1606" s="1">
        <v>100</v>
      </c>
      <c r="R1606" s="1">
        <v>200000</v>
      </c>
      <c r="S1606" s="1">
        <v>200000</v>
      </c>
    </row>
    <row r="1607" spans="1:19" ht="12.5" x14ac:dyDescent="0.25">
      <c r="A1607" s="1">
        <v>1788</v>
      </c>
      <c r="B1607" s="1" t="s">
        <v>5437</v>
      </c>
      <c r="C1607" s="1" t="s">
        <v>35</v>
      </c>
      <c r="D1607" s="1" t="s">
        <v>5409</v>
      </c>
      <c r="E1607" s="1">
        <v>1410</v>
      </c>
      <c r="F1607" s="1" t="s">
        <v>5438</v>
      </c>
      <c r="G1607" s="1" t="s">
        <v>5439</v>
      </c>
      <c r="H1607" s="1" t="s">
        <v>5440</v>
      </c>
      <c r="I1607" s="1" t="s">
        <v>29</v>
      </c>
      <c r="J1607" s="1" t="s">
        <v>5441</v>
      </c>
      <c r="K1607" s="1" t="b">
        <v>1</v>
      </c>
      <c r="L1607" s="1" t="s">
        <v>31</v>
      </c>
      <c r="M1607" s="1">
        <v>2022</v>
      </c>
      <c r="N1607" s="1" t="s">
        <v>52</v>
      </c>
      <c r="O1607" s="1" t="s">
        <v>9935</v>
      </c>
      <c r="P1607" s="1" t="s">
        <v>10044</v>
      </c>
      <c r="Q1607" s="1">
        <v>100</v>
      </c>
      <c r="R1607" s="1">
        <v>240000</v>
      </c>
      <c r="S1607" s="1">
        <v>240000</v>
      </c>
    </row>
    <row r="1608" spans="1:19" ht="12.5" x14ac:dyDescent="0.25">
      <c r="A1608" s="1">
        <v>880</v>
      </c>
      <c r="B1608" s="1" t="s">
        <v>5442</v>
      </c>
      <c r="C1608" s="1" t="s">
        <v>35</v>
      </c>
      <c r="D1608" s="1" t="s">
        <v>152</v>
      </c>
      <c r="E1608" s="1">
        <v>1411</v>
      </c>
      <c r="F1608" s="1" t="s">
        <v>5444</v>
      </c>
      <c r="G1608" s="1" t="s">
        <v>5445</v>
      </c>
      <c r="H1608" s="1" t="s">
        <v>5446</v>
      </c>
      <c r="I1608" s="1" t="s">
        <v>29</v>
      </c>
      <c r="J1608" s="1" t="s">
        <v>5447</v>
      </c>
      <c r="K1608" s="1" t="b">
        <v>1</v>
      </c>
      <c r="L1608" s="1" t="s">
        <v>31</v>
      </c>
      <c r="M1608" s="1">
        <v>2022</v>
      </c>
      <c r="N1608" s="1" t="s">
        <v>45</v>
      </c>
      <c r="O1608" s="1" t="s">
        <v>9935</v>
      </c>
      <c r="P1608" s="1" t="s">
        <v>16</v>
      </c>
      <c r="Q1608" s="1">
        <v>0</v>
      </c>
      <c r="R1608" s="1">
        <v>160000</v>
      </c>
      <c r="S1608" s="1">
        <v>0</v>
      </c>
    </row>
    <row r="1609" spans="1:19" ht="12.5" x14ac:dyDescent="0.25">
      <c r="A1609" s="1">
        <v>1789</v>
      </c>
      <c r="B1609" s="1" t="s">
        <v>5448</v>
      </c>
      <c r="C1609" s="1" t="s">
        <v>35</v>
      </c>
      <c r="D1609" s="1" t="s">
        <v>5409</v>
      </c>
      <c r="E1609" s="1">
        <v>1411</v>
      </c>
      <c r="F1609" s="1" t="s">
        <v>5444</v>
      </c>
      <c r="G1609" s="1" t="s">
        <v>5445</v>
      </c>
      <c r="H1609" s="1" t="s">
        <v>5446</v>
      </c>
      <c r="I1609" s="1" t="s">
        <v>29</v>
      </c>
      <c r="J1609" s="1" t="s">
        <v>5447</v>
      </c>
      <c r="K1609" s="1" t="b">
        <v>1</v>
      </c>
      <c r="L1609" s="1" t="s">
        <v>31</v>
      </c>
      <c r="M1609" s="1">
        <v>2022</v>
      </c>
      <c r="N1609" s="1" t="s">
        <v>45</v>
      </c>
      <c r="O1609" s="1" t="s">
        <v>9935</v>
      </c>
      <c r="P1609" s="1" t="s">
        <v>16</v>
      </c>
      <c r="Q1609" s="1">
        <v>100</v>
      </c>
      <c r="R1609" s="1">
        <v>160000</v>
      </c>
      <c r="S1609" s="1">
        <v>160000</v>
      </c>
    </row>
    <row r="1610" spans="1:19" ht="12.5" x14ac:dyDescent="0.25">
      <c r="A1610" s="1">
        <v>1792</v>
      </c>
      <c r="B1610" s="1" t="s">
        <v>5449</v>
      </c>
      <c r="C1610" s="1" t="s">
        <v>35</v>
      </c>
      <c r="D1610" s="1" t="s">
        <v>5409</v>
      </c>
      <c r="E1610" s="1">
        <v>1412</v>
      </c>
      <c r="F1610" s="1" t="s">
        <v>5450</v>
      </c>
      <c r="G1610" s="1" t="s">
        <v>5451</v>
      </c>
      <c r="H1610" s="1" t="s">
        <v>5452</v>
      </c>
      <c r="I1610" s="1" t="s">
        <v>29</v>
      </c>
      <c r="J1610" s="1" t="s">
        <v>5453</v>
      </c>
      <c r="K1610" s="1" t="b">
        <v>1</v>
      </c>
      <c r="L1610" s="1" t="s">
        <v>31</v>
      </c>
      <c r="M1610" s="1">
        <v>2023</v>
      </c>
      <c r="N1610" s="1" t="s">
        <v>16</v>
      </c>
      <c r="O1610" s="1" t="s">
        <v>9935</v>
      </c>
      <c r="P1610" s="1" t="s">
        <v>16</v>
      </c>
      <c r="Q1610" s="1">
        <v>100</v>
      </c>
      <c r="R1610" s="1">
        <v>402000</v>
      </c>
      <c r="S1610" s="1">
        <v>402000</v>
      </c>
    </row>
    <row r="1611" spans="1:19" ht="12.5" x14ac:dyDescent="0.25">
      <c r="A1611" s="1">
        <v>1492</v>
      </c>
      <c r="B1611" s="1" t="s">
        <v>4929</v>
      </c>
      <c r="C1611" s="1" t="s">
        <v>35</v>
      </c>
      <c r="D1611" s="1" t="s">
        <v>152</v>
      </c>
      <c r="E1611" s="1">
        <v>1413</v>
      </c>
      <c r="F1611" s="1" t="s">
        <v>5454</v>
      </c>
      <c r="G1611" s="1" t="s">
        <v>5455</v>
      </c>
      <c r="H1611" s="1" t="s">
        <v>5456</v>
      </c>
      <c r="I1611" s="1" t="s">
        <v>29</v>
      </c>
      <c r="J1611" s="1" t="s">
        <v>5457</v>
      </c>
      <c r="K1611" s="1" t="b">
        <v>1</v>
      </c>
      <c r="L1611" s="1" t="s">
        <v>31</v>
      </c>
      <c r="M1611" s="1">
        <v>2023</v>
      </c>
      <c r="N1611" s="1" t="s">
        <v>16</v>
      </c>
      <c r="O1611" s="1" t="s">
        <v>9935</v>
      </c>
      <c r="P1611" s="1" t="s">
        <v>16</v>
      </c>
      <c r="Q1611" s="1">
        <v>50</v>
      </c>
      <c r="R1611" s="1">
        <v>375000</v>
      </c>
      <c r="S1611" s="1">
        <v>187500</v>
      </c>
    </row>
    <row r="1612" spans="1:19" ht="12.5" x14ac:dyDescent="0.25">
      <c r="A1612" s="1">
        <v>1492</v>
      </c>
      <c r="B1612" s="1" t="s">
        <v>4929</v>
      </c>
      <c r="C1612" s="1" t="s">
        <v>35</v>
      </c>
      <c r="D1612" s="1" t="s">
        <v>152</v>
      </c>
      <c r="E1612" s="1">
        <v>1413</v>
      </c>
      <c r="F1612" s="1" t="s">
        <v>5454</v>
      </c>
      <c r="G1612" s="1" t="s">
        <v>5455</v>
      </c>
      <c r="H1612" s="1" t="s">
        <v>5456</v>
      </c>
      <c r="I1612" s="1" t="s">
        <v>29</v>
      </c>
      <c r="J1612" s="1" t="s">
        <v>5457</v>
      </c>
      <c r="K1612" s="1" t="b">
        <v>1</v>
      </c>
      <c r="L1612" s="1" t="s">
        <v>31</v>
      </c>
      <c r="M1612" s="1">
        <v>2021</v>
      </c>
      <c r="N1612" s="1" t="s">
        <v>16</v>
      </c>
      <c r="O1612" s="1" t="s">
        <v>9935</v>
      </c>
      <c r="P1612" s="1" t="s">
        <v>10045</v>
      </c>
      <c r="Q1612" s="1">
        <v>50</v>
      </c>
      <c r="R1612" s="1">
        <v>10000</v>
      </c>
      <c r="S1612" s="1">
        <v>5000</v>
      </c>
    </row>
    <row r="1613" spans="1:19" ht="12.5" x14ac:dyDescent="0.25">
      <c r="A1613" s="1">
        <v>1790</v>
      </c>
      <c r="B1613" s="1" t="s">
        <v>5458</v>
      </c>
      <c r="C1613" s="1" t="s">
        <v>35</v>
      </c>
      <c r="D1613" s="1" t="s">
        <v>5409</v>
      </c>
      <c r="E1613" s="1">
        <v>1413</v>
      </c>
      <c r="F1613" s="1" t="s">
        <v>5454</v>
      </c>
      <c r="G1613" s="1" t="s">
        <v>5455</v>
      </c>
      <c r="H1613" s="1" t="s">
        <v>5456</v>
      </c>
      <c r="I1613" s="1" t="s">
        <v>29</v>
      </c>
      <c r="J1613" s="1" t="s">
        <v>5457</v>
      </c>
      <c r="K1613" s="1" t="b">
        <v>1</v>
      </c>
      <c r="L1613" s="1" t="s">
        <v>31</v>
      </c>
      <c r="M1613" s="1">
        <v>2021</v>
      </c>
      <c r="N1613" s="1" t="s">
        <v>16</v>
      </c>
      <c r="O1613" s="1" t="s">
        <v>9935</v>
      </c>
      <c r="P1613" s="1" t="s">
        <v>10045</v>
      </c>
      <c r="Q1613" s="1">
        <v>50</v>
      </c>
      <c r="R1613" s="1">
        <v>10000</v>
      </c>
      <c r="S1613" s="1">
        <v>5000</v>
      </c>
    </row>
    <row r="1614" spans="1:19" ht="12.5" x14ac:dyDescent="0.25">
      <c r="A1614" s="1">
        <v>1790</v>
      </c>
      <c r="B1614" s="1" t="s">
        <v>5458</v>
      </c>
      <c r="C1614" s="1" t="s">
        <v>35</v>
      </c>
      <c r="D1614" s="1" t="s">
        <v>5409</v>
      </c>
      <c r="E1614" s="1">
        <v>1413</v>
      </c>
      <c r="F1614" s="1" t="s">
        <v>5454</v>
      </c>
      <c r="G1614" s="1" t="s">
        <v>5455</v>
      </c>
      <c r="H1614" s="1" t="s">
        <v>5456</v>
      </c>
      <c r="I1614" s="1" t="s">
        <v>29</v>
      </c>
      <c r="J1614" s="1" t="s">
        <v>5457</v>
      </c>
      <c r="K1614" s="1" t="b">
        <v>1</v>
      </c>
      <c r="L1614" s="1" t="s">
        <v>31</v>
      </c>
      <c r="M1614" s="1">
        <v>2023</v>
      </c>
      <c r="N1614" s="1" t="s">
        <v>16</v>
      </c>
      <c r="O1614" s="1" t="s">
        <v>9935</v>
      </c>
      <c r="P1614" s="1" t="s">
        <v>16</v>
      </c>
      <c r="Q1614" s="1">
        <v>50</v>
      </c>
      <c r="R1614" s="1">
        <v>375000</v>
      </c>
      <c r="S1614" s="1">
        <v>187500</v>
      </c>
    </row>
    <row r="1615" spans="1:19" ht="12.5" x14ac:dyDescent="0.25">
      <c r="A1615" s="1">
        <v>1791</v>
      </c>
      <c r="B1615" s="1" t="s">
        <v>5459</v>
      </c>
      <c r="C1615" s="1" t="s">
        <v>35</v>
      </c>
      <c r="D1615" s="1" t="s">
        <v>5409</v>
      </c>
      <c r="E1615" s="1">
        <v>1414</v>
      </c>
      <c r="F1615" s="1" t="s">
        <v>5460</v>
      </c>
      <c r="G1615" s="1" t="s">
        <v>5461</v>
      </c>
      <c r="H1615" s="1" t="s">
        <v>16</v>
      </c>
      <c r="I1615" s="1" t="s">
        <v>29</v>
      </c>
      <c r="J1615" s="1" t="s">
        <v>5462</v>
      </c>
      <c r="K1615" s="1" t="b">
        <v>1</v>
      </c>
      <c r="L1615" s="1" t="s">
        <v>31</v>
      </c>
      <c r="M1615" s="1">
        <v>2023</v>
      </c>
      <c r="N1615" s="1" t="s">
        <v>32</v>
      </c>
      <c r="O1615" s="1" t="s">
        <v>9935</v>
      </c>
      <c r="P1615" s="1" t="s">
        <v>16</v>
      </c>
      <c r="Q1615" s="1">
        <v>100</v>
      </c>
      <c r="R1615" s="1">
        <v>75000</v>
      </c>
      <c r="S1615" s="1">
        <v>75000</v>
      </c>
    </row>
    <row r="1616" spans="1:19" ht="12.5" x14ac:dyDescent="0.25">
      <c r="A1616" s="1">
        <v>1793</v>
      </c>
      <c r="B1616" s="1" t="s">
        <v>5463</v>
      </c>
      <c r="C1616" s="1" t="s">
        <v>35</v>
      </c>
      <c r="D1616" s="1" t="s">
        <v>5409</v>
      </c>
      <c r="E1616" s="1">
        <v>1415</v>
      </c>
      <c r="F1616" s="1" t="s">
        <v>5464</v>
      </c>
      <c r="G1616" s="1" t="s">
        <v>5465</v>
      </c>
      <c r="H1616" s="1" t="s">
        <v>5466</v>
      </c>
      <c r="I1616" s="1" t="s">
        <v>29</v>
      </c>
      <c r="J1616" s="1" t="s">
        <v>5467</v>
      </c>
      <c r="K1616" s="1" t="b">
        <v>1</v>
      </c>
      <c r="L1616" s="1" t="s">
        <v>31</v>
      </c>
      <c r="M1616" s="1" t="s">
        <v>16</v>
      </c>
      <c r="N1616" s="1" t="s">
        <v>16</v>
      </c>
      <c r="O1616" s="1" t="s">
        <v>9935</v>
      </c>
      <c r="P1616" s="1" t="s">
        <v>16</v>
      </c>
      <c r="Q1616" s="1">
        <v>100</v>
      </c>
      <c r="R1616" s="1">
        <v>410000</v>
      </c>
      <c r="S1616" s="1">
        <v>410000</v>
      </c>
    </row>
    <row r="1617" spans="1:19" ht="12.5" x14ac:dyDescent="0.25">
      <c r="A1617" s="1">
        <v>1794</v>
      </c>
      <c r="B1617" s="1" t="s">
        <v>5468</v>
      </c>
      <c r="C1617" s="1" t="s">
        <v>35</v>
      </c>
      <c r="D1617" s="1" t="s">
        <v>5409</v>
      </c>
      <c r="E1617" s="1">
        <v>1416</v>
      </c>
      <c r="F1617" s="1" t="s">
        <v>5469</v>
      </c>
      <c r="G1617" s="1" t="s">
        <v>5470</v>
      </c>
      <c r="H1617" s="1" t="s">
        <v>5471</v>
      </c>
      <c r="I1617" s="1" t="s">
        <v>29</v>
      </c>
      <c r="J1617" s="1" t="s">
        <v>5472</v>
      </c>
      <c r="K1617" s="1" t="b">
        <v>1</v>
      </c>
      <c r="L1617" s="1" t="s">
        <v>31</v>
      </c>
      <c r="M1617" s="1">
        <v>2022</v>
      </c>
      <c r="N1617" s="1" t="s">
        <v>16</v>
      </c>
      <c r="O1617" s="1" t="s">
        <v>9935</v>
      </c>
      <c r="P1617" s="1" t="s">
        <v>16</v>
      </c>
      <c r="Q1617" s="1">
        <v>100</v>
      </c>
      <c r="R1617" s="1">
        <v>100000</v>
      </c>
      <c r="S1617" s="1">
        <v>100000</v>
      </c>
    </row>
    <row r="1618" spans="1:19" ht="12.5" x14ac:dyDescent="0.25">
      <c r="A1618" s="1">
        <v>1795</v>
      </c>
      <c r="B1618" s="1" t="s">
        <v>5473</v>
      </c>
      <c r="C1618" s="1" t="s">
        <v>35</v>
      </c>
      <c r="D1618" s="1" t="s">
        <v>5409</v>
      </c>
      <c r="E1618" s="1">
        <v>1417</v>
      </c>
      <c r="F1618" s="1" t="s">
        <v>5474</v>
      </c>
      <c r="G1618" s="1" t="s">
        <v>5475</v>
      </c>
      <c r="H1618" s="1" t="s">
        <v>5476</v>
      </c>
      <c r="I1618" s="1" t="s">
        <v>29</v>
      </c>
      <c r="J1618" s="1" t="s">
        <v>5477</v>
      </c>
      <c r="K1618" s="1" t="b">
        <v>1</v>
      </c>
      <c r="L1618" s="1" t="s">
        <v>31</v>
      </c>
      <c r="M1618" s="1">
        <v>2023</v>
      </c>
      <c r="N1618" s="1" t="s">
        <v>16</v>
      </c>
      <c r="O1618" s="1" t="s">
        <v>9935</v>
      </c>
      <c r="P1618" s="1" t="s">
        <v>10046</v>
      </c>
      <c r="Q1618" s="1">
        <v>100</v>
      </c>
      <c r="R1618" s="1">
        <v>200000</v>
      </c>
      <c r="S1618" s="1">
        <v>200000</v>
      </c>
    </row>
    <row r="1619" spans="1:19" ht="12.5" x14ac:dyDescent="0.25">
      <c r="A1619" s="1">
        <v>1796</v>
      </c>
      <c r="B1619" s="1" t="s">
        <v>5478</v>
      </c>
      <c r="C1619" s="1" t="s">
        <v>35</v>
      </c>
      <c r="D1619" s="1" t="s">
        <v>5409</v>
      </c>
      <c r="E1619" s="1">
        <v>1418</v>
      </c>
      <c r="F1619" s="1" t="s">
        <v>5479</v>
      </c>
      <c r="G1619" s="1" t="s">
        <v>5480</v>
      </c>
      <c r="H1619" s="1" t="s">
        <v>5481</v>
      </c>
      <c r="I1619" s="1" t="s">
        <v>29</v>
      </c>
      <c r="J1619" s="1" t="s">
        <v>5482</v>
      </c>
      <c r="K1619" s="1" t="b">
        <v>1</v>
      </c>
      <c r="L1619" s="1" t="s">
        <v>31</v>
      </c>
      <c r="M1619" s="1">
        <v>2022</v>
      </c>
      <c r="N1619" s="1" t="s">
        <v>45</v>
      </c>
      <c r="O1619" s="1" t="s">
        <v>9940</v>
      </c>
      <c r="P1619" s="1" t="s">
        <v>10047</v>
      </c>
      <c r="Q1619" s="1">
        <v>100</v>
      </c>
      <c r="R1619" s="1">
        <v>33000</v>
      </c>
      <c r="S1619" s="1">
        <v>33000</v>
      </c>
    </row>
    <row r="1620" spans="1:19" ht="12.5" x14ac:dyDescent="0.25">
      <c r="A1620" s="1">
        <v>1796</v>
      </c>
      <c r="B1620" s="1" t="s">
        <v>5478</v>
      </c>
      <c r="C1620" s="1" t="s">
        <v>35</v>
      </c>
      <c r="D1620" s="1" t="s">
        <v>5409</v>
      </c>
      <c r="E1620" s="1">
        <v>1418</v>
      </c>
      <c r="F1620" s="1" t="s">
        <v>5479</v>
      </c>
      <c r="G1620" s="1" t="s">
        <v>5480</v>
      </c>
      <c r="H1620" s="1" t="s">
        <v>5481</v>
      </c>
      <c r="I1620" s="1" t="s">
        <v>29</v>
      </c>
      <c r="J1620" s="1" t="s">
        <v>5482</v>
      </c>
      <c r="K1620" s="1" t="b">
        <v>1</v>
      </c>
      <c r="L1620" s="1" t="s">
        <v>31</v>
      </c>
      <c r="M1620" s="1">
        <v>2022</v>
      </c>
      <c r="N1620" s="1" t="s">
        <v>45</v>
      </c>
      <c r="O1620" s="1" t="s">
        <v>9935</v>
      </c>
      <c r="P1620" s="1" t="s">
        <v>10048</v>
      </c>
      <c r="Q1620" s="1">
        <v>100</v>
      </c>
      <c r="R1620" s="1">
        <v>65000</v>
      </c>
      <c r="S1620" s="1">
        <v>65000</v>
      </c>
    </row>
    <row r="1621" spans="1:19" ht="12.5" x14ac:dyDescent="0.25">
      <c r="A1621" s="1">
        <v>1797</v>
      </c>
      <c r="B1621" s="1" t="s">
        <v>5483</v>
      </c>
      <c r="C1621" s="1" t="s">
        <v>35</v>
      </c>
      <c r="D1621" s="1" t="s">
        <v>5409</v>
      </c>
      <c r="E1621" s="1">
        <v>1419</v>
      </c>
      <c r="F1621" s="1" t="s">
        <v>5484</v>
      </c>
      <c r="G1621" s="1" t="s">
        <v>5485</v>
      </c>
      <c r="H1621" s="1" t="s">
        <v>5486</v>
      </c>
      <c r="I1621" s="1" t="s">
        <v>29</v>
      </c>
      <c r="J1621" s="1" t="s">
        <v>5487</v>
      </c>
      <c r="K1621" s="1" t="b">
        <v>1</v>
      </c>
      <c r="L1621" s="1" t="s">
        <v>31</v>
      </c>
      <c r="M1621" s="1">
        <v>2022</v>
      </c>
      <c r="N1621" s="1" t="s">
        <v>32</v>
      </c>
      <c r="O1621" s="1" t="s">
        <v>9942</v>
      </c>
      <c r="P1621" s="1" t="s">
        <v>10049</v>
      </c>
      <c r="Q1621" s="1">
        <v>100</v>
      </c>
      <c r="R1621" s="1">
        <v>90000</v>
      </c>
      <c r="S1621" s="1">
        <v>90000</v>
      </c>
    </row>
    <row r="1622" spans="1:19" ht="12.5" x14ac:dyDescent="0.25">
      <c r="A1622" s="1">
        <v>1797</v>
      </c>
      <c r="B1622" s="1" t="s">
        <v>5483</v>
      </c>
      <c r="C1622" s="1" t="s">
        <v>35</v>
      </c>
      <c r="D1622" s="1" t="s">
        <v>5409</v>
      </c>
      <c r="E1622" s="1">
        <v>1419</v>
      </c>
      <c r="F1622" s="1" t="s">
        <v>5484</v>
      </c>
      <c r="G1622" s="1" t="s">
        <v>5485</v>
      </c>
      <c r="H1622" s="1" t="s">
        <v>5486</v>
      </c>
      <c r="I1622" s="1" t="s">
        <v>29</v>
      </c>
      <c r="J1622" s="1" t="s">
        <v>5487</v>
      </c>
      <c r="K1622" s="1" t="b">
        <v>1</v>
      </c>
      <c r="L1622" s="1" t="s">
        <v>31</v>
      </c>
      <c r="M1622" s="1">
        <v>2022</v>
      </c>
      <c r="N1622" s="1" t="s">
        <v>32</v>
      </c>
      <c r="O1622" s="1" t="s">
        <v>9935</v>
      </c>
      <c r="P1622" s="1" t="s">
        <v>16</v>
      </c>
      <c r="Q1622" s="1">
        <v>100</v>
      </c>
      <c r="R1622" s="1">
        <v>400000</v>
      </c>
      <c r="S1622" s="1">
        <v>400000</v>
      </c>
    </row>
    <row r="1623" spans="1:19" ht="12.5" x14ac:dyDescent="0.25">
      <c r="A1623" s="1">
        <v>1417</v>
      </c>
      <c r="B1623" s="1" t="s">
        <v>5488</v>
      </c>
      <c r="C1623" s="1" t="s">
        <v>35</v>
      </c>
      <c r="D1623" s="1" t="s">
        <v>152</v>
      </c>
      <c r="E1623" s="1">
        <v>1420</v>
      </c>
      <c r="F1623" s="1" t="s">
        <v>5490</v>
      </c>
      <c r="G1623" s="1" t="s">
        <v>5491</v>
      </c>
      <c r="H1623" s="1" t="s">
        <v>5492</v>
      </c>
      <c r="I1623" s="1" t="s">
        <v>29</v>
      </c>
      <c r="J1623" s="1" t="s">
        <v>5493</v>
      </c>
      <c r="K1623" s="1" t="b">
        <v>1</v>
      </c>
      <c r="L1623" s="1" t="s">
        <v>31</v>
      </c>
      <c r="M1623" s="1">
        <v>2022</v>
      </c>
      <c r="N1623" s="1" t="s">
        <v>32</v>
      </c>
      <c r="O1623" s="1" t="s">
        <v>9935</v>
      </c>
      <c r="P1623" s="1" t="s">
        <v>16</v>
      </c>
      <c r="Q1623" s="1">
        <v>10</v>
      </c>
      <c r="R1623" s="1">
        <v>70000</v>
      </c>
      <c r="S1623" s="1">
        <v>7000</v>
      </c>
    </row>
    <row r="1624" spans="1:19" ht="12.5" x14ac:dyDescent="0.25">
      <c r="A1624" s="1">
        <v>1800</v>
      </c>
      <c r="B1624" s="1" t="s">
        <v>5494</v>
      </c>
      <c r="C1624" s="1" t="s">
        <v>35</v>
      </c>
      <c r="D1624" s="1" t="s">
        <v>5409</v>
      </c>
      <c r="E1624" s="1">
        <v>1420</v>
      </c>
      <c r="F1624" s="1" t="s">
        <v>5490</v>
      </c>
      <c r="G1624" s="1" t="s">
        <v>5491</v>
      </c>
      <c r="H1624" s="1" t="s">
        <v>5492</v>
      </c>
      <c r="I1624" s="1" t="s">
        <v>29</v>
      </c>
      <c r="J1624" s="1" t="s">
        <v>5493</v>
      </c>
      <c r="K1624" s="1" t="b">
        <v>1</v>
      </c>
      <c r="L1624" s="1" t="s">
        <v>31</v>
      </c>
      <c r="M1624" s="1">
        <v>2022</v>
      </c>
      <c r="N1624" s="1" t="s">
        <v>32</v>
      </c>
      <c r="O1624" s="1" t="s">
        <v>9935</v>
      </c>
      <c r="P1624" s="1" t="s">
        <v>16</v>
      </c>
      <c r="Q1624" s="1">
        <v>90</v>
      </c>
      <c r="R1624" s="1">
        <v>70000</v>
      </c>
      <c r="S1624" s="1">
        <v>63000</v>
      </c>
    </row>
    <row r="1625" spans="1:19" ht="12.5" x14ac:dyDescent="0.25">
      <c r="A1625" s="1">
        <v>1260</v>
      </c>
      <c r="B1625" s="1" t="s">
        <v>5495</v>
      </c>
      <c r="C1625" s="1" t="s">
        <v>35</v>
      </c>
      <c r="D1625" s="1" t="s">
        <v>152</v>
      </c>
      <c r="E1625" s="1">
        <v>1421</v>
      </c>
      <c r="F1625" s="1" t="s">
        <v>5497</v>
      </c>
      <c r="G1625" s="1" t="s">
        <v>5498</v>
      </c>
      <c r="H1625" s="1" t="s">
        <v>5499</v>
      </c>
      <c r="I1625" s="1" t="s">
        <v>29</v>
      </c>
      <c r="J1625" s="1" t="s">
        <v>5500</v>
      </c>
      <c r="K1625" s="1" t="b">
        <v>1</v>
      </c>
      <c r="L1625" s="1" t="s">
        <v>31</v>
      </c>
      <c r="M1625" s="1">
        <v>2021</v>
      </c>
      <c r="N1625" s="1" t="s">
        <v>23</v>
      </c>
      <c r="O1625" s="1" t="s">
        <v>9956</v>
      </c>
      <c r="P1625" s="1" t="s">
        <v>10050</v>
      </c>
      <c r="Q1625" s="1">
        <v>5</v>
      </c>
      <c r="R1625" s="1">
        <v>1500</v>
      </c>
      <c r="S1625" s="1">
        <v>75</v>
      </c>
    </row>
    <row r="1626" spans="1:19" ht="12.5" x14ac:dyDescent="0.25">
      <c r="A1626" s="1">
        <v>1260</v>
      </c>
      <c r="B1626" s="1" t="s">
        <v>5495</v>
      </c>
      <c r="C1626" s="1" t="s">
        <v>35</v>
      </c>
      <c r="D1626" s="1" t="s">
        <v>152</v>
      </c>
      <c r="E1626" s="1">
        <v>1421</v>
      </c>
      <c r="F1626" s="1" t="s">
        <v>5497</v>
      </c>
      <c r="G1626" s="1" t="s">
        <v>5498</v>
      </c>
      <c r="H1626" s="1" t="s">
        <v>5499</v>
      </c>
      <c r="I1626" s="1" t="s">
        <v>29</v>
      </c>
      <c r="J1626" s="1" t="s">
        <v>5500</v>
      </c>
      <c r="K1626" s="1" t="b">
        <v>1</v>
      </c>
      <c r="L1626" s="1" t="s">
        <v>31</v>
      </c>
      <c r="M1626" s="1">
        <v>2022</v>
      </c>
      <c r="N1626" s="1" t="s">
        <v>45</v>
      </c>
      <c r="O1626" s="1" t="s">
        <v>9935</v>
      </c>
      <c r="P1626" s="1" t="s">
        <v>16</v>
      </c>
      <c r="Q1626" s="1">
        <v>5</v>
      </c>
      <c r="R1626" s="1">
        <v>120000</v>
      </c>
      <c r="S1626" s="1">
        <v>6000</v>
      </c>
    </row>
    <row r="1627" spans="1:19" ht="12.5" x14ac:dyDescent="0.25">
      <c r="A1627" s="1">
        <v>1462</v>
      </c>
      <c r="B1627" s="1" t="s">
        <v>5501</v>
      </c>
      <c r="C1627" s="1" t="s">
        <v>35</v>
      </c>
      <c r="D1627" s="1" t="s">
        <v>152</v>
      </c>
      <c r="E1627" s="1">
        <v>1421</v>
      </c>
      <c r="F1627" s="1" t="s">
        <v>5497</v>
      </c>
      <c r="G1627" s="1" t="s">
        <v>5498</v>
      </c>
      <c r="H1627" s="1" t="s">
        <v>5499</v>
      </c>
      <c r="I1627" s="1" t="s">
        <v>29</v>
      </c>
      <c r="J1627" s="1" t="s">
        <v>5500</v>
      </c>
      <c r="K1627" s="1" t="b">
        <v>1</v>
      </c>
      <c r="L1627" s="1" t="s">
        <v>31</v>
      </c>
      <c r="M1627" s="1">
        <v>2021</v>
      </c>
      <c r="N1627" s="1" t="s">
        <v>23</v>
      </c>
      <c r="O1627" s="1" t="s">
        <v>9956</v>
      </c>
      <c r="P1627" s="1" t="s">
        <v>10050</v>
      </c>
      <c r="Q1627" s="1">
        <v>5</v>
      </c>
      <c r="R1627" s="1">
        <v>1500</v>
      </c>
      <c r="S1627" s="1">
        <v>75</v>
      </c>
    </row>
    <row r="1628" spans="1:19" ht="12.5" x14ac:dyDescent="0.25">
      <c r="A1628" s="1">
        <v>1462</v>
      </c>
      <c r="B1628" s="1" t="s">
        <v>5501</v>
      </c>
      <c r="C1628" s="1" t="s">
        <v>35</v>
      </c>
      <c r="D1628" s="1" t="s">
        <v>152</v>
      </c>
      <c r="E1628" s="1">
        <v>1421</v>
      </c>
      <c r="F1628" s="1" t="s">
        <v>5497</v>
      </c>
      <c r="G1628" s="1" t="s">
        <v>5498</v>
      </c>
      <c r="H1628" s="1" t="s">
        <v>5499</v>
      </c>
      <c r="I1628" s="1" t="s">
        <v>29</v>
      </c>
      <c r="J1628" s="1" t="s">
        <v>5500</v>
      </c>
      <c r="K1628" s="1" t="b">
        <v>1</v>
      </c>
      <c r="L1628" s="1" t="s">
        <v>31</v>
      </c>
      <c r="M1628" s="1">
        <v>2022</v>
      </c>
      <c r="N1628" s="1" t="s">
        <v>45</v>
      </c>
      <c r="O1628" s="1" t="s">
        <v>9935</v>
      </c>
      <c r="P1628" s="1" t="s">
        <v>16</v>
      </c>
      <c r="Q1628" s="1">
        <v>5</v>
      </c>
      <c r="R1628" s="1">
        <v>120000</v>
      </c>
      <c r="S1628" s="1">
        <v>6000</v>
      </c>
    </row>
    <row r="1629" spans="1:19" ht="12.5" x14ac:dyDescent="0.25">
      <c r="A1629" s="1">
        <v>1801</v>
      </c>
      <c r="B1629" s="1" t="s">
        <v>5503</v>
      </c>
      <c r="C1629" s="1" t="s">
        <v>35</v>
      </c>
      <c r="D1629" s="1" t="s">
        <v>5409</v>
      </c>
      <c r="E1629" s="1">
        <v>1421</v>
      </c>
      <c r="F1629" s="1" t="s">
        <v>5497</v>
      </c>
      <c r="G1629" s="1" t="s">
        <v>5498</v>
      </c>
      <c r="H1629" s="1" t="s">
        <v>5499</v>
      </c>
      <c r="I1629" s="1" t="s">
        <v>29</v>
      </c>
      <c r="J1629" s="1" t="s">
        <v>5500</v>
      </c>
      <c r="K1629" s="1" t="b">
        <v>1</v>
      </c>
      <c r="L1629" s="1" t="s">
        <v>31</v>
      </c>
      <c r="M1629" s="1">
        <v>2021</v>
      </c>
      <c r="N1629" s="1" t="s">
        <v>23</v>
      </c>
      <c r="O1629" s="1" t="s">
        <v>9956</v>
      </c>
      <c r="P1629" s="1" t="s">
        <v>10050</v>
      </c>
      <c r="Q1629" s="1">
        <v>90</v>
      </c>
      <c r="R1629" s="1">
        <v>1500</v>
      </c>
      <c r="S1629" s="1">
        <v>1350</v>
      </c>
    </row>
    <row r="1630" spans="1:19" ht="12.5" x14ac:dyDescent="0.25">
      <c r="A1630" s="1">
        <v>1801</v>
      </c>
      <c r="B1630" s="1" t="s">
        <v>5503</v>
      </c>
      <c r="C1630" s="1" t="s">
        <v>35</v>
      </c>
      <c r="D1630" s="1" t="s">
        <v>5409</v>
      </c>
      <c r="E1630" s="1">
        <v>1421</v>
      </c>
      <c r="F1630" s="1" t="s">
        <v>5497</v>
      </c>
      <c r="G1630" s="1" t="s">
        <v>5498</v>
      </c>
      <c r="H1630" s="1" t="s">
        <v>5499</v>
      </c>
      <c r="I1630" s="1" t="s">
        <v>29</v>
      </c>
      <c r="J1630" s="1" t="s">
        <v>5500</v>
      </c>
      <c r="K1630" s="1" t="b">
        <v>1</v>
      </c>
      <c r="L1630" s="1" t="s">
        <v>31</v>
      </c>
      <c r="M1630" s="1">
        <v>2022</v>
      </c>
      <c r="N1630" s="1" t="s">
        <v>45</v>
      </c>
      <c r="O1630" s="1" t="s">
        <v>9935</v>
      </c>
      <c r="P1630" s="1" t="s">
        <v>16</v>
      </c>
      <c r="Q1630" s="1">
        <v>90</v>
      </c>
      <c r="R1630" s="1">
        <v>120000</v>
      </c>
      <c r="S1630" s="1">
        <v>108000</v>
      </c>
    </row>
    <row r="1631" spans="1:19" ht="12.5" x14ac:dyDescent="0.25">
      <c r="A1631" s="1">
        <v>1802</v>
      </c>
      <c r="B1631" s="1" t="s">
        <v>5504</v>
      </c>
      <c r="C1631" s="1" t="s">
        <v>15</v>
      </c>
      <c r="D1631" s="1" t="s">
        <v>15</v>
      </c>
      <c r="E1631" s="1">
        <v>1422</v>
      </c>
      <c r="F1631" s="1" t="s">
        <v>5505</v>
      </c>
      <c r="G1631" s="1" t="s">
        <v>5506</v>
      </c>
      <c r="H1631" s="1" t="s">
        <v>5507</v>
      </c>
      <c r="I1631" s="1" t="s">
        <v>29</v>
      </c>
      <c r="J1631" s="1" t="s">
        <v>5508</v>
      </c>
      <c r="K1631" s="1" t="b">
        <v>1</v>
      </c>
      <c r="L1631" s="1" t="s">
        <v>31</v>
      </c>
      <c r="M1631" s="1">
        <v>2022</v>
      </c>
      <c r="N1631" s="1" t="s">
        <v>45</v>
      </c>
      <c r="O1631" s="1" t="s">
        <v>9935</v>
      </c>
      <c r="P1631" s="1" t="s">
        <v>16</v>
      </c>
      <c r="Q1631" s="1">
        <v>100</v>
      </c>
      <c r="R1631" s="1">
        <v>249294.93</v>
      </c>
      <c r="S1631" s="1">
        <v>249294.93</v>
      </c>
    </row>
    <row r="1632" spans="1:19" ht="12.5" x14ac:dyDescent="0.25">
      <c r="A1632" s="1">
        <v>1803</v>
      </c>
      <c r="B1632" s="1" t="s">
        <v>5509</v>
      </c>
      <c r="C1632" s="1" t="s">
        <v>15</v>
      </c>
      <c r="D1632" s="1" t="s">
        <v>15</v>
      </c>
      <c r="E1632" s="1">
        <v>1423</v>
      </c>
      <c r="F1632" s="1" t="s">
        <v>5511</v>
      </c>
      <c r="G1632" s="1" t="s">
        <v>5512</v>
      </c>
      <c r="H1632" s="1" t="s">
        <v>5510</v>
      </c>
      <c r="I1632" s="1" t="s">
        <v>29</v>
      </c>
      <c r="J1632" s="1" t="s">
        <v>5513</v>
      </c>
      <c r="K1632" s="1" t="b">
        <v>1</v>
      </c>
      <c r="L1632" s="1" t="s">
        <v>31</v>
      </c>
      <c r="M1632" s="1">
        <v>2022</v>
      </c>
      <c r="N1632" s="1" t="s">
        <v>23</v>
      </c>
      <c r="O1632" s="1" t="s">
        <v>9935</v>
      </c>
      <c r="P1632" s="1" t="s">
        <v>16</v>
      </c>
      <c r="Q1632" s="1">
        <v>100</v>
      </c>
      <c r="R1632" s="1">
        <v>400000</v>
      </c>
      <c r="S1632" s="1">
        <v>400000</v>
      </c>
    </row>
    <row r="1633" spans="1:19" ht="12.5" x14ac:dyDescent="0.25">
      <c r="A1633" s="1" t="s">
        <v>16</v>
      </c>
      <c r="B1633" s="1" t="s">
        <v>16</v>
      </c>
      <c r="C1633" s="1" t="s">
        <v>16</v>
      </c>
      <c r="D1633" s="1" t="s">
        <v>16</v>
      </c>
      <c r="E1633" s="1">
        <v>1424</v>
      </c>
      <c r="F1633" s="1" t="s">
        <v>5514</v>
      </c>
      <c r="G1633" s="1" t="s">
        <v>5515</v>
      </c>
      <c r="H1633" s="1" t="s">
        <v>5516</v>
      </c>
      <c r="I1633" s="1" t="s">
        <v>20</v>
      </c>
      <c r="J1633" s="1" t="s">
        <v>16</v>
      </c>
      <c r="K1633" s="1" t="b">
        <v>0</v>
      </c>
      <c r="L1633" s="1" t="s">
        <v>22</v>
      </c>
      <c r="M1633" s="1" t="s">
        <v>16</v>
      </c>
      <c r="N1633" s="1" t="s">
        <v>16</v>
      </c>
      <c r="O1633" s="1" t="s">
        <v>16</v>
      </c>
      <c r="P1633" s="1" t="s">
        <v>16</v>
      </c>
    </row>
    <row r="1634" spans="1:19" ht="12.5" x14ac:dyDescent="0.25">
      <c r="A1634" s="1">
        <v>1016</v>
      </c>
      <c r="B1634" s="1" t="s">
        <v>5517</v>
      </c>
      <c r="C1634" s="1" t="s">
        <v>35</v>
      </c>
      <c r="D1634" s="1" t="s">
        <v>152</v>
      </c>
      <c r="E1634" s="1">
        <v>1425</v>
      </c>
      <c r="F1634" s="1" t="s">
        <v>5518</v>
      </c>
      <c r="G1634" s="1" t="s">
        <v>5519</v>
      </c>
      <c r="H1634" s="1" t="s">
        <v>5520</v>
      </c>
      <c r="I1634" s="1" t="s">
        <v>29</v>
      </c>
      <c r="J1634" s="1" t="s">
        <v>5521</v>
      </c>
      <c r="K1634" s="1" t="b">
        <v>1</v>
      </c>
      <c r="L1634" s="1" t="s">
        <v>31</v>
      </c>
      <c r="M1634" s="1">
        <v>2022</v>
      </c>
      <c r="N1634" s="1" t="s">
        <v>23</v>
      </c>
      <c r="O1634" s="1" t="s">
        <v>9935</v>
      </c>
      <c r="P1634" s="1" t="s">
        <v>16</v>
      </c>
      <c r="Q1634" s="1">
        <v>30</v>
      </c>
      <c r="R1634" s="1">
        <v>314323.64</v>
      </c>
      <c r="S1634" s="1">
        <v>94297.092000000004</v>
      </c>
    </row>
    <row r="1635" spans="1:19" ht="12.5" x14ac:dyDescent="0.25">
      <c r="A1635" s="1">
        <v>1804</v>
      </c>
      <c r="B1635" s="1" t="s">
        <v>5522</v>
      </c>
      <c r="C1635" s="1" t="s">
        <v>15</v>
      </c>
      <c r="D1635" s="1" t="s">
        <v>15</v>
      </c>
      <c r="E1635" s="1">
        <v>1425</v>
      </c>
      <c r="F1635" s="1" t="s">
        <v>5518</v>
      </c>
      <c r="G1635" s="1" t="s">
        <v>5519</v>
      </c>
      <c r="H1635" s="1" t="s">
        <v>5520</v>
      </c>
      <c r="I1635" s="1" t="s">
        <v>29</v>
      </c>
      <c r="J1635" s="1" t="s">
        <v>5521</v>
      </c>
      <c r="K1635" s="1" t="b">
        <v>1</v>
      </c>
      <c r="L1635" s="1" t="s">
        <v>31</v>
      </c>
      <c r="M1635" s="1">
        <v>2022</v>
      </c>
      <c r="N1635" s="1" t="s">
        <v>23</v>
      </c>
      <c r="O1635" s="1" t="s">
        <v>9935</v>
      </c>
      <c r="P1635" s="1" t="s">
        <v>16</v>
      </c>
      <c r="Q1635" s="1">
        <v>70</v>
      </c>
      <c r="R1635" s="1">
        <v>314323.64</v>
      </c>
      <c r="S1635" s="1">
        <v>220026.54800000001</v>
      </c>
    </row>
    <row r="1636" spans="1:19" ht="12.5" x14ac:dyDescent="0.25">
      <c r="A1636" s="1">
        <v>211</v>
      </c>
      <c r="B1636" s="1" t="s">
        <v>1030</v>
      </c>
      <c r="C1636" s="1" t="s">
        <v>15</v>
      </c>
      <c r="D1636" s="1" t="s">
        <v>15</v>
      </c>
      <c r="E1636" s="1">
        <v>1426</v>
      </c>
      <c r="F1636" s="1" t="s">
        <v>5523</v>
      </c>
      <c r="G1636" s="1" t="s">
        <v>5524</v>
      </c>
      <c r="H1636" s="1" t="s">
        <v>5525</v>
      </c>
      <c r="I1636" s="1" t="s">
        <v>29</v>
      </c>
      <c r="J1636" s="1" t="s">
        <v>5526</v>
      </c>
      <c r="K1636" s="1" t="b">
        <v>1</v>
      </c>
      <c r="L1636" s="1" t="s">
        <v>31</v>
      </c>
      <c r="M1636" s="1" t="s">
        <v>16</v>
      </c>
      <c r="N1636" s="1" t="s">
        <v>16</v>
      </c>
      <c r="O1636" s="1" t="s">
        <v>9935</v>
      </c>
      <c r="P1636" s="1" t="s">
        <v>16</v>
      </c>
      <c r="Q1636" s="1">
        <v>100</v>
      </c>
      <c r="R1636" s="1">
        <v>120000</v>
      </c>
      <c r="S1636" s="1">
        <v>120000</v>
      </c>
    </row>
    <row r="1637" spans="1:19" ht="12.5" x14ac:dyDescent="0.25">
      <c r="A1637" s="1">
        <v>211</v>
      </c>
      <c r="B1637" s="1" t="s">
        <v>1030</v>
      </c>
      <c r="C1637" s="1" t="s">
        <v>15</v>
      </c>
      <c r="D1637" s="1" t="s">
        <v>15</v>
      </c>
      <c r="E1637" s="1">
        <v>1427</v>
      </c>
      <c r="F1637" s="1" t="s">
        <v>5527</v>
      </c>
      <c r="G1637" s="1" t="s">
        <v>5528</v>
      </c>
      <c r="H1637" s="1" t="s">
        <v>5529</v>
      </c>
      <c r="I1637" s="1" t="s">
        <v>29</v>
      </c>
      <c r="J1637" s="1" t="s">
        <v>5530</v>
      </c>
      <c r="K1637" s="1" t="b">
        <v>0</v>
      </c>
      <c r="L1637" s="1" t="s">
        <v>22</v>
      </c>
      <c r="M1637" s="1">
        <v>2022</v>
      </c>
      <c r="N1637" s="1" t="s">
        <v>23</v>
      </c>
      <c r="O1637" s="1" t="s">
        <v>9935</v>
      </c>
      <c r="P1637" s="1" t="s">
        <v>16</v>
      </c>
      <c r="Q1637" s="1">
        <v>100</v>
      </c>
      <c r="R1637" s="1">
        <v>180000</v>
      </c>
      <c r="S1637" s="1">
        <v>180000</v>
      </c>
    </row>
    <row r="1638" spans="1:19" ht="12.5" x14ac:dyDescent="0.25">
      <c r="A1638" s="1">
        <v>1176</v>
      </c>
      <c r="B1638" s="1" t="s">
        <v>5531</v>
      </c>
      <c r="C1638" s="1" t="s">
        <v>35</v>
      </c>
      <c r="D1638" s="1" t="s">
        <v>152</v>
      </c>
      <c r="E1638" s="1">
        <v>1428</v>
      </c>
      <c r="F1638" s="1" t="s">
        <v>5533</v>
      </c>
      <c r="G1638" s="1" t="s">
        <v>5534</v>
      </c>
      <c r="H1638" s="1"/>
      <c r="I1638" s="1" t="s">
        <v>29</v>
      </c>
      <c r="J1638" s="1" t="s">
        <v>5535</v>
      </c>
      <c r="K1638" s="1" t="b">
        <v>0</v>
      </c>
      <c r="L1638" s="1" t="s">
        <v>22</v>
      </c>
      <c r="M1638" s="1">
        <v>2023</v>
      </c>
      <c r="N1638" s="1" t="s">
        <v>16</v>
      </c>
      <c r="O1638" s="1" t="s">
        <v>9956</v>
      </c>
      <c r="P1638" s="1" t="s">
        <v>16</v>
      </c>
      <c r="Q1638" s="1">
        <v>100</v>
      </c>
      <c r="R1638" s="1">
        <v>232887</v>
      </c>
      <c r="S1638" s="1">
        <v>232887</v>
      </c>
    </row>
    <row r="1639" spans="1:19" ht="12.5" x14ac:dyDescent="0.25">
      <c r="A1639" s="1">
        <v>1035</v>
      </c>
      <c r="B1639" s="1" t="s">
        <v>5536</v>
      </c>
      <c r="C1639" s="1" t="s">
        <v>35</v>
      </c>
      <c r="D1639" s="1" t="s">
        <v>152</v>
      </c>
      <c r="E1639" s="1">
        <v>1429</v>
      </c>
      <c r="F1639" s="1" t="s">
        <v>5538</v>
      </c>
      <c r="G1639" s="1" t="s">
        <v>5539</v>
      </c>
      <c r="H1639" s="1" t="s">
        <v>5540</v>
      </c>
      <c r="I1639" s="1" t="s">
        <v>29</v>
      </c>
      <c r="J1639" s="1" t="s">
        <v>5541</v>
      </c>
      <c r="K1639" s="1" t="b">
        <v>1</v>
      </c>
      <c r="L1639" s="1" t="s">
        <v>31</v>
      </c>
      <c r="M1639" s="1">
        <v>2022</v>
      </c>
      <c r="N1639" s="1" t="s">
        <v>23</v>
      </c>
      <c r="O1639" s="1" t="s">
        <v>9935</v>
      </c>
      <c r="P1639" s="1" t="s">
        <v>16</v>
      </c>
      <c r="Q1639" s="1">
        <v>100</v>
      </c>
      <c r="R1639" s="1">
        <v>13000</v>
      </c>
      <c r="S1639" s="1">
        <v>13000</v>
      </c>
    </row>
    <row r="1640" spans="1:19" ht="12.5" x14ac:dyDescent="0.25">
      <c r="A1640" s="1">
        <v>1773</v>
      </c>
      <c r="B1640" s="1" t="s">
        <v>5542</v>
      </c>
      <c r="C1640" s="1" t="s">
        <v>35</v>
      </c>
      <c r="D1640" s="1" t="s">
        <v>5409</v>
      </c>
      <c r="E1640" s="1">
        <v>1430</v>
      </c>
      <c r="F1640" s="1" t="s">
        <v>5543</v>
      </c>
      <c r="G1640" s="1" t="s">
        <v>5544</v>
      </c>
      <c r="H1640" s="1" t="s">
        <v>5545</v>
      </c>
      <c r="I1640" s="1" t="s">
        <v>29</v>
      </c>
      <c r="J1640" s="1" t="s">
        <v>5546</v>
      </c>
      <c r="K1640" s="1" t="b">
        <v>1</v>
      </c>
      <c r="L1640" s="1" t="s">
        <v>31</v>
      </c>
      <c r="M1640" s="1">
        <v>2021</v>
      </c>
      <c r="N1640" s="1" t="s">
        <v>52</v>
      </c>
      <c r="O1640" s="1" t="s">
        <v>9935</v>
      </c>
      <c r="P1640" s="1" t="s">
        <v>16</v>
      </c>
      <c r="Q1640" s="1">
        <v>100</v>
      </c>
      <c r="R1640" s="1">
        <v>50000</v>
      </c>
      <c r="S1640" s="1">
        <v>50000</v>
      </c>
    </row>
    <row r="1641" spans="1:19" ht="12.5" x14ac:dyDescent="0.25">
      <c r="A1641" s="1">
        <v>181</v>
      </c>
      <c r="B1641" s="1" t="s">
        <v>5547</v>
      </c>
      <c r="C1641" s="1" t="s">
        <v>15</v>
      </c>
      <c r="D1641" s="1" t="s">
        <v>15</v>
      </c>
      <c r="E1641" s="1">
        <v>1431</v>
      </c>
      <c r="F1641" s="1" t="s">
        <v>5548</v>
      </c>
      <c r="G1641" s="1" t="s">
        <v>5549</v>
      </c>
      <c r="H1641" s="1" t="s">
        <v>5550</v>
      </c>
      <c r="I1641" s="1" t="s">
        <v>20</v>
      </c>
      <c r="J1641" s="1" t="s">
        <v>5551</v>
      </c>
      <c r="K1641" s="1" t="b">
        <v>0</v>
      </c>
      <c r="L1641" s="1" t="s">
        <v>22</v>
      </c>
      <c r="M1641" s="1" t="s">
        <v>16</v>
      </c>
      <c r="N1641" s="1" t="s">
        <v>16</v>
      </c>
      <c r="O1641" s="1" t="s">
        <v>9935</v>
      </c>
      <c r="P1641" s="1" t="s">
        <v>16</v>
      </c>
      <c r="Q1641" s="1">
        <v>100</v>
      </c>
      <c r="R1641" s="1">
        <v>1450000</v>
      </c>
      <c r="S1641" s="1">
        <v>1450000</v>
      </c>
    </row>
    <row r="1642" spans="1:19" ht="12.5" x14ac:dyDescent="0.25">
      <c r="A1642" s="1">
        <v>27</v>
      </c>
      <c r="B1642" s="1" t="s">
        <v>159</v>
      </c>
      <c r="C1642" s="1" t="s">
        <v>15</v>
      </c>
      <c r="D1642" s="1" t="s">
        <v>15</v>
      </c>
      <c r="E1642" s="1">
        <v>1452</v>
      </c>
      <c r="F1642" s="1" t="s">
        <v>5552</v>
      </c>
      <c r="G1642" s="1" t="s">
        <v>5553</v>
      </c>
      <c r="H1642" s="1" t="s">
        <v>16</v>
      </c>
      <c r="I1642" s="1" t="s">
        <v>29</v>
      </c>
      <c r="J1642" s="1" t="s">
        <v>5554</v>
      </c>
      <c r="K1642" s="1" t="b">
        <v>1</v>
      </c>
      <c r="L1642" s="1" t="s">
        <v>31</v>
      </c>
      <c r="M1642" s="1">
        <v>2022</v>
      </c>
      <c r="N1642" s="1" t="s">
        <v>45</v>
      </c>
      <c r="O1642" s="1" t="s">
        <v>9935</v>
      </c>
      <c r="P1642" s="1" t="s">
        <v>16</v>
      </c>
      <c r="Q1642" s="1">
        <v>100</v>
      </c>
      <c r="R1642" s="1">
        <v>456000</v>
      </c>
      <c r="S1642" s="1">
        <v>456000</v>
      </c>
    </row>
    <row r="1643" spans="1:19" ht="12.5" x14ac:dyDescent="0.25">
      <c r="A1643" s="1" t="s">
        <v>16</v>
      </c>
      <c r="B1643" s="1" t="s">
        <v>16</v>
      </c>
      <c r="C1643" s="1" t="s">
        <v>16</v>
      </c>
      <c r="D1643" s="1" t="s">
        <v>16</v>
      </c>
      <c r="E1643" s="1">
        <v>1453</v>
      </c>
      <c r="F1643" s="1" t="s">
        <v>5555</v>
      </c>
      <c r="G1643" s="1" t="s">
        <v>5556</v>
      </c>
      <c r="H1643" s="1" t="s">
        <v>16</v>
      </c>
      <c r="I1643" s="1" t="s">
        <v>29</v>
      </c>
      <c r="J1643" s="1" t="s">
        <v>16</v>
      </c>
      <c r="K1643" s="1" t="b">
        <v>0</v>
      </c>
      <c r="L1643" s="1" t="s">
        <v>22</v>
      </c>
      <c r="M1643" s="1" t="s">
        <v>16</v>
      </c>
      <c r="N1643" s="1" t="s">
        <v>16</v>
      </c>
      <c r="O1643" s="1" t="s">
        <v>16</v>
      </c>
      <c r="P1643" s="1" t="s">
        <v>16</v>
      </c>
    </row>
    <row r="1644" spans="1:19" ht="12.5" x14ac:dyDescent="0.25">
      <c r="A1644" s="1">
        <v>1753</v>
      </c>
      <c r="B1644" s="1" t="s">
        <v>5557</v>
      </c>
      <c r="C1644" s="1" t="s">
        <v>35</v>
      </c>
      <c r="D1644" s="1" t="s">
        <v>5409</v>
      </c>
      <c r="E1644" s="1">
        <v>1502</v>
      </c>
      <c r="F1644" s="1" t="s">
        <v>5558</v>
      </c>
      <c r="G1644" s="1" t="s">
        <v>5559</v>
      </c>
      <c r="H1644" s="1" t="s">
        <v>5560</v>
      </c>
      <c r="I1644" s="1" t="s">
        <v>29</v>
      </c>
      <c r="J1644" s="1" t="s">
        <v>5561</v>
      </c>
      <c r="K1644" s="1" t="b">
        <v>1</v>
      </c>
      <c r="L1644" s="1" t="s">
        <v>31</v>
      </c>
      <c r="M1644" s="1">
        <v>2021</v>
      </c>
      <c r="N1644" s="1" t="s">
        <v>52</v>
      </c>
      <c r="O1644" s="1" t="s">
        <v>9935</v>
      </c>
      <c r="P1644" s="1" t="s">
        <v>16</v>
      </c>
      <c r="Q1644" s="1">
        <v>25</v>
      </c>
      <c r="R1644" s="1">
        <v>150000</v>
      </c>
      <c r="S1644" s="1">
        <v>37500</v>
      </c>
    </row>
    <row r="1645" spans="1:19" ht="12.5" x14ac:dyDescent="0.25">
      <c r="A1645" s="1">
        <v>1754</v>
      </c>
      <c r="B1645" s="1" t="s">
        <v>5562</v>
      </c>
      <c r="C1645" s="1" t="s">
        <v>35</v>
      </c>
      <c r="D1645" s="1" t="s">
        <v>5409</v>
      </c>
      <c r="E1645" s="1">
        <v>1502</v>
      </c>
      <c r="F1645" s="1" t="s">
        <v>5558</v>
      </c>
      <c r="G1645" s="1" t="s">
        <v>5559</v>
      </c>
      <c r="H1645" s="1" t="s">
        <v>5560</v>
      </c>
      <c r="I1645" s="1" t="s">
        <v>29</v>
      </c>
      <c r="J1645" s="1" t="s">
        <v>5561</v>
      </c>
      <c r="K1645" s="1" t="b">
        <v>1</v>
      </c>
      <c r="L1645" s="1" t="s">
        <v>31</v>
      </c>
      <c r="M1645" s="1">
        <v>2021</v>
      </c>
      <c r="N1645" s="1" t="s">
        <v>52</v>
      </c>
      <c r="O1645" s="1" t="s">
        <v>9935</v>
      </c>
      <c r="P1645" s="1" t="s">
        <v>16</v>
      </c>
      <c r="Q1645" s="1">
        <v>25</v>
      </c>
      <c r="R1645" s="1">
        <v>150000</v>
      </c>
      <c r="S1645" s="1">
        <v>37500</v>
      </c>
    </row>
    <row r="1646" spans="1:19" ht="12.5" x14ac:dyDescent="0.25">
      <c r="A1646" s="1">
        <v>1755</v>
      </c>
      <c r="B1646" s="1" t="s">
        <v>5563</v>
      </c>
      <c r="C1646" s="1" t="s">
        <v>35</v>
      </c>
      <c r="D1646" s="1" t="s">
        <v>5409</v>
      </c>
      <c r="E1646" s="1">
        <v>1502</v>
      </c>
      <c r="F1646" s="1" t="s">
        <v>5558</v>
      </c>
      <c r="G1646" s="1" t="s">
        <v>5559</v>
      </c>
      <c r="H1646" s="1" t="s">
        <v>5560</v>
      </c>
      <c r="I1646" s="1" t="s">
        <v>29</v>
      </c>
      <c r="J1646" s="1" t="s">
        <v>5561</v>
      </c>
      <c r="K1646" s="1" t="b">
        <v>1</v>
      </c>
      <c r="L1646" s="1" t="s">
        <v>31</v>
      </c>
      <c r="M1646" s="1">
        <v>2021</v>
      </c>
      <c r="N1646" s="1" t="s">
        <v>52</v>
      </c>
      <c r="O1646" s="1" t="s">
        <v>9935</v>
      </c>
      <c r="P1646" s="1" t="s">
        <v>16</v>
      </c>
      <c r="Q1646" s="1">
        <v>25</v>
      </c>
      <c r="R1646" s="1">
        <v>150000</v>
      </c>
      <c r="S1646" s="1">
        <v>37500</v>
      </c>
    </row>
    <row r="1647" spans="1:19" ht="12.5" x14ac:dyDescent="0.25">
      <c r="A1647" s="1">
        <v>1756</v>
      </c>
      <c r="B1647" s="1" t="s">
        <v>5564</v>
      </c>
      <c r="C1647" s="1" t="s">
        <v>35</v>
      </c>
      <c r="D1647" s="1" t="s">
        <v>5409</v>
      </c>
      <c r="E1647" s="1">
        <v>1502</v>
      </c>
      <c r="F1647" s="1" t="s">
        <v>5558</v>
      </c>
      <c r="G1647" s="1" t="s">
        <v>5559</v>
      </c>
      <c r="H1647" s="1" t="s">
        <v>5560</v>
      </c>
      <c r="I1647" s="1" t="s">
        <v>29</v>
      </c>
      <c r="J1647" s="1" t="s">
        <v>5561</v>
      </c>
      <c r="K1647" s="1" t="b">
        <v>1</v>
      </c>
      <c r="L1647" s="1" t="s">
        <v>31</v>
      </c>
      <c r="M1647" s="1">
        <v>2021</v>
      </c>
      <c r="N1647" s="1" t="s">
        <v>52</v>
      </c>
      <c r="O1647" s="1" t="s">
        <v>9935</v>
      </c>
      <c r="P1647" s="1" t="s">
        <v>16</v>
      </c>
      <c r="Q1647" s="1">
        <v>25</v>
      </c>
      <c r="R1647" s="1">
        <v>150000</v>
      </c>
      <c r="S1647" s="1">
        <v>37500</v>
      </c>
    </row>
    <row r="1648" spans="1:19" ht="12.5" x14ac:dyDescent="0.25">
      <c r="A1648" s="1">
        <v>1766</v>
      </c>
      <c r="B1648" s="1" t="s">
        <v>5565</v>
      </c>
      <c r="C1648" s="1" t="s">
        <v>35</v>
      </c>
      <c r="D1648" s="1" t="s">
        <v>5409</v>
      </c>
      <c r="E1648" s="1">
        <v>1503</v>
      </c>
      <c r="F1648" s="1" t="s">
        <v>5566</v>
      </c>
      <c r="G1648" s="1" t="s">
        <v>5567</v>
      </c>
      <c r="H1648" s="1" t="s">
        <v>5568</v>
      </c>
      <c r="I1648" s="1" t="s">
        <v>29</v>
      </c>
      <c r="J1648" s="1" t="s">
        <v>5569</v>
      </c>
      <c r="K1648" s="1" t="b">
        <v>1</v>
      </c>
      <c r="L1648" s="1" t="s">
        <v>31</v>
      </c>
      <c r="M1648" s="1">
        <v>2021</v>
      </c>
      <c r="N1648" s="1" t="s">
        <v>52</v>
      </c>
      <c r="O1648" s="1" t="s">
        <v>9935</v>
      </c>
      <c r="P1648" s="1" t="s">
        <v>16</v>
      </c>
      <c r="Q1648" s="1">
        <v>100</v>
      </c>
      <c r="R1648" s="1">
        <v>100000</v>
      </c>
      <c r="S1648" s="1">
        <v>100000</v>
      </c>
    </row>
    <row r="1649" spans="1:19" ht="12.5" x14ac:dyDescent="0.25">
      <c r="A1649" s="1">
        <v>1549</v>
      </c>
      <c r="B1649" s="1" t="s">
        <v>5570</v>
      </c>
      <c r="C1649" s="1" t="s">
        <v>35</v>
      </c>
      <c r="D1649" s="1" t="s">
        <v>152</v>
      </c>
      <c r="E1649" s="1">
        <v>1552</v>
      </c>
      <c r="F1649" s="1" t="s">
        <v>5571</v>
      </c>
      <c r="G1649" s="1" t="s">
        <v>5572</v>
      </c>
      <c r="H1649" s="1" t="s">
        <v>5573</v>
      </c>
      <c r="I1649" s="1" t="s">
        <v>29</v>
      </c>
      <c r="J1649" s="1" t="s">
        <v>16</v>
      </c>
      <c r="K1649" s="1" t="b">
        <v>0</v>
      </c>
      <c r="L1649" s="1" t="s">
        <v>22</v>
      </c>
      <c r="M1649" s="1">
        <v>2022</v>
      </c>
      <c r="N1649" s="1" t="s">
        <v>45</v>
      </c>
      <c r="O1649" s="1" t="s">
        <v>9935</v>
      </c>
      <c r="P1649" s="1" t="s">
        <v>10051</v>
      </c>
      <c r="Q1649" s="1">
        <v>100</v>
      </c>
      <c r="R1649" s="1">
        <v>2000</v>
      </c>
      <c r="S1649" s="1">
        <v>2000</v>
      </c>
    </row>
    <row r="1650" spans="1:19" ht="12.5" x14ac:dyDescent="0.25">
      <c r="A1650" s="1">
        <v>500</v>
      </c>
      <c r="B1650" s="1" t="s">
        <v>5574</v>
      </c>
      <c r="C1650" s="1" t="s">
        <v>35</v>
      </c>
      <c r="D1650" s="1" t="s">
        <v>36</v>
      </c>
      <c r="E1650" s="1">
        <v>1553</v>
      </c>
      <c r="F1650" s="1" t="s">
        <v>5575</v>
      </c>
      <c r="G1650" s="1" t="s">
        <v>5576</v>
      </c>
      <c r="H1650" s="1" t="s">
        <v>16</v>
      </c>
      <c r="I1650" s="1" t="s">
        <v>29</v>
      </c>
      <c r="J1650" s="1" t="s">
        <v>16</v>
      </c>
      <c r="K1650" s="1" t="b">
        <v>0</v>
      </c>
      <c r="L1650" s="1" t="s">
        <v>22</v>
      </c>
      <c r="M1650" s="1" t="s">
        <v>16</v>
      </c>
      <c r="N1650" s="1" t="s">
        <v>16</v>
      </c>
      <c r="O1650" s="1" t="s">
        <v>16</v>
      </c>
      <c r="P1650" s="1" t="s">
        <v>16</v>
      </c>
      <c r="Q1650" s="1">
        <v>100</v>
      </c>
    </row>
    <row r="1651" spans="1:19" ht="12.5" x14ac:dyDescent="0.25">
      <c r="A1651" s="1">
        <v>759</v>
      </c>
      <c r="B1651" s="1" t="s">
        <v>5577</v>
      </c>
      <c r="C1651" s="1" t="s">
        <v>35</v>
      </c>
      <c r="D1651" s="1" t="s">
        <v>36</v>
      </c>
      <c r="E1651" s="1">
        <v>1554</v>
      </c>
      <c r="F1651" s="1" t="s">
        <v>5578</v>
      </c>
      <c r="G1651" s="1" t="s">
        <v>1084</v>
      </c>
      <c r="H1651" s="1" t="s">
        <v>5579</v>
      </c>
      <c r="I1651" s="1" t="s">
        <v>29</v>
      </c>
      <c r="J1651" s="1" t="s">
        <v>5580</v>
      </c>
      <c r="K1651" s="1" t="b">
        <v>0</v>
      </c>
      <c r="L1651" s="1" t="s">
        <v>22</v>
      </c>
      <c r="M1651" s="1">
        <v>2022</v>
      </c>
      <c r="N1651" s="1" t="s">
        <v>23</v>
      </c>
      <c r="O1651" s="1" t="s">
        <v>9942</v>
      </c>
      <c r="P1651" s="1" t="s">
        <v>16</v>
      </c>
      <c r="Q1651" s="1">
        <v>100</v>
      </c>
      <c r="R1651" s="1">
        <v>50000</v>
      </c>
      <c r="S1651" s="1">
        <v>50000</v>
      </c>
    </row>
    <row r="1652" spans="1:19" ht="12.5" x14ac:dyDescent="0.25">
      <c r="A1652" s="1">
        <v>1060</v>
      </c>
      <c r="B1652" s="1" t="s">
        <v>3710</v>
      </c>
      <c r="C1652" s="1" t="s">
        <v>35</v>
      </c>
      <c r="D1652" s="1" t="s">
        <v>152</v>
      </c>
      <c r="E1652" s="1">
        <v>1555</v>
      </c>
      <c r="F1652" s="1" t="s">
        <v>5581</v>
      </c>
      <c r="G1652" s="1" t="s">
        <v>5582</v>
      </c>
      <c r="H1652" s="1" t="s">
        <v>16</v>
      </c>
      <c r="I1652" s="1" t="s">
        <v>29</v>
      </c>
      <c r="J1652" s="1" t="s">
        <v>5583</v>
      </c>
      <c r="K1652" s="1" t="b">
        <v>0</v>
      </c>
      <c r="L1652" s="1" t="s">
        <v>22</v>
      </c>
      <c r="M1652" s="1" t="s">
        <v>16</v>
      </c>
      <c r="N1652" s="1" t="s">
        <v>16</v>
      </c>
      <c r="O1652" s="1" t="s">
        <v>9940</v>
      </c>
      <c r="P1652" s="1" t="s">
        <v>16</v>
      </c>
      <c r="Q1652" s="1">
        <v>100</v>
      </c>
      <c r="R1652" s="1">
        <v>75000</v>
      </c>
      <c r="S1652" s="1">
        <v>75000</v>
      </c>
    </row>
    <row r="1653" spans="1:19" ht="12.5" x14ac:dyDescent="0.25">
      <c r="A1653" s="1">
        <v>326</v>
      </c>
      <c r="B1653" s="1" t="s">
        <v>1350</v>
      </c>
      <c r="C1653" s="1" t="s">
        <v>35</v>
      </c>
      <c r="D1653" s="1" t="s">
        <v>36</v>
      </c>
      <c r="E1653" s="1">
        <v>1556</v>
      </c>
      <c r="F1653" s="1" t="s">
        <v>5584</v>
      </c>
      <c r="G1653" s="1" t="s">
        <v>5585</v>
      </c>
      <c r="H1653" s="1" t="s">
        <v>5586</v>
      </c>
      <c r="I1653" s="1" t="s">
        <v>29</v>
      </c>
      <c r="J1653" s="1" t="s">
        <v>5587</v>
      </c>
      <c r="K1653" s="1" t="b">
        <v>1</v>
      </c>
      <c r="L1653" s="1" t="s">
        <v>31</v>
      </c>
      <c r="M1653" s="1">
        <v>2022</v>
      </c>
      <c r="N1653" s="1" t="s">
        <v>45</v>
      </c>
      <c r="O1653" s="1" t="s">
        <v>9935</v>
      </c>
      <c r="P1653" s="1" t="s">
        <v>16</v>
      </c>
      <c r="Q1653" s="1">
        <v>100</v>
      </c>
      <c r="R1653" s="1">
        <v>233000</v>
      </c>
      <c r="S1653" s="1">
        <v>233000</v>
      </c>
    </row>
    <row r="1654" spans="1:19" ht="12.5" x14ac:dyDescent="0.25">
      <c r="A1654" s="1">
        <v>741</v>
      </c>
      <c r="B1654" s="1" t="s">
        <v>5588</v>
      </c>
      <c r="C1654" s="1" t="s">
        <v>35</v>
      </c>
      <c r="D1654" s="1" t="s">
        <v>36</v>
      </c>
      <c r="E1654" s="1">
        <v>1557</v>
      </c>
      <c r="F1654" s="1" t="s">
        <v>5589</v>
      </c>
      <c r="G1654" s="1" t="s">
        <v>5590</v>
      </c>
      <c r="H1654" s="1" t="s">
        <v>16</v>
      </c>
      <c r="I1654" s="1" t="s">
        <v>29</v>
      </c>
      <c r="J1654" s="1" t="s">
        <v>5591</v>
      </c>
      <c r="K1654" s="1" t="b">
        <v>0</v>
      </c>
      <c r="L1654" s="1" t="s">
        <v>22</v>
      </c>
      <c r="M1654" s="1" t="s">
        <v>16</v>
      </c>
      <c r="N1654" s="1" t="s">
        <v>16</v>
      </c>
      <c r="O1654" s="1" t="s">
        <v>9935</v>
      </c>
      <c r="P1654" s="1" t="s">
        <v>16</v>
      </c>
      <c r="Q1654" s="1">
        <v>100</v>
      </c>
      <c r="R1654" s="1">
        <v>1</v>
      </c>
      <c r="S1654" s="1">
        <v>1</v>
      </c>
    </row>
    <row r="1655" spans="1:19" ht="12.5" x14ac:dyDescent="0.25">
      <c r="A1655" s="1">
        <v>354</v>
      </c>
      <c r="B1655" s="1" t="s">
        <v>1435</v>
      </c>
      <c r="C1655" s="1" t="s">
        <v>35</v>
      </c>
      <c r="D1655" s="1" t="s">
        <v>36</v>
      </c>
      <c r="E1655" s="1">
        <v>1558</v>
      </c>
      <c r="F1655" s="1" t="s">
        <v>5592</v>
      </c>
      <c r="G1655" s="1" t="s">
        <v>5593</v>
      </c>
      <c r="H1655" s="1" t="s">
        <v>5594</v>
      </c>
      <c r="I1655" s="1" t="s">
        <v>29</v>
      </c>
      <c r="J1655" s="1" t="s">
        <v>5595</v>
      </c>
      <c r="K1655" s="1" t="b">
        <v>0</v>
      </c>
      <c r="L1655" s="1" t="s">
        <v>22</v>
      </c>
      <c r="M1655" s="1">
        <v>2021</v>
      </c>
      <c r="N1655" s="1" t="s">
        <v>52</v>
      </c>
      <c r="O1655" s="1" t="s">
        <v>9956</v>
      </c>
      <c r="P1655" s="1" t="s">
        <v>9977</v>
      </c>
      <c r="Q1655" s="1">
        <v>15</v>
      </c>
      <c r="R1655" s="1">
        <v>142000</v>
      </c>
      <c r="S1655" s="1">
        <v>21300</v>
      </c>
    </row>
    <row r="1656" spans="1:19" ht="12.5" x14ac:dyDescent="0.25">
      <c r="A1656" s="1">
        <v>354</v>
      </c>
      <c r="B1656" s="1" t="s">
        <v>1435</v>
      </c>
      <c r="C1656" s="1" t="s">
        <v>35</v>
      </c>
      <c r="D1656" s="1" t="s">
        <v>36</v>
      </c>
      <c r="E1656" s="1">
        <v>1558</v>
      </c>
      <c r="F1656" s="1" t="s">
        <v>5592</v>
      </c>
      <c r="G1656" s="1" t="s">
        <v>5593</v>
      </c>
      <c r="H1656" s="1" t="s">
        <v>5594</v>
      </c>
      <c r="I1656" s="1" t="s">
        <v>29</v>
      </c>
      <c r="J1656" s="1" t="s">
        <v>5595</v>
      </c>
      <c r="K1656" s="1" t="b">
        <v>0</v>
      </c>
      <c r="L1656" s="1" t="s">
        <v>22</v>
      </c>
      <c r="M1656" s="1">
        <v>2021</v>
      </c>
      <c r="N1656" s="1" t="s">
        <v>52</v>
      </c>
      <c r="O1656" s="1" t="s">
        <v>9956</v>
      </c>
      <c r="P1656" s="1" t="s">
        <v>10052</v>
      </c>
      <c r="Q1656" s="1">
        <v>15</v>
      </c>
      <c r="R1656" s="1">
        <v>450000</v>
      </c>
      <c r="S1656" s="1">
        <v>67500</v>
      </c>
    </row>
    <row r="1657" spans="1:19" ht="12.5" x14ac:dyDescent="0.25">
      <c r="A1657" s="1">
        <v>354</v>
      </c>
      <c r="B1657" s="1" t="s">
        <v>1435</v>
      </c>
      <c r="C1657" s="1" t="s">
        <v>35</v>
      </c>
      <c r="D1657" s="1" t="s">
        <v>36</v>
      </c>
      <c r="E1657" s="1">
        <v>1558</v>
      </c>
      <c r="F1657" s="1" t="s">
        <v>5592</v>
      </c>
      <c r="G1657" s="1" t="s">
        <v>5593</v>
      </c>
      <c r="H1657" s="1" t="s">
        <v>5594</v>
      </c>
      <c r="I1657" s="1" t="s">
        <v>29</v>
      </c>
      <c r="J1657" s="1" t="s">
        <v>5595</v>
      </c>
      <c r="K1657" s="1" t="b">
        <v>0</v>
      </c>
      <c r="L1657" s="1" t="s">
        <v>22</v>
      </c>
      <c r="M1657" s="1">
        <v>2022</v>
      </c>
      <c r="N1657" s="1" t="s">
        <v>45</v>
      </c>
      <c r="O1657" s="1" t="s">
        <v>9942</v>
      </c>
      <c r="P1657" s="1" t="s">
        <v>9942</v>
      </c>
      <c r="Q1657" s="1">
        <v>15</v>
      </c>
      <c r="R1657" s="1">
        <v>150000</v>
      </c>
      <c r="S1657" s="1">
        <v>22500</v>
      </c>
    </row>
    <row r="1658" spans="1:19" ht="12.5" x14ac:dyDescent="0.25">
      <c r="A1658" s="1">
        <v>732</v>
      </c>
      <c r="B1658" s="1" t="s">
        <v>5596</v>
      </c>
      <c r="C1658" s="1" t="s">
        <v>35</v>
      </c>
      <c r="D1658" s="1" t="s">
        <v>36</v>
      </c>
      <c r="E1658" s="1">
        <v>1558</v>
      </c>
      <c r="F1658" s="1" t="s">
        <v>5592</v>
      </c>
      <c r="G1658" s="1" t="s">
        <v>5593</v>
      </c>
      <c r="H1658" s="1" t="s">
        <v>5594</v>
      </c>
      <c r="I1658" s="1" t="s">
        <v>29</v>
      </c>
      <c r="J1658" s="1" t="s">
        <v>5595</v>
      </c>
      <c r="K1658" s="1" t="b">
        <v>0</v>
      </c>
      <c r="L1658" s="1" t="s">
        <v>22</v>
      </c>
      <c r="M1658" s="1">
        <v>2021</v>
      </c>
      <c r="N1658" s="1" t="s">
        <v>52</v>
      </c>
      <c r="O1658" s="1" t="s">
        <v>9956</v>
      </c>
      <c r="P1658" s="1" t="s">
        <v>10052</v>
      </c>
      <c r="Q1658" s="1">
        <v>15</v>
      </c>
      <c r="R1658" s="1">
        <v>450000</v>
      </c>
      <c r="S1658" s="1">
        <v>67500</v>
      </c>
    </row>
    <row r="1659" spans="1:19" ht="12.5" x14ac:dyDescent="0.25">
      <c r="A1659" s="1">
        <v>732</v>
      </c>
      <c r="B1659" s="1" t="s">
        <v>5596</v>
      </c>
      <c r="C1659" s="1" t="s">
        <v>35</v>
      </c>
      <c r="D1659" s="1" t="s">
        <v>36</v>
      </c>
      <c r="E1659" s="1">
        <v>1558</v>
      </c>
      <c r="F1659" s="1" t="s">
        <v>5592</v>
      </c>
      <c r="G1659" s="1" t="s">
        <v>5593</v>
      </c>
      <c r="H1659" s="1" t="s">
        <v>5594</v>
      </c>
      <c r="I1659" s="1" t="s">
        <v>29</v>
      </c>
      <c r="J1659" s="1" t="s">
        <v>5595</v>
      </c>
      <c r="K1659" s="1" t="b">
        <v>0</v>
      </c>
      <c r="L1659" s="1" t="s">
        <v>22</v>
      </c>
      <c r="M1659" s="1">
        <v>2022</v>
      </c>
      <c r="N1659" s="1" t="s">
        <v>45</v>
      </c>
      <c r="O1659" s="1" t="s">
        <v>9942</v>
      </c>
      <c r="P1659" s="1" t="s">
        <v>9942</v>
      </c>
      <c r="Q1659" s="1">
        <v>15</v>
      </c>
      <c r="R1659" s="1">
        <v>150000</v>
      </c>
      <c r="S1659" s="1">
        <v>22500</v>
      </c>
    </row>
    <row r="1660" spans="1:19" ht="12.5" x14ac:dyDescent="0.25">
      <c r="A1660" s="1">
        <v>732</v>
      </c>
      <c r="B1660" s="1" t="s">
        <v>5596</v>
      </c>
      <c r="C1660" s="1" t="s">
        <v>35</v>
      </c>
      <c r="D1660" s="1" t="s">
        <v>36</v>
      </c>
      <c r="E1660" s="1">
        <v>1558</v>
      </c>
      <c r="F1660" s="1" t="s">
        <v>5592</v>
      </c>
      <c r="G1660" s="1" t="s">
        <v>5593</v>
      </c>
      <c r="H1660" s="1" t="s">
        <v>5594</v>
      </c>
      <c r="I1660" s="1" t="s">
        <v>29</v>
      </c>
      <c r="J1660" s="1" t="s">
        <v>5595</v>
      </c>
      <c r="K1660" s="1" t="b">
        <v>0</v>
      </c>
      <c r="L1660" s="1" t="s">
        <v>22</v>
      </c>
      <c r="M1660" s="1">
        <v>2021</v>
      </c>
      <c r="N1660" s="1" t="s">
        <v>52</v>
      </c>
      <c r="O1660" s="1" t="s">
        <v>9956</v>
      </c>
      <c r="P1660" s="1" t="s">
        <v>9977</v>
      </c>
      <c r="Q1660" s="1">
        <v>15</v>
      </c>
      <c r="R1660" s="1">
        <v>142000</v>
      </c>
      <c r="S1660" s="1">
        <v>21300</v>
      </c>
    </row>
    <row r="1661" spans="1:19" ht="12.5" x14ac:dyDescent="0.25">
      <c r="A1661" s="1">
        <v>733</v>
      </c>
      <c r="B1661" s="1" t="s">
        <v>5597</v>
      </c>
      <c r="C1661" s="1" t="s">
        <v>35</v>
      </c>
      <c r="D1661" s="1" t="s">
        <v>36</v>
      </c>
      <c r="E1661" s="1">
        <v>1558</v>
      </c>
      <c r="F1661" s="1" t="s">
        <v>5592</v>
      </c>
      <c r="G1661" s="1" t="s">
        <v>5593</v>
      </c>
      <c r="H1661" s="1" t="s">
        <v>5594</v>
      </c>
      <c r="I1661" s="1" t="s">
        <v>29</v>
      </c>
      <c r="J1661" s="1" t="s">
        <v>5595</v>
      </c>
      <c r="K1661" s="1" t="b">
        <v>0</v>
      </c>
      <c r="L1661" s="1" t="s">
        <v>22</v>
      </c>
      <c r="M1661" s="1">
        <v>2021</v>
      </c>
      <c r="N1661" s="1" t="s">
        <v>52</v>
      </c>
      <c r="O1661" s="1" t="s">
        <v>9956</v>
      </c>
      <c r="P1661" s="1" t="s">
        <v>10052</v>
      </c>
      <c r="Q1661" s="1">
        <v>15</v>
      </c>
      <c r="R1661" s="1">
        <v>450000</v>
      </c>
      <c r="S1661" s="1">
        <v>67500</v>
      </c>
    </row>
    <row r="1662" spans="1:19" ht="12.5" x14ac:dyDescent="0.25">
      <c r="A1662" s="1">
        <v>733</v>
      </c>
      <c r="B1662" s="1" t="s">
        <v>5597</v>
      </c>
      <c r="C1662" s="1" t="s">
        <v>35</v>
      </c>
      <c r="D1662" s="1" t="s">
        <v>36</v>
      </c>
      <c r="E1662" s="1">
        <v>1558</v>
      </c>
      <c r="F1662" s="1" t="s">
        <v>5592</v>
      </c>
      <c r="G1662" s="1" t="s">
        <v>5593</v>
      </c>
      <c r="H1662" s="1" t="s">
        <v>5594</v>
      </c>
      <c r="I1662" s="1" t="s">
        <v>29</v>
      </c>
      <c r="J1662" s="1" t="s">
        <v>5595</v>
      </c>
      <c r="K1662" s="1" t="b">
        <v>0</v>
      </c>
      <c r="L1662" s="1" t="s">
        <v>22</v>
      </c>
      <c r="M1662" s="1">
        <v>2021</v>
      </c>
      <c r="N1662" s="1" t="s">
        <v>52</v>
      </c>
      <c r="O1662" s="1" t="s">
        <v>9956</v>
      </c>
      <c r="P1662" s="1" t="s">
        <v>9977</v>
      </c>
      <c r="Q1662" s="1">
        <v>15</v>
      </c>
      <c r="R1662" s="1">
        <v>142000</v>
      </c>
      <c r="S1662" s="1">
        <v>21300</v>
      </c>
    </row>
    <row r="1663" spans="1:19" ht="12.5" x14ac:dyDescent="0.25">
      <c r="A1663" s="1">
        <v>733</v>
      </c>
      <c r="B1663" s="1" t="s">
        <v>5597</v>
      </c>
      <c r="C1663" s="1" t="s">
        <v>35</v>
      </c>
      <c r="D1663" s="1" t="s">
        <v>36</v>
      </c>
      <c r="E1663" s="1">
        <v>1558</v>
      </c>
      <c r="F1663" s="1" t="s">
        <v>5592</v>
      </c>
      <c r="G1663" s="1" t="s">
        <v>5593</v>
      </c>
      <c r="H1663" s="1" t="s">
        <v>5594</v>
      </c>
      <c r="I1663" s="1" t="s">
        <v>29</v>
      </c>
      <c r="J1663" s="1" t="s">
        <v>5595</v>
      </c>
      <c r="K1663" s="1" t="b">
        <v>0</v>
      </c>
      <c r="L1663" s="1" t="s">
        <v>22</v>
      </c>
      <c r="M1663" s="1">
        <v>2022</v>
      </c>
      <c r="N1663" s="1" t="s">
        <v>45</v>
      </c>
      <c r="O1663" s="1" t="s">
        <v>9942</v>
      </c>
      <c r="P1663" s="1" t="s">
        <v>9942</v>
      </c>
      <c r="Q1663" s="1">
        <v>15</v>
      </c>
      <c r="R1663" s="1">
        <v>150000</v>
      </c>
      <c r="S1663" s="1">
        <v>22500</v>
      </c>
    </row>
    <row r="1664" spans="1:19" ht="12.5" x14ac:dyDescent="0.25">
      <c r="A1664" s="1">
        <v>751</v>
      </c>
      <c r="B1664" s="1" t="s">
        <v>5598</v>
      </c>
      <c r="C1664" s="1" t="s">
        <v>35</v>
      </c>
      <c r="D1664" s="1" t="s">
        <v>36</v>
      </c>
      <c r="E1664" s="1">
        <v>1558</v>
      </c>
      <c r="F1664" s="1" t="s">
        <v>5592</v>
      </c>
      <c r="G1664" s="1" t="s">
        <v>5593</v>
      </c>
      <c r="H1664" s="1" t="s">
        <v>5594</v>
      </c>
      <c r="I1664" s="1" t="s">
        <v>29</v>
      </c>
      <c r="J1664" s="1" t="s">
        <v>5595</v>
      </c>
      <c r="K1664" s="1" t="b">
        <v>0</v>
      </c>
      <c r="L1664" s="1" t="s">
        <v>22</v>
      </c>
      <c r="M1664" s="1">
        <v>2021</v>
      </c>
      <c r="N1664" s="1" t="s">
        <v>52</v>
      </c>
      <c r="O1664" s="1" t="s">
        <v>9956</v>
      </c>
      <c r="P1664" s="1" t="s">
        <v>10052</v>
      </c>
      <c r="Q1664" s="1">
        <v>15</v>
      </c>
      <c r="R1664" s="1">
        <v>450000</v>
      </c>
      <c r="S1664" s="1">
        <v>67500</v>
      </c>
    </row>
    <row r="1665" spans="1:19" ht="12.5" x14ac:dyDescent="0.25">
      <c r="A1665" s="1">
        <v>751</v>
      </c>
      <c r="B1665" s="1" t="s">
        <v>5598</v>
      </c>
      <c r="C1665" s="1" t="s">
        <v>35</v>
      </c>
      <c r="D1665" s="1" t="s">
        <v>36</v>
      </c>
      <c r="E1665" s="1">
        <v>1558</v>
      </c>
      <c r="F1665" s="1" t="s">
        <v>5592</v>
      </c>
      <c r="G1665" s="1" t="s">
        <v>5593</v>
      </c>
      <c r="H1665" s="1" t="s">
        <v>5594</v>
      </c>
      <c r="I1665" s="1" t="s">
        <v>29</v>
      </c>
      <c r="J1665" s="1" t="s">
        <v>5595</v>
      </c>
      <c r="K1665" s="1" t="b">
        <v>0</v>
      </c>
      <c r="L1665" s="1" t="s">
        <v>22</v>
      </c>
      <c r="M1665" s="1">
        <v>2021</v>
      </c>
      <c r="N1665" s="1" t="s">
        <v>52</v>
      </c>
      <c r="O1665" s="1" t="s">
        <v>9956</v>
      </c>
      <c r="P1665" s="1" t="s">
        <v>9977</v>
      </c>
      <c r="Q1665" s="1">
        <v>15</v>
      </c>
      <c r="R1665" s="1">
        <v>142000</v>
      </c>
      <c r="S1665" s="1">
        <v>21300</v>
      </c>
    </row>
    <row r="1666" spans="1:19" ht="12.5" x14ac:dyDescent="0.25">
      <c r="A1666" s="1">
        <v>751</v>
      </c>
      <c r="B1666" s="1" t="s">
        <v>5598</v>
      </c>
      <c r="C1666" s="1" t="s">
        <v>35</v>
      </c>
      <c r="D1666" s="1" t="s">
        <v>36</v>
      </c>
      <c r="E1666" s="1">
        <v>1558</v>
      </c>
      <c r="F1666" s="1" t="s">
        <v>5592</v>
      </c>
      <c r="G1666" s="1" t="s">
        <v>5593</v>
      </c>
      <c r="H1666" s="1" t="s">
        <v>5594</v>
      </c>
      <c r="I1666" s="1" t="s">
        <v>29</v>
      </c>
      <c r="J1666" s="1" t="s">
        <v>5595</v>
      </c>
      <c r="K1666" s="1" t="b">
        <v>0</v>
      </c>
      <c r="L1666" s="1" t="s">
        <v>22</v>
      </c>
      <c r="M1666" s="1">
        <v>2022</v>
      </c>
      <c r="N1666" s="1" t="s">
        <v>45</v>
      </c>
      <c r="O1666" s="1" t="s">
        <v>9942</v>
      </c>
      <c r="P1666" s="1" t="s">
        <v>9942</v>
      </c>
      <c r="Q1666" s="1">
        <v>15</v>
      </c>
      <c r="R1666" s="1">
        <v>150000</v>
      </c>
      <c r="S1666" s="1">
        <v>22500</v>
      </c>
    </row>
    <row r="1667" spans="1:19" ht="12.5" x14ac:dyDescent="0.25">
      <c r="A1667" s="1">
        <v>4523</v>
      </c>
      <c r="B1667" s="1" t="s">
        <v>5600</v>
      </c>
      <c r="C1667" s="1" t="s">
        <v>35</v>
      </c>
      <c r="D1667" s="1" t="s">
        <v>36</v>
      </c>
      <c r="E1667" s="1">
        <v>1558</v>
      </c>
      <c r="F1667" s="1" t="s">
        <v>5592</v>
      </c>
      <c r="G1667" s="1" t="s">
        <v>5593</v>
      </c>
      <c r="H1667" s="1" t="s">
        <v>5594</v>
      </c>
      <c r="I1667" s="1" t="s">
        <v>29</v>
      </c>
      <c r="J1667" s="1" t="s">
        <v>5595</v>
      </c>
      <c r="K1667" s="1" t="b">
        <v>0</v>
      </c>
      <c r="L1667" s="1" t="s">
        <v>22</v>
      </c>
      <c r="M1667" s="1">
        <v>2021</v>
      </c>
      <c r="N1667" s="1" t="s">
        <v>52</v>
      </c>
      <c r="O1667" s="1" t="s">
        <v>9956</v>
      </c>
      <c r="P1667" s="1" t="s">
        <v>10052</v>
      </c>
      <c r="Q1667" s="1">
        <v>20</v>
      </c>
      <c r="R1667" s="1">
        <v>450000</v>
      </c>
      <c r="S1667" s="1">
        <v>90000</v>
      </c>
    </row>
    <row r="1668" spans="1:19" ht="12.5" x14ac:dyDescent="0.25">
      <c r="A1668" s="1">
        <v>4523</v>
      </c>
      <c r="B1668" s="1" t="s">
        <v>5600</v>
      </c>
      <c r="C1668" s="1" t="s">
        <v>35</v>
      </c>
      <c r="D1668" s="1" t="s">
        <v>36</v>
      </c>
      <c r="E1668" s="1">
        <v>1558</v>
      </c>
      <c r="F1668" s="1" t="s">
        <v>5592</v>
      </c>
      <c r="G1668" s="1" t="s">
        <v>5593</v>
      </c>
      <c r="H1668" s="1" t="s">
        <v>5594</v>
      </c>
      <c r="I1668" s="1" t="s">
        <v>29</v>
      </c>
      <c r="J1668" s="1" t="s">
        <v>5595</v>
      </c>
      <c r="K1668" s="1" t="b">
        <v>0</v>
      </c>
      <c r="L1668" s="1" t="s">
        <v>22</v>
      </c>
      <c r="M1668" s="1">
        <v>2022</v>
      </c>
      <c r="N1668" s="1" t="s">
        <v>45</v>
      </c>
      <c r="O1668" s="1" t="s">
        <v>9942</v>
      </c>
      <c r="P1668" s="1" t="s">
        <v>9942</v>
      </c>
      <c r="Q1668" s="1">
        <v>20</v>
      </c>
      <c r="R1668" s="1">
        <v>150000</v>
      </c>
      <c r="S1668" s="1">
        <v>30000</v>
      </c>
    </row>
    <row r="1669" spans="1:19" ht="12.5" x14ac:dyDescent="0.25">
      <c r="A1669" s="1">
        <v>4523</v>
      </c>
      <c r="B1669" s="1" t="s">
        <v>5600</v>
      </c>
      <c r="C1669" s="1" t="s">
        <v>35</v>
      </c>
      <c r="D1669" s="1" t="s">
        <v>36</v>
      </c>
      <c r="E1669" s="1">
        <v>1558</v>
      </c>
      <c r="F1669" s="1" t="s">
        <v>5592</v>
      </c>
      <c r="G1669" s="1" t="s">
        <v>5593</v>
      </c>
      <c r="H1669" s="1" t="s">
        <v>5594</v>
      </c>
      <c r="I1669" s="1" t="s">
        <v>29</v>
      </c>
      <c r="J1669" s="1" t="s">
        <v>5595</v>
      </c>
      <c r="K1669" s="1" t="b">
        <v>0</v>
      </c>
      <c r="L1669" s="1" t="s">
        <v>22</v>
      </c>
      <c r="M1669" s="1">
        <v>2021</v>
      </c>
      <c r="N1669" s="1" t="s">
        <v>52</v>
      </c>
      <c r="O1669" s="1" t="s">
        <v>9956</v>
      </c>
      <c r="P1669" s="1" t="s">
        <v>9977</v>
      </c>
      <c r="Q1669" s="1">
        <v>20</v>
      </c>
      <c r="R1669" s="1">
        <v>142000</v>
      </c>
      <c r="S1669" s="1">
        <v>28400</v>
      </c>
    </row>
    <row r="1670" spans="1:19" ht="12.5" x14ac:dyDescent="0.25">
      <c r="A1670" s="1">
        <v>4524</v>
      </c>
      <c r="B1670" s="1" t="s">
        <v>5601</v>
      </c>
      <c r="C1670" s="1" t="s">
        <v>35</v>
      </c>
      <c r="D1670" s="1" t="s">
        <v>36</v>
      </c>
      <c r="E1670" s="1">
        <v>1558</v>
      </c>
      <c r="F1670" s="1" t="s">
        <v>5592</v>
      </c>
      <c r="G1670" s="1" t="s">
        <v>5593</v>
      </c>
      <c r="H1670" s="1" t="s">
        <v>5594</v>
      </c>
      <c r="I1670" s="1" t="s">
        <v>29</v>
      </c>
      <c r="J1670" s="1" t="s">
        <v>5595</v>
      </c>
      <c r="K1670" s="1" t="b">
        <v>0</v>
      </c>
      <c r="L1670" s="1" t="s">
        <v>22</v>
      </c>
      <c r="M1670" s="1">
        <v>2021</v>
      </c>
      <c r="N1670" s="1" t="s">
        <v>52</v>
      </c>
      <c r="O1670" s="1" t="s">
        <v>9956</v>
      </c>
      <c r="P1670" s="1" t="s">
        <v>10052</v>
      </c>
      <c r="Q1670" s="1">
        <v>20</v>
      </c>
      <c r="R1670" s="1">
        <v>450000</v>
      </c>
      <c r="S1670" s="1">
        <v>90000</v>
      </c>
    </row>
    <row r="1671" spans="1:19" ht="12.5" x14ac:dyDescent="0.25">
      <c r="A1671" s="1">
        <v>4524</v>
      </c>
      <c r="B1671" s="1" t="s">
        <v>5601</v>
      </c>
      <c r="C1671" s="1" t="s">
        <v>35</v>
      </c>
      <c r="D1671" s="1" t="s">
        <v>36</v>
      </c>
      <c r="E1671" s="1">
        <v>1558</v>
      </c>
      <c r="F1671" s="1" t="s">
        <v>5592</v>
      </c>
      <c r="G1671" s="1" t="s">
        <v>5593</v>
      </c>
      <c r="H1671" s="1" t="s">
        <v>5594</v>
      </c>
      <c r="I1671" s="1" t="s">
        <v>29</v>
      </c>
      <c r="J1671" s="1" t="s">
        <v>5595</v>
      </c>
      <c r="K1671" s="1" t="b">
        <v>0</v>
      </c>
      <c r="L1671" s="1" t="s">
        <v>22</v>
      </c>
      <c r="M1671" s="1">
        <v>2022</v>
      </c>
      <c r="N1671" s="1" t="s">
        <v>45</v>
      </c>
      <c r="O1671" s="1" t="s">
        <v>9942</v>
      </c>
      <c r="P1671" s="1" t="s">
        <v>9942</v>
      </c>
      <c r="Q1671" s="1">
        <v>20</v>
      </c>
      <c r="R1671" s="1">
        <v>150000</v>
      </c>
      <c r="S1671" s="1">
        <v>30000</v>
      </c>
    </row>
    <row r="1672" spans="1:19" ht="12.5" x14ac:dyDescent="0.25">
      <c r="A1672" s="1">
        <v>4524</v>
      </c>
      <c r="B1672" s="1" t="s">
        <v>5601</v>
      </c>
      <c r="C1672" s="1" t="s">
        <v>35</v>
      </c>
      <c r="D1672" s="1" t="s">
        <v>36</v>
      </c>
      <c r="E1672" s="1">
        <v>1558</v>
      </c>
      <c r="F1672" s="1" t="s">
        <v>5592</v>
      </c>
      <c r="G1672" s="1" t="s">
        <v>5593</v>
      </c>
      <c r="H1672" s="1" t="s">
        <v>5594</v>
      </c>
      <c r="I1672" s="1" t="s">
        <v>29</v>
      </c>
      <c r="J1672" s="1" t="s">
        <v>5595</v>
      </c>
      <c r="K1672" s="1" t="b">
        <v>0</v>
      </c>
      <c r="L1672" s="1" t="s">
        <v>22</v>
      </c>
      <c r="M1672" s="1">
        <v>2021</v>
      </c>
      <c r="N1672" s="1" t="s">
        <v>52</v>
      </c>
      <c r="O1672" s="1" t="s">
        <v>9956</v>
      </c>
      <c r="P1672" s="1" t="s">
        <v>9977</v>
      </c>
      <c r="Q1672" s="1">
        <v>20</v>
      </c>
      <c r="R1672" s="1">
        <v>142000</v>
      </c>
      <c r="S1672" s="1">
        <v>28400</v>
      </c>
    </row>
    <row r="1673" spans="1:19" ht="12.5" x14ac:dyDescent="0.25">
      <c r="A1673" s="1">
        <v>611</v>
      </c>
      <c r="B1673" s="1" t="s">
        <v>5602</v>
      </c>
      <c r="C1673" s="1" t="s">
        <v>35</v>
      </c>
      <c r="D1673" s="1" t="s">
        <v>36</v>
      </c>
      <c r="E1673" s="1">
        <v>1602</v>
      </c>
      <c r="F1673" s="1" t="s">
        <v>5603</v>
      </c>
      <c r="G1673" s="1" t="s">
        <v>5604</v>
      </c>
      <c r="H1673" s="1" t="s">
        <v>5605</v>
      </c>
      <c r="I1673" s="1" t="s">
        <v>29</v>
      </c>
      <c r="J1673" s="1" t="s">
        <v>5606</v>
      </c>
      <c r="K1673" s="1" t="b">
        <v>0</v>
      </c>
      <c r="L1673" s="1" t="s">
        <v>22</v>
      </c>
      <c r="M1673" s="1">
        <v>2023</v>
      </c>
      <c r="N1673" s="1" t="s">
        <v>45</v>
      </c>
      <c r="O1673" s="1" t="s">
        <v>9935</v>
      </c>
      <c r="P1673" s="1" t="s">
        <v>16</v>
      </c>
      <c r="Q1673" s="1">
        <v>0</v>
      </c>
      <c r="R1673" s="1">
        <v>155300</v>
      </c>
      <c r="S1673" s="1">
        <v>0</v>
      </c>
    </row>
    <row r="1674" spans="1:19" ht="12.5" x14ac:dyDescent="0.25">
      <c r="A1674" s="1">
        <v>611</v>
      </c>
      <c r="B1674" s="1" t="s">
        <v>5602</v>
      </c>
      <c r="C1674" s="1" t="s">
        <v>35</v>
      </c>
      <c r="D1674" s="1" t="s">
        <v>36</v>
      </c>
      <c r="E1674" s="1">
        <v>1602</v>
      </c>
      <c r="F1674" s="1" t="s">
        <v>5603</v>
      </c>
      <c r="G1674" s="1" t="s">
        <v>5604</v>
      </c>
      <c r="H1674" s="1" t="s">
        <v>5605</v>
      </c>
      <c r="I1674" s="1" t="s">
        <v>29</v>
      </c>
      <c r="J1674" s="1" t="s">
        <v>5606</v>
      </c>
      <c r="K1674" s="1" t="b">
        <v>0</v>
      </c>
      <c r="L1674" s="1" t="s">
        <v>22</v>
      </c>
      <c r="M1674" s="1">
        <v>2023</v>
      </c>
      <c r="N1674" s="1" t="s">
        <v>45</v>
      </c>
      <c r="O1674" s="1" t="s">
        <v>9942</v>
      </c>
      <c r="P1674" s="1" t="s">
        <v>16</v>
      </c>
      <c r="Q1674" s="1">
        <v>0</v>
      </c>
      <c r="R1674" s="1">
        <v>47000</v>
      </c>
      <c r="S1674" s="1">
        <v>0</v>
      </c>
    </row>
    <row r="1675" spans="1:19" ht="12.5" x14ac:dyDescent="0.25">
      <c r="A1675" s="1">
        <v>1717</v>
      </c>
      <c r="B1675" s="1" t="s">
        <v>5607</v>
      </c>
      <c r="C1675" s="1" t="s">
        <v>35</v>
      </c>
      <c r="D1675" s="1" t="s">
        <v>152</v>
      </c>
      <c r="E1675" s="1">
        <v>1602</v>
      </c>
      <c r="F1675" s="1" t="s">
        <v>5603</v>
      </c>
      <c r="G1675" s="1" t="s">
        <v>5604</v>
      </c>
      <c r="H1675" s="1" t="s">
        <v>5605</v>
      </c>
      <c r="I1675" s="1" t="s">
        <v>29</v>
      </c>
      <c r="J1675" s="1" t="s">
        <v>5606</v>
      </c>
      <c r="K1675" s="1" t="b">
        <v>0</v>
      </c>
      <c r="L1675" s="1" t="s">
        <v>22</v>
      </c>
      <c r="M1675" s="1">
        <v>2023</v>
      </c>
      <c r="N1675" s="1" t="s">
        <v>45</v>
      </c>
      <c r="O1675" s="1" t="s">
        <v>9935</v>
      </c>
      <c r="P1675" s="1" t="s">
        <v>16</v>
      </c>
      <c r="Q1675" s="1">
        <v>100</v>
      </c>
      <c r="R1675" s="1">
        <v>155300</v>
      </c>
      <c r="S1675" s="1">
        <v>155300</v>
      </c>
    </row>
    <row r="1676" spans="1:19" ht="12.5" x14ac:dyDescent="0.25">
      <c r="A1676" s="1">
        <v>1717</v>
      </c>
      <c r="B1676" s="1" t="s">
        <v>5607</v>
      </c>
      <c r="C1676" s="1" t="s">
        <v>35</v>
      </c>
      <c r="D1676" s="1" t="s">
        <v>152</v>
      </c>
      <c r="E1676" s="1">
        <v>1602</v>
      </c>
      <c r="F1676" s="1" t="s">
        <v>5603</v>
      </c>
      <c r="G1676" s="1" t="s">
        <v>5604</v>
      </c>
      <c r="H1676" s="1" t="s">
        <v>5605</v>
      </c>
      <c r="I1676" s="1" t="s">
        <v>29</v>
      </c>
      <c r="J1676" s="1" t="s">
        <v>5606</v>
      </c>
      <c r="K1676" s="1" t="b">
        <v>0</v>
      </c>
      <c r="L1676" s="1" t="s">
        <v>22</v>
      </c>
      <c r="M1676" s="1">
        <v>2023</v>
      </c>
      <c r="N1676" s="1" t="s">
        <v>45</v>
      </c>
      <c r="O1676" s="1" t="s">
        <v>9942</v>
      </c>
      <c r="P1676" s="1" t="s">
        <v>16</v>
      </c>
      <c r="Q1676" s="1">
        <v>100</v>
      </c>
      <c r="R1676" s="1">
        <v>47000</v>
      </c>
      <c r="S1676" s="1">
        <v>47000</v>
      </c>
    </row>
    <row r="1677" spans="1:19" ht="12.5" x14ac:dyDescent="0.25">
      <c r="A1677" s="1">
        <v>1713</v>
      </c>
      <c r="B1677" s="1" t="s">
        <v>5609</v>
      </c>
      <c r="C1677" s="1" t="s">
        <v>35</v>
      </c>
      <c r="D1677" s="1" t="s">
        <v>152</v>
      </c>
      <c r="E1677" s="1">
        <v>1603</v>
      </c>
      <c r="F1677" s="1" t="s">
        <v>5611</v>
      </c>
      <c r="G1677" s="1" t="s">
        <v>5612</v>
      </c>
      <c r="H1677" s="1" t="s">
        <v>5613</v>
      </c>
      <c r="I1677" s="1" t="s">
        <v>29</v>
      </c>
      <c r="J1677" s="1" t="s">
        <v>5614</v>
      </c>
      <c r="K1677" s="1" t="b">
        <v>1</v>
      </c>
      <c r="L1677" s="1" t="s">
        <v>31</v>
      </c>
      <c r="M1677" s="1">
        <v>2022</v>
      </c>
      <c r="N1677" s="1" t="s">
        <v>45</v>
      </c>
      <c r="O1677" s="1" t="s">
        <v>9935</v>
      </c>
      <c r="P1677" s="1"/>
      <c r="Q1677" s="1">
        <v>100</v>
      </c>
      <c r="R1677" s="1">
        <v>45000</v>
      </c>
      <c r="S1677" s="1">
        <v>45000</v>
      </c>
    </row>
    <row r="1678" spans="1:19" ht="12.5" x14ac:dyDescent="0.25">
      <c r="A1678" s="1" t="s">
        <v>16</v>
      </c>
      <c r="B1678" s="1" t="s">
        <v>16</v>
      </c>
      <c r="C1678" s="1" t="s">
        <v>16</v>
      </c>
      <c r="D1678" s="1" t="s">
        <v>16</v>
      </c>
      <c r="E1678" s="1">
        <v>1604</v>
      </c>
      <c r="F1678" s="1" t="s">
        <v>5615</v>
      </c>
      <c r="G1678" s="1" t="s">
        <v>5616</v>
      </c>
      <c r="H1678" s="1" t="s">
        <v>5617</v>
      </c>
      <c r="I1678" s="1" t="s">
        <v>29</v>
      </c>
      <c r="J1678" s="1" t="s">
        <v>16</v>
      </c>
      <c r="K1678" s="1" t="b">
        <v>0</v>
      </c>
      <c r="L1678" s="1" t="s">
        <v>22</v>
      </c>
      <c r="M1678" s="1" t="s">
        <v>16</v>
      </c>
      <c r="N1678" s="1" t="s">
        <v>16</v>
      </c>
      <c r="O1678" s="1" t="s">
        <v>16</v>
      </c>
      <c r="P1678" s="1" t="s">
        <v>16</v>
      </c>
    </row>
    <row r="1679" spans="1:19" ht="12.5" x14ac:dyDescent="0.25">
      <c r="A1679" s="1">
        <v>1005</v>
      </c>
      <c r="B1679" s="1" t="s">
        <v>5618</v>
      </c>
      <c r="C1679" s="1" t="s">
        <v>35</v>
      </c>
      <c r="D1679" s="1" t="s">
        <v>152</v>
      </c>
      <c r="E1679" s="1">
        <v>1605</v>
      </c>
      <c r="F1679" s="1" t="s">
        <v>5620</v>
      </c>
      <c r="G1679" s="1" t="s">
        <v>5621</v>
      </c>
      <c r="H1679" s="1" t="s">
        <v>16</v>
      </c>
      <c r="I1679" s="1" t="s">
        <v>29</v>
      </c>
      <c r="J1679" s="1" t="s">
        <v>16</v>
      </c>
      <c r="K1679" s="1" t="b">
        <v>0</v>
      </c>
      <c r="L1679" s="1" t="s">
        <v>22</v>
      </c>
      <c r="M1679" s="1" t="s">
        <v>16</v>
      </c>
      <c r="N1679" s="1" t="s">
        <v>16</v>
      </c>
      <c r="O1679" s="1" t="s">
        <v>16</v>
      </c>
      <c r="P1679" s="1" t="s">
        <v>16</v>
      </c>
      <c r="Q1679" s="1">
        <v>100</v>
      </c>
    </row>
    <row r="1680" spans="1:19" ht="12.5" x14ac:dyDescent="0.25">
      <c r="A1680" s="1">
        <v>653</v>
      </c>
      <c r="B1680" s="1" t="s">
        <v>2659</v>
      </c>
      <c r="C1680" s="1" t="s">
        <v>35</v>
      </c>
      <c r="D1680" s="1" t="s">
        <v>36</v>
      </c>
      <c r="E1680" s="1">
        <v>1606</v>
      </c>
      <c r="F1680" s="1" t="s">
        <v>5622</v>
      </c>
      <c r="G1680" s="1" t="s">
        <v>5623</v>
      </c>
      <c r="H1680" s="1"/>
      <c r="I1680" s="1" t="s">
        <v>29</v>
      </c>
      <c r="J1680" s="1" t="s">
        <v>16</v>
      </c>
      <c r="K1680" s="1" t="b">
        <v>0</v>
      </c>
      <c r="L1680" s="1" t="s">
        <v>22</v>
      </c>
      <c r="M1680" s="1">
        <v>2022</v>
      </c>
      <c r="N1680" s="1" t="s">
        <v>16</v>
      </c>
      <c r="O1680" s="1" t="s">
        <v>9935</v>
      </c>
      <c r="P1680" s="1" t="s">
        <v>16</v>
      </c>
      <c r="Q1680" s="1">
        <v>100</v>
      </c>
      <c r="R1680" s="1">
        <v>100000</v>
      </c>
      <c r="S1680" s="1">
        <v>100000</v>
      </c>
    </row>
    <row r="1681" spans="1:19" ht="12.5" x14ac:dyDescent="0.25">
      <c r="A1681" s="1">
        <v>464</v>
      </c>
      <c r="B1681" s="1" t="s">
        <v>1895</v>
      </c>
      <c r="C1681" s="1" t="s">
        <v>35</v>
      </c>
      <c r="D1681" s="1" t="s">
        <v>36</v>
      </c>
      <c r="E1681" s="1">
        <v>1607</v>
      </c>
      <c r="F1681" s="1" t="s">
        <v>5624</v>
      </c>
      <c r="G1681" s="1" t="s">
        <v>5625</v>
      </c>
      <c r="H1681" s="1" t="s">
        <v>2023</v>
      </c>
      <c r="I1681" s="1" t="s">
        <v>29</v>
      </c>
      <c r="J1681" s="1" t="s">
        <v>5626</v>
      </c>
      <c r="K1681" s="1" t="b">
        <v>0</v>
      </c>
      <c r="L1681" s="1" t="s">
        <v>22</v>
      </c>
      <c r="M1681" s="1">
        <v>2022</v>
      </c>
      <c r="N1681" s="1" t="s">
        <v>23</v>
      </c>
      <c r="O1681" s="1" t="s">
        <v>9935</v>
      </c>
      <c r="P1681" s="1" t="s">
        <v>16</v>
      </c>
      <c r="Q1681" s="1">
        <v>100</v>
      </c>
      <c r="R1681" s="1">
        <v>95000</v>
      </c>
      <c r="S1681" s="1">
        <v>95000</v>
      </c>
    </row>
    <row r="1682" spans="1:19" ht="12.5" x14ac:dyDescent="0.25">
      <c r="A1682" s="1" t="s">
        <v>16</v>
      </c>
      <c r="B1682" s="1" t="s">
        <v>16</v>
      </c>
      <c r="C1682" s="1" t="s">
        <v>16</v>
      </c>
      <c r="D1682" s="1" t="s">
        <v>16</v>
      </c>
      <c r="E1682" s="1">
        <v>1608</v>
      </c>
      <c r="F1682" s="1" t="s">
        <v>5627</v>
      </c>
      <c r="G1682" s="1" t="s">
        <v>5628</v>
      </c>
      <c r="H1682" s="1" t="s">
        <v>5629</v>
      </c>
      <c r="I1682" s="1" t="s">
        <v>29</v>
      </c>
      <c r="J1682" s="1" t="s">
        <v>5630</v>
      </c>
      <c r="K1682" s="1" t="b">
        <v>0</v>
      </c>
      <c r="L1682" s="1" t="s">
        <v>22</v>
      </c>
      <c r="M1682" s="1">
        <v>2022</v>
      </c>
      <c r="N1682" s="1" t="s">
        <v>45</v>
      </c>
      <c r="O1682" s="1" t="s">
        <v>9935</v>
      </c>
      <c r="P1682" s="1" t="s">
        <v>16</v>
      </c>
      <c r="R1682" s="1">
        <v>43000</v>
      </c>
    </row>
    <row r="1683" spans="1:19" ht="12.5" x14ac:dyDescent="0.25">
      <c r="A1683" s="1" t="s">
        <v>16</v>
      </c>
      <c r="B1683" s="1" t="s">
        <v>16</v>
      </c>
      <c r="C1683" s="1" t="s">
        <v>16</v>
      </c>
      <c r="D1683" s="1" t="s">
        <v>16</v>
      </c>
      <c r="E1683" s="1">
        <v>1608</v>
      </c>
      <c r="F1683" s="1" t="s">
        <v>5627</v>
      </c>
      <c r="G1683" s="1" t="s">
        <v>5628</v>
      </c>
      <c r="H1683" s="1" t="s">
        <v>5629</v>
      </c>
      <c r="I1683" s="1" t="s">
        <v>29</v>
      </c>
      <c r="J1683" s="1" t="s">
        <v>5630</v>
      </c>
      <c r="K1683" s="1" t="b">
        <v>0</v>
      </c>
      <c r="L1683" s="1" t="s">
        <v>22</v>
      </c>
      <c r="M1683" s="1">
        <v>2022</v>
      </c>
      <c r="N1683" s="1" t="s">
        <v>45</v>
      </c>
      <c r="O1683" s="1" t="s">
        <v>9942</v>
      </c>
      <c r="P1683" s="1" t="s">
        <v>16</v>
      </c>
      <c r="R1683" s="1">
        <v>199000</v>
      </c>
    </row>
    <row r="1684" spans="1:19" ht="12.5" x14ac:dyDescent="0.25">
      <c r="A1684" s="1">
        <v>1691</v>
      </c>
      <c r="B1684" s="1" t="s">
        <v>5631</v>
      </c>
      <c r="C1684" s="1" t="s">
        <v>35</v>
      </c>
      <c r="D1684" s="1" t="s">
        <v>152</v>
      </c>
      <c r="E1684" s="1">
        <v>1609</v>
      </c>
      <c r="F1684" s="1" t="s">
        <v>5632</v>
      </c>
      <c r="G1684" s="1" t="s">
        <v>5633</v>
      </c>
      <c r="H1684" s="1" t="s">
        <v>16</v>
      </c>
      <c r="I1684" s="1" t="s">
        <v>29</v>
      </c>
      <c r="J1684" s="1" t="s">
        <v>5634</v>
      </c>
      <c r="K1684" s="1" t="b">
        <v>0</v>
      </c>
      <c r="L1684" s="1" t="s">
        <v>22</v>
      </c>
      <c r="M1684" s="1">
        <v>2021</v>
      </c>
      <c r="N1684" s="1" t="s">
        <v>23</v>
      </c>
      <c r="O1684" s="1" t="s">
        <v>9935</v>
      </c>
      <c r="P1684" s="1" t="s">
        <v>16</v>
      </c>
      <c r="Q1684" s="1">
        <v>100</v>
      </c>
      <c r="R1684" s="1">
        <v>3500</v>
      </c>
      <c r="S1684" s="1">
        <v>3500</v>
      </c>
    </row>
    <row r="1685" spans="1:19" ht="12.5" x14ac:dyDescent="0.25">
      <c r="A1685" s="1">
        <v>1693</v>
      </c>
      <c r="B1685" s="1" t="s">
        <v>5353</v>
      </c>
      <c r="C1685" s="1" t="s">
        <v>35</v>
      </c>
      <c r="D1685" s="1" t="s">
        <v>152</v>
      </c>
      <c r="E1685" s="1">
        <v>1610</v>
      </c>
      <c r="F1685" s="1" t="s">
        <v>5635</v>
      </c>
      <c r="G1685" s="1" t="s">
        <v>5636</v>
      </c>
      <c r="H1685" s="1" t="s">
        <v>5637</v>
      </c>
      <c r="I1685" s="1" t="s">
        <v>29</v>
      </c>
      <c r="J1685" s="1" t="s">
        <v>5638</v>
      </c>
      <c r="K1685" s="1" t="b">
        <v>0</v>
      </c>
      <c r="L1685" s="1" t="s">
        <v>22</v>
      </c>
      <c r="M1685" s="1">
        <v>2021</v>
      </c>
      <c r="N1685" s="1" t="s">
        <v>23</v>
      </c>
      <c r="O1685" s="1" t="s">
        <v>9935</v>
      </c>
      <c r="P1685" s="1" t="s">
        <v>16</v>
      </c>
      <c r="Q1685" s="1">
        <v>100</v>
      </c>
      <c r="R1685" s="1">
        <v>3500</v>
      </c>
      <c r="S1685" s="1">
        <v>3500</v>
      </c>
    </row>
    <row r="1686" spans="1:19" ht="12.5" x14ac:dyDescent="0.25">
      <c r="A1686" s="1">
        <v>815</v>
      </c>
      <c r="B1686" s="1" t="s">
        <v>5639</v>
      </c>
      <c r="C1686" s="1" t="s">
        <v>35</v>
      </c>
      <c r="D1686" s="1" t="s">
        <v>36</v>
      </c>
      <c r="E1686" s="1">
        <v>1611</v>
      </c>
      <c r="F1686" s="1" t="s">
        <v>5640</v>
      </c>
      <c r="G1686" s="1" t="s">
        <v>5641</v>
      </c>
      <c r="H1686" s="1" t="s">
        <v>5642</v>
      </c>
      <c r="I1686" s="1" t="s">
        <v>29</v>
      </c>
      <c r="J1686" s="1" t="s">
        <v>5643</v>
      </c>
      <c r="K1686" s="1" t="b">
        <v>0</v>
      </c>
      <c r="L1686" s="1" t="s">
        <v>22</v>
      </c>
      <c r="M1686" s="1" t="s">
        <v>16</v>
      </c>
      <c r="N1686" s="1" t="s">
        <v>16</v>
      </c>
      <c r="O1686" s="1" t="s">
        <v>9935</v>
      </c>
      <c r="P1686" s="1" t="s">
        <v>16</v>
      </c>
      <c r="Q1686" s="1">
        <v>100</v>
      </c>
      <c r="R1686" s="1">
        <v>1</v>
      </c>
      <c r="S1686" s="1">
        <v>1</v>
      </c>
    </row>
    <row r="1687" spans="1:19" ht="12.5" x14ac:dyDescent="0.25">
      <c r="A1687" s="1">
        <v>793</v>
      </c>
      <c r="B1687" s="1" t="s">
        <v>5644</v>
      </c>
      <c r="C1687" s="1" t="s">
        <v>35</v>
      </c>
      <c r="D1687" s="1" t="s">
        <v>36</v>
      </c>
      <c r="E1687" s="1">
        <v>1612</v>
      </c>
      <c r="F1687" s="1" t="s">
        <v>5645</v>
      </c>
      <c r="G1687" s="1" t="s">
        <v>5646</v>
      </c>
      <c r="H1687" s="1" t="s">
        <v>5647</v>
      </c>
      <c r="I1687" s="1" t="s">
        <v>29</v>
      </c>
      <c r="J1687" s="1" t="s">
        <v>5648</v>
      </c>
      <c r="K1687" s="1" t="b">
        <v>0</v>
      </c>
      <c r="L1687" s="1" t="s">
        <v>22</v>
      </c>
      <c r="M1687" s="1" t="s">
        <v>16</v>
      </c>
      <c r="N1687" s="1" t="s">
        <v>16</v>
      </c>
      <c r="O1687" s="1" t="s">
        <v>9935</v>
      </c>
      <c r="P1687" s="1" t="s">
        <v>16</v>
      </c>
      <c r="Q1687" s="1">
        <v>100</v>
      </c>
      <c r="R1687" s="1">
        <v>100000</v>
      </c>
      <c r="S1687" s="1">
        <v>100000</v>
      </c>
    </row>
    <row r="1688" spans="1:19" ht="12.5" x14ac:dyDescent="0.25">
      <c r="A1688" s="1">
        <v>778</v>
      </c>
      <c r="B1688" s="1" t="s">
        <v>5649</v>
      </c>
      <c r="C1688" s="1" t="s">
        <v>35</v>
      </c>
      <c r="D1688" s="1" t="s">
        <v>36</v>
      </c>
      <c r="E1688" s="1">
        <v>1613</v>
      </c>
      <c r="F1688" s="1" t="s">
        <v>5650</v>
      </c>
      <c r="G1688" s="1" t="s">
        <v>5651</v>
      </c>
      <c r="H1688" s="1" t="s">
        <v>5652</v>
      </c>
      <c r="I1688" s="1" t="s">
        <v>29</v>
      </c>
      <c r="J1688" s="1" t="s">
        <v>5653</v>
      </c>
      <c r="K1688" s="1" t="b">
        <v>0</v>
      </c>
      <c r="L1688" s="1" t="s">
        <v>22</v>
      </c>
      <c r="M1688" s="1" t="s">
        <v>16</v>
      </c>
      <c r="N1688" s="1" t="s">
        <v>16</v>
      </c>
      <c r="O1688" s="1" t="s">
        <v>9935</v>
      </c>
      <c r="P1688" s="1" t="s">
        <v>16</v>
      </c>
      <c r="Q1688" s="1">
        <v>100</v>
      </c>
      <c r="R1688" s="1">
        <v>1</v>
      </c>
      <c r="S1688" s="1">
        <v>1</v>
      </c>
    </row>
    <row r="1689" spans="1:19" ht="12.5" x14ac:dyDescent="0.25">
      <c r="A1689" s="1">
        <v>2002</v>
      </c>
      <c r="B1689" s="1" t="s">
        <v>5654</v>
      </c>
      <c r="C1689" s="1" t="s">
        <v>15</v>
      </c>
      <c r="D1689" s="1" t="s">
        <v>15</v>
      </c>
      <c r="E1689" s="1">
        <v>1614</v>
      </c>
      <c r="F1689" s="1" t="s">
        <v>5655</v>
      </c>
      <c r="G1689" s="1" t="s">
        <v>5656</v>
      </c>
      <c r="H1689" s="1" t="s">
        <v>5657</v>
      </c>
      <c r="I1689" s="1" t="s">
        <v>29</v>
      </c>
      <c r="J1689" s="1" t="s">
        <v>5658</v>
      </c>
      <c r="K1689" s="1" t="b">
        <v>0</v>
      </c>
      <c r="L1689" s="1" t="s">
        <v>22</v>
      </c>
      <c r="M1689" s="1">
        <v>2021</v>
      </c>
      <c r="N1689" s="1" t="s">
        <v>45</v>
      </c>
      <c r="O1689" s="1" t="s">
        <v>9935</v>
      </c>
      <c r="P1689" s="1" t="s">
        <v>16</v>
      </c>
      <c r="Q1689" s="1">
        <v>100</v>
      </c>
      <c r="R1689" s="1">
        <v>44500</v>
      </c>
      <c r="S1689" s="1">
        <v>44500</v>
      </c>
    </row>
    <row r="1690" spans="1:19" ht="12.5" x14ac:dyDescent="0.25">
      <c r="A1690" s="1">
        <v>1672</v>
      </c>
      <c r="B1690" s="1" t="s">
        <v>5293</v>
      </c>
      <c r="C1690" s="1" t="s">
        <v>35</v>
      </c>
      <c r="D1690" s="1" t="s">
        <v>152</v>
      </c>
      <c r="E1690" s="1">
        <v>1615</v>
      </c>
      <c r="F1690" s="1" t="s">
        <v>5659</v>
      </c>
      <c r="G1690" s="1" t="s">
        <v>5660</v>
      </c>
      <c r="H1690" s="1" t="s">
        <v>5661</v>
      </c>
      <c r="I1690" s="1" t="s">
        <v>29</v>
      </c>
      <c r="J1690" s="1" t="s">
        <v>5662</v>
      </c>
      <c r="K1690" s="1" t="b">
        <v>0</v>
      </c>
      <c r="L1690" s="1" t="s">
        <v>22</v>
      </c>
      <c r="M1690" s="1">
        <v>2022</v>
      </c>
      <c r="N1690" s="1" t="s">
        <v>23</v>
      </c>
      <c r="O1690" s="1" t="s">
        <v>9935</v>
      </c>
      <c r="P1690" s="1" t="s">
        <v>16</v>
      </c>
      <c r="Q1690" s="1">
        <v>100</v>
      </c>
      <c r="R1690" s="1">
        <v>500</v>
      </c>
      <c r="S1690" s="1">
        <v>500</v>
      </c>
    </row>
    <row r="1691" spans="1:19" ht="12.5" x14ac:dyDescent="0.25">
      <c r="A1691" s="1">
        <v>807</v>
      </c>
      <c r="B1691" s="1" t="s">
        <v>5663</v>
      </c>
      <c r="C1691" s="1" t="s">
        <v>35</v>
      </c>
      <c r="D1691" s="1" t="s">
        <v>36</v>
      </c>
      <c r="E1691" s="1">
        <v>1616</v>
      </c>
      <c r="F1691" s="1" t="s">
        <v>5664</v>
      </c>
      <c r="G1691" s="1" t="s">
        <v>5665</v>
      </c>
      <c r="H1691" s="1" t="s">
        <v>5666</v>
      </c>
      <c r="I1691" s="1" t="s">
        <v>29</v>
      </c>
      <c r="J1691" s="1" t="s">
        <v>5667</v>
      </c>
      <c r="K1691" s="1" t="b">
        <v>1</v>
      </c>
      <c r="L1691" s="1" t="s">
        <v>31</v>
      </c>
      <c r="M1691" s="1" t="s">
        <v>16</v>
      </c>
      <c r="N1691" s="1" t="s">
        <v>16</v>
      </c>
      <c r="O1691" s="1" t="s">
        <v>9935</v>
      </c>
      <c r="P1691" s="1" t="s">
        <v>16</v>
      </c>
      <c r="Q1691" s="1">
        <v>100</v>
      </c>
      <c r="R1691" s="1">
        <v>500000</v>
      </c>
      <c r="S1691" s="1">
        <v>500000</v>
      </c>
    </row>
    <row r="1692" spans="1:19" ht="12.5" x14ac:dyDescent="0.25">
      <c r="A1692" s="1">
        <v>2004</v>
      </c>
      <c r="B1692" s="1" t="s">
        <v>5668</v>
      </c>
      <c r="C1692" s="1" t="s">
        <v>35</v>
      </c>
      <c r="D1692" s="1" t="s">
        <v>5669</v>
      </c>
      <c r="E1692" s="1">
        <v>1617</v>
      </c>
      <c r="F1692" s="1" t="s">
        <v>5670</v>
      </c>
      <c r="G1692" s="1" t="s">
        <v>5671</v>
      </c>
      <c r="H1692" s="1" t="s">
        <v>5672</v>
      </c>
      <c r="I1692" s="1" t="s">
        <v>29</v>
      </c>
      <c r="J1692" s="1" t="s">
        <v>5673</v>
      </c>
      <c r="K1692" s="1" t="b">
        <v>0</v>
      </c>
      <c r="L1692" s="1" t="s">
        <v>22</v>
      </c>
      <c r="M1692" s="1">
        <v>2022</v>
      </c>
      <c r="N1692" s="1" t="s">
        <v>45</v>
      </c>
      <c r="O1692" s="1" t="s">
        <v>9935</v>
      </c>
      <c r="P1692" s="1" t="s">
        <v>10043</v>
      </c>
      <c r="Q1692" s="1">
        <v>100</v>
      </c>
      <c r="R1692" s="1">
        <v>10000</v>
      </c>
      <c r="S1692" s="1">
        <v>10000</v>
      </c>
    </row>
    <row r="1693" spans="1:19" ht="12.5" x14ac:dyDescent="0.25">
      <c r="A1693" s="1" t="s">
        <v>16</v>
      </c>
      <c r="B1693" s="1" t="s">
        <v>16</v>
      </c>
      <c r="C1693" s="1" t="s">
        <v>16</v>
      </c>
      <c r="D1693" s="1" t="s">
        <v>16</v>
      </c>
      <c r="E1693" s="1">
        <v>1618</v>
      </c>
      <c r="F1693" s="1" t="s">
        <v>5674</v>
      </c>
      <c r="G1693" s="1" t="s">
        <v>5675</v>
      </c>
      <c r="H1693" s="1" t="s">
        <v>2764</v>
      </c>
      <c r="I1693" s="1" t="s">
        <v>29</v>
      </c>
      <c r="J1693" s="1" t="s">
        <v>5676</v>
      </c>
      <c r="K1693" s="1" t="b">
        <v>0</v>
      </c>
      <c r="L1693" s="1" t="s">
        <v>22</v>
      </c>
      <c r="M1693" s="1" t="s">
        <v>16</v>
      </c>
      <c r="N1693" s="1" t="s">
        <v>16</v>
      </c>
      <c r="O1693" s="1" t="s">
        <v>9935</v>
      </c>
      <c r="P1693" s="1" t="s">
        <v>16</v>
      </c>
      <c r="R1693" s="1">
        <v>1</v>
      </c>
    </row>
    <row r="1694" spans="1:19" ht="12.5" x14ac:dyDescent="0.25">
      <c r="A1694" s="1">
        <v>799</v>
      </c>
      <c r="B1694" s="1" t="s">
        <v>5677</v>
      </c>
      <c r="C1694" s="1" t="s">
        <v>35</v>
      </c>
      <c r="D1694" s="1" t="s">
        <v>36</v>
      </c>
      <c r="E1694" s="1">
        <v>1619</v>
      </c>
      <c r="F1694" s="1" t="s">
        <v>5678</v>
      </c>
      <c r="G1694" s="1" t="s">
        <v>5679</v>
      </c>
      <c r="H1694" s="1" t="s">
        <v>16</v>
      </c>
      <c r="I1694" s="1" t="s">
        <v>29</v>
      </c>
      <c r="J1694" s="1" t="s">
        <v>16</v>
      </c>
      <c r="K1694" s="1" t="b">
        <v>0</v>
      </c>
      <c r="L1694" s="1" t="s">
        <v>22</v>
      </c>
      <c r="M1694" s="1">
        <v>2022</v>
      </c>
      <c r="N1694" s="1" t="s">
        <v>16</v>
      </c>
      <c r="O1694" s="1" t="s">
        <v>9942</v>
      </c>
      <c r="P1694" s="1" t="s">
        <v>10053</v>
      </c>
      <c r="Q1694" s="1">
        <v>100</v>
      </c>
      <c r="R1694" s="1">
        <v>200000</v>
      </c>
      <c r="S1694" s="1">
        <v>200000</v>
      </c>
    </row>
    <row r="1695" spans="1:19" ht="12.5" x14ac:dyDescent="0.25">
      <c r="A1695" s="1">
        <v>765</v>
      </c>
      <c r="B1695" s="1" t="s">
        <v>5680</v>
      </c>
      <c r="C1695" s="1" t="s">
        <v>35</v>
      </c>
      <c r="D1695" s="1" t="s">
        <v>36</v>
      </c>
      <c r="E1695" s="1">
        <v>1620</v>
      </c>
      <c r="F1695" s="1" t="s">
        <v>5681</v>
      </c>
      <c r="G1695" s="1" t="s">
        <v>5682</v>
      </c>
      <c r="H1695" s="1" t="s">
        <v>16</v>
      </c>
      <c r="I1695" s="1" t="s">
        <v>29</v>
      </c>
      <c r="J1695" s="1" t="s">
        <v>16</v>
      </c>
      <c r="K1695" s="1" t="b">
        <v>0</v>
      </c>
      <c r="L1695" s="1" t="s">
        <v>22</v>
      </c>
      <c r="M1695" s="1">
        <v>2022</v>
      </c>
      <c r="N1695" s="1" t="s">
        <v>16</v>
      </c>
      <c r="O1695" s="1" t="s">
        <v>9942</v>
      </c>
      <c r="P1695" s="1" t="s">
        <v>10054</v>
      </c>
      <c r="Q1695" s="1">
        <v>100</v>
      </c>
      <c r="R1695" s="1">
        <v>200000</v>
      </c>
      <c r="S1695" s="1">
        <v>200000</v>
      </c>
    </row>
    <row r="1696" spans="1:19" ht="12.5" x14ac:dyDescent="0.25">
      <c r="A1696" s="1">
        <v>2053</v>
      </c>
      <c r="B1696" s="1" t="s">
        <v>5683</v>
      </c>
      <c r="C1696" s="1" t="s">
        <v>15</v>
      </c>
      <c r="D1696" s="1" t="s">
        <v>15</v>
      </c>
      <c r="E1696" s="1">
        <v>1652</v>
      </c>
      <c r="F1696" s="1" t="s">
        <v>5685</v>
      </c>
      <c r="G1696" s="1" t="s">
        <v>5686</v>
      </c>
      <c r="H1696" s="1" t="s">
        <v>5684</v>
      </c>
      <c r="I1696" s="1" t="s">
        <v>29</v>
      </c>
      <c r="J1696" s="1" t="s">
        <v>16</v>
      </c>
      <c r="K1696" s="1" t="b">
        <v>0</v>
      </c>
      <c r="L1696" s="1" t="s">
        <v>22</v>
      </c>
      <c r="M1696" s="1" t="s">
        <v>16</v>
      </c>
      <c r="N1696" s="1" t="s">
        <v>16</v>
      </c>
      <c r="O1696" s="1" t="s">
        <v>9935</v>
      </c>
      <c r="P1696" s="1" t="s">
        <v>16</v>
      </c>
      <c r="Q1696" s="1">
        <v>100</v>
      </c>
      <c r="R1696" s="1">
        <v>400936.9</v>
      </c>
      <c r="S1696" s="1">
        <v>400936.9</v>
      </c>
    </row>
    <row r="1697" spans="1:19" ht="12.5" x14ac:dyDescent="0.25">
      <c r="A1697" s="1">
        <v>2054</v>
      </c>
      <c r="B1697" s="1" t="s">
        <v>5687</v>
      </c>
      <c r="C1697" s="1" t="s">
        <v>15</v>
      </c>
      <c r="D1697" s="1" t="s">
        <v>15</v>
      </c>
      <c r="E1697" s="1">
        <v>1653</v>
      </c>
      <c r="F1697" s="1" t="s">
        <v>5689</v>
      </c>
      <c r="G1697" s="1" t="s">
        <v>5690</v>
      </c>
      <c r="H1697" s="1" t="s">
        <v>5688</v>
      </c>
      <c r="I1697" s="1" t="s">
        <v>29</v>
      </c>
      <c r="J1697" s="1" t="s">
        <v>5691</v>
      </c>
      <c r="K1697" s="1" t="b">
        <v>1</v>
      </c>
      <c r="L1697" s="1" t="s">
        <v>31</v>
      </c>
      <c r="M1697" s="1">
        <v>2023</v>
      </c>
      <c r="N1697" s="1" t="s">
        <v>32</v>
      </c>
      <c r="O1697" s="1" t="s">
        <v>9935</v>
      </c>
      <c r="P1697" s="1" t="s">
        <v>16</v>
      </c>
      <c r="Q1697" s="1">
        <v>100</v>
      </c>
      <c r="R1697" s="1">
        <v>185007.63</v>
      </c>
      <c r="S1697" s="1">
        <v>185007.63</v>
      </c>
    </row>
    <row r="1698" spans="1:19" ht="12.5" x14ac:dyDescent="0.25">
      <c r="A1698" s="1" t="s">
        <v>16</v>
      </c>
      <c r="B1698" s="1" t="s">
        <v>16</v>
      </c>
      <c r="C1698" s="1" t="s">
        <v>16</v>
      </c>
      <c r="D1698" s="1" t="s">
        <v>16</v>
      </c>
      <c r="E1698" s="1">
        <v>1654</v>
      </c>
      <c r="F1698" s="1" t="s">
        <v>5692</v>
      </c>
      <c r="G1698" s="1" t="s">
        <v>5693</v>
      </c>
      <c r="H1698" s="1" t="s">
        <v>5694</v>
      </c>
      <c r="I1698" s="1" t="s">
        <v>29</v>
      </c>
      <c r="J1698" s="1" t="s">
        <v>16</v>
      </c>
      <c r="K1698" s="1" t="b">
        <v>0</v>
      </c>
      <c r="L1698" s="1" t="s">
        <v>22</v>
      </c>
      <c r="M1698" s="1" t="s">
        <v>16</v>
      </c>
      <c r="N1698" s="1" t="s">
        <v>16</v>
      </c>
      <c r="O1698" s="1" t="s">
        <v>9935</v>
      </c>
      <c r="P1698" s="1" t="s">
        <v>16</v>
      </c>
      <c r="R1698" s="1">
        <v>1500000</v>
      </c>
    </row>
    <row r="1699" spans="1:19" ht="12.5" x14ac:dyDescent="0.25">
      <c r="A1699" s="1">
        <v>1758</v>
      </c>
      <c r="B1699" s="1" t="s">
        <v>5695</v>
      </c>
      <c r="C1699" s="1" t="s">
        <v>35</v>
      </c>
      <c r="D1699" s="1" t="s">
        <v>5409</v>
      </c>
      <c r="E1699" s="1">
        <v>1655</v>
      </c>
      <c r="F1699" s="1" t="s">
        <v>5696</v>
      </c>
      <c r="G1699" s="1" t="s">
        <v>5697</v>
      </c>
      <c r="H1699" s="1" t="s">
        <v>5698</v>
      </c>
      <c r="I1699" s="1" t="s">
        <v>29</v>
      </c>
      <c r="J1699" s="1" t="s">
        <v>5699</v>
      </c>
      <c r="K1699" s="1" t="b">
        <v>1</v>
      </c>
      <c r="L1699" s="1" t="s">
        <v>31</v>
      </c>
      <c r="M1699" s="1">
        <v>2022</v>
      </c>
      <c r="N1699" s="1" t="s">
        <v>32</v>
      </c>
      <c r="O1699" s="1" t="s">
        <v>9935</v>
      </c>
      <c r="P1699" s="1" t="s">
        <v>16</v>
      </c>
      <c r="Q1699" s="1">
        <v>100</v>
      </c>
      <c r="R1699" s="1">
        <v>30000</v>
      </c>
      <c r="S1699" s="1">
        <v>30000</v>
      </c>
    </row>
    <row r="1700" spans="1:19" ht="12.5" x14ac:dyDescent="0.25">
      <c r="A1700" s="1">
        <v>2058</v>
      </c>
      <c r="B1700" s="1" t="s">
        <v>5700</v>
      </c>
      <c r="C1700" s="1" t="s">
        <v>38</v>
      </c>
      <c r="D1700" s="1" t="s">
        <v>5701</v>
      </c>
      <c r="E1700" s="1">
        <v>1656</v>
      </c>
      <c r="F1700" s="1" t="s">
        <v>5702</v>
      </c>
      <c r="G1700" s="1" t="s">
        <v>5703</v>
      </c>
      <c r="H1700" s="1" t="s">
        <v>5704</v>
      </c>
      <c r="I1700" s="1" t="s">
        <v>29</v>
      </c>
      <c r="J1700" s="1" t="s">
        <v>5705</v>
      </c>
      <c r="K1700" s="1" t="b">
        <v>1</v>
      </c>
      <c r="L1700" s="1" t="s">
        <v>31</v>
      </c>
      <c r="M1700" s="1">
        <v>2022</v>
      </c>
      <c r="N1700" s="1" t="s">
        <v>45</v>
      </c>
      <c r="O1700" s="1" t="s">
        <v>9935</v>
      </c>
      <c r="P1700" s="1" t="s">
        <v>16</v>
      </c>
      <c r="Q1700" s="1">
        <v>100</v>
      </c>
      <c r="R1700" s="1">
        <v>400000</v>
      </c>
      <c r="S1700" s="1">
        <v>400000</v>
      </c>
    </row>
    <row r="1701" spans="1:19" ht="12.5" x14ac:dyDescent="0.25">
      <c r="A1701" s="1">
        <v>1437</v>
      </c>
      <c r="B1701" s="1" t="s">
        <v>5706</v>
      </c>
      <c r="C1701" s="1" t="s">
        <v>35</v>
      </c>
      <c r="D1701" s="1" t="s">
        <v>152</v>
      </c>
      <c r="E1701" s="1">
        <v>1657</v>
      </c>
      <c r="F1701" s="1" t="s">
        <v>5708</v>
      </c>
      <c r="G1701" s="1" t="s">
        <v>5709</v>
      </c>
      <c r="H1701" s="1" t="s">
        <v>5710</v>
      </c>
      <c r="I1701" s="1" t="s">
        <v>29</v>
      </c>
      <c r="J1701" s="1" t="s">
        <v>5711</v>
      </c>
      <c r="K1701" s="1" t="b">
        <v>0</v>
      </c>
      <c r="L1701" s="1" t="s">
        <v>22</v>
      </c>
      <c r="M1701" s="1">
        <v>2022</v>
      </c>
      <c r="N1701" s="1" t="s">
        <v>23</v>
      </c>
      <c r="O1701" s="1" t="s">
        <v>9940</v>
      </c>
      <c r="P1701" s="1" t="s">
        <v>16</v>
      </c>
      <c r="Q1701" s="1">
        <v>100</v>
      </c>
      <c r="R1701" s="1">
        <v>30000</v>
      </c>
      <c r="S1701" s="1">
        <v>30000</v>
      </c>
    </row>
    <row r="1702" spans="1:19" ht="12.5" x14ac:dyDescent="0.25">
      <c r="A1702" s="1">
        <v>1436</v>
      </c>
      <c r="B1702" s="1" t="s">
        <v>5712</v>
      </c>
      <c r="C1702" s="1" t="s">
        <v>35</v>
      </c>
      <c r="D1702" s="1" t="s">
        <v>152</v>
      </c>
      <c r="E1702" s="1">
        <v>1658</v>
      </c>
      <c r="F1702" s="1" t="s">
        <v>5714</v>
      </c>
      <c r="G1702" s="1" t="s">
        <v>5715</v>
      </c>
      <c r="H1702" s="1" t="s">
        <v>5710</v>
      </c>
      <c r="I1702" s="1" t="s">
        <v>29</v>
      </c>
      <c r="J1702" s="1" t="s">
        <v>5716</v>
      </c>
      <c r="K1702" s="1" t="b">
        <v>0</v>
      </c>
      <c r="L1702" s="1" t="s">
        <v>22</v>
      </c>
      <c r="M1702" s="1">
        <v>2022</v>
      </c>
      <c r="N1702" s="1" t="s">
        <v>23</v>
      </c>
      <c r="O1702" s="1" t="s">
        <v>9940</v>
      </c>
      <c r="P1702" s="1" t="s">
        <v>16</v>
      </c>
      <c r="Q1702" s="1">
        <v>100</v>
      </c>
      <c r="R1702" s="1">
        <v>30000</v>
      </c>
      <c r="S1702" s="1">
        <v>30000</v>
      </c>
    </row>
    <row r="1703" spans="1:19" ht="12.5" x14ac:dyDescent="0.25">
      <c r="A1703" s="1">
        <v>1015</v>
      </c>
      <c r="B1703" s="1" t="s">
        <v>3553</v>
      </c>
      <c r="C1703" s="1" t="s">
        <v>35</v>
      </c>
      <c r="D1703" s="1" t="s">
        <v>152</v>
      </c>
      <c r="E1703" s="1">
        <v>1659</v>
      </c>
      <c r="F1703" s="1" t="s">
        <v>5717</v>
      </c>
      <c r="G1703" s="1" t="s">
        <v>5718</v>
      </c>
      <c r="H1703" s="1" t="s">
        <v>5719</v>
      </c>
      <c r="I1703" s="1" t="s">
        <v>29</v>
      </c>
      <c r="J1703" s="1" t="s">
        <v>5720</v>
      </c>
      <c r="K1703" s="1" t="b">
        <v>0</v>
      </c>
      <c r="L1703" s="1" t="s">
        <v>22</v>
      </c>
      <c r="M1703" s="1" t="s">
        <v>16</v>
      </c>
      <c r="N1703" s="1" t="s">
        <v>16</v>
      </c>
      <c r="O1703" s="1" t="s">
        <v>9956</v>
      </c>
      <c r="P1703" s="1" t="s">
        <v>9989</v>
      </c>
      <c r="Q1703" s="1">
        <v>100</v>
      </c>
      <c r="R1703" s="1">
        <v>112870</v>
      </c>
      <c r="S1703" s="1">
        <v>112870</v>
      </c>
    </row>
    <row r="1704" spans="1:19" ht="12.5" x14ac:dyDescent="0.25">
      <c r="A1704" s="1">
        <v>1014</v>
      </c>
      <c r="B1704" s="1" t="s">
        <v>3548</v>
      </c>
      <c r="C1704" s="1" t="s">
        <v>35</v>
      </c>
      <c r="D1704" s="1" t="s">
        <v>152</v>
      </c>
      <c r="E1704" s="1">
        <v>1660</v>
      </c>
      <c r="F1704" s="1" t="s">
        <v>5721</v>
      </c>
      <c r="G1704" s="1" t="s">
        <v>5722</v>
      </c>
      <c r="H1704" s="1" t="s">
        <v>3094</v>
      </c>
      <c r="I1704" s="1" t="s">
        <v>29</v>
      </c>
      <c r="J1704" s="1" t="s">
        <v>5723</v>
      </c>
      <c r="K1704" s="1" t="b">
        <v>0</v>
      </c>
      <c r="L1704" s="1" t="s">
        <v>22</v>
      </c>
      <c r="M1704" s="1">
        <v>2022</v>
      </c>
      <c r="N1704" s="1" t="s">
        <v>23</v>
      </c>
      <c r="O1704" s="1" t="s">
        <v>9940</v>
      </c>
      <c r="P1704" s="1" t="s">
        <v>3094</v>
      </c>
      <c r="Q1704" s="1">
        <v>100</v>
      </c>
      <c r="R1704" s="1">
        <v>26923</v>
      </c>
      <c r="S1704" s="1">
        <v>26923</v>
      </c>
    </row>
    <row r="1705" spans="1:19" ht="12.5" x14ac:dyDescent="0.25">
      <c r="A1705" s="1">
        <v>1351</v>
      </c>
      <c r="B1705" s="1" t="s">
        <v>5724</v>
      </c>
      <c r="C1705" s="1" t="s">
        <v>35</v>
      </c>
      <c r="D1705" s="1" t="s">
        <v>152</v>
      </c>
      <c r="E1705" s="1">
        <v>1661</v>
      </c>
      <c r="F1705" s="1" t="s">
        <v>5726</v>
      </c>
      <c r="G1705" s="1" t="s">
        <v>5727</v>
      </c>
      <c r="H1705" s="1" t="s">
        <v>5727</v>
      </c>
      <c r="I1705" s="1" t="s">
        <v>29</v>
      </c>
      <c r="J1705" s="1" t="s">
        <v>5728</v>
      </c>
      <c r="K1705" s="1" t="b">
        <v>0</v>
      </c>
      <c r="L1705" s="1" t="s">
        <v>22</v>
      </c>
      <c r="M1705" s="1">
        <v>2021</v>
      </c>
      <c r="N1705" s="1" t="s">
        <v>32</v>
      </c>
      <c r="O1705" s="1" t="s">
        <v>9956</v>
      </c>
      <c r="P1705" s="1" t="s">
        <v>9990</v>
      </c>
      <c r="Q1705" s="1">
        <v>100</v>
      </c>
      <c r="R1705" s="1">
        <v>300</v>
      </c>
      <c r="S1705" s="1">
        <v>300</v>
      </c>
    </row>
    <row r="1706" spans="1:19" ht="12.5" x14ac:dyDescent="0.25">
      <c r="A1706" s="1">
        <v>2056</v>
      </c>
      <c r="B1706" s="1" t="s">
        <v>5729</v>
      </c>
      <c r="C1706" s="1" t="s">
        <v>35</v>
      </c>
      <c r="D1706" s="1" t="s">
        <v>5669</v>
      </c>
      <c r="E1706" s="1">
        <v>1662</v>
      </c>
      <c r="F1706" s="1" t="s">
        <v>5730</v>
      </c>
      <c r="G1706" s="1" t="s">
        <v>5731</v>
      </c>
      <c r="H1706" s="1" t="s">
        <v>5732</v>
      </c>
      <c r="I1706" s="1" t="s">
        <v>29</v>
      </c>
      <c r="J1706" s="1" t="s">
        <v>5733</v>
      </c>
      <c r="K1706" s="1" t="b">
        <v>1</v>
      </c>
      <c r="L1706" s="1" t="s">
        <v>31</v>
      </c>
      <c r="M1706" s="1">
        <v>2021</v>
      </c>
      <c r="N1706" s="1" t="s">
        <v>52</v>
      </c>
      <c r="O1706" s="1" t="s">
        <v>9956</v>
      </c>
      <c r="P1706" s="1" t="s">
        <v>10025</v>
      </c>
      <c r="Q1706" s="1">
        <v>100</v>
      </c>
      <c r="R1706" s="1">
        <v>19887.740000000002</v>
      </c>
      <c r="S1706" s="1">
        <v>19887.740000000002</v>
      </c>
    </row>
    <row r="1707" spans="1:19" ht="12.5" x14ac:dyDescent="0.25">
      <c r="A1707" s="1">
        <v>1450</v>
      </c>
      <c r="B1707" s="1" t="s">
        <v>4795</v>
      </c>
      <c r="C1707" s="1" t="s">
        <v>35</v>
      </c>
      <c r="D1707" s="1" t="s">
        <v>152</v>
      </c>
      <c r="E1707" s="1">
        <v>1663</v>
      </c>
      <c r="F1707" s="1" t="s">
        <v>5734</v>
      </c>
      <c r="G1707" s="1" t="s">
        <v>5735</v>
      </c>
      <c r="H1707" s="1" t="s">
        <v>16</v>
      </c>
      <c r="I1707" s="1" t="s">
        <v>29</v>
      </c>
      <c r="J1707" s="1" t="s">
        <v>5736</v>
      </c>
      <c r="K1707" s="1" t="b">
        <v>1</v>
      </c>
      <c r="L1707" s="1" t="s">
        <v>31</v>
      </c>
      <c r="M1707" s="1">
        <v>2021</v>
      </c>
      <c r="N1707" s="1" t="s">
        <v>45</v>
      </c>
      <c r="O1707" s="1" t="s">
        <v>9935</v>
      </c>
      <c r="P1707" s="1" t="s">
        <v>16</v>
      </c>
      <c r="Q1707" s="1">
        <v>100</v>
      </c>
      <c r="R1707" s="1">
        <v>1936.25</v>
      </c>
      <c r="S1707" s="1">
        <v>1936.25</v>
      </c>
    </row>
    <row r="1708" spans="1:19" ht="12.5" x14ac:dyDescent="0.25">
      <c r="A1708" s="1">
        <v>991</v>
      </c>
      <c r="B1708" s="1" t="s">
        <v>3466</v>
      </c>
      <c r="C1708" s="1" t="s">
        <v>35</v>
      </c>
      <c r="D1708" s="1" t="s">
        <v>152</v>
      </c>
      <c r="E1708" s="1">
        <v>1664</v>
      </c>
      <c r="F1708" s="1" t="s">
        <v>5737</v>
      </c>
      <c r="G1708" s="1" t="s">
        <v>5738</v>
      </c>
      <c r="H1708" s="1" t="s">
        <v>5739</v>
      </c>
      <c r="I1708" s="1" t="s">
        <v>29</v>
      </c>
      <c r="J1708" s="1" t="s">
        <v>5740</v>
      </c>
      <c r="K1708" s="1" t="b">
        <v>0</v>
      </c>
      <c r="L1708" s="1" t="s">
        <v>22</v>
      </c>
      <c r="M1708" s="1" t="s">
        <v>16</v>
      </c>
      <c r="N1708" s="1" t="s">
        <v>16</v>
      </c>
      <c r="O1708" s="1" t="s">
        <v>9940</v>
      </c>
      <c r="P1708" s="1" t="s">
        <v>16</v>
      </c>
      <c r="Q1708" s="1">
        <v>100</v>
      </c>
      <c r="R1708" s="1">
        <v>20169</v>
      </c>
      <c r="S1708" s="1">
        <v>20169</v>
      </c>
    </row>
    <row r="1709" spans="1:19" ht="12.5" x14ac:dyDescent="0.25">
      <c r="A1709" s="1">
        <v>1036</v>
      </c>
      <c r="B1709" s="1" t="s">
        <v>5741</v>
      </c>
      <c r="C1709" s="1" t="s">
        <v>35</v>
      </c>
      <c r="D1709" s="1" t="s">
        <v>152</v>
      </c>
      <c r="E1709" s="1">
        <v>1665</v>
      </c>
      <c r="F1709" s="1" t="s">
        <v>5743</v>
      </c>
      <c r="G1709" s="1" t="s">
        <v>5744</v>
      </c>
      <c r="H1709" s="1" t="s">
        <v>5745</v>
      </c>
      <c r="I1709" s="1" t="s">
        <v>29</v>
      </c>
      <c r="J1709" s="1" t="s">
        <v>5746</v>
      </c>
      <c r="K1709" s="1" t="b">
        <v>0</v>
      </c>
      <c r="L1709" s="1" t="s">
        <v>22</v>
      </c>
      <c r="M1709" s="1">
        <v>2021</v>
      </c>
      <c r="N1709" s="1" t="s">
        <v>23</v>
      </c>
      <c r="O1709" s="1" t="s">
        <v>9935</v>
      </c>
      <c r="P1709" s="1" t="s">
        <v>16</v>
      </c>
      <c r="Q1709" s="1">
        <v>100</v>
      </c>
      <c r="R1709" s="1">
        <v>1</v>
      </c>
      <c r="S1709" s="1">
        <v>1</v>
      </c>
    </row>
    <row r="1710" spans="1:19" ht="12.5" x14ac:dyDescent="0.25">
      <c r="A1710" s="1">
        <v>406</v>
      </c>
      <c r="B1710" s="1" t="s">
        <v>1655</v>
      </c>
      <c r="C1710" s="1" t="s">
        <v>35</v>
      </c>
      <c r="D1710" s="1" t="s">
        <v>36</v>
      </c>
      <c r="E1710" s="1">
        <v>1666</v>
      </c>
      <c r="F1710" s="1" t="s">
        <v>5747</v>
      </c>
      <c r="G1710" s="1" t="s">
        <v>5748</v>
      </c>
      <c r="H1710" s="1" t="s">
        <v>5749</v>
      </c>
      <c r="I1710" s="1" t="s">
        <v>29</v>
      </c>
      <c r="J1710" s="1" t="s">
        <v>16</v>
      </c>
      <c r="K1710" s="1" t="b">
        <v>0</v>
      </c>
      <c r="L1710" s="1" t="s">
        <v>22</v>
      </c>
      <c r="M1710" s="1">
        <v>2023</v>
      </c>
      <c r="N1710" s="1" t="s">
        <v>52</v>
      </c>
      <c r="O1710" s="1" t="s">
        <v>9942</v>
      </c>
      <c r="P1710" s="1" t="s">
        <v>16</v>
      </c>
      <c r="Q1710" s="1">
        <v>100</v>
      </c>
      <c r="R1710" s="1">
        <v>150000</v>
      </c>
      <c r="S1710" s="1">
        <v>150000</v>
      </c>
    </row>
    <row r="1711" spans="1:19" ht="12.5" x14ac:dyDescent="0.25">
      <c r="A1711" s="1">
        <v>2060</v>
      </c>
      <c r="B1711" s="1" t="s">
        <v>5750</v>
      </c>
      <c r="C1711" s="1" t="s">
        <v>35</v>
      </c>
      <c r="D1711" s="1" t="s">
        <v>5409</v>
      </c>
      <c r="E1711" s="1">
        <v>1667</v>
      </c>
      <c r="F1711" s="1" t="s">
        <v>5751</v>
      </c>
      <c r="G1711" s="1" t="s">
        <v>5752</v>
      </c>
      <c r="H1711" s="1" t="s">
        <v>5753</v>
      </c>
      <c r="I1711" s="1" t="s">
        <v>29</v>
      </c>
      <c r="J1711" s="1" t="s">
        <v>5754</v>
      </c>
      <c r="K1711" s="1" t="b">
        <v>1</v>
      </c>
      <c r="L1711" s="1" t="s">
        <v>31</v>
      </c>
      <c r="M1711" s="1">
        <v>2023</v>
      </c>
      <c r="N1711" s="1" t="s">
        <v>16</v>
      </c>
      <c r="O1711" s="1" t="s">
        <v>9935</v>
      </c>
      <c r="P1711" s="1" t="s">
        <v>16</v>
      </c>
      <c r="Q1711" s="1">
        <v>100</v>
      </c>
      <c r="R1711" s="1">
        <v>430000</v>
      </c>
      <c r="S1711" s="1">
        <v>430000</v>
      </c>
    </row>
    <row r="1712" spans="1:19" ht="12.5" x14ac:dyDescent="0.25">
      <c r="A1712" s="1">
        <v>127</v>
      </c>
      <c r="B1712" s="1" t="s">
        <v>5755</v>
      </c>
      <c r="C1712" s="1" t="s">
        <v>15</v>
      </c>
      <c r="D1712" s="1" t="s">
        <v>15</v>
      </c>
      <c r="E1712" s="1">
        <v>1668</v>
      </c>
      <c r="F1712" s="1" t="s">
        <v>5756</v>
      </c>
      <c r="G1712" s="1" t="s">
        <v>5757</v>
      </c>
      <c r="H1712" s="1" t="s">
        <v>5758</v>
      </c>
      <c r="I1712" s="1" t="s">
        <v>29</v>
      </c>
      <c r="J1712" s="1" t="s">
        <v>5759</v>
      </c>
      <c r="K1712" s="1" t="b">
        <v>0</v>
      </c>
      <c r="L1712" s="1" t="s">
        <v>22</v>
      </c>
      <c r="M1712" s="1">
        <v>2022</v>
      </c>
      <c r="N1712" s="1" t="s">
        <v>32</v>
      </c>
      <c r="O1712" s="1" t="s">
        <v>9935</v>
      </c>
      <c r="P1712" s="1" t="s">
        <v>16</v>
      </c>
      <c r="Q1712" s="1">
        <v>100</v>
      </c>
      <c r="R1712" s="1">
        <v>60000</v>
      </c>
      <c r="S1712" s="1">
        <v>60000</v>
      </c>
    </row>
    <row r="1713" spans="1:19" ht="12.5" x14ac:dyDescent="0.25">
      <c r="A1713" s="1" t="s">
        <v>16</v>
      </c>
      <c r="B1713" s="1" t="s">
        <v>16</v>
      </c>
      <c r="C1713" s="1" t="s">
        <v>16</v>
      </c>
      <c r="D1713" s="1" t="s">
        <v>16</v>
      </c>
      <c r="E1713" s="1">
        <v>1669</v>
      </c>
      <c r="F1713" s="1" t="s">
        <v>5760</v>
      </c>
      <c r="G1713" s="1" t="s">
        <v>5761</v>
      </c>
      <c r="H1713" s="1" t="s">
        <v>5762</v>
      </c>
      <c r="I1713" s="1" t="s">
        <v>29</v>
      </c>
      <c r="J1713" s="1" t="s">
        <v>5763</v>
      </c>
      <c r="K1713" s="1" t="b">
        <v>0</v>
      </c>
      <c r="L1713" s="1" t="s">
        <v>22</v>
      </c>
      <c r="M1713" s="1">
        <v>2022</v>
      </c>
      <c r="N1713" s="1" t="s">
        <v>32</v>
      </c>
      <c r="O1713" s="1" t="s">
        <v>9935</v>
      </c>
      <c r="P1713" s="1" t="s">
        <v>16</v>
      </c>
      <c r="R1713" s="1">
        <v>55000</v>
      </c>
    </row>
    <row r="1714" spans="1:19" ht="12.5" x14ac:dyDescent="0.25">
      <c r="A1714" s="1">
        <v>2061</v>
      </c>
      <c r="B1714" s="1" t="s">
        <v>5764</v>
      </c>
      <c r="C1714" s="1" t="s">
        <v>15</v>
      </c>
      <c r="D1714" s="1" t="s">
        <v>15</v>
      </c>
      <c r="E1714" s="1">
        <v>1670</v>
      </c>
      <c r="F1714" s="1" t="s">
        <v>5766</v>
      </c>
      <c r="G1714" s="1" t="s">
        <v>5765</v>
      </c>
      <c r="H1714" s="1" t="s">
        <v>16</v>
      </c>
      <c r="I1714" s="1" t="s">
        <v>29</v>
      </c>
      <c r="J1714" s="1" t="s">
        <v>5767</v>
      </c>
      <c r="K1714" s="1" t="b">
        <v>0</v>
      </c>
      <c r="L1714" s="1" t="s">
        <v>22</v>
      </c>
      <c r="M1714" s="1" t="s">
        <v>16</v>
      </c>
      <c r="N1714" s="1" t="s">
        <v>16</v>
      </c>
      <c r="O1714" s="1" t="s">
        <v>9935</v>
      </c>
      <c r="P1714" s="1" t="s">
        <v>16</v>
      </c>
      <c r="Q1714" s="1">
        <v>100</v>
      </c>
      <c r="R1714" s="1">
        <v>357553.91999999998</v>
      </c>
      <c r="S1714" s="1">
        <v>357553.91999999998</v>
      </c>
    </row>
    <row r="1715" spans="1:19" ht="12.5" x14ac:dyDescent="0.25">
      <c r="A1715" s="1">
        <v>550</v>
      </c>
      <c r="B1715" s="1" t="s">
        <v>2267</v>
      </c>
      <c r="C1715" s="1" t="s">
        <v>35</v>
      </c>
      <c r="D1715" s="1" t="s">
        <v>36</v>
      </c>
      <c r="E1715" s="1">
        <v>1671</v>
      </c>
      <c r="F1715" s="1" t="s">
        <v>5768</v>
      </c>
      <c r="G1715" s="1" t="s">
        <v>2269</v>
      </c>
      <c r="H1715" s="1" t="s">
        <v>5769</v>
      </c>
      <c r="I1715" s="1" t="s">
        <v>29</v>
      </c>
      <c r="J1715" s="1" t="s">
        <v>5770</v>
      </c>
      <c r="K1715" s="1" t="b">
        <v>1</v>
      </c>
      <c r="L1715" s="1" t="s">
        <v>31</v>
      </c>
      <c r="M1715" s="1">
        <v>2022</v>
      </c>
      <c r="N1715" s="1" t="s">
        <v>52</v>
      </c>
      <c r="O1715" s="1" t="s">
        <v>9935</v>
      </c>
      <c r="P1715" s="1" t="s">
        <v>16</v>
      </c>
      <c r="Q1715" s="1">
        <v>75</v>
      </c>
      <c r="R1715" s="1">
        <v>250000</v>
      </c>
      <c r="S1715" s="1">
        <v>187500</v>
      </c>
    </row>
    <row r="1716" spans="1:19" ht="12.5" x14ac:dyDescent="0.25">
      <c r="A1716" s="1">
        <v>1083</v>
      </c>
      <c r="B1716" s="1" t="s">
        <v>3772</v>
      </c>
      <c r="C1716" s="1" t="s">
        <v>35</v>
      </c>
      <c r="D1716" s="1" t="s">
        <v>152</v>
      </c>
      <c r="E1716" s="1">
        <v>1671</v>
      </c>
      <c r="F1716" s="1" t="s">
        <v>5768</v>
      </c>
      <c r="G1716" s="1" t="s">
        <v>2269</v>
      </c>
      <c r="H1716" s="1" t="s">
        <v>5769</v>
      </c>
      <c r="I1716" s="1" t="s">
        <v>29</v>
      </c>
      <c r="J1716" s="1" t="s">
        <v>5770</v>
      </c>
      <c r="K1716" s="1" t="b">
        <v>1</v>
      </c>
      <c r="L1716" s="1" t="s">
        <v>31</v>
      </c>
      <c r="M1716" s="1">
        <v>2022</v>
      </c>
      <c r="N1716" s="1" t="s">
        <v>52</v>
      </c>
      <c r="O1716" s="1" t="s">
        <v>9935</v>
      </c>
      <c r="P1716" s="1" t="s">
        <v>16</v>
      </c>
      <c r="Q1716" s="1">
        <v>25</v>
      </c>
      <c r="R1716" s="1">
        <v>250000</v>
      </c>
      <c r="S1716" s="1">
        <v>62500</v>
      </c>
    </row>
    <row r="1717" spans="1:19" ht="12.5" x14ac:dyDescent="0.25">
      <c r="A1717" s="1">
        <v>567</v>
      </c>
      <c r="B1717" s="1" t="s">
        <v>2339</v>
      </c>
      <c r="C1717" s="1" t="s">
        <v>35</v>
      </c>
      <c r="D1717" s="1" t="s">
        <v>36</v>
      </c>
      <c r="E1717" s="1">
        <v>1672</v>
      </c>
      <c r="F1717" s="1" t="s">
        <v>5771</v>
      </c>
      <c r="G1717" s="1" t="s">
        <v>5772</v>
      </c>
      <c r="H1717" s="1" t="s">
        <v>16</v>
      </c>
      <c r="I1717" s="1" t="s">
        <v>29</v>
      </c>
      <c r="J1717" s="1" t="s">
        <v>16</v>
      </c>
      <c r="K1717" s="1" t="b">
        <v>0</v>
      </c>
      <c r="L1717" s="1" t="s">
        <v>22</v>
      </c>
      <c r="M1717" s="1">
        <v>2022</v>
      </c>
      <c r="N1717" s="1" t="s">
        <v>23</v>
      </c>
      <c r="O1717" s="1" t="s">
        <v>9935</v>
      </c>
      <c r="P1717" s="1" t="s">
        <v>10055</v>
      </c>
      <c r="Q1717" s="1">
        <v>100</v>
      </c>
      <c r="R1717" s="1">
        <v>30000</v>
      </c>
      <c r="S1717" s="1">
        <v>30000</v>
      </c>
    </row>
    <row r="1718" spans="1:19" ht="12.5" x14ac:dyDescent="0.25">
      <c r="A1718" s="1">
        <v>567</v>
      </c>
      <c r="B1718" s="1" t="s">
        <v>2339</v>
      </c>
      <c r="C1718" s="1" t="s">
        <v>35</v>
      </c>
      <c r="D1718" s="1" t="s">
        <v>36</v>
      </c>
      <c r="E1718" s="1">
        <v>1672</v>
      </c>
      <c r="F1718" s="1" t="s">
        <v>5771</v>
      </c>
      <c r="G1718" s="1" t="s">
        <v>5772</v>
      </c>
      <c r="H1718" s="1" t="s">
        <v>16</v>
      </c>
      <c r="I1718" s="1" t="s">
        <v>29</v>
      </c>
      <c r="J1718" s="1" t="s">
        <v>16</v>
      </c>
      <c r="K1718" s="1" t="b">
        <v>0</v>
      </c>
      <c r="L1718" s="1" t="s">
        <v>22</v>
      </c>
      <c r="M1718" s="1">
        <v>2022</v>
      </c>
      <c r="N1718" s="1" t="s">
        <v>23</v>
      </c>
      <c r="O1718" s="1" t="s">
        <v>9942</v>
      </c>
      <c r="P1718" s="1" t="s">
        <v>10056</v>
      </c>
      <c r="Q1718" s="1">
        <v>100</v>
      </c>
      <c r="R1718" s="1">
        <v>225000</v>
      </c>
      <c r="S1718" s="1">
        <v>225000</v>
      </c>
    </row>
    <row r="1719" spans="1:19" ht="12.5" x14ac:dyDescent="0.25">
      <c r="A1719" s="1">
        <v>1799</v>
      </c>
      <c r="B1719" s="1" t="s">
        <v>5773</v>
      </c>
      <c r="C1719" s="1" t="s">
        <v>35</v>
      </c>
      <c r="D1719" s="1" t="s">
        <v>5409</v>
      </c>
      <c r="E1719" s="1">
        <v>1673</v>
      </c>
      <c r="F1719" s="1" t="s">
        <v>5774</v>
      </c>
      <c r="G1719" s="1" t="s">
        <v>5775</v>
      </c>
      <c r="H1719" s="1" t="s">
        <v>5776</v>
      </c>
      <c r="I1719" s="1" t="s">
        <v>29</v>
      </c>
      <c r="J1719" s="1" t="s">
        <v>5777</v>
      </c>
      <c r="K1719" s="1" t="b">
        <v>1</v>
      </c>
      <c r="L1719" s="1" t="s">
        <v>31</v>
      </c>
      <c r="M1719" s="1" t="s">
        <v>16</v>
      </c>
      <c r="N1719" s="1" t="s">
        <v>16</v>
      </c>
      <c r="O1719" s="1" t="s">
        <v>9935</v>
      </c>
      <c r="P1719" s="1" t="s">
        <v>10057</v>
      </c>
      <c r="Q1719" s="1">
        <v>100</v>
      </c>
      <c r="R1719" s="1">
        <v>50000</v>
      </c>
      <c r="S1719" s="1">
        <v>50000</v>
      </c>
    </row>
    <row r="1720" spans="1:19" ht="12.5" x14ac:dyDescent="0.25">
      <c r="A1720" s="1">
        <v>1767</v>
      </c>
      <c r="B1720" s="1" t="s">
        <v>5778</v>
      </c>
      <c r="C1720" s="1" t="s">
        <v>35</v>
      </c>
      <c r="D1720" s="1" t="s">
        <v>5409</v>
      </c>
      <c r="E1720" s="1">
        <v>1674</v>
      </c>
      <c r="F1720" s="1" t="s">
        <v>5779</v>
      </c>
      <c r="G1720" s="1" t="s">
        <v>5780</v>
      </c>
      <c r="H1720" s="1" t="s">
        <v>5781</v>
      </c>
      <c r="I1720" s="1" t="s">
        <v>29</v>
      </c>
      <c r="J1720" s="1" t="s">
        <v>5782</v>
      </c>
      <c r="K1720" s="1" t="b">
        <v>1</v>
      </c>
      <c r="L1720" s="1" t="s">
        <v>31</v>
      </c>
      <c r="M1720" s="1">
        <v>2022</v>
      </c>
      <c r="N1720" s="1" t="s">
        <v>32</v>
      </c>
      <c r="O1720" s="1" t="s">
        <v>9935</v>
      </c>
      <c r="P1720" s="1" t="s">
        <v>16</v>
      </c>
      <c r="Q1720" s="1">
        <v>100</v>
      </c>
      <c r="R1720" s="1">
        <v>61000</v>
      </c>
      <c r="S1720" s="1">
        <v>61000</v>
      </c>
    </row>
    <row r="1721" spans="1:19" ht="12.5" x14ac:dyDescent="0.25">
      <c r="A1721" s="1">
        <v>1526</v>
      </c>
      <c r="B1721" s="1" t="s">
        <v>5783</v>
      </c>
      <c r="C1721" s="1" t="s">
        <v>35</v>
      </c>
      <c r="D1721" s="1" t="s">
        <v>152</v>
      </c>
      <c r="E1721" s="1">
        <v>1675</v>
      </c>
      <c r="F1721" s="1" t="s">
        <v>5784</v>
      </c>
      <c r="G1721" s="1" t="s">
        <v>5785</v>
      </c>
      <c r="H1721" s="1" t="s">
        <v>16</v>
      </c>
      <c r="I1721" s="1" t="s">
        <v>20</v>
      </c>
      <c r="J1721" s="1" t="s">
        <v>5786</v>
      </c>
      <c r="K1721" s="1" t="b">
        <v>0</v>
      </c>
      <c r="L1721" s="1" t="s">
        <v>22</v>
      </c>
      <c r="M1721" s="1" t="s">
        <v>16</v>
      </c>
      <c r="N1721" s="1" t="s">
        <v>16</v>
      </c>
      <c r="O1721" s="1" t="s">
        <v>16</v>
      </c>
      <c r="P1721" s="1" t="s">
        <v>16</v>
      </c>
      <c r="Q1721" s="1">
        <v>40</v>
      </c>
    </row>
    <row r="1722" spans="1:19" ht="12.5" x14ac:dyDescent="0.25">
      <c r="A1722" s="1" t="s">
        <v>16</v>
      </c>
      <c r="B1722" s="1" t="s">
        <v>16</v>
      </c>
      <c r="C1722" s="1" t="s">
        <v>16</v>
      </c>
      <c r="D1722" s="1" t="s">
        <v>16</v>
      </c>
      <c r="E1722" s="1">
        <v>1676</v>
      </c>
      <c r="F1722" s="1" t="s">
        <v>5787</v>
      </c>
      <c r="G1722" s="1" t="s">
        <v>5788</v>
      </c>
      <c r="H1722" s="1" t="s">
        <v>16</v>
      </c>
      <c r="I1722" s="1" t="s">
        <v>20</v>
      </c>
      <c r="J1722" s="1" t="s">
        <v>5789</v>
      </c>
      <c r="K1722" s="1" t="b">
        <v>0</v>
      </c>
      <c r="L1722" s="1" t="s">
        <v>22</v>
      </c>
      <c r="M1722" s="1" t="s">
        <v>16</v>
      </c>
      <c r="N1722" s="1" t="s">
        <v>16</v>
      </c>
      <c r="O1722" s="1" t="s">
        <v>16</v>
      </c>
      <c r="P1722" s="1" t="s">
        <v>16</v>
      </c>
    </row>
    <row r="1723" spans="1:19" ht="12.5" x14ac:dyDescent="0.25">
      <c r="A1723" s="1">
        <v>1529</v>
      </c>
      <c r="B1723" s="1" t="s">
        <v>5790</v>
      </c>
      <c r="C1723" s="1" t="s">
        <v>35</v>
      </c>
      <c r="D1723" s="1" t="s">
        <v>152</v>
      </c>
      <c r="E1723" s="1">
        <v>1677</v>
      </c>
      <c r="F1723" s="1" t="s">
        <v>5791</v>
      </c>
      <c r="G1723" s="1" t="s">
        <v>5792</v>
      </c>
      <c r="H1723" s="1" t="s">
        <v>16</v>
      </c>
      <c r="I1723" s="1" t="s">
        <v>20</v>
      </c>
      <c r="J1723" s="1" t="s">
        <v>5793</v>
      </c>
      <c r="K1723" s="1" t="b">
        <v>0</v>
      </c>
      <c r="L1723" s="1" t="s">
        <v>22</v>
      </c>
      <c r="M1723" s="1" t="s">
        <v>16</v>
      </c>
      <c r="N1723" s="1" t="s">
        <v>16</v>
      </c>
      <c r="O1723" s="1" t="s">
        <v>16</v>
      </c>
      <c r="P1723" s="1" t="s">
        <v>16</v>
      </c>
      <c r="Q1723" s="1">
        <v>20</v>
      </c>
    </row>
    <row r="1724" spans="1:19" ht="12.5" x14ac:dyDescent="0.25">
      <c r="A1724" s="1">
        <v>2518</v>
      </c>
      <c r="B1724" s="1" t="s">
        <v>5794</v>
      </c>
      <c r="C1724" s="1" t="s">
        <v>38</v>
      </c>
      <c r="D1724" s="1" t="s">
        <v>39</v>
      </c>
      <c r="E1724" s="1">
        <v>1678</v>
      </c>
      <c r="F1724" s="1" t="s">
        <v>5795</v>
      </c>
      <c r="G1724" s="1" t="s">
        <v>5796</v>
      </c>
      <c r="H1724" s="1" t="s">
        <v>16</v>
      </c>
      <c r="I1724" s="1" t="s">
        <v>20</v>
      </c>
      <c r="J1724" s="1" t="s">
        <v>5797</v>
      </c>
      <c r="K1724" s="1" t="b">
        <v>0</v>
      </c>
      <c r="L1724" s="1" t="s">
        <v>22</v>
      </c>
      <c r="M1724" s="1" t="s">
        <v>16</v>
      </c>
      <c r="N1724" s="1" t="s">
        <v>16</v>
      </c>
      <c r="O1724" s="1" t="s">
        <v>16</v>
      </c>
      <c r="P1724" s="1" t="s">
        <v>16</v>
      </c>
      <c r="Q1724" s="1">
        <v>0</v>
      </c>
    </row>
    <row r="1725" spans="1:19" ht="12.5" x14ac:dyDescent="0.25">
      <c r="A1725" s="1" t="s">
        <v>16</v>
      </c>
      <c r="B1725" s="1" t="s">
        <v>16</v>
      </c>
      <c r="C1725" s="1" t="s">
        <v>16</v>
      </c>
      <c r="D1725" s="1" t="s">
        <v>16</v>
      </c>
      <c r="E1725" s="1">
        <v>1679</v>
      </c>
      <c r="F1725" s="1" t="s">
        <v>5798</v>
      </c>
      <c r="G1725" s="1" t="s">
        <v>5799</v>
      </c>
      <c r="H1725" s="1" t="s">
        <v>16</v>
      </c>
      <c r="I1725" s="1" t="s">
        <v>20</v>
      </c>
      <c r="J1725" s="1" t="s">
        <v>5800</v>
      </c>
      <c r="K1725" s="1" t="b">
        <v>0</v>
      </c>
      <c r="L1725" s="1" t="s">
        <v>22</v>
      </c>
      <c r="M1725" s="1" t="s">
        <v>16</v>
      </c>
      <c r="N1725" s="1" t="s">
        <v>16</v>
      </c>
      <c r="O1725" s="1" t="s">
        <v>16</v>
      </c>
      <c r="P1725" s="1" t="s">
        <v>16</v>
      </c>
    </row>
    <row r="1726" spans="1:19" ht="12.5" x14ac:dyDescent="0.25">
      <c r="A1726" s="1" t="s">
        <v>16</v>
      </c>
      <c r="B1726" s="1" t="s">
        <v>16</v>
      </c>
      <c r="C1726" s="1" t="s">
        <v>16</v>
      </c>
      <c r="D1726" s="1" t="s">
        <v>16</v>
      </c>
      <c r="E1726" s="1">
        <v>1680</v>
      </c>
      <c r="F1726" s="1" t="s">
        <v>5801</v>
      </c>
      <c r="G1726" s="1" t="s">
        <v>5802</v>
      </c>
      <c r="H1726" s="1" t="s">
        <v>16</v>
      </c>
      <c r="I1726" s="1" t="s">
        <v>20</v>
      </c>
      <c r="J1726" s="1" t="s">
        <v>5803</v>
      </c>
      <c r="K1726" s="1" t="b">
        <v>0</v>
      </c>
      <c r="L1726" s="1" t="s">
        <v>22</v>
      </c>
      <c r="M1726" s="1" t="s">
        <v>16</v>
      </c>
      <c r="N1726" s="1" t="s">
        <v>16</v>
      </c>
      <c r="O1726" s="1" t="s">
        <v>16</v>
      </c>
      <c r="P1726" s="1" t="s">
        <v>16</v>
      </c>
    </row>
    <row r="1727" spans="1:19" ht="12.5" x14ac:dyDescent="0.25">
      <c r="A1727" s="1">
        <v>175</v>
      </c>
      <c r="B1727" s="1" t="s">
        <v>867</v>
      </c>
      <c r="C1727" s="1" t="s">
        <v>15</v>
      </c>
      <c r="D1727" s="1" t="s">
        <v>15</v>
      </c>
      <c r="E1727" s="1">
        <v>1681</v>
      </c>
      <c r="F1727" s="1" t="s">
        <v>5804</v>
      </c>
      <c r="G1727" s="1" t="s">
        <v>5805</v>
      </c>
      <c r="H1727" s="1" t="s">
        <v>16</v>
      </c>
      <c r="I1727" s="1" t="s">
        <v>20</v>
      </c>
      <c r="J1727" s="1" t="s">
        <v>5806</v>
      </c>
      <c r="K1727" s="1" t="b">
        <v>0</v>
      </c>
      <c r="L1727" s="1" t="s">
        <v>22</v>
      </c>
      <c r="M1727" s="1" t="s">
        <v>16</v>
      </c>
      <c r="N1727" s="1" t="s">
        <v>16</v>
      </c>
      <c r="O1727" s="1" t="s">
        <v>16</v>
      </c>
      <c r="P1727" s="1" t="s">
        <v>16</v>
      </c>
      <c r="Q1727" s="1">
        <v>20</v>
      </c>
    </row>
    <row r="1728" spans="1:19" ht="12.5" x14ac:dyDescent="0.25">
      <c r="A1728" s="1">
        <v>789</v>
      </c>
      <c r="B1728" s="1" t="s">
        <v>5807</v>
      </c>
      <c r="C1728" s="1" t="s">
        <v>35</v>
      </c>
      <c r="D1728" s="1" t="s">
        <v>36</v>
      </c>
      <c r="E1728" s="1">
        <v>1681</v>
      </c>
      <c r="F1728" s="1" t="s">
        <v>5804</v>
      </c>
      <c r="G1728" s="1" t="s">
        <v>5805</v>
      </c>
      <c r="H1728" s="1" t="s">
        <v>16</v>
      </c>
      <c r="I1728" s="1" t="s">
        <v>20</v>
      </c>
      <c r="J1728" s="1" t="s">
        <v>5806</v>
      </c>
      <c r="K1728" s="1" t="b">
        <v>0</v>
      </c>
      <c r="L1728" s="1" t="s">
        <v>22</v>
      </c>
      <c r="M1728" s="1" t="s">
        <v>16</v>
      </c>
      <c r="N1728" s="1" t="s">
        <v>16</v>
      </c>
      <c r="O1728" s="1" t="s">
        <v>16</v>
      </c>
      <c r="P1728" s="1" t="s">
        <v>16</v>
      </c>
      <c r="Q1728" s="1">
        <v>30</v>
      </c>
    </row>
    <row r="1729" spans="1:17" ht="12.5" x14ac:dyDescent="0.25">
      <c r="A1729" s="1" t="s">
        <v>16</v>
      </c>
      <c r="B1729" s="1" t="s">
        <v>16</v>
      </c>
      <c r="C1729" s="1" t="s">
        <v>16</v>
      </c>
      <c r="D1729" s="1" t="s">
        <v>16</v>
      </c>
      <c r="E1729" s="1">
        <v>1683</v>
      </c>
      <c r="F1729" s="1" t="s">
        <v>5808</v>
      </c>
      <c r="G1729" s="1" t="s">
        <v>5809</v>
      </c>
      <c r="H1729" s="1" t="s">
        <v>16</v>
      </c>
      <c r="I1729" s="1" t="s">
        <v>20</v>
      </c>
      <c r="J1729" s="1" t="s">
        <v>5810</v>
      </c>
      <c r="K1729" s="1" t="b">
        <v>0</v>
      </c>
      <c r="L1729" s="1" t="s">
        <v>22</v>
      </c>
      <c r="M1729" s="1" t="s">
        <v>16</v>
      </c>
      <c r="N1729" s="1" t="s">
        <v>16</v>
      </c>
      <c r="O1729" s="1" t="s">
        <v>16</v>
      </c>
      <c r="P1729" s="1" t="s">
        <v>16</v>
      </c>
    </row>
    <row r="1730" spans="1:17" ht="12.5" x14ac:dyDescent="0.25">
      <c r="A1730" s="1" t="s">
        <v>16</v>
      </c>
      <c r="B1730" s="1" t="s">
        <v>16</v>
      </c>
      <c r="C1730" s="1" t="s">
        <v>16</v>
      </c>
      <c r="D1730" s="1" t="s">
        <v>16</v>
      </c>
      <c r="E1730" s="1">
        <v>1684</v>
      </c>
      <c r="F1730" s="1" t="s">
        <v>5811</v>
      </c>
      <c r="G1730" s="1" t="s">
        <v>5812</v>
      </c>
      <c r="H1730" s="1" t="s">
        <v>16</v>
      </c>
      <c r="I1730" s="1" t="s">
        <v>20</v>
      </c>
      <c r="J1730" s="1" t="s">
        <v>5813</v>
      </c>
      <c r="K1730" s="1" t="b">
        <v>0</v>
      </c>
      <c r="L1730" s="1" t="s">
        <v>22</v>
      </c>
      <c r="M1730" s="1" t="s">
        <v>16</v>
      </c>
      <c r="N1730" s="1" t="s">
        <v>16</v>
      </c>
      <c r="O1730" s="1" t="s">
        <v>16</v>
      </c>
      <c r="P1730" s="1" t="s">
        <v>16</v>
      </c>
    </row>
    <row r="1731" spans="1:17" ht="12.5" x14ac:dyDescent="0.25">
      <c r="A1731" s="1" t="s">
        <v>16</v>
      </c>
      <c r="B1731" s="1" t="s">
        <v>16</v>
      </c>
      <c r="C1731" s="1" t="s">
        <v>16</v>
      </c>
      <c r="D1731" s="1" t="s">
        <v>16</v>
      </c>
      <c r="E1731" s="1">
        <v>1685</v>
      </c>
      <c r="F1731" s="1" t="s">
        <v>5814</v>
      </c>
      <c r="G1731" s="1" t="s">
        <v>5815</v>
      </c>
      <c r="H1731" s="1" t="s">
        <v>16</v>
      </c>
      <c r="I1731" s="1" t="s">
        <v>20</v>
      </c>
      <c r="J1731" s="1" t="s">
        <v>5816</v>
      </c>
      <c r="K1731" s="1" t="b">
        <v>0</v>
      </c>
      <c r="L1731" s="1" t="s">
        <v>22</v>
      </c>
      <c r="M1731" s="1" t="s">
        <v>16</v>
      </c>
      <c r="N1731" s="1" t="s">
        <v>16</v>
      </c>
      <c r="O1731" s="1" t="s">
        <v>16</v>
      </c>
      <c r="P1731" s="1" t="s">
        <v>16</v>
      </c>
    </row>
    <row r="1732" spans="1:17" ht="12.5" x14ac:dyDescent="0.25">
      <c r="A1732" s="1" t="s">
        <v>16</v>
      </c>
      <c r="B1732" s="1" t="s">
        <v>16</v>
      </c>
      <c r="C1732" s="1" t="s">
        <v>16</v>
      </c>
      <c r="D1732" s="1" t="s">
        <v>16</v>
      </c>
      <c r="E1732" s="1">
        <v>1686</v>
      </c>
      <c r="F1732" s="1" t="s">
        <v>5817</v>
      </c>
      <c r="G1732" s="1" t="s">
        <v>5818</v>
      </c>
      <c r="H1732" s="1" t="s">
        <v>16</v>
      </c>
      <c r="I1732" s="1" t="s">
        <v>20</v>
      </c>
      <c r="J1732" s="1" t="s">
        <v>5819</v>
      </c>
      <c r="K1732" s="1" t="b">
        <v>0</v>
      </c>
      <c r="L1732" s="1" t="s">
        <v>22</v>
      </c>
      <c r="M1732" s="1" t="s">
        <v>16</v>
      </c>
      <c r="N1732" s="1" t="s">
        <v>16</v>
      </c>
      <c r="O1732" s="1" t="s">
        <v>16</v>
      </c>
      <c r="P1732" s="1" t="s">
        <v>16</v>
      </c>
    </row>
    <row r="1733" spans="1:17" ht="12.5" x14ac:dyDescent="0.25">
      <c r="A1733" s="1" t="s">
        <v>16</v>
      </c>
      <c r="B1733" s="1" t="s">
        <v>16</v>
      </c>
      <c r="C1733" s="1" t="s">
        <v>16</v>
      </c>
      <c r="D1733" s="1" t="s">
        <v>16</v>
      </c>
      <c r="E1733" s="1">
        <v>1702</v>
      </c>
      <c r="F1733" s="1" t="s">
        <v>5820</v>
      </c>
      <c r="G1733" s="1" t="s">
        <v>5821</v>
      </c>
      <c r="H1733" s="1" t="s">
        <v>16</v>
      </c>
      <c r="I1733" s="1" t="s">
        <v>20</v>
      </c>
      <c r="J1733" s="1" t="s">
        <v>5822</v>
      </c>
      <c r="K1733" s="1" t="b">
        <v>0</v>
      </c>
      <c r="L1733" s="1" t="s">
        <v>22</v>
      </c>
      <c r="M1733" s="1" t="s">
        <v>16</v>
      </c>
      <c r="N1733" s="1" t="s">
        <v>16</v>
      </c>
      <c r="O1733" s="1" t="s">
        <v>16</v>
      </c>
      <c r="P1733" s="1" t="s">
        <v>16</v>
      </c>
    </row>
    <row r="1734" spans="1:17" ht="12.5" x14ac:dyDescent="0.25">
      <c r="A1734" s="1" t="s">
        <v>16</v>
      </c>
      <c r="B1734" s="1" t="s">
        <v>16</v>
      </c>
      <c r="C1734" s="1" t="s">
        <v>16</v>
      </c>
      <c r="D1734" s="1" t="s">
        <v>16</v>
      </c>
      <c r="E1734" s="1">
        <v>1703</v>
      </c>
      <c r="F1734" s="1" t="s">
        <v>5823</v>
      </c>
      <c r="G1734" s="1" t="s">
        <v>5824</v>
      </c>
      <c r="H1734" s="1" t="s">
        <v>16</v>
      </c>
      <c r="I1734" s="1" t="s">
        <v>20</v>
      </c>
      <c r="J1734" s="1" t="s">
        <v>5825</v>
      </c>
      <c r="K1734" s="1" t="b">
        <v>0</v>
      </c>
      <c r="L1734" s="1" t="s">
        <v>22</v>
      </c>
      <c r="M1734" s="1" t="s">
        <v>16</v>
      </c>
      <c r="N1734" s="1" t="s">
        <v>16</v>
      </c>
      <c r="O1734" s="1" t="s">
        <v>16</v>
      </c>
      <c r="P1734" s="1" t="s">
        <v>16</v>
      </c>
    </row>
    <row r="1735" spans="1:17" ht="12.5" x14ac:dyDescent="0.25">
      <c r="A1735" s="1" t="s">
        <v>16</v>
      </c>
      <c r="B1735" s="1" t="s">
        <v>16</v>
      </c>
      <c r="C1735" s="1" t="s">
        <v>16</v>
      </c>
      <c r="D1735" s="1" t="s">
        <v>16</v>
      </c>
      <c r="E1735" s="1">
        <v>1704</v>
      </c>
      <c r="F1735" s="1" t="s">
        <v>5826</v>
      </c>
      <c r="G1735" s="1" t="s">
        <v>5827</v>
      </c>
      <c r="H1735" s="1" t="s">
        <v>16</v>
      </c>
      <c r="I1735" s="1" t="s">
        <v>20</v>
      </c>
      <c r="J1735" s="1" t="s">
        <v>5828</v>
      </c>
      <c r="K1735" s="1" t="b">
        <v>0</v>
      </c>
      <c r="L1735" s="1" t="s">
        <v>22</v>
      </c>
      <c r="M1735" s="1" t="s">
        <v>16</v>
      </c>
      <c r="N1735" s="1" t="s">
        <v>16</v>
      </c>
      <c r="O1735" s="1" t="s">
        <v>16</v>
      </c>
      <c r="P1735" s="1" t="s">
        <v>16</v>
      </c>
    </row>
    <row r="1736" spans="1:17" ht="12.5" x14ac:dyDescent="0.25">
      <c r="A1736" s="1">
        <v>766</v>
      </c>
      <c r="B1736" s="1" t="s">
        <v>5829</v>
      </c>
      <c r="C1736" s="1" t="s">
        <v>35</v>
      </c>
      <c r="D1736" s="1" t="s">
        <v>36</v>
      </c>
      <c r="E1736" s="1">
        <v>1705</v>
      </c>
      <c r="F1736" s="1" t="s">
        <v>5830</v>
      </c>
      <c r="G1736" s="1" t="s">
        <v>5831</v>
      </c>
      <c r="H1736" s="1" t="s">
        <v>16</v>
      </c>
      <c r="I1736" s="1" t="s">
        <v>20</v>
      </c>
      <c r="J1736" s="1" t="s">
        <v>5832</v>
      </c>
      <c r="K1736" s="1" t="b">
        <v>0</v>
      </c>
      <c r="L1736" s="1" t="s">
        <v>22</v>
      </c>
      <c r="M1736" s="1" t="s">
        <v>16</v>
      </c>
      <c r="N1736" s="1" t="s">
        <v>16</v>
      </c>
      <c r="O1736" s="1" t="s">
        <v>16</v>
      </c>
      <c r="P1736" s="1" t="s">
        <v>16</v>
      </c>
      <c r="Q1736" s="1">
        <v>10</v>
      </c>
    </row>
    <row r="1737" spans="1:17" ht="12.5" x14ac:dyDescent="0.25">
      <c r="A1737" s="1" t="s">
        <v>16</v>
      </c>
      <c r="B1737" s="1" t="s">
        <v>16</v>
      </c>
      <c r="C1737" s="1" t="s">
        <v>16</v>
      </c>
      <c r="D1737" s="1" t="s">
        <v>16</v>
      </c>
      <c r="E1737" s="1">
        <v>1706</v>
      </c>
      <c r="F1737" s="1" t="s">
        <v>5833</v>
      </c>
      <c r="G1737" s="1" t="s">
        <v>5834</v>
      </c>
      <c r="H1737" s="1" t="s">
        <v>16</v>
      </c>
      <c r="I1737" s="1" t="s">
        <v>20</v>
      </c>
      <c r="J1737" s="1" t="s">
        <v>5835</v>
      </c>
      <c r="K1737" s="1" t="b">
        <v>0</v>
      </c>
      <c r="L1737" s="1" t="s">
        <v>22</v>
      </c>
      <c r="M1737" s="1" t="s">
        <v>16</v>
      </c>
      <c r="N1737" s="1" t="s">
        <v>16</v>
      </c>
      <c r="O1737" s="1" t="s">
        <v>16</v>
      </c>
      <c r="P1737" s="1" t="s">
        <v>16</v>
      </c>
    </row>
    <row r="1738" spans="1:17" ht="12.5" x14ac:dyDescent="0.25">
      <c r="A1738" s="1" t="s">
        <v>16</v>
      </c>
      <c r="B1738" s="1" t="s">
        <v>16</v>
      </c>
      <c r="C1738" s="1" t="s">
        <v>16</v>
      </c>
      <c r="D1738" s="1" t="s">
        <v>16</v>
      </c>
      <c r="E1738" s="1">
        <v>1707</v>
      </c>
      <c r="F1738" s="1" t="s">
        <v>5836</v>
      </c>
      <c r="G1738" s="1" t="s">
        <v>5837</v>
      </c>
      <c r="H1738" s="1" t="s">
        <v>16</v>
      </c>
      <c r="I1738" s="1" t="s">
        <v>20</v>
      </c>
      <c r="J1738" s="1" t="s">
        <v>5838</v>
      </c>
      <c r="K1738" s="1" t="b">
        <v>0</v>
      </c>
      <c r="L1738" s="1" t="s">
        <v>22</v>
      </c>
      <c r="M1738" s="1" t="s">
        <v>16</v>
      </c>
      <c r="N1738" s="1" t="s">
        <v>16</v>
      </c>
      <c r="O1738" s="1" t="s">
        <v>16</v>
      </c>
      <c r="P1738" s="1" t="s">
        <v>16</v>
      </c>
    </row>
    <row r="1739" spans="1:17" ht="12.5" x14ac:dyDescent="0.25">
      <c r="A1739" s="1" t="s">
        <v>16</v>
      </c>
      <c r="B1739" s="1" t="s">
        <v>16</v>
      </c>
      <c r="C1739" s="1" t="s">
        <v>16</v>
      </c>
      <c r="D1739" s="1" t="s">
        <v>16</v>
      </c>
      <c r="E1739" s="1">
        <v>1708</v>
      </c>
      <c r="F1739" s="1" t="s">
        <v>5839</v>
      </c>
      <c r="G1739" s="1" t="s">
        <v>5840</v>
      </c>
      <c r="H1739" s="1" t="s">
        <v>16</v>
      </c>
      <c r="I1739" s="1" t="s">
        <v>20</v>
      </c>
      <c r="J1739" s="1" t="s">
        <v>5841</v>
      </c>
      <c r="K1739" s="1" t="b">
        <v>0</v>
      </c>
      <c r="L1739" s="1" t="s">
        <v>22</v>
      </c>
      <c r="M1739" s="1" t="s">
        <v>16</v>
      </c>
      <c r="N1739" s="1" t="s">
        <v>16</v>
      </c>
      <c r="O1739" s="1" t="s">
        <v>16</v>
      </c>
      <c r="P1739" s="1" t="s">
        <v>16</v>
      </c>
    </row>
    <row r="1740" spans="1:17" ht="12.5" x14ac:dyDescent="0.25">
      <c r="A1740" s="1" t="s">
        <v>16</v>
      </c>
      <c r="B1740" s="1" t="s">
        <v>16</v>
      </c>
      <c r="C1740" s="1" t="s">
        <v>16</v>
      </c>
      <c r="D1740" s="1" t="s">
        <v>16</v>
      </c>
      <c r="E1740" s="1">
        <v>1709</v>
      </c>
      <c r="F1740" s="1" t="s">
        <v>5842</v>
      </c>
      <c r="G1740" s="1" t="s">
        <v>5843</v>
      </c>
      <c r="H1740" s="1" t="s">
        <v>16</v>
      </c>
      <c r="I1740" s="1" t="s">
        <v>20</v>
      </c>
      <c r="J1740" s="1" t="s">
        <v>5844</v>
      </c>
      <c r="K1740" s="1" t="b">
        <v>0</v>
      </c>
      <c r="L1740" s="1" t="s">
        <v>22</v>
      </c>
      <c r="M1740" s="1" t="s">
        <v>16</v>
      </c>
      <c r="N1740" s="1" t="s">
        <v>16</v>
      </c>
      <c r="O1740" s="1" t="s">
        <v>16</v>
      </c>
      <c r="P1740" s="1" t="s">
        <v>16</v>
      </c>
    </row>
    <row r="1741" spans="1:17" ht="12.5" x14ac:dyDescent="0.25">
      <c r="A1741" s="1">
        <v>822</v>
      </c>
      <c r="B1741" s="1" t="s">
        <v>5845</v>
      </c>
      <c r="C1741" s="1" t="s">
        <v>35</v>
      </c>
      <c r="D1741" s="1" t="s">
        <v>36</v>
      </c>
      <c r="E1741" s="1">
        <v>1710</v>
      </c>
      <c r="F1741" s="1" t="s">
        <v>5846</v>
      </c>
      <c r="G1741" s="1" t="s">
        <v>5847</v>
      </c>
      <c r="H1741" s="1" t="s">
        <v>1084</v>
      </c>
      <c r="I1741" s="1" t="s">
        <v>29</v>
      </c>
      <c r="J1741" s="1" t="s">
        <v>16</v>
      </c>
      <c r="K1741" s="1" t="b">
        <v>0</v>
      </c>
      <c r="L1741" s="1" t="s">
        <v>22</v>
      </c>
      <c r="M1741" s="1" t="s">
        <v>16</v>
      </c>
      <c r="N1741" s="1" t="s">
        <v>16</v>
      </c>
      <c r="O1741" s="1" t="s">
        <v>16</v>
      </c>
      <c r="P1741" s="1" t="s">
        <v>16</v>
      </c>
      <c r="Q1741" s="1">
        <v>100</v>
      </c>
    </row>
    <row r="1742" spans="1:17" ht="12.5" x14ac:dyDescent="0.25">
      <c r="A1742" s="1">
        <v>768</v>
      </c>
      <c r="B1742" s="1" t="s">
        <v>5848</v>
      </c>
      <c r="C1742" s="1" t="s">
        <v>35</v>
      </c>
      <c r="D1742" s="1" t="s">
        <v>36</v>
      </c>
      <c r="E1742" s="1">
        <v>1711</v>
      </c>
      <c r="F1742" s="1" t="s">
        <v>5849</v>
      </c>
      <c r="G1742" s="1" t="s">
        <v>5850</v>
      </c>
      <c r="H1742" s="1" t="s">
        <v>1084</v>
      </c>
      <c r="I1742" s="1" t="s">
        <v>29</v>
      </c>
      <c r="J1742" s="1" t="s">
        <v>16</v>
      </c>
      <c r="K1742" s="1" t="b">
        <v>0</v>
      </c>
      <c r="L1742" s="1" t="s">
        <v>22</v>
      </c>
      <c r="M1742" s="1" t="s">
        <v>16</v>
      </c>
      <c r="N1742" s="1" t="s">
        <v>16</v>
      </c>
      <c r="O1742" s="1" t="s">
        <v>16</v>
      </c>
      <c r="P1742" s="1" t="s">
        <v>16</v>
      </c>
      <c r="Q1742" s="1">
        <v>100</v>
      </c>
    </row>
    <row r="1743" spans="1:17" ht="12.5" x14ac:dyDescent="0.25">
      <c r="A1743" s="1">
        <v>730</v>
      </c>
      <c r="B1743" s="1" t="s">
        <v>5851</v>
      </c>
      <c r="C1743" s="1" t="s">
        <v>35</v>
      </c>
      <c r="D1743" s="1" t="s">
        <v>36</v>
      </c>
      <c r="E1743" s="1">
        <v>1712</v>
      </c>
      <c r="F1743" s="1" t="s">
        <v>5852</v>
      </c>
      <c r="G1743" s="1" t="s">
        <v>5853</v>
      </c>
      <c r="H1743" s="1" t="s">
        <v>1084</v>
      </c>
      <c r="I1743" s="1" t="s">
        <v>29</v>
      </c>
      <c r="J1743" s="1" t="s">
        <v>16</v>
      </c>
      <c r="K1743" s="1" t="b">
        <v>0</v>
      </c>
      <c r="L1743" s="1" t="s">
        <v>22</v>
      </c>
      <c r="M1743" s="1" t="s">
        <v>16</v>
      </c>
      <c r="N1743" s="1" t="s">
        <v>16</v>
      </c>
      <c r="O1743" s="1" t="s">
        <v>16</v>
      </c>
      <c r="P1743" s="1" t="s">
        <v>16</v>
      </c>
      <c r="Q1743" s="1">
        <v>100</v>
      </c>
    </row>
    <row r="1744" spans="1:17" ht="12.5" x14ac:dyDescent="0.25">
      <c r="A1744" s="1">
        <v>599</v>
      </c>
      <c r="B1744" s="1" t="s">
        <v>5854</v>
      </c>
      <c r="C1744" s="1" t="s">
        <v>35</v>
      </c>
      <c r="D1744" s="1" t="s">
        <v>36</v>
      </c>
      <c r="E1744" s="1">
        <v>1713</v>
      </c>
      <c r="F1744" s="1" t="s">
        <v>5855</v>
      </c>
      <c r="G1744" s="1" t="s">
        <v>5856</v>
      </c>
      <c r="H1744" s="1" t="s">
        <v>16</v>
      </c>
      <c r="I1744" s="1" t="s">
        <v>29</v>
      </c>
      <c r="J1744" s="1" t="s">
        <v>16</v>
      </c>
      <c r="K1744" s="1" t="b">
        <v>0</v>
      </c>
      <c r="L1744" s="1" t="s">
        <v>22</v>
      </c>
      <c r="M1744" s="1" t="s">
        <v>16</v>
      </c>
      <c r="N1744" s="1" t="s">
        <v>16</v>
      </c>
      <c r="O1744" s="1" t="s">
        <v>16</v>
      </c>
      <c r="P1744" s="1" t="s">
        <v>16</v>
      </c>
      <c r="Q1744" s="1">
        <v>100</v>
      </c>
    </row>
    <row r="1745" spans="1:19" ht="12.5" x14ac:dyDescent="0.25">
      <c r="A1745" s="1">
        <v>504</v>
      </c>
      <c r="B1745" s="1" t="s">
        <v>2073</v>
      </c>
      <c r="C1745" s="1" t="s">
        <v>35</v>
      </c>
      <c r="D1745" s="1" t="s">
        <v>36</v>
      </c>
      <c r="E1745" s="1">
        <v>1714</v>
      </c>
      <c r="F1745" s="1" t="s">
        <v>5857</v>
      </c>
      <c r="G1745" s="1" t="s">
        <v>5858</v>
      </c>
      <c r="H1745" s="1" t="s">
        <v>5859</v>
      </c>
      <c r="I1745" s="1" t="s">
        <v>29</v>
      </c>
      <c r="J1745" s="1" t="s">
        <v>5860</v>
      </c>
      <c r="K1745" s="1" t="b">
        <v>0</v>
      </c>
      <c r="L1745" s="1" t="s">
        <v>22</v>
      </c>
      <c r="M1745" s="1" t="s">
        <v>16</v>
      </c>
      <c r="N1745" s="1" t="s">
        <v>16</v>
      </c>
      <c r="O1745" s="1" t="s">
        <v>9942</v>
      </c>
      <c r="P1745" s="1" t="s">
        <v>16</v>
      </c>
      <c r="Q1745" s="1">
        <v>100</v>
      </c>
      <c r="R1745" s="1">
        <v>1</v>
      </c>
      <c r="S1745" s="1">
        <v>1</v>
      </c>
    </row>
    <row r="1746" spans="1:19" ht="12.5" x14ac:dyDescent="0.25">
      <c r="A1746" s="1" t="s">
        <v>16</v>
      </c>
      <c r="B1746" s="1" t="s">
        <v>16</v>
      </c>
      <c r="C1746" s="1" t="s">
        <v>16</v>
      </c>
      <c r="D1746" s="1" t="s">
        <v>16</v>
      </c>
      <c r="E1746" s="1">
        <v>1715</v>
      </c>
      <c r="F1746" s="1" t="s">
        <v>5861</v>
      </c>
      <c r="G1746" s="1" t="s">
        <v>5862</v>
      </c>
      <c r="H1746" s="1" t="s">
        <v>16</v>
      </c>
      <c r="I1746" s="1" t="s">
        <v>20</v>
      </c>
      <c r="J1746" s="1" t="s">
        <v>5863</v>
      </c>
      <c r="K1746" s="1" t="b">
        <v>0</v>
      </c>
      <c r="L1746" s="1" t="s">
        <v>22</v>
      </c>
      <c r="M1746" s="1" t="s">
        <v>16</v>
      </c>
      <c r="N1746" s="1" t="s">
        <v>16</v>
      </c>
      <c r="O1746" s="1" t="s">
        <v>16</v>
      </c>
      <c r="P1746" s="1" t="s">
        <v>16</v>
      </c>
    </row>
    <row r="1747" spans="1:19" ht="12.5" x14ac:dyDescent="0.25">
      <c r="A1747" s="1" t="s">
        <v>16</v>
      </c>
      <c r="B1747" s="1" t="s">
        <v>16</v>
      </c>
      <c r="C1747" s="1" t="s">
        <v>16</v>
      </c>
      <c r="D1747" s="1" t="s">
        <v>16</v>
      </c>
      <c r="E1747" s="1">
        <v>1716</v>
      </c>
      <c r="F1747" s="1" t="s">
        <v>5864</v>
      </c>
      <c r="G1747" s="1" t="s">
        <v>5865</v>
      </c>
      <c r="H1747" s="1" t="s">
        <v>16</v>
      </c>
      <c r="I1747" s="1" t="s">
        <v>20</v>
      </c>
      <c r="J1747" s="1" t="s">
        <v>5866</v>
      </c>
      <c r="K1747" s="1" t="b">
        <v>0</v>
      </c>
      <c r="L1747" s="1" t="s">
        <v>22</v>
      </c>
      <c r="M1747" s="1" t="s">
        <v>16</v>
      </c>
      <c r="N1747" s="1" t="s">
        <v>16</v>
      </c>
      <c r="O1747" s="1" t="s">
        <v>16</v>
      </c>
      <c r="P1747" s="1" t="s">
        <v>16</v>
      </c>
    </row>
    <row r="1748" spans="1:19" ht="12.5" x14ac:dyDescent="0.25">
      <c r="A1748" s="1">
        <v>983</v>
      </c>
      <c r="B1748" s="1" t="s">
        <v>5867</v>
      </c>
      <c r="C1748" s="1" t="s">
        <v>35</v>
      </c>
      <c r="D1748" s="1" t="s">
        <v>152</v>
      </c>
      <c r="E1748" s="1">
        <v>1717</v>
      </c>
      <c r="F1748" s="1" t="s">
        <v>5868</v>
      </c>
      <c r="G1748" s="1" t="s">
        <v>5869</v>
      </c>
      <c r="H1748" s="1" t="s">
        <v>5870</v>
      </c>
      <c r="I1748" s="1" t="s">
        <v>29</v>
      </c>
      <c r="J1748" s="1" t="s">
        <v>5871</v>
      </c>
      <c r="K1748" s="1" t="b">
        <v>1</v>
      </c>
      <c r="L1748" s="1" t="s">
        <v>31</v>
      </c>
      <c r="M1748" s="1">
        <v>2021</v>
      </c>
      <c r="N1748" s="1" t="s">
        <v>52</v>
      </c>
      <c r="O1748" s="1" t="s">
        <v>9940</v>
      </c>
      <c r="P1748" s="1" t="s">
        <v>5389</v>
      </c>
      <c r="Q1748" s="1">
        <v>100</v>
      </c>
      <c r="R1748" s="1">
        <v>15111.39</v>
      </c>
      <c r="S1748" s="1">
        <v>15111.39</v>
      </c>
    </row>
    <row r="1749" spans="1:19" ht="12.5" x14ac:dyDescent="0.25">
      <c r="A1749" s="1">
        <v>1273</v>
      </c>
      <c r="B1749" s="1" t="s">
        <v>4269</v>
      </c>
      <c r="C1749" s="1" t="s">
        <v>35</v>
      </c>
      <c r="D1749" s="1" t="s">
        <v>152</v>
      </c>
      <c r="E1749" s="1">
        <v>1718</v>
      </c>
      <c r="F1749" s="1" t="s">
        <v>5872</v>
      </c>
      <c r="G1749" s="1" t="s">
        <v>5873</v>
      </c>
      <c r="H1749" s="1" t="s">
        <v>5874</v>
      </c>
      <c r="I1749" s="1" t="s">
        <v>29</v>
      </c>
      <c r="J1749" s="1" t="s">
        <v>5875</v>
      </c>
      <c r="K1749" s="1" t="b">
        <v>0</v>
      </c>
      <c r="L1749" s="1" t="s">
        <v>22</v>
      </c>
      <c r="M1749" s="1">
        <v>2022</v>
      </c>
      <c r="N1749" s="1" t="s">
        <v>52</v>
      </c>
      <c r="O1749" s="1" t="s">
        <v>9935</v>
      </c>
      <c r="P1749" s="1" t="s">
        <v>16</v>
      </c>
      <c r="Q1749" s="1">
        <v>100</v>
      </c>
      <c r="R1749" s="1">
        <v>500</v>
      </c>
      <c r="S1749" s="1">
        <v>500</v>
      </c>
    </row>
    <row r="1750" spans="1:19" ht="12.5" x14ac:dyDescent="0.25">
      <c r="A1750" s="1" t="s">
        <v>16</v>
      </c>
      <c r="B1750" s="1" t="s">
        <v>16</v>
      </c>
      <c r="C1750" s="1" t="s">
        <v>16</v>
      </c>
      <c r="D1750" s="1" t="s">
        <v>16</v>
      </c>
      <c r="E1750" s="1">
        <v>1719</v>
      </c>
      <c r="F1750" s="1" t="s">
        <v>5876</v>
      </c>
      <c r="G1750" s="1" t="s">
        <v>5877</v>
      </c>
      <c r="H1750" s="1" t="s">
        <v>5878</v>
      </c>
      <c r="I1750" s="1" t="s">
        <v>29</v>
      </c>
      <c r="J1750" s="1" t="s">
        <v>5879</v>
      </c>
      <c r="K1750" s="1" t="b">
        <v>0</v>
      </c>
      <c r="L1750" s="1" t="s">
        <v>22</v>
      </c>
      <c r="M1750" s="1" t="s">
        <v>16</v>
      </c>
      <c r="N1750" s="1" t="s">
        <v>16</v>
      </c>
      <c r="O1750" s="1" t="s">
        <v>9935</v>
      </c>
      <c r="P1750" s="1" t="s">
        <v>16</v>
      </c>
      <c r="R1750" s="1">
        <v>0.1</v>
      </c>
    </row>
    <row r="1751" spans="1:19" ht="12.5" x14ac:dyDescent="0.25">
      <c r="A1751" s="1">
        <v>1362</v>
      </c>
      <c r="B1751" s="1" t="s">
        <v>5880</v>
      </c>
      <c r="C1751" s="1" t="s">
        <v>35</v>
      </c>
      <c r="D1751" s="1" t="s">
        <v>152</v>
      </c>
      <c r="E1751" s="1">
        <v>1720</v>
      </c>
      <c r="F1751" s="1" t="s">
        <v>5882</v>
      </c>
      <c r="G1751" s="1" t="s">
        <v>5883</v>
      </c>
      <c r="H1751" s="1" t="s">
        <v>5884</v>
      </c>
      <c r="I1751" s="1" t="s">
        <v>29</v>
      </c>
      <c r="J1751" s="1" t="s">
        <v>16</v>
      </c>
      <c r="K1751" s="1" t="b">
        <v>0</v>
      </c>
      <c r="L1751" s="1" t="s">
        <v>22</v>
      </c>
      <c r="M1751" s="1">
        <v>2023</v>
      </c>
      <c r="N1751" s="1" t="s">
        <v>32</v>
      </c>
      <c r="O1751" s="1" t="s">
        <v>9940</v>
      </c>
      <c r="P1751" s="1" t="s">
        <v>16</v>
      </c>
      <c r="Q1751" s="1">
        <v>100</v>
      </c>
      <c r="R1751" s="1">
        <v>20000</v>
      </c>
      <c r="S1751" s="1">
        <v>20000</v>
      </c>
    </row>
    <row r="1752" spans="1:19" ht="12.5" x14ac:dyDescent="0.25">
      <c r="A1752" s="1">
        <v>2103</v>
      </c>
      <c r="B1752" s="1" t="s">
        <v>5885</v>
      </c>
      <c r="C1752" s="1" t="s">
        <v>15</v>
      </c>
      <c r="D1752" s="1" t="s">
        <v>15</v>
      </c>
      <c r="E1752" s="1">
        <v>1721</v>
      </c>
      <c r="F1752" s="1" t="s">
        <v>5886</v>
      </c>
      <c r="G1752" s="1" t="s">
        <v>5887</v>
      </c>
      <c r="H1752" s="1" t="s">
        <v>5888</v>
      </c>
      <c r="I1752" s="1" t="s">
        <v>29</v>
      </c>
      <c r="J1752" s="1" t="s">
        <v>16</v>
      </c>
      <c r="K1752" s="1" t="b">
        <v>0</v>
      </c>
      <c r="L1752" s="1" t="s">
        <v>22</v>
      </c>
      <c r="M1752" s="1">
        <v>2022</v>
      </c>
      <c r="N1752" s="1" t="s">
        <v>23</v>
      </c>
      <c r="O1752" s="1" t="s">
        <v>9935</v>
      </c>
      <c r="P1752" s="1" t="s">
        <v>16</v>
      </c>
      <c r="Q1752" s="1">
        <v>100</v>
      </c>
      <c r="R1752" s="1">
        <v>100000</v>
      </c>
      <c r="S1752" s="1">
        <v>100000</v>
      </c>
    </row>
    <row r="1753" spans="1:19" ht="12.5" x14ac:dyDescent="0.25">
      <c r="A1753" s="1">
        <v>749</v>
      </c>
      <c r="B1753" s="1" t="s">
        <v>5889</v>
      </c>
      <c r="C1753" s="1" t="s">
        <v>35</v>
      </c>
      <c r="D1753" s="1" t="s">
        <v>36</v>
      </c>
      <c r="E1753" s="1">
        <v>1722</v>
      </c>
      <c r="F1753" s="1" t="s">
        <v>5890</v>
      </c>
      <c r="G1753" s="1" t="s">
        <v>5891</v>
      </c>
      <c r="H1753" s="1" t="s">
        <v>1238</v>
      </c>
      <c r="I1753" s="1" t="s">
        <v>29</v>
      </c>
      <c r="J1753" s="1" t="s">
        <v>5892</v>
      </c>
      <c r="K1753" s="1" t="b">
        <v>0</v>
      </c>
      <c r="L1753" s="1" t="s">
        <v>22</v>
      </c>
      <c r="M1753" s="1">
        <v>2021</v>
      </c>
      <c r="N1753" s="1" t="s">
        <v>32</v>
      </c>
      <c r="O1753" s="1" t="s">
        <v>9942</v>
      </c>
      <c r="P1753" s="1" t="s">
        <v>16</v>
      </c>
      <c r="Q1753" s="1">
        <v>100</v>
      </c>
      <c r="R1753" s="1">
        <v>1</v>
      </c>
      <c r="S1753" s="1">
        <v>1</v>
      </c>
    </row>
    <row r="1754" spans="1:19" ht="12.5" x14ac:dyDescent="0.25">
      <c r="A1754" s="1" t="s">
        <v>16</v>
      </c>
      <c r="B1754" s="1" t="s">
        <v>16</v>
      </c>
      <c r="C1754" s="1" t="s">
        <v>16</v>
      </c>
      <c r="D1754" s="1" t="s">
        <v>16</v>
      </c>
      <c r="E1754" s="1">
        <v>1723</v>
      </c>
      <c r="F1754" s="1" t="s">
        <v>5893</v>
      </c>
      <c r="G1754" s="1" t="s">
        <v>5894</v>
      </c>
      <c r="H1754" s="1" t="s">
        <v>16</v>
      </c>
      <c r="I1754" s="1" t="s">
        <v>20</v>
      </c>
      <c r="J1754" s="1" t="s">
        <v>5895</v>
      </c>
      <c r="K1754" s="1" t="b">
        <v>0</v>
      </c>
      <c r="L1754" s="1" t="s">
        <v>22</v>
      </c>
      <c r="M1754" s="1" t="s">
        <v>16</v>
      </c>
      <c r="N1754" s="1" t="s">
        <v>16</v>
      </c>
      <c r="O1754" s="1" t="s">
        <v>16</v>
      </c>
      <c r="P1754" s="1" t="s">
        <v>16</v>
      </c>
    </row>
    <row r="1755" spans="1:19" ht="12.5" x14ac:dyDescent="0.25">
      <c r="A1755" s="1" t="s">
        <v>16</v>
      </c>
      <c r="B1755" s="1" t="s">
        <v>16</v>
      </c>
      <c r="C1755" s="1" t="s">
        <v>16</v>
      </c>
      <c r="D1755" s="1" t="s">
        <v>16</v>
      </c>
      <c r="E1755" s="1">
        <v>1724</v>
      </c>
      <c r="F1755" s="1" t="s">
        <v>5896</v>
      </c>
      <c r="G1755" s="1" t="s">
        <v>5897</v>
      </c>
      <c r="H1755" s="1" t="s">
        <v>16</v>
      </c>
      <c r="I1755" s="1" t="s">
        <v>20</v>
      </c>
      <c r="J1755" s="1" t="s">
        <v>5898</v>
      </c>
      <c r="K1755" s="1" t="b">
        <v>0</v>
      </c>
      <c r="L1755" s="1" t="s">
        <v>22</v>
      </c>
      <c r="M1755" s="1" t="s">
        <v>16</v>
      </c>
      <c r="N1755" s="1" t="s">
        <v>16</v>
      </c>
      <c r="O1755" s="1" t="s">
        <v>16</v>
      </c>
      <c r="P1755" s="1" t="s">
        <v>16</v>
      </c>
    </row>
    <row r="1756" spans="1:19" ht="12.5" x14ac:dyDescent="0.25">
      <c r="A1756" s="1">
        <v>51</v>
      </c>
      <c r="B1756" s="1" t="s">
        <v>266</v>
      </c>
      <c r="C1756" s="1" t="s">
        <v>15</v>
      </c>
      <c r="D1756" s="1" t="s">
        <v>15</v>
      </c>
      <c r="E1756" s="1">
        <v>1725</v>
      </c>
      <c r="F1756" s="1" t="s">
        <v>5899</v>
      </c>
      <c r="G1756" s="1" t="s">
        <v>5900</v>
      </c>
      <c r="H1756" s="1" t="s">
        <v>5901</v>
      </c>
      <c r="I1756" s="1" t="s">
        <v>20</v>
      </c>
      <c r="J1756" s="1" t="s">
        <v>5902</v>
      </c>
      <c r="K1756" s="1" t="b">
        <v>0</v>
      </c>
      <c r="L1756" s="1" t="s">
        <v>22</v>
      </c>
      <c r="M1756" s="1" t="s">
        <v>16</v>
      </c>
      <c r="N1756" s="1" t="s">
        <v>16</v>
      </c>
      <c r="O1756" s="1" t="s">
        <v>9935</v>
      </c>
      <c r="P1756" s="1" t="s">
        <v>9938</v>
      </c>
      <c r="Q1756" s="1">
        <v>9.85</v>
      </c>
      <c r="R1756" s="1">
        <v>410000</v>
      </c>
      <c r="S1756" s="1">
        <v>40385</v>
      </c>
    </row>
    <row r="1757" spans="1:19" ht="12.5" x14ac:dyDescent="0.25">
      <c r="A1757" s="1">
        <v>51</v>
      </c>
      <c r="B1757" s="1" t="s">
        <v>266</v>
      </c>
      <c r="C1757" s="1" t="s">
        <v>15</v>
      </c>
      <c r="D1757" s="1" t="s">
        <v>15</v>
      </c>
      <c r="E1757" s="1">
        <v>1725</v>
      </c>
      <c r="F1757" s="1" t="s">
        <v>5899</v>
      </c>
      <c r="G1757" s="1" t="s">
        <v>5900</v>
      </c>
      <c r="H1757" s="1" t="s">
        <v>5901</v>
      </c>
      <c r="I1757" s="1" t="s">
        <v>20</v>
      </c>
      <c r="J1757" s="1" t="s">
        <v>5902</v>
      </c>
      <c r="K1757" s="1" t="b">
        <v>0</v>
      </c>
      <c r="L1757" s="1" t="s">
        <v>22</v>
      </c>
      <c r="M1757" s="1" t="s">
        <v>16</v>
      </c>
      <c r="N1757" s="1" t="s">
        <v>16</v>
      </c>
      <c r="O1757" s="1" t="s">
        <v>9935</v>
      </c>
      <c r="P1757" s="1" t="s">
        <v>10058</v>
      </c>
      <c r="Q1757" s="1">
        <v>9.85</v>
      </c>
      <c r="R1757" s="1">
        <v>840000</v>
      </c>
      <c r="S1757" s="1">
        <v>82740</v>
      </c>
    </row>
    <row r="1758" spans="1:19" ht="12.5" x14ac:dyDescent="0.25">
      <c r="A1758" s="1">
        <v>51</v>
      </c>
      <c r="B1758" s="1" t="s">
        <v>266</v>
      </c>
      <c r="C1758" s="1" t="s">
        <v>15</v>
      </c>
      <c r="D1758" s="1" t="s">
        <v>15</v>
      </c>
      <c r="E1758" s="1">
        <v>1725</v>
      </c>
      <c r="F1758" s="1" t="s">
        <v>5899</v>
      </c>
      <c r="G1758" s="1" t="s">
        <v>5900</v>
      </c>
      <c r="H1758" s="1" t="s">
        <v>5901</v>
      </c>
      <c r="I1758" s="1" t="s">
        <v>20</v>
      </c>
      <c r="J1758" s="1" t="s">
        <v>5902</v>
      </c>
      <c r="K1758" s="1" t="b">
        <v>0</v>
      </c>
      <c r="L1758" s="1" t="s">
        <v>22</v>
      </c>
      <c r="M1758" s="1" t="s">
        <v>16</v>
      </c>
      <c r="N1758" s="1" t="s">
        <v>16</v>
      </c>
      <c r="O1758" s="1" t="s">
        <v>9935</v>
      </c>
      <c r="P1758" s="1" t="s">
        <v>10059</v>
      </c>
      <c r="Q1758" s="1">
        <v>9.85</v>
      </c>
      <c r="R1758" s="1">
        <v>610000</v>
      </c>
      <c r="S1758" s="1">
        <v>60085</v>
      </c>
    </row>
    <row r="1759" spans="1:19" ht="12.5" x14ac:dyDescent="0.25">
      <c r="A1759" s="1">
        <v>51</v>
      </c>
      <c r="B1759" s="1" t="s">
        <v>266</v>
      </c>
      <c r="C1759" s="1" t="s">
        <v>15</v>
      </c>
      <c r="D1759" s="1" t="s">
        <v>15</v>
      </c>
      <c r="E1759" s="1">
        <v>1725</v>
      </c>
      <c r="F1759" s="1" t="s">
        <v>5899</v>
      </c>
      <c r="G1759" s="1" t="s">
        <v>5900</v>
      </c>
      <c r="H1759" s="1" t="s">
        <v>5901</v>
      </c>
      <c r="I1759" s="1" t="s">
        <v>20</v>
      </c>
      <c r="J1759" s="1" t="s">
        <v>5902</v>
      </c>
      <c r="K1759" s="1" t="b">
        <v>0</v>
      </c>
      <c r="L1759" s="1" t="s">
        <v>22</v>
      </c>
      <c r="M1759" s="1" t="s">
        <v>16</v>
      </c>
      <c r="N1759" s="1" t="s">
        <v>16</v>
      </c>
      <c r="O1759" s="1" t="s">
        <v>9935</v>
      </c>
      <c r="P1759" s="1" t="s">
        <v>10060</v>
      </c>
      <c r="Q1759" s="1">
        <v>9.85</v>
      </c>
      <c r="R1759" s="1">
        <v>640000</v>
      </c>
      <c r="S1759" s="1">
        <v>63040</v>
      </c>
    </row>
    <row r="1760" spans="1:19" ht="12.5" x14ac:dyDescent="0.25">
      <c r="A1760" s="1">
        <v>51</v>
      </c>
      <c r="B1760" s="1" t="s">
        <v>266</v>
      </c>
      <c r="C1760" s="1" t="s">
        <v>15</v>
      </c>
      <c r="D1760" s="1" t="s">
        <v>15</v>
      </c>
      <c r="E1760" s="1">
        <v>1725</v>
      </c>
      <c r="F1760" s="1" t="s">
        <v>5899</v>
      </c>
      <c r="G1760" s="1" t="s">
        <v>5900</v>
      </c>
      <c r="H1760" s="1" t="s">
        <v>5901</v>
      </c>
      <c r="I1760" s="1" t="s">
        <v>20</v>
      </c>
      <c r="J1760" s="1" t="s">
        <v>5902</v>
      </c>
      <c r="K1760" s="1" t="b">
        <v>0</v>
      </c>
      <c r="L1760" s="1" t="s">
        <v>22</v>
      </c>
      <c r="M1760" s="1" t="s">
        <v>16</v>
      </c>
      <c r="N1760" s="1" t="s">
        <v>16</v>
      </c>
      <c r="O1760" s="1" t="s">
        <v>9935</v>
      </c>
      <c r="P1760" s="1" t="s">
        <v>10061</v>
      </c>
      <c r="Q1760" s="1">
        <v>9.85</v>
      </c>
      <c r="R1760" s="1">
        <v>4000000</v>
      </c>
      <c r="S1760" s="1">
        <v>394000</v>
      </c>
    </row>
    <row r="1761" spans="1:19" ht="12.5" x14ac:dyDescent="0.25">
      <c r="A1761" s="1">
        <v>53</v>
      </c>
      <c r="B1761" s="1" t="s">
        <v>277</v>
      </c>
      <c r="C1761" s="1" t="s">
        <v>15</v>
      </c>
      <c r="D1761" s="1" t="s">
        <v>15</v>
      </c>
      <c r="E1761" s="1">
        <v>1725</v>
      </c>
      <c r="F1761" s="1" t="s">
        <v>5899</v>
      </c>
      <c r="G1761" s="1" t="s">
        <v>5900</v>
      </c>
      <c r="H1761" s="1" t="s">
        <v>5901</v>
      </c>
      <c r="I1761" s="1" t="s">
        <v>20</v>
      </c>
      <c r="J1761" s="1" t="s">
        <v>5902</v>
      </c>
      <c r="K1761" s="1" t="b">
        <v>0</v>
      </c>
      <c r="L1761" s="1" t="s">
        <v>22</v>
      </c>
      <c r="M1761" s="1" t="s">
        <v>16</v>
      </c>
      <c r="N1761" s="1" t="s">
        <v>16</v>
      </c>
      <c r="O1761" s="1" t="s">
        <v>9935</v>
      </c>
      <c r="P1761" s="1" t="s">
        <v>10060</v>
      </c>
      <c r="Q1761" s="1">
        <v>9.4</v>
      </c>
      <c r="R1761" s="1">
        <v>640000</v>
      </c>
      <c r="S1761" s="1">
        <v>60160</v>
      </c>
    </row>
    <row r="1762" spans="1:19" ht="12.5" x14ac:dyDescent="0.25">
      <c r="A1762" s="1">
        <v>53</v>
      </c>
      <c r="B1762" s="1" t="s">
        <v>277</v>
      </c>
      <c r="C1762" s="1" t="s">
        <v>15</v>
      </c>
      <c r="D1762" s="1" t="s">
        <v>15</v>
      </c>
      <c r="E1762" s="1">
        <v>1725</v>
      </c>
      <c r="F1762" s="1" t="s">
        <v>5899</v>
      </c>
      <c r="G1762" s="1" t="s">
        <v>5900</v>
      </c>
      <c r="H1762" s="1" t="s">
        <v>5901</v>
      </c>
      <c r="I1762" s="1" t="s">
        <v>20</v>
      </c>
      <c r="J1762" s="1" t="s">
        <v>5902</v>
      </c>
      <c r="K1762" s="1" t="b">
        <v>0</v>
      </c>
      <c r="L1762" s="1" t="s">
        <v>22</v>
      </c>
      <c r="M1762" s="1" t="s">
        <v>16</v>
      </c>
      <c r="N1762" s="1" t="s">
        <v>16</v>
      </c>
      <c r="O1762" s="1" t="s">
        <v>9935</v>
      </c>
      <c r="P1762" s="1" t="s">
        <v>10061</v>
      </c>
      <c r="Q1762" s="1">
        <v>9.4</v>
      </c>
      <c r="R1762" s="1">
        <v>4000000</v>
      </c>
      <c r="S1762" s="1">
        <v>376000</v>
      </c>
    </row>
    <row r="1763" spans="1:19" ht="12.5" x14ac:dyDescent="0.25">
      <c r="A1763" s="1">
        <v>53</v>
      </c>
      <c r="B1763" s="1" t="s">
        <v>277</v>
      </c>
      <c r="C1763" s="1" t="s">
        <v>15</v>
      </c>
      <c r="D1763" s="1" t="s">
        <v>15</v>
      </c>
      <c r="E1763" s="1">
        <v>1725</v>
      </c>
      <c r="F1763" s="1" t="s">
        <v>5899</v>
      </c>
      <c r="G1763" s="1" t="s">
        <v>5900</v>
      </c>
      <c r="H1763" s="1" t="s">
        <v>5901</v>
      </c>
      <c r="I1763" s="1" t="s">
        <v>20</v>
      </c>
      <c r="J1763" s="1" t="s">
        <v>5902</v>
      </c>
      <c r="K1763" s="1" t="b">
        <v>0</v>
      </c>
      <c r="L1763" s="1" t="s">
        <v>22</v>
      </c>
      <c r="M1763" s="1" t="s">
        <v>16</v>
      </c>
      <c r="N1763" s="1" t="s">
        <v>16</v>
      </c>
      <c r="O1763" s="1" t="s">
        <v>9935</v>
      </c>
      <c r="P1763" s="1" t="s">
        <v>9938</v>
      </c>
      <c r="Q1763" s="1">
        <v>9.4</v>
      </c>
      <c r="R1763" s="1">
        <v>410000</v>
      </c>
      <c r="S1763" s="1">
        <v>38540</v>
      </c>
    </row>
    <row r="1764" spans="1:19" ht="12.5" x14ac:dyDescent="0.25">
      <c r="A1764" s="1">
        <v>53</v>
      </c>
      <c r="B1764" s="1" t="s">
        <v>277</v>
      </c>
      <c r="C1764" s="1" t="s">
        <v>15</v>
      </c>
      <c r="D1764" s="1" t="s">
        <v>15</v>
      </c>
      <c r="E1764" s="1">
        <v>1725</v>
      </c>
      <c r="F1764" s="1" t="s">
        <v>5899</v>
      </c>
      <c r="G1764" s="1" t="s">
        <v>5900</v>
      </c>
      <c r="H1764" s="1" t="s">
        <v>5901</v>
      </c>
      <c r="I1764" s="1" t="s">
        <v>20</v>
      </c>
      <c r="J1764" s="1" t="s">
        <v>5902</v>
      </c>
      <c r="K1764" s="1" t="b">
        <v>0</v>
      </c>
      <c r="L1764" s="1" t="s">
        <v>22</v>
      </c>
      <c r="M1764" s="1" t="s">
        <v>16</v>
      </c>
      <c r="N1764" s="1" t="s">
        <v>16</v>
      </c>
      <c r="O1764" s="1" t="s">
        <v>9935</v>
      </c>
      <c r="P1764" s="1" t="s">
        <v>10058</v>
      </c>
      <c r="Q1764" s="1">
        <v>9.4</v>
      </c>
      <c r="R1764" s="1">
        <v>840000</v>
      </c>
      <c r="S1764" s="1">
        <v>78960</v>
      </c>
    </row>
    <row r="1765" spans="1:19" ht="12.5" x14ac:dyDescent="0.25">
      <c r="A1765" s="1">
        <v>53</v>
      </c>
      <c r="B1765" s="1" t="s">
        <v>277</v>
      </c>
      <c r="C1765" s="1" t="s">
        <v>15</v>
      </c>
      <c r="D1765" s="1" t="s">
        <v>15</v>
      </c>
      <c r="E1765" s="1">
        <v>1725</v>
      </c>
      <c r="F1765" s="1" t="s">
        <v>5899</v>
      </c>
      <c r="G1765" s="1" t="s">
        <v>5900</v>
      </c>
      <c r="H1765" s="1" t="s">
        <v>5901</v>
      </c>
      <c r="I1765" s="1" t="s">
        <v>20</v>
      </c>
      <c r="J1765" s="1" t="s">
        <v>5902</v>
      </c>
      <c r="K1765" s="1" t="b">
        <v>0</v>
      </c>
      <c r="L1765" s="1" t="s">
        <v>22</v>
      </c>
      <c r="M1765" s="1" t="s">
        <v>16</v>
      </c>
      <c r="N1765" s="1" t="s">
        <v>16</v>
      </c>
      <c r="O1765" s="1" t="s">
        <v>9935</v>
      </c>
      <c r="P1765" s="1" t="s">
        <v>10059</v>
      </c>
      <c r="Q1765" s="1">
        <v>9.4</v>
      </c>
      <c r="R1765" s="1">
        <v>610000</v>
      </c>
      <c r="S1765" s="1">
        <v>57340</v>
      </c>
    </row>
    <row r="1766" spans="1:19" ht="12.5" x14ac:dyDescent="0.25">
      <c r="A1766" s="1">
        <v>54</v>
      </c>
      <c r="B1766" s="1" t="s">
        <v>282</v>
      </c>
      <c r="C1766" s="1" t="s">
        <v>15</v>
      </c>
      <c r="D1766" s="1" t="s">
        <v>15</v>
      </c>
      <c r="E1766" s="1">
        <v>1725</v>
      </c>
      <c r="F1766" s="1" t="s">
        <v>5899</v>
      </c>
      <c r="G1766" s="1" t="s">
        <v>5900</v>
      </c>
      <c r="H1766" s="1" t="s">
        <v>5901</v>
      </c>
      <c r="I1766" s="1" t="s">
        <v>20</v>
      </c>
      <c r="J1766" s="1" t="s">
        <v>5902</v>
      </c>
      <c r="K1766" s="1" t="b">
        <v>0</v>
      </c>
      <c r="L1766" s="1" t="s">
        <v>22</v>
      </c>
      <c r="M1766" s="1" t="s">
        <v>16</v>
      </c>
      <c r="N1766" s="1" t="s">
        <v>16</v>
      </c>
      <c r="O1766" s="1" t="s">
        <v>9935</v>
      </c>
      <c r="P1766" s="1" t="s">
        <v>10061</v>
      </c>
      <c r="Q1766" s="1">
        <v>6.3</v>
      </c>
      <c r="R1766" s="1">
        <v>4000000</v>
      </c>
      <c r="S1766" s="1">
        <v>252000</v>
      </c>
    </row>
    <row r="1767" spans="1:19" ht="12.5" x14ac:dyDescent="0.25">
      <c r="A1767" s="1">
        <v>54</v>
      </c>
      <c r="B1767" s="1" t="s">
        <v>282</v>
      </c>
      <c r="C1767" s="1" t="s">
        <v>15</v>
      </c>
      <c r="D1767" s="1" t="s">
        <v>15</v>
      </c>
      <c r="E1767" s="1">
        <v>1725</v>
      </c>
      <c r="F1767" s="1" t="s">
        <v>5899</v>
      </c>
      <c r="G1767" s="1" t="s">
        <v>5900</v>
      </c>
      <c r="H1767" s="1" t="s">
        <v>5901</v>
      </c>
      <c r="I1767" s="1" t="s">
        <v>20</v>
      </c>
      <c r="J1767" s="1" t="s">
        <v>5902</v>
      </c>
      <c r="K1767" s="1" t="b">
        <v>0</v>
      </c>
      <c r="L1767" s="1" t="s">
        <v>22</v>
      </c>
      <c r="M1767" s="1" t="s">
        <v>16</v>
      </c>
      <c r="N1767" s="1" t="s">
        <v>16</v>
      </c>
      <c r="O1767" s="1" t="s">
        <v>9935</v>
      </c>
      <c r="P1767" s="1" t="s">
        <v>10059</v>
      </c>
      <c r="Q1767" s="1">
        <v>6.3</v>
      </c>
      <c r="R1767" s="1">
        <v>610000</v>
      </c>
      <c r="S1767" s="1">
        <v>38430</v>
      </c>
    </row>
    <row r="1768" spans="1:19" ht="12.5" x14ac:dyDescent="0.25">
      <c r="A1768" s="1">
        <v>54</v>
      </c>
      <c r="B1768" s="1" t="s">
        <v>282</v>
      </c>
      <c r="C1768" s="1" t="s">
        <v>15</v>
      </c>
      <c r="D1768" s="1" t="s">
        <v>15</v>
      </c>
      <c r="E1768" s="1">
        <v>1725</v>
      </c>
      <c r="F1768" s="1" t="s">
        <v>5899</v>
      </c>
      <c r="G1768" s="1" t="s">
        <v>5900</v>
      </c>
      <c r="H1768" s="1" t="s">
        <v>5901</v>
      </c>
      <c r="I1768" s="1" t="s">
        <v>20</v>
      </c>
      <c r="J1768" s="1" t="s">
        <v>5902</v>
      </c>
      <c r="K1768" s="1" t="b">
        <v>0</v>
      </c>
      <c r="L1768" s="1" t="s">
        <v>22</v>
      </c>
      <c r="M1768" s="1" t="s">
        <v>16</v>
      </c>
      <c r="N1768" s="1" t="s">
        <v>16</v>
      </c>
      <c r="O1768" s="1" t="s">
        <v>9935</v>
      </c>
      <c r="P1768" s="1" t="s">
        <v>10058</v>
      </c>
      <c r="Q1768" s="1">
        <v>6.3</v>
      </c>
      <c r="R1768" s="1">
        <v>840000</v>
      </c>
      <c r="S1768" s="1">
        <v>52920</v>
      </c>
    </row>
    <row r="1769" spans="1:19" ht="12.5" x14ac:dyDescent="0.25">
      <c r="A1769" s="1">
        <v>54</v>
      </c>
      <c r="B1769" s="1" t="s">
        <v>282</v>
      </c>
      <c r="C1769" s="1" t="s">
        <v>15</v>
      </c>
      <c r="D1769" s="1" t="s">
        <v>15</v>
      </c>
      <c r="E1769" s="1">
        <v>1725</v>
      </c>
      <c r="F1769" s="1" t="s">
        <v>5899</v>
      </c>
      <c r="G1769" s="1" t="s">
        <v>5900</v>
      </c>
      <c r="H1769" s="1" t="s">
        <v>5901</v>
      </c>
      <c r="I1769" s="1" t="s">
        <v>20</v>
      </c>
      <c r="J1769" s="1" t="s">
        <v>5902</v>
      </c>
      <c r="K1769" s="1" t="b">
        <v>0</v>
      </c>
      <c r="L1769" s="1" t="s">
        <v>22</v>
      </c>
      <c r="M1769" s="1" t="s">
        <v>16</v>
      </c>
      <c r="N1769" s="1" t="s">
        <v>16</v>
      </c>
      <c r="O1769" s="1" t="s">
        <v>9935</v>
      </c>
      <c r="P1769" s="1" t="s">
        <v>10060</v>
      </c>
      <c r="Q1769" s="1">
        <v>6.3</v>
      </c>
      <c r="R1769" s="1">
        <v>640000</v>
      </c>
      <c r="S1769" s="1">
        <v>40320</v>
      </c>
    </row>
    <row r="1770" spans="1:19" ht="12.5" x14ac:dyDescent="0.25">
      <c r="A1770" s="1">
        <v>54</v>
      </c>
      <c r="B1770" s="1" t="s">
        <v>282</v>
      </c>
      <c r="C1770" s="1" t="s">
        <v>15</v>
      </c>
      <c r="D1770" s="1" t="s">
        <v>15</v>
      </c>
      <c r="E1770" s="1">
        <v>1725</v>
      </c>
      <c r="F1770" s="1" t="s">
        <v>5899</v>
      </c>
      <c r="G1770" s="1" t="s">
        <v>5900</v>
      </c>
      <c r="H1770" s="1" t="s">
        <v>5901</v>
      </c>
      <c r="I1770" s="1" t="s">
        <v>20</v>
      </c>
      <c r="J1770" s="1" t="s">
        <v>5902</v>
      </c>
      <c r="K1770" s="1" t="b">
        <v>0</v>
      </c>
      <c r="L1770" s="1" t="s">
        <v>22</v>
      </c>
      <c r="M1770" s="1" t="s">
        <v>16</v>
      </c>
      <c r="N1770" s="1" t="s">
        <v>16</v>
      </c>
      <c r="O1770" s="1" t="s">
        <v>9935</v>
      </c>
      <c r="P1770" s="1" t="s">
        <v>9938</v>
      </c>
      <c r="Q1770" s="1">
        <v>6.3</v>
      </c>
      <c r="R1770" s="1">
        <v>410000</v>
      </c>
      <c r="S1770" s="1">
        <v>25830</v>
      </c>
    </row>
    <row r="1771" spans="1:19" ht="12.5" x14ac:dyDescent="0.25">
      <c r="A1771" s="1">
        <v>134</v>
      </c>
      <c r="B1771" s="1" t="s">
        <v>661</v>
      </c>
      <c r="C1771" s="1" t="s">
        <v>15</v>
      </c>
      <c r="D1771" s="1" t="s">
        <v>15</v>
      </c>
      <c r="E1771" s="1">
        <v>1725</v>
      </c>
      <c r="F1771" s="1" t="s">
        <v>5899</v>
      </c>
      <c r="G1771" s="1" t="s">
        <v>5900</v>
      </c>
      <c r="H1771" s="1" t="s">
        <v>5901</v>
      </c>
      <c r="I1771" s="1" t="s">
        <v>20</v>
      </c>
      <c r="J1771" s="1" t="s">
        <v>5902</v>
      </c>
      <c r="K1771" s="1" t="b">
        <v>0</v>
      </c>
      <c r="L1771" s="1" t="s">
        <v>22</v>
      </c>
      <c r="M1771" s="1" t="s">
        <v>16</v>
      </c>
      <c r="N1771" s="1" t="s">
        <v>16</v>
      </c>
      <c r="O1771" s="1" t="s">
        <v>9935</v>
      </c>
      <c r="P1771" s="1" t="s">
        <v>10058</v>
      </c>
      <c r="Q1771" s="1">
        <v>12.9</v>
      </c>
      <c r="R1771" s="1">
        <v>840000</v>
      </c>
      <c r="S1771" s="1">
        <v>108360</v>
      </c>
    </row>
    <row r="1772" spans="1:19" ht="12.5" x14ac:dyDescent="0.25">
      <c r="A1772" s="1">
        <v>134</v>
      </c>
      <c r="B1772" s="1" t="s">
        <v>661</v>
      </c>
      <c r="C1772" s="1" t="s">
        <v>15</v>
      </c>
      <c r="D1772" s="1" t="s">
        <v>15</v>
      </c>
      <c r="E1772" s="1">
        <v>1725</v>
      </c>
      <c r="F1772" s="1" t="s">
        <v>5899</v>
      </c>
      <c r="G1772" s="1" t="s">
        <v>5900</v>
      </c>
      <c r="H1772" s="1" t="s">
        <v>5901</v>
      </c>
      <c r="I1772" s="1" t="s">
        <v>20</v>
      </c>
      <c r="J1772" s="1" t="s">
        <v>5902</v>
      </c>
      <c r="K1772" s="1" t="b">
        <v>0</v>
      </c>
      <c r="L1772" s="1" t="s">
        <v>22</v>
      </c>
      <c r="M1772" s="1" t="s">
        <v>16</v>
      </c>
      <c r="N1772" s="1" t="s">
        <v>16</v>
      </c>
      <c r="O1772" s="1" t="s">
        <v>9935</v>
      </c>
      <c r="P1772" s="1" t="s">
        <v>10059</v>
      </c>
      <c r="Q1772" s="1">
        <v>12.9</v>
      </c>
      <c r="R1772" s="1">
        <v>610000</v>
      </c>
      <c r="S1772" s="1">
        <v>78690</v>
      </c>
    </row>
    <row r="1773" spans="1:19" ht="12.5" x14ac:dyDescent="0.25">
      <c r="A1773" s="1">
        <v>134</v>
      </c>
      <c r="B1773" s="1" t="s">
        <v>661</v>
      </c>
      <c r="C1773" s="1" t="s">
        <v>15</v>
      </c>
      <c r="D1773" s="1" t="s">
        <v>15</v>
      </c>
      <c r="E1773" s="1">
        <v>1725</v>
      </c>
      <c r="F1773" s="1" t="s">
        <v>5899</v>
      </c>
      <c r="G1773" s="1" t="s">
        <v>5900</v>
      </c>
      <c r="H1773" s="1" t="s">
        <v>5901</v>
      </c>
      <c r="I1773" s="1" t="s">
        <v>20</v>
      </c>
      <c r="J1773" s="1" t="s">
        <v>5902</v>
      </c>
      <c r="K1773" s="1" t="b">
        <v>0</v>
      </c>
      <c r="L1773" s="1" t="s">
        <v>22</v>
      </c>
      <c r="M1773" s="1" t="s">
        <v>16</v>
      </c>
      <c r="N1773" s="1" t="s">
        <v>16</v>
      </c>
      <c r="O1773" s="1" t="s">
        <v>9935</v>
      </c>
      <c r="P1773" s="1" t="s">
        <v>10061</v>
      </c>
      <c r="Q1773" s="1">
        <v>12.9</v>
      </c>
      <c r="R1773" s="1">
        <v>4000000</v>
      </c>
      <c r="S1773" s="1">
        <v>516000</v>
      </c>
    </row>
    <row r="1774" spans="1:19" ht="12.5" x14ac:dyDescent="0.25">
      <c r="A1774" s="1">
        <v>134</v>
      </c>
      <c r="B1774" s="1" t="s">
        <v>661</v>
      </c>
      <c r="C1774" s="1" t="s">
        <v>15</v>
      </c>
      <c r="D1774" s="1" t="s">
        <v>15</v>
      </c>
      <c r="E1774" s="1">
        <v>1725</v>
      </c>
      <c r="F1774" s="1" t="s">
        <v>5899</v>
      </c>
      <c r="G1774" s="1" t="s">
        <v>5900</v>
      </c>
      <c r="H1774" s="1" t="s">
        <v>5901</v>
      </c>
      <c r="I1774" s="1" t="s">
        <v>20</v>
      </c>
      <c r="J1774" s="1" t="s">
        <v>5902</v>
      </c>
      <c r="K1774" s="1" t="b">
        <v>0</v>
      </c>
      <c r="L1774" s="1" t="s">
        <v>22</v>
      </c>
      <c r="M1774" s="1" t="s">
        <v>16</v>
      </c>
      <c r="N1774" s="1" t="s">
        <v>16</v>
      </c>
      <c r="O1774" s="1" t="s">
        <v>9935</v>
      </c>
      <c r="P1774" s="1" t="s">
        <v>9938</v>
      </c>
      <c r="Q1774" s="1">
        <v>12.9</v>
      </c>
      <c r="R1774" s="1">
        <v>410000</v>
      </c>
      <c r="S1774" s="1">
        <v>52890</v>
      </c>
    </row>
    <row r="1775" spans="1:19" ht="12.5" x14ac:dyDescent="0.25">
      <c r="A1775" s="1">
        <v>134</v>
      </c>
      <c r="B1775" s="1" t="s">
        <v>661</v>
      </c>
      <c r="C1775" s="1" t="s">
        <v>15</v>
      </c>
      <c r="D1775" s="1" t="s">
        <v>15</v>
      </c>
      <c r="E1775" s="1">
        <v>1725</v>
      </c>
      <c r="F1775" s="1" t="s">
        <v>5899</v>
      </c>
      <c r="G1775" s="1" t="s">
        <v>5900</v>
      </c>
      <c r="H1775" s="1" t="s">
        <v>5901</v>
      </c>
      <c r="I1775" s="1" t="s">
        <v>20</v>
      </c>
      <c r="J1775" s="1" t="s">
        <v>5902</v>
      </c>
      <c r="K1775" s="1" t="b">
        <v>0</v>
      </c>
      <c r="L1775" s="1" t="s">
        <v>22</v>
      </c>
      <c r="M1775" s="1" t="s">
        <v>16</v>
      </c>
      <c r="N1775" s="1" t="s">
        <v>16</v>
      </c>
      <c r="O1775" s="1" t="s">
        <v>9935</v>
      </c>
      <c r="P1775" s="1" t="s">
        <v>10060</v>
      </c>
      <c r="Q1775" s="1">
        <v>12.9</v>
      </c>
      <c r="R1775" s="1">
        <v>640000</v>
      </c>
      <c r="S1775" s="1">
        <v>82560</v>
      </c>
    </row>
    <row r="1776" spans="1:19" ht="12.5" x14ac:dyDescent="0.25">
      <c r="A1776" s="1">
        <v>1623</v>
      </c>
      <c r="B1776" s="1" t="s">
        <v>666</v>
      </c>
      <c r="C1776" s="1" t="s">
        <v>35</v>
      </c>
      <c r="D1776" s="1" t="s">
        <v>152</v>
      </c>
      <c r="E1776" s="1">
        <v>1725</v>
      </c>
      <c r="F1776" s="1" t="s">
        <v>5899</v>
      </c>
      <c r="G1776" s="1" t="s">
        <v>5900</v>
      </c>
      <c r="H1776" s="1" t="s">
        <v>5901</v>
      </c>
      <c r="I1776" s="1" t="s">
        <v>20</v>
      </c>
      <c r="J1776" s="1" t="s">
        <v>5902</v>
      </c>
      <c r="K1776" s="1" t="b">
        <v>0</v>
      </c>
      <c r="L1776" s="1" t="s">
        <v>22</v>
      </c>
      <c r="M1776" s="1" t="s">
        <v>16</v>
      </c>
      <c r="N1776" s="1" t="s">
        <v>16</v>
      </c>
      <c r="O1776" s="1" t="s">
        <v>9935</v>
      </c>
      <c r="P1776" s="1" t="s">
        <v>10058</v>
      </c>
      <c r="Q1776" s="1">
        <v>0.5</v>
      </c>
      <c r="R1776" s="1">
        <v>840000</v>
      </c>
      <c r="S1776" s="1">
        <v>4200</v>
      </c>
    </row>
    <row r="1777" spans="1:19" ht="12.5" x14ac:dyDescent="0.25">
      <c r="A1777" s="1">
        <v>1623</v>
      </c>
      <c r="B1777" s="1" t="s">
        <v>666</v>
      </c>
      <c r="C1777" s="1" t="s">
        <v>35</v>
      </c>
      <c r="D1777" s="1" t="s">
        <v>152</v>
      </c>
      <c r="E1777" s="1">
        <v>1725</v>
      </c>
      <c r="F1777" s="1" t="s">
        <v>5899</v>
      </c>
      <c r="G1777" s="1" t="s">
        <v>5900</v>
      </c>
      <c r="H1777" s="1" t="s">
        <v>5901</v>
      </c>
      <c r="I1777" s="1" t="s">
        <v>20</v>
      </c>
      <c r="J1777" s="1" t="s">
        <v>5902</v>
      </c>
      <c r="K1777" s="1" t="b">
        <v>0</v>
      </c>
      <c r="L1777" s="1" t="s">
        <v>22</v>
      </c>
      <c r="M1777" s="1" t="s">
        <v>16</v>
      </c>
      <c r="N1777" s="1" t="s">
        <v>16</v>
      </c>
      <c r="O1777" s="1" t="s">
        <v>9935</v>
      </c>
      <c r="P1777" s="1" t="s">
        <v>9938</v>
      </c>
      <c r="Q1777" s="1">
        <v>0.5</v>
      </c>
      <c r="R1777" s="1">
        <v>410000</v>
      </c>
      <c r="S1777" s="1">
        <v>2050</v>
      </c>
    </row>
    <row r="1778" spans="1:19" ht="12.5" x14ac:dyDescent="0.25">
      <c r="A1778" s="1">
        <v>1623</v>
      </c>
      <c r="B1778" s="1" t="s">
        <v>666</v>
      </c>
      <c r="C1778" s="1" t="s">
        <v>35</v>
      </c>
      <c r="D1778" s="1" t="s">
        <v>152</v>
      </c>
      <c r="E1778" s="1">
        <v>1725</v>
      </c>
      <c r="F1778" s="1" t="s">
        <v>5899</v>
      </c>
      <c r="G1778" s="1" t="s">
        <v>5900</v>
      </c>
      <c r="H1778" s="1" t="s">
        <v>5901</v>
      </c>
      <c r="I1778" s="1" t="s">
        <v>20</v>
      </c>
      <c r="J1778" s="1" t="s">
        <v>5902</v>
      </c>
      <c r="K1778" s="1" t="b">
        <v>0</v>
      </c>
      <c r="L1778" s="1" t="s">
        <v>22</v>
      </c>
      <c r="M1778" s="1" t="s">
        <v>16</v>
      </c>
      <c r="N1778" s="1" t="s">
        <v>16</v>
      </c>
      <c r="O1778" s="1" t="s">
        <v>9935</v>
      </c>
      <c r="P1778" s="1" t="s">
        <v>10060</v>
      </c>
      <c r="Q1778" s="1">
        <v>0.5</v>
      </c>
      <c r="R1778" s="1">
        <v>640000</v>
      </c>
      <c r="S1778" s="1">
        <v>3200</v>
      </c>
    </row>
    <row r="1779" spans="1:19" ht="12.5" x14ac:dyDescent="0.25">
      <c r="A1779" s="1">
        <v>1623</v>
      </c>
      <c r="B1779" s="1" t="s">
        <v>666</v>
      </c>
      <c r="C1779" s="1" t="s">
        <v>35</v>
      </c>
      <c r="D1779" s="1" t="s">
        <v>152</v>
      </c>
      <c r="E1779" s="1">
        <v>1725</v>
      </c>
      <c r="F1779" s="1" t="s">
        <v>5899</v>
      </c>
      <c r="G1779" s="1" t="s">
        <v>5900</v>
      </c>
      <c r="H1779" s="1" t="s">
        <v>5901</v>
      </c>
      <c r="I1779" s="1" t="s">
        <v>20</v>
      </c>
      <c r="J1779" s="1" t="s">
        <v>5902</v>
      </c>
      <c r="K1779" s="1" t="b">
        <v>0</v>
      </c>
      <c r="L1779" s="1" t="s">
        <v>22</v>
      </c>
      <c r="M1779" s="1" t="s">
        <v>16</v>
      </c>
      <c r="N1779" s="1" t="s">
        <v>16</v>
      </c>
      <c r="O1779" s="1" t="s">
        <v>9935</v>
      </c>
      <c r="P1779" s="1" t="s">
        <v>10059</v>
      </c>
      <c r="Q1779" s="1">
        <v>0.5</v>
      </c>
      <c r="R1779" s="1">
        <v>610000</v>
      </c>
      <c r="S1779" s="1">
        <v>3050</v>
      </c>
    </row>
    <row r="1780" spans="1:19" ht="12.5" x14ac:dyDescent="0.25">
      <c r="A1780" s="1">
        <v>1623</v>
      </c>
      <c r="B1780" s="1" t="s">
        <v>666</v>
      </c>
      <c r="C1780" s="1" t="s">
        <v>35</v>
      </c>
      <c r="D1780" s="1" t="s">
        <v>152</v>
      </c>
      <c r="E1780" s="1">
        <v>1725</v>
      </c>
      <c r="F1780" s="1" t="s">
        <v>5899</v>
      </c>
      <c r="G1780" s="1" t="s">
        <v>5900</v>
      </c>
      <c r="H1780" s="1" t="s">
        <v>5901</v>
      </c>
      <c r="I1780" s="1" t="s">
        <v>20</v>
      </c>
      <c r="J1780" s="1" t="s">
        <v>5902</v>
      </c>
      <c r="K1780" s="1" t="b">
        <v>0</v>
      </c>
      <c r="L1780" s="1" t="s">
        <v>22</v>
      </c>
      <c r="M1780" s="1" t="s">
        <v>16</v>
      </c>
      <c r="N1780" s="1" t="s">
        <v>16</v>
      </c>
      <c r="O1780" s="1" t="s">
        <v>9935</v>
      </c>
      <c r="P1780" s="1" t="s">
        <v>10061</v>
      </c>
      <c r="Q1780" s="1">
        <v>0.5</v>
      </c>
      <c r="R1780" s="1">
        <v>4000000</v>
      </c>
      <c r="S1780" s="1">
        <v>20000</v>
      </c>
    </row>
    <row r="1781" spans="1:19" ht="12.5" x14ac:dyDescent="0.25">
      <c r="A1781" s="1">
        <v>1624</v>
      </c>
      <c r="B1781" s="1" t="s">
        <v>5903</v>
      </c>
      <c r="C1781" s="1" t="s">
        <v>35</v>
      </c>
      <c r="D1781" s="1" t="s">
        <v>152</v>
      </c>
      <c r="E1781" s="1">
        <v>1725</v>
      </c>
      <c r="F1781" s="1" t="s">
        <v>5899</v>
      </c>
      <c r="G1781" s="1" t="s">
        <v>5900</v>
      </c>
      <c r="H1781" s="1" t="s">
        <v>5901</v>
      </c>
      <c r="I1781" s="1" t="s">
        <v>20</v>
      </c>
      <c r="J1781" s="1" t="s">
        <v>5902</v>
      </c>
      <c r="K1781" s="1" t="b">
        <v>0</v>
      </c>
      <c r="L1781" s="1" t="s">
        <v>22</v>
      </c>
      <c r="M1781" s="1" t="s">
        <v>16</v>
      </c>
      <c r="N1781" s="1" t="s">
        <v>16</v>
      </c>
      <c r="O1781" s="1" t="s">
        <v>9935</v>
      </c>
      <c r="P1781" s="1" t="s">
        <v>10059</v>
      </c>
      <c r="Q1781" s="1">
        <v>0.5</v>
      </c>
      <c r="R1781" s="1">
        <v>610000</v>
      </c>
      <c r="S1781" s="1">
        <v>3050</v>
      </c>
    </row>
    <row r="1782" spans="1:19" ht="12.5" x14ac:dyDescent="0.25">
      <c r="A1782" s="1">
        <v>1624</v>
      </c>
      <c r="B1782" s="1" t="s">
        <v>5903</v>
      </c>
      <c r="C1782" s="1" t="s">
        <v>35</v>
      </c>
      <c r="D1782" s="1" t="s">
        <v>152</v>
      </c>
      <c r="E1782" s="1">
        <v>1725</v>
      </c>
      <c r="F1782" s="1" t="s">
        <v>5899</v>
      </c>
      <c r="G1782" s="1" t="s">
        <v>5900</v>
      </c>
      <c r="H1782" s="1" t="s">
        <v>5901</v>
      </c>
      <c r="I1782" s="1" t="s">
        <v>20</v>
      </c>
      <c r="J1782" s="1" t="s">
        <v>5902</v>
      </c>
      <c r="K1782" s="1" t="b">
        <v>0</v>
      </c>
      <c r="L1782" s="1" t="s">
        <v>22</v>
      </c>
      <c r="M1782" s="1" t="s">
        <v>16</v>
      </c>
      <c r="N1782" s="1" t="s">
        <v>16</v>
      </c>
      <c r="O1782" s="1" t="s">
        <v>9935</v>
      </c>
      <c r="P1782" s="1" t="s">
        <v>10058</v>
      </c>
      <c r="Q1782" s="1">
        <v>0.5</v>
      </c>
      <c r="R1782" s="1">
        <v>840000</v>
      </c>
      <c r="S1782" s="1">
        <v>4200</v>
      </c>
    </row>
    <row r="1783" spans="1:19" ht="12.5" x14ac:dyDescent="0.25">
      <c r="A1783" s="1">
        <v>1624</v>
      </c>
      <c r="B1783" s="1" t="s">
        <v>5903</v>
      </c>
      <c r="C1783" s="1" t="s">
        <v>35</v>
      </c>
      <c r="D1783" s="1" t="s">
        <v>152</v>
      </c>
      <c r="E1783" s="1">
        <v>1725</v>
      </c>
      <c r="F1783" s="1" t="s">
        <v>5899</v>
      </c>
      <c r="G1783" s="1" t="s">
        <v>5900</v>
      </c>
      <c r="H1783" s="1" t="s">
        <v>5901</v>
      </c>
      <c r="I1783" s="1" t="s">
        <v>20</v>
      </c>
      <c r="J1783" s="1" t="s">
        <v>5902</v>
      </c>
      <c r="K1783" s="1" t="b">
        <v>0</v>
      </c>
      <c r="L1783" s="1" t="s">
        <v>22</v>
      </c>
      <c r="M1783" s="1" t="s">
        <v>16</v>
      </c>
      <c r="N1783" s="1" t="s">
        <v>16</v>
      </c>
      <c r="O1783" s="1" t="s">
        <v>9935</v>
      </c>
      <c r="P1783" s="1" t="s">
        <v>10060</v>
      </c>
      <c r="Q1783" s="1">
        <v>0.5</v>
      </c>
      <c r="R1783" s="1">
        <v>640000</v>
      </c>
      <c r="S1783" s="1">
        <v>3200</v>
      </c>
    </row>
    <row r="1784" spans="1:19" ht="12.5" x14ac:dyDescent="0.25">
      <c r="A1784" s="1">
        <v>1624</v>
      </c>
      <c r="B1784" s="1" t="s">
        <v>5903</v>
      </c>
      <c r="C1784" s="1" t="s">
        <v>35</v>
      </c>
      <c r="D1784" s="1" t="s">
        <v>152</v>
      </c>
      <c r="E1784" s="1">
        <v>1725</v>
      </c>
      <c r="F1784" s="1" t="s">
        <v>5899</v>
      </c>
      <c r="G1784" s="1" t="s">
        <v>5900</v>
      </c>
      <c r="H1784" s="1" t="s">
        <v>5901</v>
      </c>
      <c r="I1784" s="1" t="s">
        <v>20</v>
      </c>
      <c r="J1784" s="1" t="s">
        <v>5902</v>
      </c>
      <c r="K1784" s="1" t="b">
        <v>0</v>
      </c>
      <c r="L1784" s="1" t="s">
        <v>22</v>
      </c>
      <c r="M1784" s="1" t="s">
        <v>16</v>
      </c>
      <c r="N1784" s="1" t="s">
        <v>16</v>
      </c>
      <c r="O1784" s="1" t="s">
        <v>9935</v>
      </c>
      <c r="P1784" s="1" t="s">
        <v>9938</v>
      </c>
      <c r="Q1784" s="1">
        <v>0.5</v>
      </c>
      <c r="R1784" s="1">
        <v>410000</v>
      </c>
      <c r="S1784" s="1">
        <v>2050</v>
      </c>
    </row>
    <row r="1785" spans="1:19" ht="12.5" x14ac:dyDescent="0.25">
      <c r="A1785" s="1">
        <v>1624</v>
      </c>
      <c r="B1785" s="1" t="s">
        <v>5903</v>
      </c>
      <c r="C1785" s="1" t="s">
        <v>35</v>
      </c>
      <c r="D1785" s="1" t="s">
        <v>152</v>
      </c>
      <c r="E1785" s="1">
        <v>1725</v>
      </c>
      <c r="F1785" s="1" t="s">
        <v>5899</v>
      </c>
      <c r="G1785" s="1" t="s">
        <v>5900</v>
      </c>
      <c r="H1785" s="1" t="s">
        <v>5901</v>
      </c>
      <c r="I1785" s="1" t="s">
        <v>20</v>
      </c>
      <c r="J1785" s="1" t="s">
        <v>5902</v>
      </c>
      <c r="K1785" s="1" t="b">
        <v>0</v>
      </c>
      <c r="L1785" s="1" t="s">
        <v>22</v>
      </c>
      <c r="M1785" s="1" t="s">
        <v>16</v>
      </c>
      <c r="N1785" s="1" t="s">
        <v>16</v>
      </c>
      <c r="O1785" s="1" t="s">
        <v>9935</v>
      </c>
      <c r="P1785" s="1" t="s">
        <v>10061</v>
      </c>
      <c r="Q1785" s="1">
        <v>0.5</v>
      </c>
      <c r="R1785" s="1">
        <v>4000000</v>
      </c>
      <c r="S1785" s="1">
        <v>20000</v>
      </c>
    </row>
    <row r="1786" spans="1:19" ht="12.5" x14ac:dyDescent="0.25">
      <c r="A1786" s="1" t="s">
        <v>16</v>
      </c>
      <c r="B1786" s="1" t="s">
        <v>16</v>
      </c>
      <c r="C1786" s="1" t="s">
        <v>16</v>
      </c>
      <c r="D1786" s="1" t="s">
        <v>16</v>
      </c>
      <c r="E1786" s="1">
        <v>1726</v>
      </c>
      <c r="F1786" s="1" t="s">
        <v>5904</v>
      </c>
      <c r="G1786" s="1" t="s">
        <v>5905</v>
      </c>
      <c r="H1786" s="1" t="s">
        <v>16</v>
      </c>
      <c r="I1786" s="1" t="s">
        <v>20</v>
      </c>
      <c r="J1786" s="1" t="s">
        <v>5906</v>
      </c>
      <c r="K1786" s="1" t="b">
        <v>0</v>
      </c>
      <c r="L1786" s="1" t="s">
        <v>22</v>
      </c>
      <c r="M1786" s="1" t="s">
        <v>16</v>
      </c>
      <c r="N1786" s="1" t="s">
        <v>16</v>
      </c>
      <c r="O1786" s="1" t="s">
        <v>16</v>
      </c>
      <c r="P1786" s="1" t="s">
        <v>16</v>
      </c>
    </row>
    <row r="1787" spans="1:19" ht="12.5" x14ac:dyDescent="0.25">
      <c r="A1787" s="1" t="s">
        <v>16</v>
      </c>
      <c r="B1787" s="1" t="s">
        <v>16</v>
      </c>
      <c r="C1787" s="1" t="s">
        <v>16</v>
      </c>
      <c r="D1787" s="1" t="s">
        <v>16</v>
      </c>
      <c r="E1787" s="1">
        <v>1727</v>
      </c>
      <c r="F1787" s="1" t="s">
        <v>5907</v>
      </c>
      <c r="G1787" s="1" t="s">
        <v>5908</v>
      </c>
      <c r="H1787" s="1" t="s">
        <v>16</v>
      </c>
      <c r="I1787" s="1" t="s">
        <v>20</v>
      </c>
      <c r="J1787" s="1" t="s">
        <v>5909</v>
      </c>
      <c r="K1787" s="1" t="b">
        <v>0</v>
      </c>
      <c r="L1787" s="1" t="s">
        <v>22</v>
      </c>
      <c r="M1787" s="1" t="s">
        <v>16</v>
      </c>
      <c r="N1787" s="1" t="s">
        <v>16</v>
      </c>
      <c r="O1787" s="1" t="s">
        <v>16</v>
      </c>
      <c r="P1787" s="1" t="s">
        <v>16</v>
      </c>
    </row>
    <row r="1788" spans="1:19" ht="12.5" x14ac:dyDescent="0.25">
      <c r="A1788" s="1">
        <v>2105</v>
      </c>
      <c r="B1788" s="1" t="s">
        <v>5910</v>
      </c>
      <c r="C1788" s="1" t="s">
        <v>38</v>
      </c>
      <c r="D1788" s="1" t="s">
        <v>5701</v>
      </c>
      <c r="E1788" s="1">
        <v>1728</v>
      </c>
      <c r="F1788" s="1" t="s">
        <v>5911</v>
      </c>
      <c r="G1788" s="1" t="s">
        <v>5912</v>
      </c>
      <c r="H1788" s="1" t="s">
        <v>16</v>
      </c>
      <c r="I1788" s="1" t="s">
        <v>20</v>
      </c>
      <c r="J1788" s="1" t="s">
        <v>5913</v>
      </c>
      <c r="K1788" s="1" t="b">
        <v>0</v>
      </c>
      <c r="L1788" s="1" t="s">
        <v>22</v>
      </c>
      <c r="M1788" s="1" t="s">
        <v>16</v>
      </c>
      <c r="N1788" s="1" t="s">
        <v>16</v>
      </c>
      <c r="O1788" s="1" t="s">
        <v>16</v>
      </c>
      <c r="P1788" s="1" t="s">
        <v>16</v>
      </c>
      <c r="Q1788" s="1">
        <v>100</v>
      </c>
    </row>
    <row r="1789" spans="1:19" ht="12.5" x14ac:dyDescent="0.25">
      <c r="A1789" s="1" t="s">
        <v>16</v>
      </c>
      <c r="B1789" s="1" t="s">
        <v>16</v>
      </c>
      <c r="C1789" s="1" t="s">
        <v>16</v>
      </c>
      <c r="D1789" s="1" t="s">
        <v>16</v>
      </c>
      <c r="E1789" s="1">
        <v>1729</v>
      </c>
      <c r="F1789" s="1" t="s">
        <v>5914</v>
      </c>
      <c r="G1789" s="1" t="s">
        <v>5915</v>
      </c>
      <c r="H1789" s="1" t="s">
        <v>16</v>
      </c>
      <c r="I1789" s="1" t="s">
        <v>20</v>
      </c>
      <c r="J1789" s="1" t="s">
        <v>5916</v>
      </c>
      <c r="K1789" s="1" t="b">
        <v>0</v>
      </c>
      <c r="L1789" s="1" t="s">
        <v>22</v>
      </c>
      <c r="M1789" s="1" t="s">
        <v>16</v>
      </c>
      <c r="N1789" s="1" t="s">
        <v>16</v>
      </c>
      <c r="O1789" s="1" t="s">
        <v>16</v>
      </c>
      <c r="P1789" s="1" t="s">
        <v>16</v>
      </c>
    </row>
    <row r="1790" spans="1:19" ht="12.5" x14ac:dyDescent="0.25">
      <c r="A1790" s="1">
        <v>802</v>
      </c>
      <c r="B1790" s="1" t="s">
        <v>5917</v>
      </c>
      <c r="C1790" s="1" t="s">
        <v>35</v>
      </c>
      <c r="D1790" s="1" t="s">
        <v>36</v>
      </c>
      <c r="E1790" s="1">
        <v>1730</v>
      </c>
      <c r="F1790" s="1" t="s">
        <v>5918</v>
      </c>
      <c r="G1790" s="1" t="s">
        <v>5919</v>
      </c>
      <c r="H1790" s="1" t="s">
        <v>5920</v>
      </c>
      <c r="I1790" s="1" t="s">
        <v>29</v>
      </c>
      <c r="J1790" s="1" t="s">
        <v>5921</v>
      </c>
      <c r="K1790" s="1" t="b">
        <v>0</v>
      </c>
      <c r="L1790" s="1" t="s">
        <v>22</v>
      </c>
      <c r="M1790" s="1">
        <v>2022</v>
      </c>
      <c r="N1790" s="1" t="s">
        <v>45</v>
      </c>
      <c r="O1790" s="1" t="s">
        <v>9956</v>
      </c>
      <c r="P1790" s="1" t="s">
        <v>16</v>
      </c>
      <c r="Q1790" s="1">
        <v>100</v>
      </c>
      <c r="R1790" s="1">
        <v>1</v>
      </c>
      <c r="S1790" s="1">
        <v>1</v>
      </c>
    </row>
    <row r="1791" spans="1:19" ht="12.5" x14ac:dyDescent="0.25">
      <c r="A1791" s="1">
        <v>802</v>
      </c>
      <c r="B1791" s="1" t="s">
        <v>5917</v>
      </c>
      <c r="C1791" s="1" t="s">
        <v>35</v>
      </c>
      <c r="D1791" s="1" t="s">
        <v>36</v>
      </c>
      <c r="E1791" s="1">
        <v>1731</v>
      </c>
      <c r="F1791" s="1" t="s">
        <v>5922</v>
      </c>
      <c r="G1791" s="1" t="s">
        <v>5919</v>
      </c>
      <c r="H1791" s="1" t="s">
        <v>5923</v>
      </c>
      <c r="I1791" s="1" t="s">
        <v>29</v>
      </c>
      <c r="J1791" s="1" t="s">
        <v>16</v>
      </c>
      <c r="K1791" s="1" t="b">
        <v>0</v>
      </c>
      <c r="L1791" s="1" t="s">
        <v>22</v>
      </c>
      <c r="M1791" s="1" t="s">
        <v>16</v>
      </c>
      <c r="N1791" s="1" t="s">
        <v>16</v>
      </c>
      <c r="O1791" s="1" t="s">
        <v>16</v>
      </c>
      <c r="P1791" s="1" t="s">
        <v>16</v>
      </c>
      <c r="Q1791" s="1">
        <v>100</v>
      </c>
    </row>
    <row r="1792" spans="1:19" ht="12.5" x14ac:dyDescent="0.25">
      <c r="A1792" s="1">
        <v>742</v>
      </c>
      <c r="B1792" s="1" t="s">
        <v>5924</v>
      </c>
      <c r="C1792" s="1" t="s">
        <v>35</v>
      </c>
      <c r="D1792" s="1" t="s">
        <v>36</v>
      </c>
      <c r="E1792" s="1">
        <v>1732</v>
      </c>
      <c r="F1792" s="1" t="s">
        <v>5925</v>
      </c>
      <c r="G1792" s="1" t="s">
        <v>5926</v>
      </c>
      <c r="H1792" s="1" t="s">
        <v>5927</v>
      </c>
      <c r="I1792" s="1" t="s">
        <v>29</v>
      </c>
      <c r="J1792" s="1" t="s">
        <v>5928</v>
      </c>
      <c r="K1792" s="1" t="b">
        <v>0</v>
      </c>
      <c r="L1792" s="1" t="s">
        <v>22</v>
      </c>
      <c r="M1792" s="1">
        <v>2022</v>
      </c>
      <c r="N1792" s="1" t="s">
        <v>32</v>
      </c>
      <c r="O1792" s="1" t="s">
        <v>9942</v>
      </c>
      <c r="P1792" s="1" t="s">
        <v>16</v>
      </c>
      <c r="Q1792" s="1">
        <v>100</v>
      </c>
      <c r="R1792" s="1">
        <v>1</v>
      </c>
      <c r="S1792" s="1">
        <v>1</v>
      </c>
    </row>
    <row r="1793" spans="1:19" ht="12.5" x14ac:dyDescent="0.25">
      <c r="A1793" s="1">
        <v>734</v>
      </c>
      <c r="B1793" s="1" t="s">
        <v>5929</v>
      </c>
      <c r="C1793" s="1" t="s">
        <v>35</v>
      </c>
      <c r="D1793" s="1" t="s">
        <v>36</v>
      </c>
      <c r="E1793" s="1">
        <v>1733</v>
      </c>
      <c r="F1793" s="1" t="s">
        <v>5930</v>
      </c>
      <c r="G1793" s="1" t="s">
        <v>5931</v>
      </c>
      <c r="H1793" s="1" t="s">
        <v>16</v>
      </c>
      <c r="I1793" s="1" t="s">
        <v>29</v>
      </c>
      <c r="J1793" s="1" t="s">
        <v>5932</v>
      </c>
      <c r="K1793" s="1" t="b">
        <v>0</v>
      </c>
      <c r="L1793" s="1" t="s">
        <v>22</v>
      </c>
      <c r="M1793" s="1">
        <v>2022</v>
      </c>
      <c r="N1793" s="1" t="s">
        <v>23</v>
      </c>
      <c r="O1793" s="1" t="s">
        <v>9942</v>
      </c>
      <c r="P1793" s="1" t="s">
        <v>16</v>
      </c>
      <c r="Q1793" s="1">
        <v>100</v>
      </c>
      <c r="R1793" s="1">
        <v>200000</v>
      </c>
      <c r="S1793" s="1">
        <v>200000</v>
      </c>
    </row>
    <row r="1794" spans="1:19" ht="12.5" x14ac:dyDescent="0.25">
      <c r="A1794" s="1" t="s">
        <v>16</v>
      </c>
      <c r="B1794" s="1" t="s">
        <v>16</v>
      </c>
      <c r="C1794" s="1" t="s">
        <v>16</v>
      </c>
      <c r="D1794" s="1" t="s">
        <v>16</v>
      </c>
      <c r="E1794" s="1">
        <v>1734</v>
      </c>
      <c r="F1794" s="1" t="s">
        <v>5933</v>
      </c>
      <c r="G1794" s="1" t="s">
        <v>5934</v>
      </c>
      <c r="H1794" s="1" t="s">
        <v>16</v>
      </c>
      <c r="I1794" s="1" t="s">
        <v>20</v>
      </c>
      <c r="J1794" s="1" t="s">
        <v>5935</v>
      </c>
      <c r="K1794" s="1" t="b">
        <v>0</v>
      </c>
      <c r="L1794" s="1" t="s">
        <v>22</v>
      </c>
      <c r="M1794" s="1" t="s">
        <v>16</v>
      </c>
      <c r="N1794" s="1" t="s">
        <v>16</v>
      </c>
      <c r="O1794" s="1" t="s">
        <v>16</v>
      </c>
      <c r="P1794" s="1" t="s">
        <v>16</v>
      </c>
    </row>
    <row r="1795" spans="1:19" ht="12.5" x14ac:dyDescent="0.25">
      <c r="A1795" s="1" t="s">
        <v>16</v>
      </c>
      <c r="B1795" s="1" t="s">
        <v>16</v>
      </c>
      <c r="C1795" s="1" t="s">
        <v>16</v>
      </c>
      <c r="D1795" s="1" t="s">
        <v>16</v>
      </c>
      <c r="E1795" s="1">
        <v>1735</v>
      </c>
      <c r="F1795" s="1" t="s">
        <v>5936</v>
      </c>
      <c r="G1795" s="1" t="s">
        <v>5937</v>
      </c>
      <c r="H1795" s="1" t="s">
        <v>16</v>
      </c>
      <c r="I1795" s="1" t="s">
        <v>20</v>
      </c>
      <c r="J1795" s="1" t="s">
        <v>5938</v>
      </c>
      <c r="K1795" s="1" t="b">
        <v>0</v>
      </c>
      <c r="L1795" s="1" t="s">
        <v>22</v>
      </c>
      <c r="M1795" s="1" t="s">
        <v>16</v>
      </c>
      <c r="N1795" s="1" t="s">
        <v>16</v>
      </c>
      <c r="O1795" s="1" t="s">
        <v>16</v>
      </c>
      <c r="P1795" s="1" t="s">
        <v>16</v>
      </c>
    </row>
    <row r="1796" spans="1:19" ht="12.5" x14ac:dyDescent="0.25">
      <c r="A1796" s="1" t="s">
        <v>16</v>
      </c>
      <c r="B1796" s="1" t="s">
        <v>16</v>
      </c>
      <c r="C1796" s="1" t="s">
        <v>16</v>
      </c>
      <c r="D1796" s="1" t="s">
        <v>16</v>
      </c>
      <c r="E1796" s="1">
        <v>1736</v>
      </c>
      <c r="F1796" s="1" t="s">
        <v>5939</v>
      </c>
      <c r="G1796" s="1" t="s">
        <v>5940</v>
      </c>
      <c r="H1796" s="1" t="s">
        <v>16</v>
      </c>
      <c r="I1796" s="1" t="s">
        <v>20</v>
      </c>
      <c r="J1796" s="1" t="s">
        <v>16</v>
      </c>
      <c r="K1796" s="1" t="b">
        <v>0</v>
      </c>
      <c r="L1796" s="1" t="s">
        <v>22</v>
      </c>
      <c r="M1796" s="1" t="s">
        <v>16</v>
      </c>
      <c r="N1796" s="1" t="s">
        <v>16</v>
      </c>
      <c r="O1796" s="1" t="s">
        <v>16</v>
      </c>
      <c r="P1796" s="1" t="s">
        <v>16</v>
      </c>
    </row>
    <row r="1797" spans="1:19" ht="12.5" x14ac:dyDescent="0.25">
      <c r="A1797" s="1" t="s">
        <v>16</v>
      </c>
      <c r="B1797" s="1" t="s">
        <v>16</v>
      </c>
      <c r="C1797" s="1" t="s">
        <v>16</v>
      </c>
      <c r="D1797" s="1" t="s">
        <v>16</v>
      </c>
      <c r="E1797" s="1">
        <v>1737</v>
      </c>
      <c r="F1797" s="1" t="s">
        <v>5941</v>
      </c>
      <c r="G1797" s="1" t="s">
        <v>5942</v>
      </c>
      <c r="H1797" s="1" t="s">
        <v>16</v>
      </c>
      <c r="I1797" s="1" t="s">
        <v>20</v>
      </c>
      <c r="J1797" s="1" t="s">
        <v>5943</v>
      </c>
      <c r="K1797" s="1" t="b">
        <v>0</v>
      </c>
      <c r="L1797" s="1" t="s">
        <v>22</v>
      </c>
      <c r="M1797" s="1" t="s">
        <v>16</v>
      </c>
      <c r="N1797" s="1" t="s">
        <v>16</v>
      </c>
      <c r="O1797" s="1" t="s">
        <v>16</v>
      </c>
      <c r="P1797" s="1" t="s">
        <v>16</v>
      </c>
    </row>
    <row r="1798" spans="1:19" ht="12.5" x14ac:dyDescent="0.25">
      <c r="A1798" s="1" t="s">
        <v>16</v>
      </c>
      <c r="B1798" s="1" t="s">
        <v>16</v>
      </c>
      <c r="C1798" s="1" t="s">
        <v>16</v>
      </c>
      <c r="D1798" s="1" t="s">
        <v>16</v>
      </c>
      <c r="E1798" s="1">
        <v>1738</v>
      </c>
      <c r="F1798" s="1" t="s">
        <v>5944</v>
      </c>
      <c r="G1798" s="1" t="s">
        <v>5945</v>
      </c>
      <c r="H1798" s="1" t="s">
        <v>5945</v>
      </c>
      <c r="I1798" s="1" t="s">
        <v>29</v>
      </c>
      <c r="J1798" s="1" t="s">
        <v>16</v>
      </c>
      <c r="K1798" s="1" t="b">
        <v>0</v>
      </c>
      <c r="L1798" s="1" t="s">
        <v>22</v>
      </c>
      <c r="M1798" s="1">
        <v>2022</v>
      </c>
      <c r="N1798" s="1" t="s">
        <v>23</v>
      </c>
      <c r="O1798" s="1" t="s">
        <v>9935</v>
      </c>
      <c r="P1798" s="1" t="s">
        <v>16</v>
      </c>
      <c r="R1798" s="1">
        <v>40000</v>
      </c>
    </row>
    <row r="1799" spans="1:19" ht="12.5" x14ac:dyDescent="0.25">
      <c r="A1799" s="1" t="s">
        <v>16</v>
      </c>
      <c r="B1799" s="1" t="s">
        <v>16</v>
      </c>
      <c r="C1799" s="1" t="s">
        <v>16</v>
      </c>
      <c r="D1799" s="1" t="s">
        <v>16</v>
      </c>
      <c r="E1799" s="1">
        <v>1739</v>
      </c>
      <c r="F1799" s="1" t="s">
        <v>5946</v>
      </c>
      <c r="G1799" s="1" t="s">
        <v>5947</v>
      </c>
      <c r="H1799" s="1" t="s">
        <v>16</v>
      </c>
      <c r="I1799" s="1" t="s">
        <v>20</v>
      </c>
      <c r="J1799" s="1" t="s">
        <v>5948</v>
      </c>
      <c r="K1799" s="1" t="b">
        <v>0</v>
      </c>
      <c r="L1799" s="1" t="s">
        <v>22</v>
      </c>
      <c r="M1799" s="1" t="s">
        <v>16</v>
      </c>
      <c r="N1799" s="1" t="s">
        <v>16</v>
      </c>
      <c r="O1799" s="1" t="s">
        <v>16</v>
      </c>
      <c r="P1799" s="1" t="s">
        <v>16</v>
      </c>
    </row>
    <row r="1800" spans="1:19" ht="12.5" x14ac:dyDescent="0.25">
      <c r="A1800" s="1" t="s">
        <v>16</v>
      </c>
      <c r="B1800" s="1" t="s">
        <v>16</v>
      </c>
      <c r="C1800" s="1" t="s">
        <v>16</v>
      </c>
      <c r="D1800" s="1" t="s">
        <v>16</v>
      </c>
      <c r="E1800" s="1">
        <v>1740</v>
      </c>
      <c r="F1800" s="1" t="s">
        <v>5949</v>
      </c>
      <c r="G1800" s="1" t="s">
        <v>5950</v>
      </c>
      <c r="H1800" s="1" t="s">
        <v>16</v>
      </c>
      <c r="I1800" s="1" t="s">
        <v>20</v>
      </c>
      <c r="J1800" s="1" t="s">
        <v>5951</v>
      </c>
      <c r="K1800" s="1" t="b">
        <v>0</v>
      </c>
      <c r="L1800" s="1" t="s">
        <v>22</v>
      </c>
      <c r="M1800" s="1" t="s">
        <v>16</v>
      </c>
      <c r="N1800" s="1" t="s">
        <v>16</v>
      </c>
      <c r="O1800" s="1" t="s">
        <v>16</v>
      </c>
      <c r="P1800" s="1" t="s">
        <v>16</v>
      </c>
    </row>
    <row r="1801" spans="1:19" ht="12.5" x14ac:dyDescent="0.25">
      <c r="A1801" s="1" t="s">
        <v>16</v>
      </c>
      <c r="B1801" s="1" t="s">
        <v>16</v>
      </c>
      <c r="C1801" s="1" t="s">
        <v>16</v>
      </c>
      <c r="D1801" s="1" t="s">
        <v>16</v>
      </c>
      <c r="E1801" s="1">
        <v>1741</v>
      </c>
      <c r="F1801" s="1" t="s">
        <v>5952</v>
      </c>
      <c r="G1801" s="1" t="s">
        <v>5953</v>
      </c>
      <c r="H1801" s="1" t="s">
        <v>16</v>
      </c>
      <c r="I1801" s="1" t="s">
        <v>20</v>
      </c>
      <c r="J1801" s="1" t="s">
        <v>5954</v>
      </c>
      <c r="K1801" s="1" t="b">
        <v>0</v>
      </c>
      <c r="L1801" s="1" t="s">
        <v>22</v>
      </c>
      <c r="M1801" s="1" t="s">
        <v>16</v>
      </c>
      <c r="N1801" s="1" t="s">
        <v>16</v>
      </c>
      <c r="O1801" s="1" t="s">
        <v>16</v>
      </c>
      <c r="P1801" s="1" t="s">
        <v>16</v>
      </c>
    </row>
    <row r="1802" spans="1:19" ht="12.5" x14ac:dyDescent="0.25">
      <c r="A1802" s="1" t="s">
        <v>16</v>
      </c>
      <c r="B1802" s="1" t="s">
        <v>16</v>
      </c>
      <c r="C1802" s="1" t="s">
        <v>16</v>
      </c>
      <c r="D1802" s="1" t="s">
        <v>16</v>
      </c>
      <c r="E1802" s="1">
        <v>1742</v>
      </c>
      <c r="F1802" s="1" t="s">
        <v>5955</v>
      </c>
      <c r="G1802" s="1" t="s">
        <v>5956</v>
      </c>
      <c r="H1802" s="1" t="s">
        <v>16</v>
      </c>
      <c r="I1802" s="1" t="s">
        <v>20</v>
      </c>
      <c r="J1802" s="1" t="s">
        <v>5957</v>
      </c>
      <c r="K1802" s="1" t="b">
        <v>0</v>
      </c>
      <c r="L1802" s="1" t="s">
        <v>22</v>
      </c>
      <c r="M1802" s="1" t="s">
        <v>16</v>
      </c>
      <c r="N1802" s="1" t="s">
        <v>16</v>
      </c>
      <c r="O1802" s="1" t="s">
        <v>16</v>
      </c>
      <c r="P1802" s="1" t="s">
        <v>16</v>
      </c>
    </row>
    <row r="1803" spans="1:19" ht="12.5" x14ac:dyDescent="0.25">
      <c r="A1803" s="1" t="s">
        <v>16</v>
      </c>
      <c r="B1803" s="1" t="s">
        <v>16</v>
      </c>
      <c r="C1803" s="1" t="s">
        <v>16</v>
      </c>
      <c r="D1803" s="1" t="s">
        <v>16</v>
      </c>
      <c r="E1803" s="1">
        <v>1743</v>
      </c>
      <c r="F1803" s="1" t="s">
        <v>5958</v>
      </c>
      <c r="G1803" s="1" t="s">
        <v>5959</v>
      </c>
      <c r="H1803" s="1" t="s">
        <v>16</v>
      </c>
      <c r="I1803" s="1" t="s">
        <v>20</v>
      </c>
      <c r="J1803" s="1" t="s">
        <v>5960</v>
      </c>
      <c r="K1803" s="1" t="b">
        <v>0</v>
      </c>
      <c r="L1803" s="1" t="s">
        <v>22</v>
      </c>
      <c r="M1803" s="1" t="s">
        <v>16</v>
      </c>
      <c r="N1803" s="1" t="s">
        <v>16</v>
      </c>
      <c r="O1803" s="1" t="s">
        <v>16</v>
      </c>
      <c r="P1803" s="1" t="s">
        <v>16</v>
      </c>
    </row>
    <row r="1804" spans="1:19" ht="12.5" x14ac:dyDescent="0.25">
      <c r="A1804" s="1" t="s">
        <v>16</v>
      </c>
      <c r="B1804" s="1" t="s">
        <v>16</v>
      </c>
      <c r="C1804" s="1" t="s">
        <v>16</v>
      </c>
      <c r="D1804" s="1" t="s">
        <v>16</v>
      </c>
      <c r="E1804" s="1">
        <v>1744</v>
      </c>
      <c r="F1804" s="1" t="s">
        <v>5961</v>
      </c>
      <c r="G1804" s="1" t="s">
        <v>5962</v>
      </c>
      <c r="H1804" s="1" t="s">
        <v>16</v>
      </c>
      <c r="I1804" s="1" t="s">
        <v>20</v>
      </c>
      <c r="J1804" s="1" t="s">
        <v>5963</v>
      </c>
      <c r="K1804" s="1" t="b">
        <v>0</v>
      </c>
      <c r="L1804" s="1" t="s">
        <v>22</v>
      </c>
      <c r="M1804" s="1" t="s">
        <v>16</v>
      </c>
      <c r="N1804" s="1" t="s">
        <v>16</v>
      </c>
      <c r="O1804" s="1" t="s">
        <v>16</v>
      </c>
      <c r="P1804" s="1" t="s">
        <v>16</v>
      </c>
    </row>
    <row r="1805" spans="1:19" ht="12.5" x14ac:dyDescent="0.25">
      <c r="A1805" s="1" t="s">
        <v>16</v>
      </c>
      <c r="B1805" s="1" t="s">
        <v>16</v>
      </c>
      <c r="C1805" s="1" t="s">
        <v>16</v>
      </c>
      <c r="D1805" s="1" t="s">
        <v>16</v>
      </c>
      <c r="E1805" s="1">
        <v>1745</v>
      </c>
      <c r="F1805" s="1" t="s">
        <v>5964</v>
      </c>
      <c r="G1805" s="1" t="s">
        <v>5965</v>
      </c>
      <c r="H1805" s="1" t="s">
        <v>16</v>
      </c>
      <c r="I1805" s="1" t="s">
        <v>20</v>
      </c>
      <c r="J1805" s="1" t="s">
        <v>5966</v>
      </c>
      <c r="K1805" s="1" t="b">
        <v>0</v>
      </c>
      <c r="L1805" s="1" t="s">
        <v>22</v>
      </c>
      <c r="M1805" s="1" t="s">
        <v>16</v>
      </c>
      <c r="N1805" s="1" t="s">
        <v>16</v>
      </c>
      <c r="O1805" s="1" t="s">
        <v>16</v>
      </c>
      <c r="P1805" s="1" t="s">
        <v>16</v>
      </c>
    </row>
    <row r="1806" spans="1:19" ht="12.5" x14ac:dyDescent="0.25">
      <c r="A1806" s="1" t="s">
        <v>16</v>
      </c>
      <c r="B1806" s="1" t="s">
        <v>16</v>
      </c>
      <c r="C1806" s="1" t="s">
        <v>16</v>
      </c>
      <c r="D1806" s="1" t="s">
        <v>16</v>
      </c>
      <c r="E1806" s="1">
        <v>1746</v>
      </c>
      <c r="F1806" s="1" t="s">
        <v>5967</v>
      </c>
      <c r="G1806" s="1" t="s">
        <v>5968</v>
      </c>
      <c r="H1806" s="1" t="s">
        <v>16</v>
      </c>
      <c r="I1806" s="1" t="s">
        <v>20</v>
      </c>
      <c r="J1806" s="1" t="s">
        <v>5969</v>
      </c>
      <c r="K1806" s="1" t="b">
        <v>0</v>
      </c>
      <c r="L1806" s="1" t="s">
        <v>22</v>
      </c>
      <c r="M1806" s="1" t="s">
        <v>16</v>
      </c>
      <c r="N1806" s="1" t="s">
        <v>16</v>
      </c>
      <c r="O1806" s="1" t="s">
        <v>16</v>
      </c>
      <c r="P1806" s="1" t="s">
        <v>16</v>
      </c>
    </row>
    <row r="1807" spans="1:19" ht="12.5" x14ac:dyDescent="0.25">
      <c r="A1807" s="1" t="s">
        <v>16</v>
      </c>
      <c r="B1807" s="1" t="s">
        <v>16</v>
      </c>
      <c r="C1807" s="1" t="s">
        <v>16</v>
      </c>
      <c r="D1807" s="1" t="s">
        <v>16</v>
      </c>
      <c r="E1807" s="1">
        <v>1747</v>
      </c>
      <c r="F1807" s="1" t="s">
        <v>5970</v>
      </c>
      <c r="G1807" s="1" t="s">
        <v>5971</v>
      </c>
      <c r="H1807" s="1" t="s">
        <v>16</v>
      </c>
      <c r="I1807" s="1" t="s">
        <v>20</v>
      </c>
      <c r="J1807" s="1" t="s">
        <v>5972</v>
      </c>
      <c r="K1807" s="1" t="b">
        <v>0</v>
      </c>
      <c r="L1807" s="1" t="s">
        <v>22</v>
      </c>
      <c r="M1807" s="1" t="s">
        <v>16</v>
      </c>
      <c r="N1807" s="1" t="s">
        <v>16</v>
      </c>
      <c r="O1807" s="1" t="s">
        <v>16</v>
      </c>
      <c r="P1807" s="1" t="s">
        <v>16</v>
      </c>
    </row>
    <row r="1808" spans="1:19" ht="12.5" x14ac:dyDescent="0.25">
      <c r="A1808" s="1" t="s">
        <v>16</v>
      </c>
      <c r="B1808" s="1" t="s">
        <v>16</v>
      </c>
      <c r="C1808" s="1" t="s">
        <v>16</v>
      </c>
      <c r="D1808" s="1" t="s">
        <v>16</v>
      </c>
      <c r="E1808" s="1">
        <v>1748</v>
      </c>
      <c r="F1808" s="1" t="s">
        <v>5973</v>
      </c>
      <c r="G1808" s="1" t="s">
        <v>5974</v>
      </c>
      <c r="H1808" s="1" t="s">
        <v>16</v>
      </c>
      <c r="I1808" s="1" t="s">
        <v>20</v>
      </c>
      <c r="J1808" s="1" t="s">
        <v>5975</v>
      </c>
      <c r="K1808" s="1" t="b">
        <v>0</v>
      </c>
      <c r="L1808" s="1" t="s">
        <v>22</v>
      </c>
      <c r="M1808" s="1" t="s">
        <v>16</v>
      </c>
      <c r="N1808" s="1" t="s">
        <v>16</v>
      </c>
      <c r="O1808" s="1" t="s">
        <v>16</v>
      </c>
      <c r="P1808" s="1" t="s">
        <v>16</v>
      </c>
    </row>
    <row r="1809" spans="1:19" ht="12.5" x14ac:dyDescent="0.25">
      <c r="A1809" s="1">
        <v>1618</v>
      </c>
      <c r="B1809" s="1" t="s">
        <v>5976</v>
      </c>
      <c r="C1809" s="1" t="s">
        <v>35</v>
      </c>
      <c r="D1809" s="1" t="s">
        <v>152</v>
      </c>
      <c r="E1809" s="1">
        <v>1749</v>
      </c>
      <c r="F1809" s="1" t="s">
        <v>5977</v>
      </c>
      <c r="G1809" s="1" t="s">
        <v>5978</v>
      </c>
      <c r="H1809" s="1" t="s">
        <v>16</v>
      </c>
      <c r="I1809" s="1" t="s">
        <v>20</v>
      </c>
      <c r="J1809" s="1" t="s">
        <v>5979</v>
      </c>
      <c r="K1809" s="1" t="b">
        <v>0</v>
      </c>
      <c r="L1809" s="1" t="s">
        <v>22</v>
      </c>
      <c r="M1809" s="1" t="s">
        <v>16</v>
      </c>
      <c r="N1809" s="1" t="s">
        <v>16</v>
      </c>
      <c r="O1809" s="1" t="s">
        <v>16</v>
      </c>
      <c r="P1809" s="1" t="s">
        <v>16</v>
      </c>
      <c r="Q1809" s="1">
        <v>15</v>
      </c>
    </row>
    <row r="1810" spans="1:19" ht="12.5" x14ac:dyDescent="0.25">
      <c r="A1810" s="1">
        <v>4566</v>
      </c>
      <c r="B1810" s="1" t="s">
        <v>5980</v>
      </c>
      <c r="C1810" s="1" t="s">
        <v>35</v>
      </c>
      <c r="D1810" s="1" t="s">
        <v>36</v>
      </c>
      <c r="E1810" s="1">
        <v>1749</v>
      </c>
      <c r="F1810" s="1" t="s">
        <v>5977</v>
      </c>
      <c r="G1810" s="1" t="s">
        <v>5978</v>
      </c>
      <c r="H1810" s="1" t="s">
        <v>16</v>
      </c>
      <c r="I1810" s="1" t="s">
        <v>20</v>
      </c>
      <c r="J1810" s="1" t="s">
        <v>5979</v>
      </c>
      <c r="K1810" s="1" t="b">
        <v>0</v>
      </c>
      <c r="L1810" s="1" t="s">
        <v>22</v>
      </c>
      <c r="M1810" s="1" t="s">
        <v>16</v>
      </c>
      <c r="N1810" s="1" t="s">
        <v>16</v>
      </c>
      <c r="O1810" s="1" t="s">
        <v>16</v>
      </c>
      <c r="P1810" s="1" t="s">
        <v>16</v>
      </c>
      <c r="Q1810" s="1">
        <v>35</v>
      </c>
    </row>
    <row r="1811" spans="1:19" ht="12.5" x14ac:dyDescent="0.25">
      <c r="A1811" s="1" t="s">
        <v>16</v>
      </c>
      <c r="B1811" s="1" t="s">
        <v>16</v>
      </c>
      <c r="C1811" s="1" t="s">
        <v>16</v>
      </c>
      <c r="D1811" s="1" t="s">
        <v>16</v>
      </c>
      <c r="E1811" s="1">
        <v>1750</v>
      </c>
      <c r="F1811" s="1" t="s">
        <v>5981</v>
      </c>
      <c r="G1811" s="1" t="s">
        <v>5982</v>
      </c>
      <c r="H1811" s="1" t="s">
        <v>16</v>
      </c>
      <c r="I1811" s="1" t="s">
        <v>20</v>
      </c>
      <c r="J1811" s="1" t="s">
        <v>5983</v>
      </c>
      <c r="K1811" s="1" t="b">
        <v>0</v>
      </c>
      <c r="L1811" s="1" t="s">
        <v>22</v>
      </c>
      <c r="M1811" s="1" t="s">
        <v>16</v>
      </c>
      <c r="N1811" s="1" t="s">
        <v>16</v>
      </c>
      <c r="O1811" s="1" t="s">
        <v>16</v>
      </c>
      <c r="P1811" s="1" t="s">
        <v>16</v>
      </c>
    </row>
    <row r="1812" spans="1:19" ht="12.5" x14ac:dyDescent="0.25">
      <c r="A1812" s="1" t="s">
        <v>16</v>
      </c>
      <c r="B1812" s="1" t="s">
        <v>16</v>
      </c>
      <c r="C1812" s="1" t="s">
        <v>16</v>
      </c>
      <c r="D1812" s="1" t="s">
        <v>16</v>
      </c>
      <c r="E1812" s="1">
        <v>1751</v>
      </c>
      <c r="F1812" s="1" t="s">
        <v>5984</v>
      </c>
      <c r="G1812" s="1" t="s">
        <v>5985</v>
      </c>
      <c r="H1812" s="1" t="s">
        <v>16</v>
      </c>
      <c r="I1812" s="1" t="s">
        <v>20</v>
      </c>
      <c r="J1812" s="1" t="s">
        <v>5986</v>
      </c>
      <c r="K1812" s="1" t="b">
        <v>0</v>
      </c>
      <c r="L1812" s="1" t="s">
        <v>22</v>
      </c>
      <c r="M1812" s="1" t="s">
        <v>16</v>
      </c>
      <c r="N1812" s="1" t="s">
        <v>16</v>
      </c>
      <c r="O1812" s="1" t="s">
        <v>16</v>
      </c>
      <c r="P1812" s="1" t="s">
        <v>16</v>
      </c>
    </row>
    <row r="1813" spans="1:19" ht="12.5" x14ac:dyDescent="0.25">
      <c r="A1813" s="1">
        <v>731</v>
      </c>
      <c r="B1813" s="1" t="s">
        <v>1062</v>
      </c>
      <c r="C1813" s="1" t="s">
        <v>35</v>
      </c>
      <c r="D1813" s="1" t="s">
        <v>36</v>
      </c>
      <c r="E1813" s="1">
        <v>1752</v>
      </c>
      <c r="F1813" s="1" t="s">
        <v>5987</v>
      </c>
      <c r="G1813" s="1" t="s">
        <v>5988</v>
      </c>
      <c r="H1813" s="1" t="s">
        <v>5989</v>
      </c>
      <c r="I1813" s="1" t="s">
        <v>29</v>
      </c>
      <c r="J1813" s="1" t="s">
        <v>5990</v>
      </c>
      <c r="K1813" s="1" t="b">
        <v>0</v>
      </c>
      <c r="L1813" s="1" t="s">
        <v>22</v>
      </c>
      <c r="M1813" s="1">
        <v>2021</v>
      </c>
      <c r="N1813" s="1" t="s">
        <v>32</v>
      </c>
      <c r="O1813" s="1" t="s">
        <v>9942</v>
      </c>
      <c r="P1813" s="1" t="s">
        <v>16</v>
      </c>
      <c r="Q1813" s="1">
        <v>100</v>
      </c>
      <c r="R1813" s="1">
        <v>1</v>
      </c>
      <c r="S1813" s="1">
        <v>1</v>
      </c>
    </row>
    <row r="1814" spans="1:19" ht="12.5" x14ac:dyDescent="0.25">
      <c r="A1814" s="1" t="s">
        <v>16</v>
      </c>
      <c r="B1814" s="1" t="s">
        <v>16</v>
      </c>
      <c r="C1814" s="1" t="s">
        <v>16</v>
      </c>
      <c r="D1814" s="1" t="s">
        <v>16</v>
      </c>
      <c r="E1814" s="1">
        <v>1753</v>
      </c>
      <c r="F1814" s="1" t="s">
        <v>5991</v>
      </c>
      <c r="G1814" s="1" t="s">
        <v>5992</v>
      </c>
      <c r="H1814" s="1" t="s">
        <v>16</v>
      </c>
      <c r="I1814" s="1" t="s">
        <v>20</v>
      </c>
      <c r="J1814" s="1" t="s">
        <v>5993</v>
      </c>
      <c r="K1814" s="1" t="b">
        <v>0</v>
      </c>
      <c r="L1814" s="1" t="s">
        <v>22</v>
      </c>
      <c r="M1814" s="1" t="s">
        <v>16</v>
      </c>
      <c r="N1814" s="1" t="s">
        <v>16</v>
      </c>
      <c r="O1814" s="1" t="s">
        <v>16</v>
      </c>
      <c r="P1814" s="1" t="s">
        <v>16</v>
      </c>
    </row>
    <row r="1815" spans="1:19" ht="12.5" x14ac:dyDescent="0.25">
      <c r="A1815" s="1" t="s">
        <v>16</v>
      </c>
      <c r="B1815" s="1" t="s">
        <v>16</v>
      </c>
      <c r="C1815" s="1" t="s">
        <v>16</v>
      </c>
      <c r="D1815" s="1" t="s">
        <v>16</v>
      </c>
      <c r="E1815" s="1">
        <v>1755</v>
      </c>
      <c r="F1815" s="1" t="s">
        <v>5994</v>
      </c>
      <c r="G1815" s="1" t="s">
        <v>5995</v>
      </c>
      <c r="H1815" s="1" t="s">
        <v>16</v>
      </c>
      <c r="I1815" s="1" t="s">
        <v>20</v>
      </c>
      <c r="J1815" s="1" t="s">
        <v>5996</v>
      </c>
      <c r="K1815" s="1" t="b">
        <v>0</v>
      </c>
      <c r="L1815" s="1" t="s">
        <v>22</v>
      </c>
      <c r="M1815" s="1" t="s">
        <v>16</v>
      </c>
      <c r="N1815" s="1" t="s">
        <v>16</v>
      </c>
      <c r="O1815" s="1" t="s">
        <v>16</v>
      </c>
      <c r="P1815" s="1" t="s">
        <v>16</v>
      </c>
    </row>
    <row r="1816" spans="1:19" ht="12.5" x14ac:dyDescent="0.25">
      <c r="A1816" s="1">
        <v>505</v>
      </c>
      <c r="B1816" s="1" t="s">
        <v>2274</v>
      </c>
      <c r="C1816" s="1" t="s">
        <v>35</v>
      </c>
      <c r="D1816" s="1" t="s">
        <v>36</v>
      </c>
      <c r="E1816" s="1">
        <v>1756</v>
      </c>
      <c r="F1816" s="1" t="s">
        <v>5997</v>
      </c>
      <c r="G1816" s="1" t="s">
        <v>5998</v>
      </c>
      <c r="H1816" s="1" t="s">
        <v>5999</v>
      </c>
      <c r="I1816" s="1" t="s">
        <v>29</v>
      </c>
      <c r="J1816" s="1" t="s">
        <v>6000</v>
      </c>
      <c r="K1816" s="1" t="b">
        <v>0</v>
      </c>
      <c r="L1816" s="1" t="s">
        <v>22</v>
      </c>
      <c r="M1816" s="1" t="s">
        <v>16</v>
      </c>
      <c r="N1816" s="1" t="s">
        <v>16</v>
      </c>
      <c r="O1816" s="1" t="s">
        <v>9935</v>
      </c>
      <c r="P1816" s="1" t="s">
        <v>16</v>
      </c>
      <c r="Q1816" s="1">
        <v>100</v>
      </c>
      <c r="R1816" s="1">
        <v>1</v>
      </c>
      <c r="S1816" s="1">
        <v>1</v>
      </c>
    </row>
    <row r="1817" spans="1:19" ht="12.5" x14ac:dyDescent="0.25">
      <c r="A1817" s="1" t="s">
        <v>16</v>
      </c>
      <c r="B1817" s="1" t="s">
        <v>16</v>
      </c>
      <c r="C1817" s="1" t="s">
        <v>16</v>
      </c>
      <c r="D1817" s="1" t="s">
        <v>16</v>
      </c>
      <c r="E1817" s="1">
        <v>1757</v>
      </c>
      <c r="F1817" s="1" t="s">
        <v>6001</v>
      </c>
      <c r="G1817" s="1" t="s">
        <v>6002</v>
      </c>
      <c r="H1817" s="1" t="s">
        <v>16</v>
      </c>
      <c r="I1817" s="1" t="s">
        <v>20</v>
      </c>
      <c r="J1817" s="1" t="s">
        <v>6003</v>
      </c>
      <c r="K1817" s="1" t="b">
        <v>0</v>
      </c>
      <c r="L1817" s="1" t="s">
        <v>22</v>
      </c>
      <c r="M1817" s="1" t="s">
        <v>16</v>
      </c>
      <c r="N1817" s="1" t="s">
        <v>16</v>
      </c>
      <c r="O1817" s="1" t="s">
        <v>16</v>
      </c>
      <c r="P1817" s="1" t="s">
        <v>16</v>
      </c>
    </row>
    <row r="1818" spans="1:19" ht="12.5" x14ac:dyDescent="0.25">
      <c r="A1818" s="1" t="s">
        <v>16</v>
      </c>
      <c r="B1818" s="1" t="s">
        <v>16</v>
      </c>
      <c r="C1818" s="1" t="s">
        <v>16</v>
      </c>
      <c r="D1818" s="1" t="s">
        <v>16</v>
      </c>
      <c r="E1818" s="1">
        <v>1758</v>
      </c>
      <c r="F1818" s="1" t="s">
        <v>6004</v>
      </c>
      <c r="G1818" s="1" t="s">
        <v>6005</v>
      </c>
      <c r="H1818" s="1" t="s">
        <v>16</v>
      </c>
      <c r="I1818" s="1" t="s">
        <v>20</v>
      </c>
      <c r="J1818" s="1" t="s">
        <v>6006</v>
      </c>
      <c r="K1818" s="1" t="b">
        <v>0</v>
      </c>
      <c r="L1818" s="1" t="s">
        <v>22</v>
      </c>
      <c r="M1818" s="1" t="s">
        <v>16</v>
      </c>
      <c r="N1818" s="1" t="s">
        <v>16</v>
      </c>
      <c r="O1818" s="1" t="s">
        <v>16</v>
      </c>
      <c r="P1818" s="1" t="s">
        <v>16</v>
      </c>
    </row>
    <row r="1819" spans="1:19" ht="12.5" x14ac:dyDescent="0.25">
      <c r="A1819" s="1" t="s">
        <v>16</v>
      </c>
      <c r="B1819" s="1" t="s">
        <v>16</v>
      </c>
      <c r="C1819" s="1" t="s">
        <v>16</v>
      </c>
      <c r="D1819" s="1" t="s">
        <v>16</v>
      </c>
      <c r="E1819" s="1">
        <v>1759</v>
      </c>
      <c r="F1819" s="1" t="s">
        <v>6007</v>
      </c>
      <c r="G1819" s="1" t="s">
        <v>6008</v>
      </c>
      <c r="H1819" s="1" t="s">
        <v>16</v>
      </c>
      <c r="I1819" s="1" t="s">
        <v>20</v>
      </c>
      <c r="J1819" s="1" t="s">
        <v>6009</v>
      </c>
      <c r="K1819" s="1" t="b">
        <v>0</v>
      </c>
      <c r="L1819" s="1" t="s">
        <v>22</v>
      </c>
      <c r="M1819" s="1" t="s">
        <v>16</v>
      </c>
      <c r="N1819" s="1" t="s">
        <v>16</v>
      </c>
      <c r="O1819" s="1" t="s">
        <v>16</v>
      </c>
      <c r="P1819" s="1" t="s">
        <v>16</v>
      </c>
    </row>
    <row r="1820" spans="1:19" ht="12.5" x14ac:dyDescent="0.25">
      <c r="A1820" s="1" t="s">
        <v>16</v>
      </c>
      <c r="B1820" s="1" t="s">
        <v>16</v>
      </c>
      <c r="C1820" s="1" t="s">
        <v>16</v>
      </c>
      <c r="D1820" s="1" t="s">
        <v>16</v>
      </c>
      <c r="E1820" s="1">
        <v>1760</v>
      </c>
      <c r="F1820" s="1" t="s">
        <v>6010</v>
      </c>
      <c r="G1820" s="1" t="s">
        <v>6011</v>
      </c>
      <c r="H1820" s="1" t="s">
        <v>16</v>
      </c>
      <c r="I1820" s="1" t="s">
        <v>20</v>
      </c>
      <c r="J1820" s="1" t="s">
        <v>6012</v>
      </c>
      <c r="K1820" s="1" t="b">
        <v>0</v>
      </c>
      <c r="L1820" s="1" t="s">
        <v>22</v>
      </c>
      <c r="M1820" s="1" t="s">
        <v>16</v>
      </c>
      <c r="N1820" s="1" t="s">
        <v>16</v>
      </c>
      <c r="O1820" s="1" t="s">
        <v>16</v>
      </c>
      <c r="P1820" s="1" t="s">
        <v>16</v>
      </c>
    </row>
    <row r="1821" spans="1:19" ht="12.5" x14ac:dyDescent="0.25">
      <c r="A1821" s="1" t="s">
        <v>16</v>
      </c>
      <c r="B1821" s="1" t="s">
        <v>16</v>
      </c>
      <c r="C1821" s="1" t="s">
        <v>16</v>
      </c>
      <c r="D1821" s="1" t="s">
        <v>16</v>
      </c>
      <c r="E1821" s="1">
        <v>1761</v>
      </c>
      <c r="F1821" s="1" t="s">
        <v>6013</v>
      </c>
      <c r="G1821" s="1" t="s">
        <v>6014</v>
      </c>
      <c r="H1821" s="1" t="s">
        <v>16</v>
      </c>
      <c r="I1821" s="1" t="s">
        <v>20</v>
      </c>
      <c r="J1821" s="1" t="s">
        <v>6015</v>
      </c>
      <c r="K1821" s="1" t="b">
        <v>0</v>
      </c>
      <c r="L1821" s="1" t="s">
        <v>22</v>
      </c>
      <c r="M1821" s="1" t="s">
        <v>16</v>
      </c>
      <c r="N1821" s="1" t="s">
        <v>16</v>
      </c>
      <c r="O1821" s="1" t="s">
        <v>16</v>
      </c>
      <c r="P1821" s="1" t="s">
        <v>16</v>
      </c>
    </row>
    <row r="1822" spans="1:19" ht="12.5" x14ac:dyDescent="0.25">
      <c r="A1822" s="1" t="s">
        <v>16</v>
      </c>
      <c r="B1822" s="1" t="s">
        <v>16</v>
      </c>
      <c r="C1822" s="1" t="s">
        <v>16</v>
      </c>
      <c r="D1822" s="1" t="s">
        <v>16</v>
      </c>
      <c r="E1822" s="1">
        <v>1762</v>
      </c>
      <c r="F1822" s="1" t="s">
        <v>6016</v>
      </c>
      <c r="G1822" s="1" t="s">
        <v>6017</v>
      </c>
      <c r="H1822" s="1" t="s">
        <v>16</v>
      </c>
      <c r="I1822" s="1" t="s">
        <v>20</v>
      </c>
      <c r="J1822" s="1" t="s">
        <v>6018</v>
      </c>
      <c r="K1822" s="1" t="b">
        <v>0</v>
      </c>
      <c r="L1822" s="1" t="s">
        <v>22</v>
      </c>
      <c r="M1822" s="1" t="s">
        <v>16</v>
      </c>
      <c r="N1822" s="1" t="s">
        <v>16</v>
      </c>
      <c r="O1822" s="1" t="s">
        <v>16</v>
      </c>
      <c r="P1822" s="1" t="s">
        <v>16</v>
      </c>
    </row>
    <row r="1823" spans="1:19" ht="12.5" x14ac:dyDescent="0.25">
      <c r="A1823" s="1" t="s">
        <v>16</v>
      </c>
      <c r="B1823" s="1" t="s">
        <v>16</v>
      </c>
      <c r="C1823" s="1" t="s">
        <v>16</v>
      </c>
      <c r="D1823" s="1" t="s">
        <v>16</v>
      </c>
      <c r="E1823" s="1">
        <v>1763</v>
      </c>
      <c r="F1823" s="1" t="s">
        <v>6019</v>
      </c>
      <c r="G1823" s="1" t="s">
        <v>6020</v>
      </c>
      <c r="H1823" s="1" t="s">
        <v>16</v>
      </c>
      <c r="I1823" s="1" t="s">
        <v>20</v>
      </c>
      <c r="J1823" s="1" t="s">
        <v>6021</v>
      </c>
      <c r="K1823" s="1" t="b">
        <v>0</v>
      </c>
      <c r="L1823" s="1" t="s">
        <v>22</v>
      </c>
      <c r="M1823" s="1" t="s">
        <v>16</v>
      </c>
      <c r="N1823" s="1" t="s">
        <v>16</v>
      </c>
      <c r="O1823" s="1" t="s">
        <v>16</v>
      </c>
      <c r="P1823" s="1" t="s">
        <v>16</v>
      </c>
    </row>
    <row r="1824" spans="1:19" ht="12.5" x14ac:dyDescent="0.25">
      <c r="A1824" s="1" t="s">
        <v>16</v>
      </c>
      <c r="B1824" s="1" t="s">
        <v>16</v>
      </c>
      <c r="C1824" s="1" t="s">
        <v>16</v>
      </c>
      <c r="D1824" s="1" t="s">
        <v>16</v>
      </c>
      <c r="E1824" s="1">
        <v>1764</v>
      </c>
      <c r="F1824" s="1" t="s">
        <v>6022</v>
      </c>
      <c r="G1824" s="1" t="s">
        <v>6023</v>
      </c>
      <c r="H1824" s="1" t="s">
        <v>16</v>
      </c>
      <c r="I1824" s="1" t="s">
        <v>20</v>
      </c>
      <c r="J1824" s="1" t="s">
        <v>6024</v>
      </c>
      <c r="K1824" s="1" t="b">
        <v>0</v>
      </c>
      <c r="L1824" s="1" t="s">
        <v>22</v>
      </c>
      <c r="M1824" s="1" t="s">
        <v>16</v>
      </c>
      <c r="N1824" s="1" t="s">
        <v>16</v>
      </c>
      <c r="O1824" s="1" t="s">
        <v>16</v>
      </c>
      <c r="P1824" s="1" t="s">
        <v>16</v>
      </c>
    </row>
    <row r="1825" spans="1:19" ht="12.5" x14ac:dyDescent="0.25">
      <c r="A1825" s="1" t="s">
        <v>16</v>
      </c>
      <c r="B1825" s="1" t="s">
        <v>16</v>
      </c>
      <c r="C1825" s="1" t="s">
        <v>16</v>
      </c>
      <c r="D1825" s="1" t="s">
        <v>16</v>
      </c>
      <c r="E1825" s="1">
        <v>1765</v>
      </c>
      <c r="F1825" s="1" t="s">
        <v>6025</v>
      </c>
      <c r="G1825" s="1" t="s">
        <v>6026</v>
      </c>
      <c r="H1825" s="1" t="s">
        <v>16</v>
      </c>
      <c r="I1825" s="1" t="s">
        <v>20</v>
      </c>
      <c r="J1825" s="1" t="s">
        <v>6027</v>
      </c>
      <c r="K1825" s="1" t="b">
        <v>0</v>
      </c>
      <c r="L1825" s="1" t="s">
        <v>22</v>
      </c>
      <c r="M1825" s="1" t="s">
        <v>16</v>
      </c>
      <c r="N1825" s="1" t="s">
        <v>16</v>
      </c>
      <c r="O1825" s="1" t="s">
        <v>16</v>
      </c>
      <c r="P1825" s="1" t="s">
        <v>16</v>
      </c>
    </row>
    <row r="1826" spans="1:19" ht="12.5" x14ac:dyDescent="0.25">
      <c r="A1826" s="1" t="s">
        <v>16</v>
      </c>
      <c r="B1826" s="1" t="s">
        <v>16</v>
      </c>
      <c r="C1826" s="1" t="s">
        <v>16</v>
      </c>
      <c r="D1826" s="1" t="s">
        <v>16</v>
      </c>
      <c r="E1826" s="1">
        <v>1766</v>
      </c>
      <c r="F1826" s="1" t="s">
        <v>6028</v>
      </c>
      <c r="G1826" s="1" t="s">
        <v>6029</v>
      </c>
      <c r="H1826" s="1" t="s">
        <v>16</v>
      </c>
      <c r="I1826" s="1" t="s">
        <v>20</v>
      </c>
      <c r="J1826" s="1" t="s">
        <v>6030</v>
      </c>
      <c r="K1826" s="1" t="b">
        <v>0</v>
      </c>
      <c r="L1826" s="1" t="s">
        <v>22</v>
      </c>
      <c r="M1826" s="1" t="s">
        <v>16</v>
      </c>
      <c r="N1826" s="1" t="s">
        <v>16</v>
      </c>
      <c r="O1826" s="1" t="s">
        <v>16</v>
      </c>
      <c r="P1826" s="1" t="s">
        <v>16</v>
      </c>
    </row>
    <row r="1827" spans="1:19" ht="12.5" x14ac:dyDescent="0.25">
      <c r="A1827" s="1" t="s">
        <v>16</v>
      </c>
      <c r="B1827" s="1" t="s">
        <v>16</v>
      </c>
      <c r="C1827" s="1" t="s">
        <v>16</v>
      </c>
      <c r="D1827" s="1" t="s">
        <v>16</v>
      </c>
      <c r="E1827" s="1">
        <v>1767</v>
      </c>
      <c r="F1827" s="1" t="s">
        <v>6031</v>
      </c>
      <c r="G1827" s="1" t="s">
        <v>6032</v>
      </c>
      <c r="H1827" s="1" t="s">
        <v>16</v>
      </c>
      <c r="I1827" s="1" t="s">
        <v>20</v>
      </c>
      <c r="J1827" s="1" t="s">
        <v>6033</v>
      </c>
      <c r="K1827" s="1" t="b">
        <v>0</v>
      </c>
      <c r="L1827" s="1" t="s">
        <v>22</v>
      </c>
      <c r="M1827" s="1" t="s">
        <v>16</v>
      </c>
      <c r="N1827" s="1" t="s">
        <v>16</v>
      </c>
      <c r="O1827" s="1" t="s">
        <v>16</v>
      </c>
      <c r="P1827" s="1" t="s">
        <v>16</v>
      </c>
    </row>
    <row r="1828" spans="1:19" ht="12.5" x14ac:dyDescent="0.25">
      <c r="A1828" s="1" t="s">
        <v>16</v>
      </c>
      <c r="B1828" s="1" t="s">
        <v>16</v>
      </c>
      <c r="C1828" s="1" t="s">
        <v>16</v>
      </c>
      <c r="D1828" s="1" t="s">
        <v>16</v>
      </c>
      <c r="E1828" s="1">
        <v>1768</v>
      </c>
      <c r="F1828" s="1" t="s">
        <v>6034</v>
      </c>
      <c r="G1828" s="1" t="s">
        <v>6035</v>
      </c>
      <c r="H1828" s="1" t="s">
        <v>16</v>
      </c>
      <c r="I1828" s="1" t="s">
        <v>20</v>
      </c>
      <c r="J1828" s="1" t="s">
        <v>6036</v>
      </c>
      <c r="K1828" s="1" t="b">
        <v>0</v>
      </c>
      <c r="L1828" s="1" t="s">
        <v>22</v>
      </c>
      <c r="M1828" s="1" t="s">
        <v>16</v>
      </c>
      <c r="N1828" s="1" t="s">
        <v>16</v>
      </c>
      <c r="O1828" s="1" t="s">
        <v>16</v>
      </c>
      <c r="P1828" s="1" t="s">
        <v>16</v>
      </c>
    </row>
    <row r="1829" spans="1:19" ht="12.5" x14ac:dyDescent="0.25">
      <c r="A1829" s="1" t="s">
        <v>16</v>
      </c>
      <c r="B1829" s="1" t="s">
        <v>16</v>
      </c>
      <c r="C1829" s="1" t="s">
        <v>16</v>
      </c>
      <c r="D1829" s="1" t="s">
        <v>16</v>
      </c>
      <c r="E1829" s="1">
        <v>1769</v>
      </c>
      <c r="F1829" s="1" t="s">
        <v>6037</v>
      </c>
      <c r="G1829" s="1" t="s">
        <v>6038</v>
      </c>
      <c r="H1829" s="1" t="s">
        <v>16</v>
      </c>
      <c r="I1829" s="1" t="s">
        <v>20</v>
      </c>
      <c r="J1829" s="1" t="s">
        <v>6039</v>
      </c>
      <c r="K1829" s="1" t="b">
        <v>0</v>
      </c>
      <c r="L1829" s="1" t="s">
        <v>22</v>
      </c>
      <c r="M1829" s="1" t="s">
        <v>16</v>
      </c>
      <c r="N1829" s="1" t="s">
        <v>16</v>
      </c>
      <c r="O1829" s="1" t="s">
        <v>16</v>
      </c>
      <c r="P1829" s="1" t="s">
        <v>16</v>
      </c>
    </row>
    <row r="1830" spans="1:19" ht="12.5" x14ac:dyDescent="0.25">
      <c r="A1830" s="1" t="s">
        <v>16</v>
      </c>
      <c r="B1830" s="1" t="s">
        <v>16</v>
      </c>
      <c r="C1830" s="1" t="s">
        <v>16</v>
      </c>
      <c r="D1830" s="1" t="s">
        <v>16</v>
      </c>
      <c r="E1830" s="1">
        <v>1770</v>
      </c>
      <c r="F1830" s="1" t="s">
        <v>6040</v>
      </c>
      <c r="G1830" s="1" t="s">
        <v>6041</v>
      </c>
      <c r="H1830" s="1" t="s">
        <v>16</v>
      </c>
      <c r="I1830" s="1" t="s">
        <v>20</v>
      </c>
      <c r="J1830" s="1" t="s">
        <v>6042</v>
      </c>
      <c r="K1830" s="1" t="b">
        <v>0</v>
      </c>
      <c r="L1830" s="1" t="s">
        <v>22</v>
      </c>
      <c r="M1830" s="1" t="s">
        <v>16</v>
      </c>
      <c r="N1830" s="1" t="s">
        <v>16</v>
      </c>
      <c r="O1830" s="1" t="s">
        <v>16</v>
      </c>
      <c r="P1830" s="1" t="s">
        <v>16</v>
      </c>
    </row>
    <row r="1831" spans="1:19" ht="12.5" x14ac:dyDescent="0.25">
      <c r="A1831" s="1" t="s">
        <v>16</v>
      </c>
      <c r="B1831" s="1" t="s">
        <v>16</v>
      </c>
      <c r="C1831" s="1" t="s">
        <v>16</v>
      </c>
      <c r="D1831" s="1" t="s">
        <v>16</v>
      </c>
      <c r="E1831" s="1">
        <v>1771</v>
      </c>
      <c r="F1831" s="1" t="s">
        <v>6043</v>
      </c>
      <c r="G1831" s="1" t="s">
        <v>6044</v>
      </c>
      <c r="H1831" s="1" t="s">
        <v>16</v>
      </c>
      <c r="I1831" s="1" t="s">
        <v>20</v>
      </c>
      <c r="J1831" s="1" t="s">
        <v>6045</v>
      </c>
      <c r="K1831" s="1" t="b">
        <v>0</v>
      </c>
      <c r="L1831" s="1" t="s">
        <v>22</v>
      </c>
      <c r="M1831" s="1" t="s">
        <v>16</v>
      </c>
      <c r="N1831" s="1" t="s">
        <v>16</v>
      </c>
      <c r="O1831" s="1" t="s">
        <v>16</v>
      </c>
      <c r="P1831" s="1" t="s">
        <v>16</v>
      </c>
    </row>
    <row r="1832" spans="1:19" ht="12.5" x14ac:dyDescent="0.25">
      <c r="A1832" s="1" t="s">
        <v>16</v>
      </c>
      <c r="B1832" s="1" t="s">
        <v>16</v>
      </c>
      <c r="C1832" s="1" t="s">
        <v>16</v>
      </c>
      <c r="D1832" s="1" t="s">
        <v>16</v>
      </c>
      <c r="E1832" s="1">
        <v>1772</v>
      </c>
      <c r="F1832" s="1" t="s">
        <v>6046</v>
      </c>
      <c r="G1832" s="1" t="s">
        <v>6047</v>
      </c>
      <c r="H1832" s="1" t="s">
        <v>16</v>
      </c>
      <c r="I1832" s="1" t="s">
        <v>20</v>
      </c>
      <c r="J1832" s="1" t="s">
        <v>6048</v>
      </c>
      <c r="K1832" s="1" t="b">
        <v>0</v>
      </c>
      <c r="L1832" s="1" t="s">
        <v>22</v>
      </c>
      <c r="M1832" s="1" t="s">
        <v>16</v>
      </c>
      <c r="N1832" s="1" t="s">
        <v>16</v>
      </c>
      <c r="O1832" s="1" t="s">
        <v>16</v>
      </c>
      <c r="P1832" s="1" t="s">
        <v>16</v>
      </c>
    </row>
    <row r="1833" spans="1:19" ht="12.5" x14ac:dyDescent="0.25">
      <c r="A1833" s="1" t="s">
        <v>16</v>
      </c>
      <c r="B1833" s="1" t="s">
        <v>16</v>
      </c>
      <c r="C1833" s="1" t="s">
        <v>16</v>
      </c>
      <c r="D1833" s="1" t="s">
        <v>16</v>
      </c>
      <c r="E1833" s="1">
        <v>1773</v>
      </c>
      <c r="F1833" s="1" t="s">
        <v>6049</v>
      </c>
      <c r="G1833" s="1" t="s">
        <v>6050</v>
      </c>
      <c r="H1833" s="1" t="s">
        <v>16</v>
      </c>
      <c r="I1833" s="1" t="s">
        <v>20</v>
      </c>
      <c r="J1833" s="1" t="s">
        <v>6051</v>
      </c>
      <c r="K1833" s="1" t="b">
        <v>0</v>
      </c>
      <c r="L1833" s="1" t="s">
        <v>22</v>
      </c>
      <c r="M1833" s="1" t="s">
        <v>16</v>
      </c>
      <c r="N1833" s="1" t="s">
        <v>16</v>
      </c>
      <c r="O1833" s="1" t="s">
        <v>16</v>
      </c>
      <c r="P1833" s="1" t="s">
        <v>16</v>
      </c>
    </row>
    <row r="1834" spans="1:19" ht="12.5" x14ac:dyDescent="0.25">
      <c r="A1834" s="1" t="s">
        <v>16</v>
      </c>
      <c r="B1834" s="1" t="s">
        <v>16</v>
      </c>
      <c r="C1834" s="1" t="s">
        <v>16</v>
      </c>
      <c r="D1834" s="1" t="s">
        <v>16</v>
      </c>
      <c r="E1834" s="1">
        <v>1774</v>
      </c>
      <c r="F1834" s="1" t="s">
        <v>6052</v>
      </c>
      <c r="G1834" s="1" t="s">
        <v>6053</v>
      </c>
      <c r="H1834" s="1" t="s">
        <v>16</v>
      </c>
      <c r="I1834" s="1" t="s">
        <v>20</v>
      </c>
      <c r="J1834" s="1" t="s">
        <v>6054</v>
      </c>
      <c r="K1834" s="1" t="b">
        <v>0</v>
      </c>
      <c r="L1834" s="1" t="s">
        <v>22</v>
      </c>
      <c r="M1834" s="1" t="s">
        <v>16</v>
      </c>
      <c r="N1834" s="1" t="s">
        <v>16</v>
      </c>
      <c r="O1834" s="1" t="s">
        <v>16</v>
      </c>
      <c r="P1834" s="1" t="s">
        <v>16</v>
      </c>
    </row>
    <row r="1835" spans="1:19" ht="12.5" x14ac:dyDescent="0.25">
      <c r="A1835" s="1" t="s">
        <v>16</v>
      </c>
      <c r="B1835" s="1" t="s">
        <v>16</v>
      </c>
      <c r="C1835" s="1" t="s">
        <v>16</v>
      </c>
      <c r="D1835" s="1" t="s">
        <v>16</v>
      </c>
      <c r="E1835" s="1">
        <v>1775</v>
      </c>
      <c r="F1835" s="1" t="s">
        <v>6055</v>
      </c>
      <c r="G1835" s="1" t="s">
        <v>6056</v>
      </c>
      <c r="H1835" s="1" t="s">
        <v>16</v>
      </c>
      <c r="I1835" s="1" t="s">
        <v>20</v>
      </c>
      <c r="J1835" s="1" t="s">
        <v>6057</v>
      </c>
      <c r="K1835" s="1" t="b">
        <v>0</v>
      </c>
      <c r="L1835" s="1" t="s">
        <v>22</v>
      </c>
      <c r="M1835" s="1" t="s">
        <v>16</v>
      </c>
      <c r="N1835" s="1" t="s">
        <v>16</v>
      </c>
      <c r="O1835" s="1" t="s">
        <v>16</v>
      </c>
      <c r="P1835" s="1" t="s">
        <v>16</v>
      </c>
    </row>
    <row r="1836" spans="1:19" ht="12.5" x14ac:dyDescent="0.25">
      <c r="A1836" s="1" t="s">
        <v>16</v>
      </c>
      <c r="B1836" s="1" t="s">
        <v>16</v>
      </c>
      <c r="C1836" s="1" t="s">
        <v>16</v>
      </c>
      <c r="D1836" s="1" t="s">
        <v>16</v>
      </c>
      <c r="E1836" s="1">
        <v>1802</v>
      </c>
      <c r="F1836" s="1" t="s">
        <v>6058</v>
      </c>
      <c r="G1836" s="1" t="s">
        <v>6059</v>
      </c>
      <c r="H1836" s="1" t="s">
        <v>16</v>
      </c>
      <c r="I1836" s="1" t="s">
        <v>20</v>
      </c>
      <c r="J1836" s="1" t="s">
        <v>6060</v>
      </c>
      <c r="K1836" s="1" t="b">
        <v>0</v>
      </c>
      <c r="L1836" s="1" t="s">
        <v>22</v>
      </c>
      <c r="M1836" s="1" t="s">
        <v>16</v>
      </c>
      <c r="N1836" s="1" t="s">
        <v>16</v>
      </c>
      <c r="O1836" s="1" t="s">
        <v>16</v>
      </c>
      <c r="P1836" s="1" t="s">
        <v>16</v>
      </c>
    </row>
    <row r="1837" spans="1:19" ht="12.5" x14ac:dyDescent="0.25">
      <c r="A1837" s="1">
        <v>2152</v>
      </c>
      <c r="B1837" s="1" t="s">
        <v>6061</v>
      </c>
      <c r="C1837" s="1" t="s">
        <v>15</v>
      </c>
      <c r="D1837" s="1" t="s">
        <v>15</v>
      </c>
      <c r="E1837" s="1">
        <v>1803</v>
      </c>
      <c r="F1837" s="1" t="s">
        <v>6062</v>
      </c>
      <c r="G1837" s="1" t="s">
        <v>6063</v>
      </c>
      <c r="H1837" s="1" t="s">
        <v>16</v>
      </c>
      <c r="I1837" s="1" t="s">
        <v>29</v>
      </c>
      <c r="J1837" s="1" t="s">
        <v>6064</v>
      </c>
      <c r="K1837" s="1" t="b">
        <v>1</v>
      </c>
      <c r="L1837" s="1" t="s">
        <v>31</v>
      </c>
      <c r="M1837" s="1">
        <v>2021</v>
      </c>
      <c r="N1837" s="1" t="s">
        <v>52</v>
      </c>
      <c r="O1837" s="1" t="s">
        <v>9935</v>
      </c>
      <c r="P1837" s="1" t="s">
        <v>9953</v>
      </c>
      <c r="Q1837" s="1">
        <v>100</v>
      </c>
      <c r="R1837" s="1">
        <v>39432.300000000003</v>
      </c>
      <c r="S1837" s="1">
        <v>39432.300000000003</v>
      </c>
    </row>
    <row r="1838" spans="1:19" ht="12.5" x14ac:dyDescent="0.25">
      <c r="A1838" s="1" t="s">
        <v>16</v>
      </c>
      <c r="B1838" s="1" t="s">
        <v>16</v>
      </c>
      <c r="C1838" s="1" t="s">
        <v>16</v>
      </c>
      <c r="D1838" s="1" t="s">
        <v>16</v>
      </c>
      <c r="E1838" s="1">
        <v>1804</v>
      </c>
      <c r="F1838" s="1" t="s">
        <v>6065</v>
      </c>
      <c r="G1838" s="1" t="s">
        <v>6066</v>
      </c>
      <c r="H1838" s="1" t="s">
        <v>16</v>
      </c>
      <c r="I1838" s="1" t="s">
        <v>20</v>
      </c>
      <c r="J1838" s="1" t="s">
        <v>6067</v>
      </c>
      <c r="K1838" s="1" t="b">
        <v>0</v>
      </c>
      <c r="L1838" s="1" t="s">
        <v>22</v>
      </c>
      <c r="M1838" s="1" t="s">
        <v>16</v>
      </c>
      <c r="N1838" s="1" t="s">
        <v>16</v>
      </c>
      <c r="O1838" s="1" t="s">
        <v>16</v>
      </c>
      <c r="P1838" s="1" t="s">
        <v>16</v>
      </c>
    </row>
    <row r="1839" spans="1:19" ht="12.5" x14ac:dyDescent="0.25">
      <c r="A1839" s="1" t="s">
        <v>16</v>
      </c>
      <c r="B1839" s="1" t="s">
        <v>16</v>
      </c>
      <c r="C1839" s="1" t="s">
        <v>16</v>
      </c>
      <c r="D1839" s="1" t="s">
        <v>16</v>
      </c>
      <c r="E1839" s="1">
        <v>1805</v>
      </c>
      <c r="F1839" s="1" t="s">
        <v>6068</v>
      </c>
      <c r="G1839" s="1" t="s">
        <v>6069</v>
      </c>
      <c r="H1839" s="1" t="s">
        <v>16</v>
      </c>
      <c r="I1839" s="1" t="s">
        <v>20</v>
      </c>
      <c r="J1839" s="1" t="s">
        <v>6070</v>
      </c>
      <c r="K1839" s="1" t="b">
        <v>0</v>
      </c>
      <c r="L1839" s="1" t="s">
        <v>22</v>
      </c>
      <c r="M1839" s="1" t="s">
        <v>16</v>
      </c>
      <c r="N1839" s="1" t="s">
        <v>16</v>
      </c>
      <c r="O1839" s="1" t="s">
        <v>16</v>
      </c>
      <c r="P1839" s="1" t="s">
        <v>16</v>
      </c>
    </row>
    <row r="1840" spans="1:19" ht="12.5" x14ac:dyDescent="0.25">
      <c r="A1840" s="1">
        <v>500</v>
      </c>
      <c r="B1840" s="1" t="s">
        <v>5574</v>
      </c>
      <c r="C1840" s="1" t="s">
        <v>35</v>
      </c>
      <c r="D1840" s="1" t="s">
        <v>36</v>
      </c>
      <c r="E1840" s="1">
        <v>1806</v>
      </c>
      <c r="F1840" s="1" t="s">
        <v>6071</v>
      </c>
      <c r="G1840" s="1" t="s">
        <v>6072</v>
      </c>
      <c r="H1840" s="1" t="s">
        <v>6073</v>
      </c>
      <c r="I1840" s="1" t="s">
        <v>29</v>
      </c>
      <c r="J1840" s="1" t="s">
        <v>6074</v>
      </c>
      <c r="K1840" s="1" t="b">
        <v>0</v>
      </c>
      <c r="L1840" s="1" t="s">
        <v>22</v>
      </c>
      <c r="M1840" s="1">
        <v>2021</v>
      </c>
      <c r="N1840" s="1" t="s">
        <v>32</v>
      </c>
      <c r="O1840" s="1" t="s">
        <v>9956</v>
      </c>
      <c r="P1840" s="1" t="s">
        <v>16</v>
      </c>
      <c r="Q1840" s="1">
        <v>100</v>
      </c>
      <c r="R1840" s="1">
        <v>1200</v>
      </c>
      <c r="S1840" s="1">
        <v>1200</v>
      </c>
    </row>
    <row r="1841" spans="1:19" ht="12.5" x14ac:dyDescent="0.25">
      <c r="A1841" s="1" t="s">
        <v>16</v>
      </c>
      <c r="B1841" s="1" t="s">
        <v>16</v>
      </c>
      <c r="C1841" s="1" t="s">
        <v>16</v>
      </c>
      <c r="D1841" s="1" t="s">
        <v>16</v>
      </c>
      <c r="E1841" s="1">
        <v>1807</v>
      </c>
      <c r="F1841" s="1" t="s">
        <v>6075</v>
      </c>
      <c r="G1841" s="1" t="s">
        <v>6076</v>
      </c>
      <c r="H1841" s="1" t="s">
        <v>16</v>
      </c>
      <c r="I1841" s="1" t="s">
        <v>20</v>
      </c>
      <c r="J1841" s="1" t="s">
        <v>6077</v>
      </c>
      <c r="K1841" s="1" t="b">
        <v>0</v>
      </c>
      <c r="L1841" s="1" t="s">
        <v>22</v>
      </c>
      <c r="M1841" s="1" t="s">
        <v>16</v>
      </c>
      <c r="N1841" s="1" t="s">
        <v>16</v>
      </c>
      <c r="O1841" s="1" t="s">
        <v>16</v>
      </c>
      <c r="P1841" s="1" t="s">
        <v>16</v>
      </c>
    </row>
    <row r="1842" spans="1:19" ht="12.5" x14ac:dyDescent="0.25">
      <c r="A1842" s="1" t="s">
        <v>16</v>
      </c>
      <c r="B1842" s="1" t="s">
        <v>16</v>
      </c>
      <c r="C1842" s="1" t="s">
        <v>16</v>
      </c>
      <c r="D1842" s="1" t="s">
        <v>16</v>
      </c>
      <c r="E1842" s="1">
        <v>1808</v>
      </c>
      <c r="F1842" s="1" t="s">
        <v>6078</v>
      </c>
      <c r="G1842" s="1" t="s">
        <v>6079</v>
      </c>
      <c r="H1842" s="1" t="s">
        <v>16</v>
      </c>
      <c r="I1842" s="1" t="s">
        <v>20</v>
      </c>
      <c r="J1842" s="1" t="s">
        <v>6080</v>
      </c>
      <c r="K1842" s="1" t="b">
        <v>0</v>
      </c>
      <c r="L1842" s="1" t="s">
        <v>22</v>
      </c>
      <c r="M1842" s="1" t="s">
        <v>16</v>
      </c>
      <c r="N1842" s="1" t="s">
        <v>16</v>
      </c>
      <c r="O1842" s="1" t="s">
        <v>16</v>
      </c>
      <c r="P1842" s="1" t="s">
        <v>16</v>
      </c>
    </row>
    <row r="1843" spans="1:19" ht="12.5" x14ac:dyDescent="0.25">
      <c r="A1843" s="1">
        <v>954</v>
      </c>
      <c r="B1843" s="1" t="s">
        <v>3367</v>
      </c>
      <c r="C1843" s="1" t="s">
        <v>35</v>
      </c>
      <c r="D1843" s="1" t="s">
        <v>152</v>
      </c>
      <c r="E1843" s="1">
        <v>1809</v>
      </c>
      <c r="F1843" s="1" t="s">
        <v>6081</v>
      </c>
      <c r="G1843" s="1" t="s">
        <v>6082</v>
      </c>
      <c r="H1843" s="1" t="s">
        <v>3132</v>
      </c>
      <c r="I1843" s="1" t="s">
        <v>29</v>
      </c>
      <c r="J1843" s="1" t="s">
        <v>16</v>
      </c>
      <c r="K1843" s="1" t="b">
        <v>0</v>
      </c>
      <c r="L1843" s="1" t="s">
        <v>22</v>
      </c>
      <c r="M1843" s="1" t="s">
        <v>16</v>
      </c>
      <c r="N1843" s="1" t="s">
        <v>16</v>
      </c>
      <c r="O1843" s="1" t="s">
        <v>16</v>
      </c>
      <c r="P1843" s="1" t="s">
        <v>16</v>
      </c>
      <c r="Q1843" s="1">
        <v>100</v>
      </c>
    </row>
    <row r="1844" spans="1:19" ht="12.5" x14ac:dyDescent="0.25">
      <c r="A1844" s="1">
        <v>2511</v>
      </c>
      <c r="B1844" s="1" t="s">
        <v>6083</v>
      </c>
      <c r="C1844" s="1" t="s">
        <v>38</v>
      </c>
      <c r="D1844" s="1" t="s">
        <v>39</v>
      </c>
      <c r="E1844" s="1">
        <v>1810</v>
      </c>
      <c r="F1844" s="1" t="s">
        <v>6084</v>
      </c>
      <c r="G1844" s="1" t="s">
        <v>6085</v>
      </c>
      <c r="H1844" s="1" t="s">
        <v>16</v>
      </c>
      <c r="I1844" s="1" t="s">
        <v>20</v>
      </c>
      <c r="J1844" s="1" t="s">
        <v>6086</v>
      </c>
      <c r="K1844" s="1" t="b">
        <v>0</v>
      </c>
      <c r="L1844" s="1" t="s">
        <v>22</v>
      </c>
      <c r="M1844" s="1" t="s">
        <v>16</v>
      </c>
      <c r="N1844" s="1" t="s">
        <v>16</v>
      </c>
      <c r="O1844" s="1" t="s">
        <v>16</v>
      </c>
      <c r="P1844" s="1" t="s">
        <v>16</v>
      </c>
      <c r="Q1844" s="1">
        <v>0</v>
      </c>
    </row>
    <row r="1845" spans="1:19" ht="12.5" x14ac:dyDescent="0.25">
      <c r="A1845" s="1" t="s">
        <v>16</v>
      </c>
      <c r="B1845" s="1" t="s">
        <v>16</v>
      </c>
      <c r="C1845" s="1" t="s">
        <v>16</v>
      </c>
      <c r="D1845" s="1" t="s">
        <v>16</v>
      </c>
      <c r="E1845" s="1">
        <v>1811</v>
      </c>
      <c r="F1845" s="1" t="s">
        <v>6087</v>
      </c>
      <c r="G1845" s="1" t="s">
        <v>6088</v>
      </c>
      <c r="H1845" s="1" t="s">
        <v>16</v>
      </c>
      <c r="I1845" s="1" t="s">
        <v>20</v>
      </c>
      <c r="J1845" s="1" t="s">
        <v>6089</v>
      </c>
      <c r="K1845" s="1" t="b">
        <v>0</v>
      </c>
      <c r="L1845" s="1" t="s">
        <v>22</v>
      </c>
      <c r="M1845" s="1" t="s">
        <v>16</v>
      </c>
      <c r="N1845" s="1" t="s">
        <v>16</v>
      </c>
      <c r="O1845" s="1" t="s">
        <v>16</v>
      </c>
      <c r="P1845" s="1" t="s">
        <v>16</v>
      </c>
    </row>
    <row r="1846" spans="1:19" ht="12.5" x14ac:dyDescent="0.25">
      <c r="A1846" s="1" t="s">
        <v>16</v>
      </c>
      <c r="B1846" s="1" t="s">
        <v>16</v>
      </c>
      <c r="C1846" s="1" t="s">
        <v>16</v>
      </c>
      <c r="D1846" s="1" t="s">
        <v>16</v>
      </c>
      <c r="E1846" s="1">
        <v>1812</v>
      </c>
      <c r="F1846" s="1" t="s">
        <v>6090</v>
      </c>
      <c r="G1846" s="1" t="s">
        <v>6091</v>
      </c>
      <c r="H1846" s="1" t="s">
        <v>16</v>
      </c>
      <c r="I1846" s="1" t="s">
        <v>20</v>
      </c>
      <c r="J1846" s="1" t="s">
        <v>6092</v>
      </c>
      <c r="K1846" s="1" t="b">
        <v>0</v>
      </c>
      <c r="L1846" s="1" t="s">
        <v>22</v>
      </c>
      <c r="M1846" s="1" t="s">
        <v>16</v>
      </c>
      <c r="N1846" s="1" t="s">
        <v>16</v>
      </c>
      <c r="O1846" s="1" t="s">
        <v>16</v>
      </c>
      <c r="P1846" s="1" t="s">
        <v>16</v>
      </c>
    </row>
    <row r="1847" spans="1:19" ht="12.5" x14ac:dyDescent="0.25">
      <c r="A1847" s="1" t="s">
        <v>16</v>
      </c>
      <c r="B1847" s="1" t="s">
        <v>16</v>
      </c>
      <c r="C1847" s="1" t="s">
        <v>16</v>
      </c>
      <c r="D1847" s="1" t="s">
        <v>16</v>
      </c>
      <c r="E1847" s="1">
        <v>1813</v>
      </c>
      <c r="F1847" s="1" t="s">
        <v>6093</v>
      </c>
      <c r="G1847" s="1" t="s">
        <v>6094</v>
      </c>
      <c r="H1847" s="1" t="s">
        <v>16</v>
      </c>
      <c r="I1847" s="1" t="s">
        <v>20</v>
      </c>
      <c r="J1847" s="1" t="s">
        <v>6095</v>
      </c>
      <c r="K1847" s="1" t="b">
        <v>0</v>
      </c>
      <c r="L1847" s="1" t="s">
        <v>22</v>
      </c>
      <c r="M1847" s="1" t="s">
        <v>16</v>
      </c>
      <c r="N1847" s="1" t="s">
        <v>16</v>
      </c>
      <c r="O1847" s="1" t="s">
        <v>16</v>
      </c>
      <c r="P1847" s="1" t="s">
        <v>16</v>
      </c>
    </row>
    <row r="1848" spans="1:19" ht="12.5" x14ac:dyDescent="0.25">
      <c r="A1848" s="1" t="s">
        <v>16</v>
      </c>
      <c r="B1848" s="1" t="s">
        <v>16</v>
      </c>
      <c r="C1848" s="1" t="s">
        <v>16</v>
      </c>
      <c r="D1848" s="1" t="s">
        <v>16</v>
      </c>
      <c r="E1848" s="1">
        <v>1814</v>
      </c>
      <c r="F1848" s="1" t="s">
        <v>6096</v>
      </c>
      <c r="G1848" s="1" t="s">
        <v>6097</v>
      </c>
      <c r="H1848" s="1" t="s">
        <v>16</v>
      </c>
      <c r="I1848" s="1" t="s">
        <v>20</v>
      </c>
      <c r="J1848" s="1" t="s">
        <v>6098</v>
      </c>
      <c r="K1848" s="1" t="b">
        <v>0</v>
      </c>
      <c r="L1848" s="1" t="s">
        <v>22</v>
      </c>
      <c r="M1848" s="1" t="s">
        <v>16</v>
      </c>
      <c r="N1848" s="1" t="s">
        <v>16</v>
      </c>
      <c r="O1848" s="1" t="s">
        <v>16</v>
      </c>
      <c r="P1848" s="1" t="s">
        <v>16</v>
      </c>
    </row>
    <row r="1849" spans="1:19" ht="12.5" x14ac:dyDescent="0.25">
      <c r="A1849" s="1" t="s">
        <v>16</v>
      </c>
      <c r="B1849" s="1" t="s">
        <v>16</v>
      </c>
      <c r="C1849" s="1" t="s">
        <v>16</v>
      </c>
      <c r="D1849" s="1" t="s">
        <v>16</v>
      </c>
      <c r="E1849" s="1">
        <v>1815</v>
      </c>
      <c r="F1849" s="1" t="s">
        <v>6099</v>
      </c>
      <c r="G1849" s="1" t="s">
        <v>6100</v>
      </c>
      <c r="H1849" s="1" t="s">
        <v>16</v>
      </c>
      <c r="I1849" s="1" t="s">
        <v>20</v>
      </c>
      <c r="J1849" s="1" t="s">
        <v>6101</v>
      </c>
      <c r="K1849" s="1" t="b">
        <v>0</v>
      </c>
      <c r="L1849" s="1" t="s">
        <v>22</v>
      </c>
      <c r="M1849" s="1" t="s">
        <v>16</v>
      </c>
      <c r="N1849" s="1" t="s">
        <v>16</v>
      </c>
      <c r="O1849" s="1" t="s">
        <v>16</v>
      </c>
      <c r="P1849" s="1" t="s">
        <v>16</v>
      </c>
    </row>
    <row r="1850" spans="1:19" ht="12.5" x14ac:dyDescent="0.25">
      <c r="A1850" s="1" t="s">
        <v>16</v>
      </c>
      <c r="B1850" s="1" t="s">
        <v>16</v>
      </c>
      <c r="C1850" s="1" t="s">
        <v>16</v>
      </c>
      <c r="D1850" s="1" t="s">
        <v>16</v>
      </c>
      <c r="E1850" s="1">
        <v>1816</v>
      </c>
      <c r="F1850" s="1" t="s">
        <v>6102</v>
      </c>
      <c r="G1850" s="1" t="s">
        <v>6103</v>
      </c>
      <c r="H1850" s="1" t="s">
        <v>16</v>
      </c>
      <c r="I1850" s="1" t="s">
        <v>20</v>
      </c>
      <c r="J1850" s="1" t="s">
        <v>6104</v>
      </c>
      <c r="K1850" s="1" t="b">
        <v>0</v>
      </c>
      <c r="L1850" s="1" t="s">
        <v>22</v>
      </c>
      <c r="M1850" s="1" t="s">
        <v>16</v>
      </c>
      <c r="N1850" s="1" t="s">
        <v>16</v>
      </c>
      <c r="O1850" s="1" t="s">
        <v>16</v>
      </c>
      <c r="P1850" s="1" t="s">
        <v>16</v>
      </c>
    </row>
    <row r="1851" spans="1:19" ht="12.5" x14ac:dyDescent="0.25">
      <c r="A1851" s="1" t="s">
        <v>16</v>
      </c>
      <c r="B1851" s="1" t="s">
        <v>16</v>
      </c>
      <c r="C1851" s="1" t="s">
        <v>16</v>
      </c>
      <c r="D1851" s="1" t="s">
        <v>16</v>
      </c>
      <c r="E1851" s="1">
        <v>1817</v>
      </c>
      <c r="F1851" s="1" t="s">
        <v>6105</v>
      </c>
      <c r="G1851" s="1" t="s">
        <v>6106</v>
      </c>
      <c r="H1851" s="1" t="s">
        <v>16</v>
      </c>
      <c r="I1851" s="1" t="s">
        <v>20</v>
      </c>
      <c r="J1851" s="1" t="s">
        <v>6107</v>
      </c>
      <c r="K1851" s="1" t="b">
        <v>0</v>
      </c>
      <c r="L1851" s="1" t="s">
        <v>22</v>
      </c>
      <c r="M1851" s="1" t="s">
        <v>16</v>
      </c>
      <c r="N1851" s="1" t="s">
        <v>16</v>
      </c>
      <c r="O1851" s="1" t="s">
        <v>16</v>
      </c>
      <c r="P1851" s="1" t="s">
        <v>16</v>
      </c>
    </row>
    <row r="1852" spans="1:19" ht="12.5" x14ac:dyDescent="0.25">
      <c r="A1852" s="1">
        <v>911</v>
      </c>
      <c r="B1852" s="1" t="s">
        <v>6108</v>
      </c>
      <c r="C1852" s="1" t="s">
        <v>35</v>
      </c>
      <c r="D1852" s="1" t="s">
        <v>152</v>
      </c>
      <c r="E1852" s="1">
        <v>1818</v>
      </c>
      <c r="F1852" s="1" t="s">
        <v>6110</v>
      </c>
      <c r="G1852" s="1" t="s">
        <v>6111</v>
      </c>
      <c r="H1852" s="1" t="s">
        <v>3132</v>
      </c>
      <c r="I1852" s="1" t="s">
        <v>29</v>
      </c>
      <c r="J1852" s="1" t="s">
        <v>6112</v>
      </c>
      <c r="K1852" s="1" t="b">
        <v>0</v>
      </c>
      <c r="L1852" s="1" t="s">
        <v>22</v>
      </c>
      <c r="M1852" s="1">
        <v>2022</v>
      </c>
      <c r="N1852" s="1" t="s">
        <v>52</v>
      </c>
      <c r="O1852" s="1" t="s">
        <v>9935</v>
      </c>
      <c r="P1852" s="1" t="s">
        <v>16</v>
      </c>
      <c r="Q1852" s="1">
        <v>100</v>
      </c>
      <c r="R1852" s="1">
        <v>50000</v>
      </c>
      <c r="S1852" s="1">
        <v>50000</v>
      </c>
    </row>
    <row r="1853" spans="1:19" ht="12.5" x14ac:dyDescent="0.25">
      <c r="A1853" s="1">
        <v>1389</v>
      </c>
      <c r="B1853" s="1" t="s">
        <v>6113</v>
      </c>
      <c r="C1853" s="1" t="s">
        <v>35</v>
      </c>
      <c r="D1853" s="1" t="s">
        <v>152</v>
      </c>
      <c r="E1853" s="1">
        <v>1819</v>
      </c>
      <c r="F1853" s="1" t="s">
        <v>6115</v>
      </c>
      <c r="G1853" s="1" t="s">
        <v>6116</v>
      </c>
      <c r="H1853" s="1" t="s">
        <v>3132</v>
      </c>
      <c r="I1853" s="1" t="s">
        <v>29</v>
      </c>
      <c r="J1853" s="1" t="s">
        <v>6117</v>
      </c>
      <c r="K1853" s="1" t="b">
        <v>1</v>
      </c>
      <c r="L1853" s="1" t="s">
        <v>31</v>
      </c>
      <c r="M1853" s="1">
        <v>2022</v>
      </c>
      <c r="N1853" s="1" t="s">
        <v>52</v>
      </c>
      <c r="O1853" s="1" t="s">
        <v>9935</v>
      </c>
      <c r="P1853" s="1" t="s">
        <v>16</v>
      </c>
      <c r="Q1853" s="1">
        <v>100</v>
      </c>
      <c r="R1853" s="1">
        <v>25000</v>
      </c>
      <c r="S1853" s="1">
        <v>25000</v>
      </c>
    </row>
    <row r="1854" spans="1:19" ht="12.5" x14ac:dyDescent="0.25">
      <c r="A1854" s="1">
        <v>2153</v>
      </c>
      <c r="B1854" s="1" t="s">
        <v>6118</v>
      </c>
      <c r="C1854" s="1" t="s">
        <v>15</v>
      </c>
      <c r="D1854" s="1" t="s">
        <v>15</v>
      </c>
      <c r="E1854" s="1">
        <v>1820</v>
      </c>
      <c r="F1854" s="1" t="s">
        <v>6119</v>
      </c>
      <c r="G1854" s="1" t="s">
        <v>6120</v>
      </c>
      <c r="H1854" s="1" t="s">
        <v>6121</v>
      </c>
      <c r="I1854" s="1" t="s">
        <v>29</v>
      </c>
      <c r="J1854" s="1" t="s">
        <v>6122</v>
      </c>
      <c r="K1854" s="1" t="b">
        <v>1</v>
      </c>
      <c r="L1854" s="1" t="s">
        <v>31</v>
      </c>
      <c r="M1854" s="1">
        <v>2021</v>
      </c>
      <c r="N1854" s="1" t="s">
        <v>52</v>
      </c>
      <c r="O1854" s="1" t="s">
        <v>9935</v>
      </c>
      <c r="P1854" s="1" t="s">
        <v>9953</v>
      </c>
      <c r="Q1854" s="1">
        <v>100</v>
      </c>
      <c r="R1854" s="1">
        <v>120180.68</v>
      </c>
      <c r="S1854" s="1">
        <v>120180.68</v>
      </c>
    </row>
    <row r="1855" spans="1:19" ht="12.5" x14ac:dyDescent="0.25">
      <c r="A1855" s="1" t="s">
        <v>16</v>
      </c>
      <c r="B1855" s="1" t="s">
        <v>16</v>
      </c>
      <c r="C1855" s="1" t="s">
        <v>16</v>
      </c>
      <c r="D1855" s="1" t="s">
        <v>16</v>
      </c>
      <c r="E1855" s="1">
        <v>1821</v>
      </c>
      <c r="F1855" s="1" t="s">
        <v>6123</v>
      </c>
      <c r="G1855" s="1" t="s">
        <v>6124</v>
      </c>
      <c r="H1855" s="1" t="s">
        <v>16</v>
      </c>
      <c r="I1855" s="1" t="s">
        <v>20</v>
      </c>
      <c r="J1855" s="1" t="s">
        <v>6125</v>
      </c>
      <c r="K1855" s="1" t="b">
        <v>0</v>
      </c>
      <c r="L1855" s="1" t="s">
        <v>22</v>
      </c>
      <c r="M1855" s="1" t="s">
        <v>16</v>
      </c>
      <c r="N1855" s="1" t="s">
        <v>16</v>
      </c>
      <c r="O1855" s="1" t="s">
        <v>16</v>
      </c>
      <c r="P1855" s="1" t="s">
        <v>16</v>
      </c>
    </row>
    <row r="1856" spans="1:19" ht="12.5" x14ac:dyDescent="0.25">
      <c r="A1856" s="1" t="s">
        <v>16</v>
      </c>
      <c r="B1856" s="1" t="s">
        <v>16</v>
      </c>
      <c r="C1856" s="1" t="s">
        <v>16</v>
      </c>
      <c r="D1856" s="1" t="s">
        <v>16</v>
      </c>
      <c r="E1856" s="1">
        <v>1822</v>
      </c>
      <c r="F1856" s="1" t="s">
        <v>6126</v>
      </c>
      <c r="G1856" s="1" t="s">
        <v>6127</v>
      </c>
      <c r="H1856" s="1" t="s">
        <v>16</v>
      </c>
      <c r="I1856" s="1" t="s">
        <v>20</v>
      </c>
      <c r="J1856" s="1" t="s">
        <v>6128</v>
      </c>
      <c r="K1856" s="1" t="b">
        <v>0</v>
      </c>
      <c r="L1856" s="1" t="s">
        <v>22</v>
      </c>
      <c r="M1856" s="1" t="s">
        <v>16</v>
      </c>
      <c r="N1856" s="1" t="s">
        <v>16</v>
      </c>
      <c r="O1856" s="1" t="s">
        <v>16</v>
      </c>
      <c r="P1856" s="1" t="s">
        <v>16</v>
      </c>
    </row>
    <row r="1857" spans="1:19" ht="12.5" x14ac:dyDescent="0.25">
      <c r="A1857" s="1" t="s">
        <v>16</v>
      </c>
      <c r="B1857" s="1" t="s">
        <v>16</v>
      </c>
      <c r="C1857" s="1" t="s">
        <v>16</v>
      </c>
      <c r="D1857" s="1" t="s">
        <v>16</v>
      </c>
      <c r="E1857" s="1">
        <v>1823</v>
      </c>
      <c r="F1857" s="1" t="s">
        <v>6129</v>
      </c>
      <c r="G1857" s="1" t="s">
        <v>6130</v>
      </c>
      <c r="H1857" s="1" t="s">
        <v>16</v>
      </c>
      <c r="I1857" s="1" t="s">
        <v>20</v>
      </c>
      <c r="J1857" s="1" t="s">
        <v>6131</v>
      </c>
      <c r="K1857" s="1" t="b">
        <v>0</v>
      </c>
      <c r="L1857" s="1" t="s">
        <v>22</v>
      </c>
      <c r="M1857" s="1" t="s">
        <v>16</v>
      </c>
      <c r="N1857" s="1" t="s">
        <v>16</v>
      </c>
      <c r="O1857" s="1" t="s">
        <v>16</v>
      </c>
      <c r="P1857" s="1" t="s">
        <v>16</v>
      </c>
    </row>
    <row r="1858" spans="1:19" ht="12.5" x14ac:dyDescent="0.25">
      <c r="A1858" s="1" t="s">
        <v>16</v>
      </c>
      <c r="B1858" s="1" t="s">
        <v>16</v>
      </c>
      <c r="C1858" s="1" t="s">
        <v>16</v>
      </c>
      <c r="D1858" s="1" t="s">
        <v>16</v>
      </c>
      <c r="E1858" s="1">
        <v>1824</v>
      </c>
      <c r="F1858" s="1" t="s">
        <v>6132</v>
      </c>
      <c r="G1858" s="1" t="s">
        <v>6133</v>
      </c>
      <c r="H1858" s="1" t="s">
        <v>16</v>
      </c>
      <c r="I1858" s="1" t="s">
        <v>20</v>
      </c>
      <c r="J1858" s="1" t="s">
        <v>6134</v>
      </c>
      <c r="K1858" s="1" t="b">
        <v>0</v>
      </c>
      <c r="L1858" s="1" t="s">
        <v>22</v>
      </c>
      <c r="M1858" s="1" t="s">
        <v>16</v>
      </c>
      <c r="N1858" s="1" t="s">
        <v>16</v>
      </c>
      <c r="O1858" s="1" t="s">
        <v>16</v>
      </c>
      <c r="P1858" s="1" t="s">
        <v>16</v>
      </c>
    </row>
    <row r="1859" spans="1:19" ht="12.5" x14ac:dyDescent="0.25">
      <c r="A1859" s="1">
        <v>2154</v>
      </c>
      <c r="B1859" s="1" t="s">
        <v>6135</v>
      </c>
      <c r="C1859" s="1" t="s">
        <v>35</v>
      </c>
      <c r="D1859" s="1" t="s">
        <v>5409</v>
      </c>
      <c r="E1859" s="1">
        <v>1825</v>
      </c>
      <c r="F1859" s="1" t="s">
        <v>6136</v>
      </c>
      <c r="G1859" s="1" t="s">
        <v>6137</v>
      </c>
      <c r="H1859" s="1" t="s">
        <v>6138</v>
      </c>
      <c r="I1859" s="1" t="s">
        <v>29</v>
      </c>
      <c r="J1859" s="1" t="s">
        <v>6139</v>
      </c>
      <c r="K1859" s="1" t="b">
        <v>1</v>
      </c>
      <c r="L1859" s="1" t="s">
        <v>31</v>
      </c>
      <c r="M1859" s="1">
        <v>2022</v>
      </c>
      <c r="N1859" s="1" t="s">
        <v>32</v>
      </c>
      <c r="O1859" s="1" t="s">
        <v>9935</v>
      </c>
      <c r="P1859" s="1" t="s">
        <v>16</v>
      </c>
      <c r="Q1859" s="1">
        <v>100</v>
      </c>
      <c r="R1859" s="1">
        <v>10000</v>
      </c>
      <c r="S1859" s="1">
        <v>10000</v>
      </c>
    </row>
    <row r="1860" spans="1:19" ht="12.5" x14ac:dyDescent="0.25">
      <c r="A1860" s="1">
        <v>2155</v>
      </c>
      <c r="B1860" s="1" t="s">
        <v>6140</v>
      </c>
      <c r="C1860" s="1" t="s">
        <v>35</v>
      </c>
      <c r="D1860" s="1" t="s">
        <v>5409</v>
      </c>
      <c r="E1860" s="1">
        <v>1826</v>
      </c>
      <c r="F1860" s="1" t="s">
        <v>6141</v>
      </c>
      <c r="G1860" s="1" t="s">
        <v>6142</v>
      </c>
      <c r="H1860" s="1" t="s">
        <v>6143</v>
      </c>
      <c r="I1860" s="1" t="s">
        <v>29</v>
      </c>
      <c r="J1860" s="1" t="s">
        <v>6144</v>
      </c>
      <c r="K1860" s="1" t="b">
        <v>1</v>
      </c>
      <c r="L1860" s="1" t="s">
        <v>31</v>
      </c>
      <c r="M1860" s="1">
        <v>2022</v>
      </c>
      <c r="N1860" s="1" t="s">
        <v>32</v>
      </c>
      <c r="O1860" s="1" t="s">
        <v>9935</v>
      </c>
      <c r="P1860" s="1" t="s">
        <v>16</v>
      </c>
      <c r="Q1860" s="1">
        <v>100</v>
      </c>
      <c r="R1860" s="1">
        <v>80000</v>
      </c>
      <c r="S1860" s="1">
        <v>80000</v>
      </c>
    </row>
    <row r="1861" spans="1:19" ht="12.5" x14ac:dyDescent="0.25">
      <c r="A1861" s="1">
        <v>2156</v>
      </c>
      <c r="B1861" s="1" t="s">
        <v>6145</v>
      </c>
      <c r="C1861" s="1" t="s">
        <v>35</v>
      </c>
      <c r="D1861" s="1" t="s">
        <v>5409</v>
      </c>
      <c r="E1861" s="1">
        <v>1827</v>
      </c>
      <c r="F1861" s="1" t="s">
        <v>6146</v>
      </c>
      <c r="G1861" s="1" t="s">
        <v>6147</v>
      </c>
      <c r="H1861" s="1" t="s">
        <v>6148</v>
      </c>
      <c r="I1861" s="1" t="s">
        <v>29</v>
      </c>
      <c r="J1861" s="1" t="s">
        <v>6149</v>
      </c>
      <c r="K1861" s="1" t="b">
        <v>1</v>
      </c>
      <c r="L1861" s="1" t="s">
        <v>31</v>
      </c>
      <c r="M1861" s="1">
        <v>2022</v>
      </c>
      <c r="N1861" s="1" t="s">
        <v>32</v>
      </c>
      <c r="O1861" s="1" t="s">
        <v>9935</v>
      </c>
      <c r="P1861" s="1" t="s">
        <v>16</v>
      </c>
      <c r="Q1861" s="1">
        <v>100</v>
      </c>
      <c r="R1861" s="1">
        <v>15000</v>
      </c>
      <c r="S1861" s="1">
        <v>15000</v>
      </c>
    </row>
    <row r="1862" spans="1:19" ht="12.5" x14ac:dyDescent="0.25">
      <c r="A1862" s="1">
        <v>2157</v>
      </c>
      <c r="B1862" s="1" t="s">
        <v>6150</v>
      </c>
      <c r="C1862" s="1" t="s">
        <v>35</v>
      </c>
      <c r="D1862" s="1" t="s">
        <v>5409</v>
      </c>
      <c r="E1862" s="1">
        <v>1828</v>
      </c>
      <c r="F1862" s="1" t="s">
        <v>6151</v>
      </c>
      <c r="G1862" s="1" t="s">
        <v>6152</v>
      </c>
      <c r="H1862" s="1" t="s">
        <v>6153</v>
      </c>
      <c r="I1862" s="1" t="s">
        <v>29</v>
      </c>
      <c r="J1862" s="1" t="s">
        <v>6154</v>
      </c>
      <c r="K1862" s="1" t="b">
        <v>1</v>
      </c>
      <c r="L1862" s="1" t="s">
        <v>31</v>
      </c>
      <c r="M1862" s="1">
        <v>2022</v>
      </c>
      <c r="N1862" s="1" t="s">
        <v>32</v>
      </c>
      <c r="O1862" s="1" t="s">
        <v>9935</v>
      </c>
      <c r="P1862" s="1" t="s">
        <v>16</v>
      </c>
      <c r="Q1862" s="1">
        <v>100</v>
      </c>
      <c r="R1862" s="1">
        <v>12000</v>
      </c>
      <c r="S1862" s="1">
        <v>12000</v>
      </c>
    </row>
    <row r="1863" spans="1:19" ht="12.5" x14ac:dyDescent="0.25">
      <c r="A1863" s="1" t="s">
        <v>16</v>
      </c>
      <c r="B1863" s="1" t="s">
        <v>16</v>
      </c>
      <c r="C1863" s="1" t="s">
        <v>16</v>
      </c>
      <c r="D1863" s="1" t="s">
        <v>16</v>
      </c>
      <c r="E1863" s="1">
        <v>1829</v>
      </c>
      <c r="F1863" s="1" t="s">
        <v>6155</v>
      </c>
      <c r="G1863" s="1" t="s">
        <v>6156</v>
      </c>
      <c r="H1863" s="1" t="s">
        <v>16</v>
      </c>
      <c r="I1863" s="1" t="s">
        <v>20</v>
      </c>
      <c r="J1863" s="1" t="s">
        <v>6157</v>
      </c>
      <c r="K1863" s="1" t="b">
        <v>0</v>
      </c>
      <c r="L1863" s="1" t="s">
        <v>22</v>
      </c>
      <c r="M1863" s="1" t="s">
        <v>16</v>
      </c>
      <c r="N1863" s="1" t="s">
        <v>16</v>
      </c>
      <c r="O1863" s="1" t="s">
        <v>16</v>
      </c>
      <c r="P1863" s="1" t="s">
        <v>16</v>
      </c>
    </row>
    <row r="1864" spans="1:19" ht="12.5" x14ac:dyDescent="0.25">
      <c r="A1864" s="1">
        <v>2158</v>
      </c>
      <c r="B1864" s="1" t="s">
        <v>6158</v>
      </c>
      <c r="C1864" s="1" t="s">
        <v>35</v>
      </c>
      <c r="D1864" s="1" t="s">
        <v>5409</v>
      </c>
      <c r="E1864" s="1">
        <v>1830</v>
      </c>
      <c r="F1864" s="1" t="s">
        <v>6159</v>
      </c>
      <c r="G1864" s="1" t="s">
        <v>6160</v>
      </c>
      <c r="H1864" s="1" t="s">
        <v>6161</v>
      </c>
      <c r="I1864" s="1" t="s">
        <v>29</v>
      </c>
      <c r="J1864" s="1" t="s">
        <v>6162</v>
      </c>
      <c r="K1864" s="1" t="b">
        <v>1</v>
      </c>
      <c r="L1864" s="1" t="s">
        <v>31</v>
      </c>
      <c r="M1864" s="1">
        <v>2022</v>
      </c>
      <c r="N1864" s="1" t="s">
        <v>32</v>
      </c>
      <c r="O1864" s="1" t="s">
        <v>9935</v>
      </c>
      <c r="P1864" s="1" t="s">
        <v>16</v>
      </c>
      <c r="Q1864" s="1">
        <v>100</v>
      </c>
      <c r="R1864" s="1">
        <v>30000</v>
      </c>
      <c r="S1864" s="1">
        <v>30000</v>
      </c>
    </row>
    <row r="1865" spans="1:19" ht="12.5" x14ac:dyDescent="0.25">
      <c r="A1865" s="1">
        <v>1776</v>
      </c>
      <c r="B1865" s="1" t="s">
        <v>6163</v>
      </c>
      <c r="C1865" s="1" t="s">
        <v>35</v>
      </c>
      <c r="D1865" s="1" t="s">
        <v>5409</v>
      </c>
      <c r="E1865" s="1">
        <v>1831</v>
      </c>
      <c r="F1865" s="1" t="s">
        <v>6164</v>
      </c>
      <c r="G1865" s="1" t="s">
        <v>6165</v>
      </c>
      <c r="H1865" s="1" t="s">
        <v>6166</v>
      </c>
      <c r="I1865" s="1" t="s">
        <v>29</v>
      </c>
      <c r="J1865" s="1" t="s">
        <v>6167</v>
      </c>
      <c r="K1865" s="1" t="b">
        <v>0</v>
      </c>
      <c r="L1865" s="1" t="s">
        <v>22</v>
      </c>
      <c r="M1865" s="1">
        <v>2022</v>
      </c>
      <c r="N1865" s="1" t="s">
        <v>32</v>
      </c>
      <c r="O1865" s="1" t="s">
        <v>9935</v>
      </c>
      <c r="P1865" s="1" t="s">
        <v>16</v>
      </c>
      <c r="Q1865" s="1">
        <v>100</v>
      </c>
      <c r="R1865" s="1">
        <v>30000</v>
      </c>
      <c r="S1865" s="1">
        <v>30000</v>
      </c>
    </row>
    <row r="1866" spans="1:19" ht="12.5" x14ac:dyDescent="0.25">
      <c r="A1866" s="1">
        <v>1187</v>
      </c>
      <c r="B1866" s="1" t="s">
        <v>6168</v>
      </c>
      <c r="C1866" s="1" t="s">
        <v>35</v>
      </c>
      <c r="D1866" s="1" t="s">
        <v>152</v>
      </c>
      <c r="E1866" s="1">
        <v>1832</v>
      </c>
      <c r="F1866" s="1" t="s">
        <v>6169</v>
      </c>
      <c r="G1866" s="1" t="s">
        <v>6170</v>
      </c>
      <c r="H1866" s="1" t="s">
        <v>16</v>
      </c>
      <c r="I1866" s="1" t="s">
        <v>29</v>
      </c>
      <c r="J1866" s="1" t="s">
        <v>6171</v>
      </c>
      <c r="K1866" s="1" t="b">
        <v>0</v>
      </c>
      <c r="L1866" s="1" t="s">
        <v>22</v>
      </c>
      <c r="M1866" s="1">
        <v>2022</v>
      </c>
      <c r="N1866" s="1" t="s">
        <v>52</v>
      </c>
      <c r="O1866" s="1" t="s">
        <v>9935</v>
      </c>
      <c r="P1866" s="1"/>
      <c r="Q1866" s="1">
        <v>100</v>
      </c>
      <c r="R1866" s="1">
        <v>40000</v>
      </c>
      <c r="S1866" s="1">
        <v>40000</v>
      </c>
    </row>
    <row r="1867" spans="1:19" ht="12.5" x14ac:dyDescent="0.25">
      <c r="A1867" s="1">
        <v>2159</v>
      </c>
      <c r="B1867" s="1" t="s">
        <v>6172</v>
      </c>
      <c r="C1867" s="1" t="s">
        <v>35</v>
      </c>
      <c r="D1867" s="1" t="s">
        <v>5409</v>
      </c>
      <c r="E1867" s="1">
        <v>1833</v>
      </c>
      <c r="F1867" s="1" t="s">
        <v>6173</v>
      </c>
      <c r="G1867" s="1" t="s">
        <v>6174</v>
      </c>
      <c r="H1867" s="1" t="s">
        <v>6175</v>
      </c>
      <c r="I1867" s="1" t="s">
        <v>29</v>
      </c>
      <c r="J1867" s="1" t="s">
        <v>6176</v>
      </c>
      <c r="K1867" s="1" t="b">
        <v>1</v>
      </c>
      <c r="L1867" s="1" t="s">
        <v>31</v>
      </c>
      <c r="M1867" s="1">
        <v>2022</v>
      </c>
      <c r="N1867" s="1" t="s">
        <v>45</v>
      </c>
      <c r="O1867" s="1" t="s">
        <v>9935</v>
      </c>
      <c r="P1867" s="1" t="s">
        <v>16</v>
      </c>
      <c r="Q1867" s="1">
        <v>100</v>
      </c>
      <c r="R1867" s="1">
        <v>61000</v>
      </c>
      <c r="S1867" s="1">
        <v>61000</v>
      </c>
    </row>
    <row r="1868" spans="1:19" ht="12.5" x14ac:dyDescent="0.25">
      <c r="A1868" s="1" t="s">
        <v>16</v>
      </c>
      <c r="B1868" s="1" t="s">
        <v>16</v>
      </c>
      <c r="C1868" s="1" t="s">
        <v>16</v>
      </c>
      <c r="D1868" s="1" t="s">
        <v>16</v>
      </c>
      <c r="E1868" s="1">
        <v>1834</v>
      </c>
      <c r="F1868" s="1" t="s">
        <v>6177</v>
      </c>
      <c r="G1868" s="1" t="s">
        <v>6178</v>
      </c>
      <c r="H1868" s="1" t="s">
        <v>16</v>
      </c>
      <c r="I1868" s="1" t="s">
        <v>20</v>
      </c>
      <c r="J1868" s="1" t="s">
        <v>6179</v>
      </c>
      <c r="K1868" s="1" t="b">
        <v>0</v>
      </c>
      <c r="L1868" s="1" t="s">
        <v>22</v>
      </c>
      <c r="M1868" s="1" t="s">
        <v>16</v>
      </c>
      <c r="N1868" s="1" t="s">
        <v>16</v>
      </c>
      <c r="O1868" s="1" t="s">
        <v>16</v>
      </c>
      <c r="P1868" s="1" t="s">
        <v>16</v>
      </c>
    </row>
    <row r="1869" spans="1:19" ht="12.5" x14ac:dyDescent="0.25">
      <c r="A1869" s="1" t="s">
        <v>16</v>
      </c>
      <c r="B1869" s="1" t="s">
        <v>16</v>
      </c>
      <c r="C1869" s="1" t="s">
        <v>16</v>
      </c>
      <c r="D1869" s="1" t="s">
        <v>16</v>
      </c>
      <c r="E1869" s="1">
        <v>1835</v>
      </c>
      <c r="F1869" s="1" t="s">
        <v>6180</v>
      </c>
      <c r="G1869" s="1" t="s">
        <v>6181</v>
      </c>
      <c r="H1869" s="1" t="s">
        <v>16</v>
      </c>
      <c r="I1869" s="1" t="s">
        <v>20</v>
      </c>
      <c r="J1869" s="1" t="s">
        <v>6182</v>
      </c>
      <c r="K1869" s="1" t="b">
        <v>0</v>
      </c>
      <c r="L1869" s="1" t="s">
        <v>22</v>
      </c>
      <c r="M1869" s="1" t="s">
        <v>16</v>
      </c>
      <c r="N1869" s="1" t="s">
        <v>16</v>
      </c>
      <c r="O1869" s="1" t="s">
        <v>16</v>
      </c>
      <c r="P1869" s="1" t="s">
        <v>16</v>
      </c>
    </row>
    <row r="1870" spans="1:19" ht="12.5" x14ac:dyDescent="0.25">
      <c r="A1870" s="1">
        <v>1769</v>
      </c>
      <c r="B1870" s="1" t="s">
        <v>6183</v>
      </c>
      <c r="C1870" s="1" t="s">
        <v>35</v>
      </c>
      <c r="D1870" s="1" t="s">
        <v>5409</v>
      </c>
      <c r="E1870" s="1">
        <v>1836</v>
      </c>
      <c r="F1870" s="1" t="s">
        <v>6184</v>
      </c>
      <c r="G1870" s="1" t="s">
        <v>6185</v>
      </c>
      <c r="H1870" s="1" t="s">
        <v>6186</v>
      </c>
      <c r="I1870" s="1" t="s">
        <v>29</v>
      </c>
      <c r="J1870" s="1" t="s">
        <v>6187</v>
      </c>
      <c r="K1870" s="1" t="b">
        <v>0</v>
      </c>
      <c r="L1870" s="1" t="s">
        <v>22</v>
      </c>
      <c r="M1870" s="1">
        <v>2022</v>
      </c>
      <c r="N1870" s="1" t="s">
        <v>32</v>
      </c>
      <c r="O1870" s="1" t="s">
        <v>9935</v>
      </c>
      <c r="P1870" s="1" t="s">
        <v>16</v>
      </c>
      <c r="Q1870" s="1">
        <v>100</v>
      </c>
      <c r="R1870" s="1">
        <v>9600</v>
      </c>
      <c r="S1870" s="1">
        <v>9600</v>
      </c>
    </row>
    <row r="1871" spans="1:19" ht="12.5" x14ac:dyDescent="0.25">
      <c r="A1871" s="1">
        <v>1768</v>
      </c>
      <c r="B1871" s="1" t="s">
        <v>6188</v>
      </c>
      <c r="C1871" s="1" t="s">
        <v>35</v>
      </c>
      <c r="D1871" s="1" t="s">
        <v>5409</v>
      </c>
      <c r="E1871" s="1">
        <v>1837</v>
      </c>
      <c r="F1871" s="1" t="s">
        <v>6189</v>
      </c>
      <c r="G1871" s="1" t="s">
        <v>6190</v>
      </c>
      <c r="H1871" s="1" t="s">
        <v>6186</v>
      </c>
      <c r="I1871" s="1" t="s">
        <v>29</v>
      </c>
      <c r="J1871" s="1" t="s">
        <v>6191</v>
      </c>
      <c r="K1871" s="1" t="b">
        <v>1</v>
      </c>
      <c r="L1871" s="1" t="s">
        <v>31</v>
      </c>
      <c r="M1871" s="1">
        <v>2022</v>
      </c>
      <c r="N1871" s="1" t="s">
        <v>32</v>
      </c>
      <c r="O1871" s="1" t="s">
        <v>9935</v>
      </c>
      <c r="P1871" s="1" t="s">
        <v>16</v>
      </c>
      <c r="Q1871" s="1">
        <v>100</v>
      </c>
      <c r="R1871" s="1">
        <v>2400</v>
      </c>
      <c r="S1871" s="1">
        <v>2400</v>
      </c>
    </row>
    <row r="1872" spans="1:19" ht="12.5" x14ac:dyDescent="0.25">
      <c r="A1872" s="1">
        <v>1772</v>
      </c>
      <c r="B1872" s="1" t="s">
        <v>6192</v>
      </c>
      <c r="C1872" s="1" t="s">
        <v>35</v>
      </c>
      <c r="D1872" s="1" t="s">
        <v>5409</v>
      </c>
      <c r="E1872" s="1">
        <v>1838</v>
      </c>
      <c r="F1872" s="1" t="s">
        <v>6193</v>
      </c>
      <c r="G1872" s="1" t="s">
        <v>6194</v>
      </c>
      <c r="H1872" s="1" t="s">
        <v>6186</v>
      </c>
      <c r="I1872" s="1" t="s">
        <v>29</v>
      </c>
      <c r="J1872" s="1" t="s">
        <v>6195</v>
      </c>
      <c r="K1872" s="1" t="b">
        <v>0</v>
      </c>
      <c r="L1872" s="1" t="s">
        <v>22</v>
      </c>
      <c r="M1872" s="1">
        <v>2022</v>
      </c>
      <c r="N1872" s="1" t="s">
        <v>32</v>
      </c>
      <c r="O1872" s="1" t="s">
        <v>9935</v>
      </c>
      <c r="P1872" s="1" t="s">
        <v>16</v>
      </c>
      <c r="Q1872" s="1">
        <v>100</v>
      </c>
      <c r="R1872" s="1">
        <v>2400</v>
      </c>
      <c r="S1872" s="1">
        <v>2400</v>
      </c>
    </row>
    <row r="1873" spans="1:19" ht="12.5" x14ac:dyDescent="0.25">
      <c r="A1873" s="1">
        <v>1770</v>
      </c>
      <c r="B1873" s="1" t="s">
        <v>6196</v>
      </c>
      <c r="C1873" s="1" t="s">
        <v>35</v>
      </c>
      <c r="D1873" s="1" t="s">
        <v>5409</v>
      </c>
      <c r="E1873" s="1">
        <v>1839</v>
      </c>
      <c r="F1873" s="1" t="s">
        <v>6197</v>
      </c>
      <c r="G1873" s="1" t="s">
        <v>6198</v>
      </c>
      <c r="H1873" s="1" t="s">
        <v>6186</v>
      </c>
      <c r="I1873" s="1" t="s">
        <v>29</v>
      </c>
      <c r="J1873" s="1" t="s">
        <v>6199</v>
      </c>
      <c r="K1873" s="1" t="b">
        <v>0</v>
      </c>
      <c r="L1873" s="1" t="s">
        <v>22</v>
      </c>
      <c r="M1873" s="1">
        <v>2022</v>
      </c>
      <c r="N1873" s="1" t="s">
        <v>32</v>
      </c>
      <c r="O1873" s="1" t="s">
        <v>9935</v>
      </c>
      <c r="P1873" s="1" t="s">
        <v>16</v>
      </c>
      <c r="Q1873" s="1">
        <v>100</v>
      </c>
      <c r="R1873" s="1">
        <v>19200</v>
      </c>
      <c r="S1873" s="1">
        <v>19200</v>
      </c>
    </row>
    <row r="1874" spans="1:19" ht="12.5" x14ac:dyDescent="0.25">
      <c r="A1874" s="1">
        <v>1771</v>
      </c>
      <c r="B1874" s="1" t="s">
        <v>6200</v>
      </c>
      <c r="C1874" s="1" t="s">
        <v>35</v>
      </c>
      <c r="D1874" s="1" t="s">
        <v>5409</v>
      </c>
      <c r="E1874" s="1">
        <v>1840</v>
      </c>
      <c r="F1874" s="1" t="s">
        <v>6201</v>
      </c>
      <c r="G1874" s="1" t="s">
        <v>6202</v>
      </c>
      <c r="H1874" s="1" t="s">
        <v>6186</v>
      </c>
      <c r="I1874" s="1" t="s">
        <v>29</v>
      </c>
      <c r="J1874" s="1" t="s">
        <v>6203</v>
      </c>
      <c r="K1874" s="1" t="b">
        <v>1</v>
      </c>
      <c r="L1874" s="1" t="s">
        <v>31</v>
      </c>
      <c r="M1874" s="1">
        <v>2022</v>
      </c>
      <c r="N1874" s="1" t="s">
        <v>32</v>
      </c>
      <c r="O1874" s="1" t="s">
        <v>9935</v>
      </c>
      <c r="P1874" s="1" t="s">
        <v>16</v>
      </c>
      <c r="Q1874" s="1">
        <v>100</v>
      </c>
      <c r="R1874" s="1">
        <v>18000</v>
      </c>
      <c r="S1874" s="1">
        <v>18000</v>
      </c>
    </row>
    <row r="1875" spans="1:19" ht="12.5" x14ac:dyDescent="0.25">
      <c r="A1875" s="1">
        <v>2160</v>
      </c>
      <c r="B1875" s="1" t="s">
        <v>6204</v>
      </c>
      <c r="C1875" s="1" t="s">
        <v>35</v>
      </c>
      <c r="D1875" s="1" t="s">
        <v>5409</v>
      </c>
      <c r="E1875" s="1">
        <v>1841</v>
      </c>
      <c r="F1875" s="1" t="s">
        <v>6205</v>
      </c>
      <c r="G1875" s="1" t="s">
        <v>6206</v>
      </c>
      <c r="H1875" s="1" t="s">
        <v>6207</v>
      </c>
      <c r="I1875" s="1" t="s">
        <v>29</v>
      </c>
      <c r="J1875" s="1" t="s">
        <v>6208</v>
      </c>
      <c r="K1875" s="1" t="b">
        <v>1</v>
      </c>
      <c r="L1875" s="1" t="s">
        <v>31</v>
      </c>
      <c r="M1875" s="1">
        <v>2022</v>
      </c>
      <c r="N1875" s="1" t="s">
        <v>32</v>
      </c>
      <c r="O1875" s="1" t="s">
        <v>9935</v>
      </c>
      <c r="P1875" s="1" t="s">
        <v>16</v>
      </c>
      <c r="Q1875" s="1">
        <v>100</v>
      </c>
      <c r="R1875" s="1">
        <v>61000</v>
      </c>
      <c r="S1875" s="1">
        <v>61000</v>
      </c>
    </row>
    <row r="1876" spans="1:19" ht="12.5" x14ac:dyDescent="0.25">
      <c r="A1876" s="1">
        <v>2161</v>
      </c>
      <c r="B1876" s="1" t="s">
        <v>6209</v>
      </c>
      <c r="C1876" s="1" t="s">
        <v>35</v>
      </c>
      <c r="D1876" s="1" t="s">
        <v>5409</v>
      </c>
      <c r="E1876" s="1">
        <v>1842</v>
      </c>
      <c r="F1876" s="1" t="s">
        <v>6210</v>
      </c>
      <c r="G1876" s="1" t="s">
        <v>6211</v>
      </c>
      <c r="H1876" s="1" t="s">
        <v>6212</v>
      </c>
      <c r="I1876" s="1" t="s">
        <v>29</v>
      </c>
      <c r="J1876" s="1" t="s">
        <v>6213</v>
      </c>
      <c r="K1876" s="1" t="b">
        <v>1</v>
      </c>
      <c r="L1876" s="1" t="s">
        <v>31</v>
      </c>
      <c r="M1876" s="1">
        <v>2022</v>
      </c>
      <c r="N1876" s="1" t="s">
        <v>32</v>
      </c>
      <c r="O1876" s="1" t="s">
        <v>9935</v>
      </c>
      <c r="P1876" s="1" t="s">
        <v>16</v>
      </c>
      <c r="Q1876" s="1">
        <v>100</v>
      </c>
      <c r="R1876" s="1">
        <v>123000</v>
      </c>
      <c r="S1876" s="1">
        <v>123000</v>
      </c>
    </row>
    <row r="1877" spans="1:19" ht="12.5" x14ac:dyDescent="0.25">
      <c r="A1877" s="1">
        <v>2162</v>
      </c>
      <c r="B1877" s="1" t="s">
        <v>6214</v>
      </c>
      <c r="C1877" s="1" t="s">
        <v>35</v>
      </c>
      <c r="D1877" s="1" t="s">
        <v>5409</v>
      </c>
      <c r="E1877" s="1">
        <v>1843</v>
      </c>
      <c r="F1877" s="1" t="s">
        <v>6215</v>
      </c>
      <c r="G1877" s="1" t="s">
        <v>6216</v>
      </c>
      <c r="H1877" s="1" t="s">
        <v>6217</v>
      </c>
      <c r="I1877" s="1" t="s">
        <v>29</v>
      </c>
      <c r="J1877" s="1" t="s">
        <v>6218</v>
      </c>
      <c r="K1877" s="1" t="b">
        <v>1</v>
      </c>
      <c r="L1877" s="1" t="s">
        <v>31</v>
      </c>
      <c r="M1877" s="1">
        <v>2022</v>
      </c>
      <c r="N1877" s="1" t="s">
        <v>45</v>
      </c>
      <c r="O1877" s="1" t="s">
        <v>9935</v>
      </c>
      <c r="P1877" s="1" t="s">
        <v>16</v>
      </c>
      <c r="Q1877" s="1">
        <v>100</v>
      </c>
      <c r="R1877" s="1">
        <v>24000</v>
      </c>
      <c r="S1877" s="1">
        <v>24000</v>
      </c>
    </row>
    <row r="1878" spans="1:19" ht="12.5" x14ac:dyDescent="0.25">
      <c r="A1878" s="1">
        <v>1777</v>
      </c>
      <c r="B1878" s="1" t="s">
        <v>6219</v>
      </c>
      <c r="C1878" s="1" t="s">
        <v>35</v>
      </c>
      <c r="D1878" s="1" t="s">
        <v>5409</v>
      </c>
      <c r="E1878" s="1">
        <v>1844</v>
      </c>
      <c r="F1878" s="1" t="s">
        <v>6220</v>
      </c>
      <c r="G1878" s="1" t="s">
        <v>6221</v>
      </c>
      <c r="H1878" s="1" t="s">
        <v>6222</v>
      </c>
      <c r="I1878" s="1" t="s">
        <v>29</v>
      </c>
      <c r="J1878" s="1" t="s">
        <v>6223</v>
      </c>
      <c r="K1878" s="1" t="b">
        <v>1</v>
      </c>
      <c r="L1878" s="1" t="s">
        <v>31</v>
      </c>
      <c r="M1878" s="1">
        <v>2022</v>
      </c>
      <c r="N1878" s="1" t="s">
        <v>23</v>
      </c>
      <c r="O1878" s="1" t="s">
        <v>9935</v>
      </c>
      <c r="P1878" s="1" t="s">
        <v>16</v>
      </c>
      <c r="Q1878" s="1">
        <v>100</v>
      </c>
      <c r="R1878" s="1">
        <v>61000</v>
      </c>
      <c r="S1878" s="1">
        <v>61000</v>
      </c>
    </row>
    <row r="1879" spans="1:19" ht="12.5" x14ac:dyDescent="0.25">
      <c r="A1879" s="1">
        <v>1763</v>
      </c>
      <c r="B1879" s="1" t="s">
        <v>6224</v>
      </c>
      <c r="C1879" s="1" t="s">
        <v>35</v>
      </c>
      <c r="D1879" s="1" t="s">
        <v>5409</v>
      </c>
      <c r="E1879" s="1">
        <v>1845</v>
      </c>
      <c r="F1879" s="1" t="s">
        <v>6225</v>
      </c>
      <c r="G1879" s="1" t="s">
        <v>6226</v>
      </c>
      <c r="H1879" s="1" t="s">
        <v>6227</v>
      </c>
      <c r="I1879" s="1" t="s">
        <v>29</v>
      </c>
      <c r="J1879" s="1" t="s">
        <v>6228</v>
      </c>
      <c r="K1879" s="1" t="b">
        <v>1</v>
      </c>
      <c r="L1879" s="1" t="s">
        <v>31</v>
      </c>
      <c r="M1879" s="1">
        <v>2022</v>
      </c>
      <c r="N1879" s="1" t="s">
        <v>45</v>
      </c>
      <c r="O1879" s="1" t="s">
        <v>9935</v>
      </c>
      <c r="P1879" s="1" t="s">
        <v>16</v>
      </c>
      <c r="Q1879" s="1">
        <v>100</v>
      </c>
      <c r="R1879" s="1">
        <v>66000</v>
      </c>
      <c r="S1879" s="1">
        <v>66000</v>
      </c>
    </row>
    <row r="1880" spans="1:19" ht="12.5" x14ac:dyDescent="0.25">
      <c r="A1880" s="1">
        <v>2163</v>
      </c>
      <c r="B1880" s="1" t="s">
        <v>6229</v>
      </c>
      <c r="C1880" s="1" t="s">
        <v>35</v>
      </c>
      <c r="D1880" s="1" t="s">
        <v>5409</v>
      </c>
      <c r="E1880" s="1">
        <v>1846</v>
      </c>
      <c r="F1880" s="1" t="s">
        <v>6230</v>
      </c>
      <c r="G1880" s="1" t="s">
        <v>6231</v>
      </c>
      <c r="H1880" s="1" t="s">
        <v>6232</v>
      </c>
      <c r="I1880" s="1" t="s">
        <v>29</v>
      </c>
      <c r="J1880" s="1" t="s">
        <v>6233</v>
      </c>
      <c r="K1880" s="1" t="b">
        <v>1</v>
      </c>
      <c r="L1880" s="1" t="s">
        <v>31</v>
      </c>
      <c r="M1880" s="1">
        <v>2022</v>
      </c>
      <c r="N1880" s="1" t="s">
        <v>45</v>
      </c>
      <c r="O1880" s="1" t="s">
        <v>9935</v>
      </c>
      <c r="P1880" s="1" t="s">
        <v>16</v>
      </c>
      <c r="Q1880" s="1">
        <v>100</v>
      </c>
      <c r="R1880" s="1">
        <v>123000</v>
      </c>
      <c r="S1880" s="1">
        <v>123000</v>
      </c>
    </row>
    <row r="1881" spans="1:19" ht="12.5" x14ac:dyDescent="0.25">
      <c r="A1881" s="1">
        <v>1752</v>
      </c>
      <c r="B1881" s="1" t="s">
        <v>6234</v>
      </c>
      <c r="C1881" s="1" t="s">
        <v>35</v>
      </c>
      <c r="D1881" s="1" t="s">
        <v>5409</v>
      </c>
      <c r="E1881" s="1">
        <v>1847</v>
      </c>
      <c r="F1881" s="1" t="s">
        <v>6235</v>
      </c>
      <c r="G1881" s="1" t="s">
        <v>6236</v>
      </c>
      <c r="H1881" s="1" t="s">
        <v>6237</v>
      </c>
      <c r="I1881" s="1" t="s">
        <v>29</v>
      </c>
      <c r="J1881" s="1" t="s">
        <v>6238</v>
      </c>
      <c r="K1881" s="1" t="b">
        <v>1</v>
      </c>
      <c r="L1881" s="1" t="s">
        <v>31</v>
      </c>
      <c r="M1881" s="1">
        <v>2022</v>
      </c>
      <c r="N1881" s="1" t="s">
        <v>16</v>
      </c>
      <c r="O1881" s="1" t="s">
        <v>9935</v>
      </c>
      <c r="P1881" s="1" t="s">
        <v>16</v>
      </c>
      <c r="Q1881" s="1">
        <v>100</v>
      </c>
      <c r="R1881" s="1">
        <v>123000</v>
      </c>
      <c r="S1881" s="1">
        <v>123000</v>
      </c>
    </row>
    <row r="1882" spans="1:19" ht="12.5" x14ac:dyDescent="0.25">
      <c r="A1882" s="1">
        <v>2164</v>
      </c>
      <c r="B1882" s="1" t="s">
        <v>6239</v>
      </c>
      <c r="C1882" s="1" t="s">
        <v>35</v>
      </c>
      <c r="D1882" s="1" t="s">
        <v>5409</v>
      </c>
      <c r="E1882" s="1">
        <v>1848</v>
      </c>
      <c r="F1882" s="1" t="s">
        <v>6240</v>
      </c>
      <c r="G1882" s="1" t="s">
        <v>6241</v>
      </c>
      <c r="H1882" s="1" t="s">
        <v>6242</v>
      </c>
      <c r="I1882" s="1" t="s">
        <v>29</v>
      </c>
      <c r="J1882" s="1" t="s">
        <v>6243</v>
      </c>
      <c r="K1882" s="1" t="b">
        <v>1</v>
      </c>
      <c r="L1882" s="1" t="s">
        <v>31</v>
      </c>
      <c r="M1882" s="1">
        <v>2022</v>
      </c>
      <c r="N1882" s="1" t="s">
        <v>32</v>
      </c>
      <c r="O1882" s="1" t="s">
        <v>9935</v>
      </c>
      <c r="P1882" s="1" t="s">
        <v>16</v>
      </c>
      <c r="Q1882" s="1">
        <v>100</v>
      </c>
      <c r="R1882" s="1">
        <v>66000</v>
      </c>
      <c r="S1882" s="1">
        <v>66000</v>
      </c>
    </row>
    <row r="1883" spans="1:19" ht="12.5" x14ac:dyDescent="0.25">
      <c r="A1883" s="1">
        <v>859</v>
      </c>
      <c r="B1883" s="1" t="s">
        <v>6244</v>
      </c>
      <c r="C1883" s="1" t="s">
        <v>35</v>
      </c>
      <c r="D1883" s="1" t="s">
        <v>152</v>
      </c>
      <c r="E1883" s="1">
        <v>1849</v>
      </c>
      <c r="F1883" s="1" t="s">
        <v>6246</v>
      </c>
      <c r="G1883" s="1" t="s">
        <v>6247</v>
      </c>
      <c r="H1883" s="1" t="s">
        <v>6248</v>
      </c>
      <c r="I1883" s="1" t="s">
        <v>29</v>
      </c>
      <c r="J1883" s="1" t="s">
        <v>6249</v>
      </c>
      <c r="K1883" s="1" t="b">
        <v>1</v>
      </c>
      <c r="L1883" s="1" t="s">
        <v>31</v>
      </c>
      <c r="M1883" s="1">
        <v>2022</v>
      </c>
      <c r="N1883" s="1" t="s">
        <v>45</v>
      </c>
      <c r="O1883" s="1" t="s">
        <v>9935</v>
      </c>
      <c r="P1883" s="1" t="s">
        <v>16</v>
      </c>
      <c r="Q1883" s="1">
        <v>50</v>
      </c>
      <c r="R1883" s="1">
        <v>165000</v>
      </c>
      <c r="S1883" s="1">
        <v>82500</v>
      </c>
    </row>
    <row r="1884" spans="1:19" ht="12.5" x14ac:dyDescent="0.25">
      <c r="A1884" s="1">
        <v>1764</v>
      </c>
      <c r="B1884" s="1" t="s">
        <v>6250</v>
      </c>
      <c r="C1884" s="1" t="s">
        <v>35</v>
      </c>
      <c r="D1884" s="1" t="s">
        <v>5409</v>
      </c>
      <c r="E1884" s="1">
        <v>1849</v>
      </c>
      <c r="F1884" s="1" t="s">
        <v>6246</v>
      </c>
      <c r="G1884" s="1" t="s">
        <v>6247</v>
      </c>
      <c r="H1884" s="1" t="s">
        <v>6248</v>
      </c>
      <c r="I1884" s="1" t="s">
        <v>29</v>
      </c>
      <c r="J1884" s="1" t="s">
        <v>6249</v>
      </c>
      <c r="K1884" s="1" t="b">
        <v>1</v>
      </c>
      <c r="L1884" s="1" t="s">
        <v>31</v>
      </c>
      <c r="M1884" s="1">
        <v>2022</v>
      </c>
      <c r="N1884" s="1" t="s">
        <v>45</v>
      </c>
      <c r="O1884" s="1" t="s">
        <v>9935</v>
      </c>
      <c r="P1884" s="1" t="s">
        <v>16</v>
      </c>
      <c r="Q1884" s="1">
        <v>50</v>
      </c>
      <c r="R1884" s="1">
        <v>165000</v>
      </c>
      <c r="S1884" s="1">
        <v>82500</v>
      </c>
    </row>
    <row r="1885" spans="1:19" ht="12.5" x14ac:dyDescent="0.25">
      <c r="A1885" s="1">
        <v>2165</v>
      </c>
      <c r="B1885" s="1" t="s">
        <v>6251</v>
      </c>
      <c r="C1885" s="1" t="s">
        <v>35</v>
      </c>
      <c r="D1885" s="1" t="s">
        <v>5409</v>
      </c>
      <c r="E1885" s="1">
        <v>1850</v>
      </c>
      <c r="F1885" s="1" t="s">
        <v>6252</v>
      </c>
      <c r="G1885" s="1" t="s">
        <v>6253</v>
      </c>
      <c r="H1885" s="1" t="s">
        <v>6254</v>
      </c>
      <c r="I1885" s="1" t="s">
        <v>29</v>
      </c>
      <c r="J1885" s="1" t="s">
        <v>6255</v>
      </c>
      <c r="K1885" s="1" t="b">
        <v>1</v>
      </c>
      <c r="L1885" s="1" t="s">
        <v>31</v>
      </c>
      <c r="M1885" s="1">
        <v>2022</v>
      </c>
      <c r="N1885" s="1" t="s">
        <v>45</v>
      </c>
      <c r="O1885" s="1" t="s">
        <v>9935</v>
      </c>
      <c r="P1885" s="1" t="s">
        <v>16</v>
      </c>
      <c r="Q1885" s="1">
        <v>100</v>
      </c>
      <c r="R1885" s="1">
        <v>123000</v>
      </c>
      <c r="S1885" s="1">
        <v>123000</v>
      </c>
    </row>
    <row r="1886" spans="1:19" ht="12.5" x14ac:dyDescent="0.25">
      <c r="A1886" s="1">
        <v>1765</v>
      </c>
      <c r="B1886" s="1" t="s">
        <v>6256</v>
      </c>
      <c r="C1886" s="1" t="s">
        <v>35</v>
      </c>
      <c r="D1886" s="1" t="s">
        <v>5409</v>
      </c>
      <c r="E1886" s="1">
        <v>1851</v>
      </c>
      <c r="F1886" s="1" t="s">
        <v>6257</v>
      </c>
      <c r="G1886" s="1" t="s">
        <v>6258</v>
      </c>
      <c r="H1886" s="1" t="s">
        <v>6259</v>
      </c>
      <c r="I1886" s="1" t="s">
        <v>29</v>
      </c>
      <c r="J1886" s="1" t="s">
        <v>6260</v>
      </c>
      <c r="K1886" s="1" t="b">
        <v>1</v>
      </c>
      <c r="L1886" s="1" t="s">
        <v>31</v>
      </c>
      <c r="M1886" s="1">
        <v>2022</v>
      </c>
      <c r="N1886" s="1" t="s">
        <v>45</v>
      </c>
      <c r="O1886" s="1" t="s">
        <v>9935</v>
      </c>
      <c r="P1886" s="1" t="s">
        <v>16</v>
      </c>
      <c r="Q1886" s="1">
        <v>100</v>
      </c>
      <c r="R1886" s="1">
        <v>165000</v>
      </c>
      <c r="S1886" s="1">
        <v>165000</v>
      </c>
    </row>
    <row r="1887" spans="1:19" ht="12.5" x14ac:dyDescent="0.25">
      <c r="A1887" s="1" t="s">
        <v>16</v>
      </c>
      <c r="B1887" s="1" t="s">
        <v>16</v>
      </c>
      <c r="C1887" s="1" t="s">
        <v>16</v>
      </c>
      <c r="D1887" s="1" t="s">
        <v>16</v>
      </c>
      <c r="E1887" s="1">
        <v>1852</v>
      </c>
      <c r="F1887" s="1" t="s">
        <v>6261</v>
      </c>
      <c r="G1887" s="1" t="s">
        <v>6262</v>
      </c>
      <c r="H1887" s="1" t="s">
        <v>16</v>
      </c>
      <c r="I1887" s="1" t="s">
        <v>20</v>
      </c>
      <c r="J1887" s="1" t="s">
        <v>6263</v>
      </c>
      <c r="K1887" s="1" t="b">
        <v>0</v>
      </c>
      <c r="L1887" s="1" t="s">
        <v>22</v>
      </c>
      <c r="M1887" s="1" t="s">
        <v>16</v>
      </c>
      <c r="N1887" s="1" t="s">
        <v>16</v>
      </c>
      <c r="O1887" s="1" t="s">
        <v>16</v>
      </c>
      <c r="P1887" s="1" t="s">
        <v>16</v>
      </c>
    </row>
    <row r="1888" spans="1:19" ht="12.5" x14ac:dyDescent="0.25">
      <c r="A1888" s="1" t="s">
        <v>16</v>
      </c>
      <c r="B1888" s="1" t="s">
        <v>16</v>
      </c>
      <c r="C1888" s="1" t="s">
        <v>16</v>
      </c>
      <c r="D1888" s="1" t="s">
        <v>16</v>
      </c>
      <c r="E1888" s="1">
        <v>1853</v>
      </c>
      <c r="F1888" s="1" t="s">
        <v>6264</v>
      </c>
      <c r="G1888" s="1" t="s">
        <v>6265</v>
      </c>
      <c r="H1888" s="1" t="s">
        <v>16</v>
      </c>
      <c r="I1888" s="1" t="s">
        <v>20</v>
      </c>
      <c r="J1888" s="1" t="s">
        <v>6266</v>
      </c>
      <c r="K1888" s="1" t="b">
        <v>0</v>
      </c>
      <c r="L1888" s="1" t="s">
        <v>22</v>
      </c>
      <c r="M1888" s="1" t="s">
        <v>16</v>
      </c>
      <c r="N1888" s="1" t="s">
        <v>16</v>
      </c>
      <c r="O1888" s="1" t="s">
        <v>16</v>
      </c>
      <c r="P1888" s="1" t="s">
        <v>16</v>
      </c>
    </row>
    <row r="1889" spans="1:19" ht="12.5" x14ac:dyDescent="0.25">
      <c r="A1889" s="1" t="s">
        <v>16</v>
      </c>
      <c r="B1889" s="1" t="s">
        <v>16</v>
      </c>
      <c r="C1889" s="1" t="s">
        <v>16</v>
      </c>
      <c r="D1889" s="1" t="s">
        <v>16</v>
      </c>
      <c r="E1889" s="1">
        <v>1854</v>
      </c>
      <c r="F1889" s="1" t="s">
        <v>6267</v>
      </c>
      <c r="G1889" s="1" t="s">
        <v>6268</v>
      </c>
      <c r="H1889" s="1" t="s">
        <v>16</v>
      </c>
      <c r="I1889" s="1" t="s">
        <v>20</v>
      </c>
      <c r="J1889" s="1" t="s">
        <v>6269</v>
      </c>
      <c r="K1889" s="1" t="b">
        <v>0</v>
      </c>
      <c r="L1889" s="1" t="s">
        <v>22</v>
      </c>
      <c r="M1889" s="1" t="s">
        <v>16</v>
      </c>
      <c r="N1889" s="1" t="s">
        <v>16</v>
      </c>
      <c r="O1889" s="1" t="s">
        <v>16</v>
      </c>
      <c r="P1889" s="1" t="s">
        <v>16</v>
      </c>
    </row>
    <row r="1890" spans="1:19" ht="12.5" x14ac:dyDescent="0.25">
      <c r="A1890" s="1" t="s">
        <v>16</v>
      </c>
      <c r="B1890" s="1" t="s">
        <v>16</v>
      </c>
      <c r="C1890" s="1" t="s">
        <v>16</v>
      </c>
      <c r="D1890" s="1" t="s">
        <v>16</v>
      </c>
      <c r="E1890" s="1">
        <v>1855</v>
      </c>
      <c r="F1890" s="1" t="s">
        <v>6270</v>
      </c>
      <c r="G1890" s="1" t="s">
        <v>6271</v>
      </c>
      <c r="H1890" s="1" t="s">
        <v>16</v>
      </c>
      <c r="I1890" s="1" t="s">
        <v>20</v>
      </c>
      <c r="J1890" s="1" t="s">
        <v>6272</v>
      </c>
      <c r="K1890" s="1" t="b">
        <v>0</v>
      </c>
      <c r="L1890" s="1" t="s">
        <v>22</v>
      </c>
      <c r="M1890" s="1" t="s">
        <v>16</v>
      </c>
      <c r="N1890" s="1" t="s">
        <v>16</v>
      </c>
      <c r="O1890" s="1" t="s">
        <v>16</v>
      </c>
      <c r="P1890" s="1" t="s">
        <v>16</v>
      </c>
    </row>
    <row r="1891" spans="1:19" ht="12.5" x14ac:dyDescent="0.25">
      <c r="A1891" s="1" t="s">
        <v>16</v>
      </c>
      <c r="B1891" s="1" t="s">
        <v>16</v>
      </c>
      <c r="C1891" s="1" t="s">
        <v>16</v>
      </c>
      <c r="D1891" s="1" t="s">
        <v>16</v>
      </c>
      <c r="E1891" s="1">
        <v>1856</v>
      </c>
      <c r="F1891" s="1" t="s">
        <v>6273</v>
      </c>
      <c r="G1891" s="1" t="s">
        <v>6274</v>
      </c>
      <c r="H1891" s="1" t="s">
        <v>16</v>
      </c>
      <c r="I1891" s="1" t="s">
        <v>20</v>
      </c>
      <c r="J1891" s="1" t="s">
        <v>6275</v>
      </c>
      <c r="K1891" s="1" t="b">
        <v>0</v>
      </c>
      <c r="L1891" s="1" t="s">
        <v>22</v>
      </c>
      <c r="M1891" s="1" t="s">
        <v>16</v>
      </c>
      <c r="N1891" s="1" t="s">
        <v>16</v>
      </c>
      <c r="O1891" s="1" t="s">
        <v>16</v>
      </c>
      <c r="P1891" s="1" t="s">
        <v>16</v>
      </c>
    </row>
    <row r="1892" spans="1:19" ht="12.5" x14ac:dyDescent="0.25">
      <c r="A1892" s="1" t="s">
        <v>16</v>
      </c>
      <c r="B1892" s="1" t="s">
        <v>16</v>
      </c>
      <c r="C1892" s="1" t="s">
        <v>16</v>
      </c>
      <c r="D1892" s="1" t="s">
        <v>16</v>
      </c>
      <c r="E1892" s="1">
        <v>1857</v>
      </c>
      <c r="F1892" s="1" t="s">
        <v>6276</v>
      </c>
      <c r="G1892" s="1" t="s">
        <v>6277</v>
      </c>
      <c r="H1892" s="1" t="s">
        <v>16</v>
      </c>
      <c r="I1892" s="1" t="s">
        <v>20</v>
      </c>
      <c r="J1892" s="1" t="s">
        <v>6278</v>
      </c>
      <c r="K1892" s="1" t="b">
        <v>0</v>
      </c>
      <c r="L1892" s="1" t="s">
        <v>22</v>
      </c>
      <c r="M1892" s="1" t="s">
        <v>16</v>
      </c>
      <c r="N1892" s="1" t="s">
        <v>16</v>
      </c>
      <c r="O1892" s="1" t="s">
        <v>16</v>
      </c>
      <c r="P1892" s="1" t="s">
        <v>16</v>
      </c>
    </row>
    <row r="1893" spans="1:19" ht="12.5" x14ac:dyDescent="0.25">
      <c r="A1893" s="1" t="s">
        <v>16</v>
      </c>
      <c r="B1893" s="1" t="s">
        <v>16</v>
      </c>
      <c r="C1893" s="1" t="s">
        <v>16</v>
      </c>
      <c r="D1893" s="1" t="s">
        <v>16</v>
      </c>
      <c r="E1893" s="1">
        <v>1858</v>
      </c>
      <c r="F1893" s="1" t="s">
        <v>6279</v>
      </c>
      <c r="G1893" s="1" t="s">
        <v>6280</v>
      </c>
      <c r="H1893" s="1" t="s">
        <v>16</v>
      </c>
      <c r="I1893" s="1" t="s">
        <v>20</v>
      </c>
      <c r="J1893" s="1" t="s">
        <v>6281</v>
      </c>
      <c r="K1893" s="1" t="b">
        <v>0</v>
      </c>
      <c r="L1893" s="1" t="s">
        <v>22</v>
      </c>
      <c r="M1893" s="1" t="s">
        <v>16</v>
      </c>
      <c r="N1893" s="1" t="s">
        <v>16</v>
      </c>
      <c r="O1893" s="1" t="s">
        <v>16</v>
      </c>
      <c r="P1893" s="1" t="s">
        <v>16</v>
      </c>
    </row>
    <row r="1894" spans="1:19" ht="12.5" x14ac:dyDescent="0.25">
      <c r="A1894" s="1" t="s">
        <v>16</v>
      </c>
      <c r="B1894" s="1" t="s">
        <v>16</v>
      </c>
      <c r="C1894" s="1" t="s">
        <v>16</v>
      </c>
      <c r="D1894" s="1" t="s">
        <v>16</v>
      </c>
      <c r="E1894" s="1">
        <v>1859</v>
      </c>
      <c r="F1894" s="1" t="s">
        <v>6282</v>
      </c>
      <c r="G1894" s="1" t="s">
        <v>6283</v>
      </c>
      <c r="H1894" s="1" t="s">
        <v>16</v>
      </c>
      <c r="I1894" s="1" t="s">
        <v>20</v>
      </c>
      <c r="J1894" s="1" t="s">
        <v>6284</v>
      </c>
      <c r="K1894" s="1" t="b">
        <v>0</v>
      </c>
      <c r="L1894" s="1" t="s">
        <v>22</v>
      </c>
      <c r="M1894" s="1" t="s">
        <v>16</v>
      </c>
      <c r="N1894" s="1" t="s">
        <v>16</v>
      </c>
      <c r="O1894" s="1" t="s">
        <v>16</v>
      </c>
      <c r="P1894" s="1" t="s">
        <v>16</v>
      </c>
    </row>
    <row r="1895" spans="1:19" ht="12.5" x14ac:dyDescent="0.25">
      <c r="A1895" s="1" t="s">
        <v>16</v>
      </c>
      <c r="B1895" s="1" t="s">
        <v>16</v>
      </c>
      <c r="C1895" s="1" t="s">
        <v>16</v>
      </c>
      <c r="D1895" s="1" t="s">
        <v>16</v>
      </c>
      <c r="E1895" s="1">
        <v>1860</v>
      </c>
      <c r="F1895" s="1" t="s">
        <v>6285</v>
      </c>
      <c r="G1895" s="1" t="s">
        <v>6286</v>
      </c>
      <c r="H1895" s="1" t="s">
        <v>16</v>
      </c>
      <c r="I1895" s="1" t="s">
        <v>20</v>
      </c>
      <c r="J1895" s="1" t="s">
        <v>6287</v>
      </c>
      <c r="K1895" s="1" t="b">
        <v>0</v>
      </c>
      <c r="L1895" s="1" t="s">
        <v>22</v>
      </c>
      <c r="M1895" s="1" t="s">
        <v>16</v>
      </c>
      <c r="N1895" s="1" t="s">
        <v>16</v>
      </c>
      <c r="O1895" s="1" t="s">
        <v>16</v>
      </c>
      <c r="P1895" s="1" t="s">
        <v>16</v>
      </c>
    </row>
    <row r="1896" spans="1:19" ht="12.5" x14ac:dyDescent="0.25">
      <c r="A1896" s="1" t="s">
        <v>16</v>
      </c>
      <c r="B1896" s="1" t="s">
        <v>16</v>
      </c>
      <c r="C1896" s="1" t="s">
        <v>16</v>
      </c>
      <c r="D1896" s="1" t="s">
        <v>16</v>
      </c>
      <c r="E1896" s="1">
        <v>1866</v>
      </c>
      <c r="F1896" s="1" t="s">
        <v>6288</v>
      </c>
      <c r="G1896" s="1" t="s">
        <v>6289</v>
      </c>
      <c r="H1896" s="1" t="s">
        <v>16</v>
      </c>
      <c r="I1896" s="1" t="s">
        <v>20</v>
      </c>
      <c r="J1896" s="1" t="s">
        <v>6290</v>
      </c>
      <c r="K1896" s="1" t="b">
        <v>0</v>
      </c>
      <c r="L1896" s="1" t="s">
        <v>22</v>
      </c>
      <c r="M1896" s="1" t="s">
        <v>16</v>
      </c>
      <c r="N1896" s="1" t="s">
        <v>16</v>
      </c>
      <c r="O1896" s="1" t="s">
        <v>16</v>
      </c>
      <c r="P1896" s="1" t="s">
        <v>16</v>
      </c>
    </row>
    <row r="1897" spans="1:19" ht="12.5" x14ac:dyDescent="0.25">
      <c r="A1897" s="1" t="s">
        <v>16</v>
      </c>
      <c r="B1897" s="1" t="s">
        <v>16</v>
      </c>
      <c r="C1897" s="1" t="s">
        <v>16</v>
      </c>
      <c r="D1897" s="1" t="s">
        <v>16</v>
      </c>
      <c r="E1897" s="1">
        <v>1867</v>
      </c>
      <c r="F1897" s="1" t="s">
        <v>6291</v>
      </c>
      <c r="G1897" s="1" t="s">
        <v>6292</v>
      </c>
      <c r="H1897" s="1" t="s">
        <v>16</v>
      </c>
      <c r="I1897" s="1" t="s">
        <v>20</v>
      </c>
      <c r="J1897" s="1" t="s">
        <v>6293</v>
      </c>
      <c r="K1897" s="1" t="b">
        <v>0</v>
      </c>
      <c r="L1897" s="1" t="s">
        <v>22</v>
      </c>
      <c r="M1897" s="1" t="s">
        <v>16</v>
      </c>
      <c r="N1897" s="1" t="s">
        <v>16</v>
      </c>
      <c r="O1897" s="1" t="s">
        <v>16</v>
      </c>
      <c r="P1897" s="1" t="s">
        <v>16</v>
      </c>
    </row>
    <row r="1898" spans="1:19" ht="12.5" x14ac:dyDescent="0.25">
      <c r="A1898" s="1">
        <v>3052</v>
      </c>
      <c r="B1898" s="1" t="s">
        <v>6294</v>
      </c>
      <c r="C1898" s="1" t="s">
        <v>38</v>
      </c>
      <c r="D1898" s="1" t="s">
        <v>39</v>
      </c>
      <c r="E1898" s="1">
        <v>1868</v>
      </c>
      <c r="F1898" s="1" t="s">
        <v>6295</v>
      </c>
      <c r="G1898" s="1" t="s">
        <v>6296</v>
      </c>
      <c r="H1898" s="1" t="s">
        <v>16</v>
      </c>
      <c r="I1898" s="1" t="s">
        <v>20</v>
      </c>
      <c r="J1898" s="1" t="s">
        <v>6297</v>
      </c>
      <c r="K1898" s="1" t="b">
        <v>0</v>
      </c>
      <c r="L1898" s="1" t="s">
        <v>22</v>
      </c>
      <c r="M1898" s="1" t="s">
        <v>16</v>
      </c>
      <c r="N1898" s="1" t="s">
        <v>16</v>
      </c>
      <c r="O1898" s="1" t="s">
        <v>16</v>
      </c>
      <c r="P1898" s="1" t="s">
        <v>16</v>
      </c>
      <c r="Q1898" s="1">
        <v>62</v>
      </c>
    </row>
    <row r="1899" spans="1:19" ht="12.5" x14ac:dyDescent="0.25">
      <c r="A1899" s="1">
        <v>3126</v>
      </c>
      <c r="B1899" s="1" t="s">
        <v>6298</v>
      </c>
      <c r="C1899" s="1" t="s">
        <v>38</v>
      </c>
      <c r="D1899" s="1" t="s">
        <v>39</v>
      </c>
      <c r="E1899" s="1">
        <v>1868</v>
      </c>
      <c r="F1899" s="1" t="s">
        <v>6295</v>
      </c>
      <c r="G1899" s="1" t="s">
        <v>6296</v>
      </c>
      <c r="H1899" s="1" t="s">
        <v>16</v>
      </c>
      <c r="I1899" s="1" t="s">
        <v>20</v>
      </c>
      <c r="J1899" s="1" t="s">
        <v>6297</v>
      </c>
      <c r="K1899" s="1" t="b">
        <v>0</v>
      </c>
      <c r="L1899" s="1" t="s">
        <v>22</v>
      </c>
      <c r="M1899" s="1" t="s">
        <v>16</v>
      </c>
      <c r="N1899" s="1" t="s">
        <v>16</v>
      </c>
      <c r="O1899" s="1" t="s">
        <v>16</v>
      </c>
      <c r="P1899" s="1" t="s">
        <v>16</v>
      </c>
      <c r="Q1899" s="1">
        <v>38</v>
      </c>
    </row>
    <row r="1900" spans="1:19" ht="12.5" x14ac:dyDescent="0.25">
      <c r="A1900" s="1" t="s">
        <v>16</v>
      </c>
      <c r="B1900" s="1" t="s">
        <v>16</v>
      </c>
      <c r="C1900" s="1" t="s">
        <v>16</v>
      </c>
      <c r="D1900" s="1" t="s">
        <v>16</v>
      </c>
      <c r="E1900" s="1">
        <v>1869</v>
      </c>
      <c r="F1900" s="1" t="s">
        <v>6299</v>
      </c>
      <c r="G1900" s="1" t="s">
        <v>6300</v>
      </c>
      <c r="H1900" s="1" t="s">
        <v>16</v>
      </c>
      <c r="I1900" s="1" t="s">
        <v>20</v>
      </c>
      <c r="J1900" s="1" t="s">
        <v>6301</v>
      </c>
      <c r="K1900" s="1" t="b">
        <v>0</v>
      </c>
      <c r="L1900" s="1" t="s">
        <v>22</v>
      </c>
      <c r="M1900" s="1" t="s">
        <v>16</v>
      </c>
      <c r="N1900" s="1" t="s">
        <v>16</v>
      </c>
      <c r="O1900" s="1" t="s">
        <v>16</v>
      </c>
      <c r="P1900" s="1" t="s">
        <v>16</v>
      </c>
    </row>
    <row r="1901" spans="1:19" ht="12.5" x14ac:dyDescent="0.25">
      <c r="A1901" s="1" t="s">
        <v>16</v>
      </c>
      <c r="B1901" s="1" t="s">
        <v>16</v>
      </c>
      <c r="C1901" s="1" t="s">
        <v>16</v>
      </c>
      <c r="D1901" s="1" t="s">
        <v>16</v>
      </c>
      <c r="E1901" s="1">
        <v>1870</v>
      </c>
      <c r="F1901" s="1" t="s">
        <v>6302</v>
      </c>
      <c r="G1901" s="1" t="s">
        <v>6303</v>
      </c>
      <c r="H1901" s="1" t="s">
        <v>16</v>
      </c>
      <c r="I1901" s="1" t="s">
        <v>20</v>
      </c>
      <c r="J1901" s="1" t="s">
        <v>6304</v>
      </c>
      <c r="K1901" s="1" t="b">
        <v>0</v>
      </c>
      <c r="L1901" s="1" t="s">
        <v>22</v>
      </c>
      <c r="M1901" s="1" t="s">
        <v>16</v>
      </c>
      <c r="N1901" s="1" t="s">
        <v>16</v>
      </c>
      <c r="O1901" s="1" t="s">
        <v>16</v>
      </c>
      <c r="P1901" s="1" t="s">
        <v>16</v>
      </c>
    </row>
    <row r="1902" spans="1:19" ht="12.5" x14ac:dyDescent="0.25">
      <c r="A1902" s="1">
        <v>1687</v>
      </c>
      <c r="B1902" s="1" t="s">
        <v>6305</v>
      </c>
      <c r="C1902" s="1" t="s">
        <v>35</v>
      </c>
      <c r="D1902" s="1" t="s">
        <v>152</v>
      </c>
      <c r="E1902" s="1">
        <v>1871</v>
      </c>
      <c r="F1902" s="1" t="s">
        <v>6306</v>
      </c>
      <c r="G1902" s="1" t="s">
        <v>6307</v>
      </c>
      <c r="H1902" s="1" t="s">
        <v>16</v>
      </c>
      <c r="I1902" s="1" t="s">
        <v>29</v>
      </c>
      <c r="J1902" s="1" t="s">
        <v>6308</v>
      </c>
      <c r="K1902" s="1" t="b">
        <v>1</v>
      </c>
      <c r="L1902" s="1" t="s">
        <v>31</v>
      </c>
      <c r="M1902" s="1">
        <v>2022</v>
      </c>
      <c r="N1902" s="1" t="s">
        <v>45</v>
      </c>
      <c r="O1902" s="1" t="s">
        <v>9935</v>
      </c>
      <c r="P1902" s="1" t="s">
        <v>16</v>
      </c>
      <c r="Q1902" s="1">
        <v>100</v>
      </c>
      <c r="R1902" s="1">
        <v>2000</v>
      </c>
      <c r="S1902" s="1">
        <v>2000</v>
      </c>
    </row>
    <row r="1903" spans="1:19" ht="12.5" x14ac:dyDescent="0.25">
      <c r="A1903" s="1" t="s">
        <v>16</v>
      </c>
      <c r="B1903" s="1" t="s">
        <v>16</v>
      </c>
      <c r="C1903" s="1" t="s">
        <v>16</v>
      </c>
      <c r="D1903" s="1" t="s">
        <v>16</v>
      </c>
      <c r="E1903" s="1">
        <v>1872</v>
      </c>
      <c r="F1903" s="1" t="s">
        <v>6309</v>
      </c>
      <c r="G1903" s="1" t="s">
        <v>6310</v>
      </c>
      <c r="H1903" s="1" t="s">
        <v>16</v>
      </c>
      <c r="I1903" s="1" t="s">
        <v>20</v>
      </c>
      <c r="J1903" s="1" t="s">
        <v>6311</v>
      </c>
      <c r="K1903" s="1" t="b">
        <v>1</v>
      </c>
      <c r="L1903" s="1" t="s">
        <v>31</v>
      </c>
      <c r="M1903" s="1" t="s">
        <v>16</v>
      </c>
      <c r="N1903" s="1" t="s">
        <v>16</v>
      </c>
      <c r="O1903" s="1" t="s">
        <v>16</v>
      </c>
      <c r="P1903" s="1" t="s">
        <v>16</v>
      </c>
    </row>
    <row r="1904" spans="1:19" ht="12.5" x14ac:dyDescent="0.25">
      <c r="A1904" s="1" t="s">
        <v>16</v>
      </c>
      <c r="B1904" s="1" t="s">
        <v>16</v>
      </c>
      <c r="C1904" s="1" t="s">
        <v>16</v>
      </c>
      <c r="D1904" s="1" t="s">
        <v>16</v>
      </c>
      <c r="E1904" s="1">
        <v>1873</v>
      </c>
      <c r="F1904" s="1" t="s">
        <v>6312</v>
      </c>
      <c r="G1904" s="1" t="s">
        <v>6313</v>
      </c>
      <c r="H1904" s="1" t="s">
        <v>16</v>
      </c>
      <c r="I1904" s="1" t="s">
        <v>20</v>
      </c>
      <c r="J1904" s="1" t="s">
        <v>6314</v>
      </c>
      <c r="K1904" s="1" t="b">
        <v>0</v>
      </c>
      <c r="L1904" s="1" t="s">
        <v>22</v>
      </c>
      <c r="M1904" s="1" t="s">
        <v>16</v>
      </c>
      <c r="N1904" s="1" t="s">
        <v>16</v>
      </c>
      <c r="O1904" s="1" t="s">
        <v>16</v>
      </c>
      <c r="P1904" s="1" t="s">
        <v>16</v>
      </c>
    </row>
    <row r="1905" spans="1:17" ht="12.5" x14ac:dyDescent="0.25">
      <c r="A1905" s="1" t="s">
        <v>16</v>
      </c>
      <c r="B1905" s="1" t="s">
        <v>16</v>
      </c>
      <c r="C1905" s="1" t="s">
        <v>16</v>
      </c>
      <c r="D1905" s="1" t="s">
        <v>16</v>
      </c>
      <c r="E1905" s="1">
        <v>1874</v>
      </c>
      <c r="F1905" s="1" t="s">
        <v>6315</v>
      </c>
      <c r="G1905" s="1" t="s">
        <v>6316</v>
      </c>
      <c r="H1905" s="1" t="s">
        <v>16</v>
      </c>
      <c r="I1905" s="1" t="s">
        <v>20</v>
      </c>
      <c r="J1905" s="1" t="s">
        <v>6317</v>
      </c>
      <c r="K1905" s="1" t="b">
        <v>0</v>
      </c>
      <c r="L1905" s="1" t="s">
        <v>22</v>
      </c>
      <c r="M1905" s="1" t="s">
        <v>16</v>
      </c>
      <c r="N1905" s="1" t="s">
        <v>16</v>
      </c>
      <c r="O1905" s="1" t="s">
        <v>16</v>
      </c>
      <c r="P1905" s="1" t="s">
        <v>16</v>
      </c>
    </row>
    <row r="1906" spans="1:17" ht="12.5" x14ac:dyDescent="0.25">
      <c r="A1906" s="1" t="s">
        <v>16</v>
      </c>
      <c r="B1906" s="1" t="s">
        <v>16</v>
      </c>
      <c r="C1906" s="1" t="s">
        <v>16</v>
      </c>
      <c r="D1906" s="1" t="s">
        <v>16</v>
      </c>
      <c r="E1906" s="1">
        <v>1875</v>
      </c>
      <c r="F1906" s="1" t="s">
        <v>6318</v>
      </c>
      <c r="G1906" s="1" t="s">
        <v>6319</v>
      </c>
      <c r="H1906" s="1" t="s">
        <v>6320</v>
      </c>
      <c r="I1906" s="1" t="s">
        <v>20</v>
      </c>
      <c r="J1906" s="1" t="s">
        <v>6321</v>
      </c>
      <c r="K1906" s="1" t="b">
        <v>0</v>
      </c>
      <c r="L1906" s="1" t="s">
        <v>22</v>
      </c>
      <c r="M1906" s="1" t="s">
        <v>16</v>
      </c>
      <c r="N1906" s="1" t="s">
        <v>16</v>
      </c>
      <c r="O1906" s="1" t="s">
        <v>16</v>
      </c>
      <c r="P1906" s="1" t="s">
        <v>16</v>
      </c>
    </row>
    <row r="1907" spans="1:17" ht="12.5" x14ac:dyDescent="0.25">
      <c r="A1907" s="1">
        <v>1042</v>
      </c>
      <c r="B1907" s="1" t="s">
        <v>6322</v>
      </c>
      <c r="C1907" s="1" t="s">
        <v>35</v>
      </c>
      <c r="D1907" s="1" t="s">
        <v>152</v>
      </c>
      <c r="E1907" s="1">
        <v>1876</v>
      </c>
      <c r="F1907" s="1" t="s">
        <v>6324</v>
      </c>
      <c r="G1907" s="1" t="s">
        <v>6325</v>
      </c>
      <c r="H1907" s="1" t="s">
        <v>6326</v>
      </c>
      <c r="I1907" s="1" t="s">
        <v>29</v>
      </c>
      <c r="J1907" s="1" t="s">
        <v>16</v>
      </c>
      <c r="K1907" s="1" t="b">
        <v>0</v>
      </c>
      <c r="L1907" s="1" t="s">
        <v>22</v>
      </c>
      <c r="M1907" s="1" t="s">
        <v>16</v>
      </c>
      <c r="N1907" s="1" t="s">
        <v>16</v>
      </c>
      <c r="O1907" s="1" t="s">
        <v>16</v>
      </c>
      <c r="P1907" s="1" t="s">
        <v>16</v>
      </c>
      <c r="Q1907" s="1">
        <v>100</v>
      </c>
    </row>
    <row r="1908" spans="1:17" ht="12.5" x14ac:dyDescent="0.25">
      <c r="A1908" s="1">
        <v>1776</v>
      </c>
      <c r="B1908" s="1" t="s">
        <v>6163</v>
      </c>
      <c r="C1908" s="1" t="s">
        <v>35</v>
      </c>
      <c r="D1908" s="1" t="s">
        <v>5409</v>
      </c>
      <c r="E1908" s="1">
        <v>1877</v>
      </c>
      <c r="F1908" s="1" t="s">
        <v>6327</v>
      </c>
      <c r="G1908" s="1" t="s">
        <v>6328</v>
      </c>
      <c r="H1908" s="1" t="s">
        <v>16</v>
      </c>
      <c r="I1908" s="1" t="s">
        <v>20</v>
      </c>
      <c r="J1908" s="1" t="s">
        <v>6329</v>
      </c>
      <c r="K1908" s="1" t="b">
        <v>0</v>
      </c>
      <c r="L1908" s="1" t="s">
        <v>22</v>
      </c>
      <c r="M1908" s="1" t="s">
        <v>16</v>
      </c>
      <c r="N1908" s="1" t="s">
        <v>16</v>
      </c>
      <c r="O1908" s="1" t="s">
        <v>16</v>
      </c>
      <c r="P1908" s="1" t="s">
        <v>16</v>
      </c>
      <c r="Q1908" s="1">
        <v>10</v>
      </c>
    </row>
    <row r="1909" spans="1:17" ht="12.5" x14ac:dyDescent="0.25">
      <c r="A1909" s="1" t="s">
        <v>16</v>
      </c>
      <c r="B1909" s="1" t="s">
        <v>16</v>
      </c>
      <c r="C1909" s="1" t="s">
        <v>16</v>
      </c>
      <c r="D1909" s="1" t="s">
        <v>16</v>
      </c>
      <c r="E1909" s="1">
        <v>1878</v>
      </c>
      <c r="F1909" s="1" t="s">
        <v>6330</v>
      </c>
      <c r="G1909" s="1" t="s">
        <v>6331</v>
      </c>
      <c r="H1909" s="1" t="s">
        <v>16</v>
      </c>
      <c r="I1909" s="1" t="s">
        <v>20</v>
      </c>
      <c r="J1909" s="1" t="s">
        <v>6332</v>
      </c>
      <c r="K1909" s="1" t="b">
        <v>0</v>
      </c>
      <c r="L1909" s="1" t="s">
        <v>22</v>
      </c>
      <c r="M1909" s="1" t="s">
        <v>16</v>
      </c>
      <c r="N1909" s="1" t="s">
        <v>16</v>
      </c>
      <c r="O1909" s="1" t="s">
        <v>16</v>
      </c>
      <c r="P1909" s="1" t="s">
        <v>16</v>
      </c>
    </row>
    <row r="1910" spans="1:17" ht="12.5" x14ac:dyDescent="0.25">
      <c r="A1910" s="1" t="s">
        <v>16</v>
      </c>
      <c r="B1910" s="1" t="s">
        <v>16</v>
      </c>
      <c r="C1910" s="1" t="s">
        <v>16</v>
      </c>
      <c r="D1910" s="1" t="s">
        <v>16</v>
      </c>
      <c r="E1910" s="1">
        <v>1879</v>
      </c>
      <c r="F1910" s="1" t="s">
        <v>6333</v>
      </c>
      <c r="G1910" s="1" t="s">
        <v>6334</v>
      </c>
      <c r="H1910" s="1" t="s">
        <v>6335</v>
      </c>
      <c r="I1910" s="1" t="s">
        <v>20</v>
      </c>
      <c r="J1910" s="1" t="s">
        <v>6336</v>
      </c>
      <c r="K1910" s="1" t="b">
        <v>0</v>
      </c>
      <c r="L1910" s="1" t="s">
        <v>22</v>
      </c>
      <c r="M1910" s="1" t="s">
        <v>16</v>
      </c>
      <c r="N1910" s="1" t="s">
        <v>16</v>
      </c>
      <c r="O1910" s="1" t="s">
        <v>16</v>
      </c>
      <c r="P1910" s="1" t="s">
        <v>16</v>
      </c>
    </row>
    <row r="1911" spans="1:17" ht="12.5" x14ac:dyDescent="0.25">
      <c r="A1911" s="1" t="s">
        <v>16</v>
      </c>
      <c r="B1911" s="1" t="s">
        <v>16</v>
      </c>
      <c r="C1911" s="1" t="s">
        <v>16</v>
      </c>
      <c r="D1911" s="1" t="s">
        <v>16</v>
      </c>
      <c r="E1911" s="1">
        <v>1880</v>
      </c>
      <c r="F1911" s="1" t="s">
        <v>6337</v>
      </c>
      <c r="G1911" s="1" t="s">
        <v>6338</v>
      </c>
      <c r="H1911" s="1" t="s">
        <v>6339</v>
      </c>
      <c r="I1911" s="1" t="s">
        <v>20</v>
      </c>
      <c r="J1911" s="1" t="s">
        <v>6340</v>
      </c>
      <c r="K1911" s="1" t="b">
        <v>0</v>
      </c>
      <c r="L1911" s="1" t="s">
        <v>22</v>
      </c>
      <c r="M1911" s="1" t="s">
        <v>16</v>
      </c>
      <c r="N1911" s="1" t="s">
        <v>16</v>
      </c>
      <c r="O1911" s="1" t="s">
        <v>16</v>
      </c>
      <c r="P1911" s="1" t="s">
        <v>16</v>
      </c>
    </row>
    <row r="1912" spans="1:17" ht="12.5" x14ac:dyDescent="0.25">
      <c r="A1912" s="1" t="s">
        <v>16</v>
      </c>
      <c r="B1912" s="1" t="s">
        <v>16</v>
      </c>
      <c r="C1912" s="1" t="s">
        <v>16</v>
      </c>
      <c r="D1912" s="1" t="s">
        <v>16</v>
      </c>
      <c r="E1912" s="1">
        <v>1887</v>
      </c>
      <c r="F1912" s="1" t="s">
        <v>6341</v>
      </c>
      <c r="G1912" s="1" t="s">
        <v>6342</v>
      </c>
      <c r="H1912" s="1" t="s">
        <v>6343</v>
      </c>
      <c r="I1912" s="1" t="s">
        <v>20</v>
      </c>
      <c r="J1912" s="1" t="s">
        <v>6344</v>
      </c>
      <c r="K1912" s="1" t="b">
        <v>0</v>
      </c>
      <c r="L1912" s="1" t="s">
        <v>22</v>
      </c>
      <c r="M1912" s="1" t="s">
        <v>16</v>
      </c>
      <c r="N1912" s="1" t="s">
        <v>16</v>
      </c>
      <c r="O1912" s="1" t="s">
        <v>16</v>
      </c>
      <c r="P1912" s="1" t="s">
        <v>16</v>
      </c>
    </row>
    <row r="1913" spans="1:17" ht="12.5" x14ac:dyDescent="0.25">
      <c r="A1913" s="1" t="s">
        <v>16</v>
      </c>
      <c r="B1913" s="1" t="s">
        <v>16</v>
      </c>
      <c r="C1913" s="1" t="s">
        <v>16</v>
      </c>
      <c r="D1913" s="1" t="s">
        <v>16</v>
      </c>
      <c r="E1913" s="1">
        <v>1888</v>
      </c>
      <c r="F1913" s="1" t="s">
        <v>6345</v>
      </c>
      <c r="G1913" s="1" t="s">
        <v>6346</v>
      </c>
      <c r="H1913" s="1" t="s">
        <v>16</v>
      </c>
      <c r="I1913" s="1" t="s">
        <v>20</v>
      </c>
      <c r="J1913" s="1" t="s">
        <v>6347</v>
      </c>
      <c r="K1913" s="1" t="b">
        <v>0</v>
      </c>
      <c r="L1913" s="1" t="s">
        <v>22</v>
      </c>
      <c r="M1913" s="1" t="s">
        <v>16</v>
      </c>
      <c r="N1913" s="1" t="s">
        <v>16</v>
      </c>
      <c r="O1913" s="1" t="s">
        <v>16</v>
      </c>
      <c r="P1913" s="1" t="s">
        <v>16</v>
      </c>
    </row>
    <row r="1914" spans="1:17" ht="12.5" x14ac:dyDescent="0.25">
      <c r="A1914" s="1" t="s">
        <v>16</v>
      </c>
      <c r="B1914" s="1" t="s">
        <v>16</v>
      </c>
      <c r="C1914" s="1" t="s">
        <v>16</v>
      </c>
      <c r="D1914" s="1" t="s">
        <v>16</v>
      </c>
      <c r="E1914" s="1">
        <v>1889</v>
      </c>
      <c r="F1914" s="1" t="s">
        <v>6348</v>
      </c>
      <c r="G1914" s="1" t="s">
        <v>6349</v>
      </c>
      <c r="H1914" s="1" t="s">
        <v>6350</v>
      </c>
      <c r="I1914" s="1" t="s">
        <v>20</v>
      </c>
      <c r="J1914" s="1" t="s">
        <v>6351</v>
      </c>
      <c r="K1914" s="1" t="b">
        <v>0</v>
      </c>
      <c r="L1914" s="1" t="s">
        <v>22</v>
      </c>
      <c r="M1914" s="1" t="s">
        <v>16</v>
      </c>
      <c r="N1914" s="1" t="s">
        <v>16</v>
      </c>
      <c r="O1914" s="1" t="s">
        <v>16</v>
      </c>
      <c r="P1914" s="1" t="s">
        <v>16</v>
      </c>
    </row>
    <row r="1915" spans="1:17" ht="12.5" x14ac:dyDescent="0.25">
      <c r="A1915" s="1" t="s">
        <v>16</v>
      </c>
      <c r="B1915" s="1" t="s">
        <v>16</v>
      </c>
      <c r="C1915" s="1" t="s">
        <v>16</v>
      </c>
      <c r="D1915" s="1" t="s">
        <v>16</v>
      </c>
      <c r="E1915" s="1">
        <v>1890</v>
      </c>
      <c r="F1915" s="1" t="s">
        <v>6352</v>
      </c>
      <c r="G1915" s="1" t="s">
        <v>6353</v>
      </c>
      <c r="H1915" s="1" t="s">
        <v>16</v>
      </c>
      <c r="I1915" s="1" t="s">
        <v>20</v>
      </c>
      <c r="J1915" s="1" t="s">
        <v>6354</v>
      </c>
      <c r="K1915" s="1" t="b">
        <v>0</v>
      </c>
      <c r="L1915" s="1" t="s">
        <v>22</v>
      </c>
      <c r="M1915" s="1" t="s">
        <v>16</v>
      </c>
      <c r="N1915" s="1" t="s">
        <v>16</v>
      </c>
      <c r="O1915" s="1" t="s">
        <v>16</v>
      </c>
      <c r="P1915" s="1" t="s">
        <v>16</v>
      </c>
    </row>
    <row r="1916" spans="1:17" ht="12.5" x14ac:dyDescent="0.25">
      <c r="A1916" s="1" t="s">
        <v>16</v>
      </c>
      <c r="B1916" s="1" t="s">
        <v>16</v>
      </c>
      <c r="C1916" s="1" t="s">
        <v>16</v>
      </c>
      <c r="D1916" s="1" t="s">
        <v>16</v>
      </c>
      <c r="E1916" s="1">
        <v>1892</v>
      </c>
      <c r="F1916" s="1" t="s">
        <v>6355</v>
      </c>
      <c r="G1916" s="1" t="s">
        <v>6356</v>
      </c>
      <c r="H1916" s="1" t="s">
        <v>16</v>
      </c>
      <c r="I1916" s="1" t="s">
        <v>20</v>
      </c>
      <c r="J1916" s="1" t="s">
        <v>6357</v>
      </c>
      <c r="K1916" s="1" t="b">
        <v>0</v>
      </c>
      <c r="L1916" s="1" t="s">
        <v>22</v>
      </c>
      <c r="M1916" s="1" t="s">
        <v>16</v>
      </c>
      <c r="N1916" s="1" t="s">
        <v>16</v>
      </c>
      <c r="O1916" s="1" t="s">
        <v>16</v>
      </c>
      <c r="P1916" s="1" t="s">
        <v>16</v>
      </c>
    </row>
    <row r="1917" spans="1:17" ht="12.5" x14ac:dyDescent="0.25">
      <c r="A1917" s="1" t="s">
        <v>16</v>
      </c>
      <c r="B1917" s="1" t="s">
        <v>16</v>
      </c>
      <c r="C1917" s="1" t="s">
        <v>16</v>
      </c>
      <c r="D1917" s="1" t="s">
        <v>16</v>
      </c>
      <c r="E1917" s="1">
        <v>1893</v>
      </c>
      <c r="F1917" s="1" t="s">
        <v>6358</v>
      </c>
      <c r="G1917" s="1" t="s">
        <v>6359</v>
      </c>
      <c r="H1917" s="1" t="s">
        <v>16</v>
      </c>
      <c r="I1917" s="1" t="s">
        <v>20</v>
      </c>
      <c r="J1917" s="1" t="s">
        <v>6360</v>
      </c>
      <c r="K1917" s="1" t="b">
        <v>0</v>
      </c>
      <c r="L1917" s="1" t="s">
        <v>22</v>
      </c>
      <c r="M1917" s="1" t="s">
        <v>16</v>
      </c>
      <c r="N1917" s="1" t="s">
        <v>16</v>
      </c>
      <c r="O1917" s="1" t="s">
        <v>16</v>
      </c>
      <c r="P1917" s="1" t="s">
        <v>16</v>
      </c>
    </row>
    <row r="1918" spans="1:17" ht="12.5" x14ac:dyDescent="0.25">
      <c r="A1918" s="1" t="s">
        <v>16</v>
      </c>
      <c r="B1918" s="1" t="s">
        <v>16</v>
      </c>
      <c r="C1918" s="1" t="s">
        <v>16</v>
      </c>
      <c r="D1918" s="1" t="s">
        <v>16</v>
      </c>
      <c r="E1918" s="1">
        <v>1894</v>
      </c>
      <c r="F1918" s="1" t="s">
        <v>6361</v>
      </c>
      <c r="G1918" s="1" t="s">
        <v>6362</v>
      </c>
      <c r="H1918" s="1" t="s">
        <v>16</v>
      </c>
      <c r="I1918" s="1" t="s">
        <v>20</v>
      </c>
      <c r="J1918" s="1" t="s">
        <v>6363</v>
      </c>
      <c r="K1918" s="1" t="b">
        <v>0</v>
      </c>
      <c r="L1918" s="1" t="s">
        <v>22</v>
      </c>
      <c r="M1918" s="1" t="s">
        <v>16</v>
      </c>
      <c r="N1918" s="1" t="s">
        <v>16</v>
      </c>
      <c r="O1918" s="1" t="s">
        <v>16</v>
      </c>
      <c r="P1918" s="1" t="s">
        <v>16</v>
      </c>
    </row>
    <row r="1919" spans="1:17" ht="12.5" x14ac:dyDescent="0.25">
      <c r="A1919" s="1" t="s">
        <v>16</v>
      </c>
      <c r="B1919" s="1" t="s">
        <v>16</v>
      </c>
      <c r="C1919" s="1" t="s">
        <v>16</v>
      </c>
      <c r="D1919" s="1" t="s">
        <v>16</v>
      </c>
      <c r="E1919" s="1">
        <v>1895</v>
      </c>
      <c r="F1919" s="1" t="s">
        <v>6364</v>
      </c>
      <c r="G1919" s="1" t="s">
        <v>6365</v>
      </c>
      <c r="H1919" s="1" t="s">
        <v>16</v>
      </c>
      <c r="I1919" s="1" t="s">
        <v>20</v>
      </c>
      <c r="J1919" s="1" t="s">
        <v>6366</v>
      </c>
      <c r="K1919" s="1" t="b">
        <v>0</v>
      </c>
      <c r="L1919" s="1" t="s">
        <v>22</v>
      </c>
      <c r="M1919" s="1" t="s">
        <v>16</v>
      </c>
      <c r="N1919" s="1" t="s">
        <v>16</v>
      </c>
      <c r="O1919" s="1" t="s">
        <v>16</v>
      </c>
      <c r="P1919" s="1" t="s">
        <v>16</v>
      </c>
    </row>
    <row r="1920" spans="1:17" ht="12.5" x14ac:dyDescent="0.25">
      <c r="A1920" s="1">
        <v>1716</v>
      </c>
      <c r="B1920" s="1" t="s">
        <v>6367</v>
      </c>
      <c r="C1920" s="1" t="s">
        <v>35</v>
      </c>
      <c r="D1920" s="1" t="s">
        <v>152</v>
      </c>
      <c r="E1920" s="1">
        <v>1896</v>
      </c>
      <c r="F1920" s="1" t="s">
        <v>6369</v>
      </c>
      <c r="G1920" s="1" t="s">
        <v>6370</v>
      </c>
      <c r="H1920" s="1" t="s">
        <v>16</v>
      </c>
      <c r="I1920" s="1" t="s">
        <v>20</v>
      </c>
      <c r="J1920" s="1" t="s">
        <v>6371</v>
      </c>
      <c r="K1920" s="1" t="b">
        <v>0</v>
      </c>
      <c r="L1920" s="1" t="s">
        <v>22</v>
      </c>
      <c r="M1920" s="1" t="s">
        <v>16</v>
      </c>
      <c r="N1920" s="1" t="s">
        <v>16</v>
      </c>
      <c r="O1920" s="1" t="s">
        <v>16</v>
      </c>
      <c r="P1920" s="1" t="s">
        <v>16</v>
      </c>
      <c r="Q1920" s="1">
        <v>10</v>
      </c>
    </row>
    <row r="1921" spans="1:17" ht="12.5" x14ac:dyDescent="0.25">
      <c r="A1921" s="1" t="s">
        <v>16</v>
      </c>
      <c r="B1921" s="1" t="s">
        <v>16</v>
      </c>
      <c r="C1921" s="1" t="s">
        <v>16</v>
      </c>
      <c r="D1921" s="1" t="s">
        <v>16</v>
      </c>
      <c r="E1921" s="1">
        <v>1897</v>
      </c>
      <c r="F1921" s="1" t="s">
        <v>6372</v>
      </c>
      <c r="G1921" s="1" t="s">
        <v>6373</v>
      </c>
      <c r="H1921" s="1" t="s">
        <v>16</v>
      </c>
      <c r="I1921" s="1" t="s">
        <v>20</v>
      </c>
      <c r="J1921" s="1" t="s">
        <v>6374</v>
      </c>
      <c r="K1921" s="1" t="b">
        <v>0</v>
      </c>
      <c r="L1921" s="1" t="s">
        <v>22</v>
      </c>
      <c r="M1921" s="1" t="s">
        <v>16</v>
      </c>
      <c r="N1921" s="1" t="s">
        <v>16</v>
      </c>
      <c r="O1921" s="1" t="s">
        <v>16</v>
      </c>
      <c r="P1921" s="1" t="s">
        <v>16</v>
      </c>
    </row>
    <row r="1922" spans="1:17" ht="12.5" x14ac:dyDescent="0.25">
      <c r="A1922" s="1" t="s">
        <v>16</v>
      </c>
      <c r="B1922" s="1" t="s">
        <v>16</v>
      </c>
      <c r="C1922" s="1" t="s">
        <v>16</v>
      </c>
      <c r="D1922" s="1" t="s">
        <v>16</v>
      </c>
      <c r="E1922" s="1">
        <v>1898</v>
      </c>
      <c r="F1922" s="1" t="s">
        <v>6375</v>
      </c>
      <c r="G1922" s="1" t="s">
        <v>6376</v>
      </c>
      <c r="H1922" s="1" t="s">
        <v>16</v>
      </c>
      <c r="I1922" s="1" t="s">
        <v>20</v>
      </c>
      <c r="J1922" s="1" t="s">
        <v>6377</v>
      </c>
      <c r="K1922" s="1" t="b">
        <v>0</v>
      </c>
      <c r="L1922" s="1" t="s">
        <v>22</v>
      </c>
      <c r="M1922" s="1" t="s">
        <v>16</v>
      </c>
      <c r="N1922" s="1" t="s">
        <v>16</v>
      </c>
      <c r="O1922" s="1" t="s">
        <v>16</v>
      </c>
      <c r="P1922" s="1" t="s">
        <v>16</v>
      </c>
    </row>
    <row r="1923" spans="1:17" ht="12.5" x14ac:dyDescent="0.25">
      <c r="A1923" s="1" t="s">
        <v>16</v>
      </c>
      <c r="B1923" s="1" t="s">
        <v>16</v>
      </c>
      <c r="C1923" s="1" t="s">
        <v>16</v>
      </c>
      <c r="D1923" s="1" t="s">
        <v>16</v>
      </c>
      <c r="E1923" s="1">
        <v>1899</v>
      </c>
      <c r="F1923" s="1" t="s">
        <v>6378</v>
      </c>
      <c r="G1923" s="1" t="s">
        <v>6379</v>
      </c>
      <c r="H1923" s="1" t="s">
        <v>16</v>
      </c>
      <c r="I1923" s="1" t="s">
        <v>20</v>
      </c>
      <c r="J1923" s="1" t="s">
        <v>6380</v>
      </c>
      <c r="K1923" s="1" t="b">
        <v>0</v>
      </c>
      <c r="L1923" s="1" t="s">
        <v>22</v>
      </c>
      <c r="M1923" s="1" t="s">
        <v>16</v>
      </c>
      <c r="N1923" s="1" t="s">
        <v>16</v>
      </c>
      <c r="O1923" s="1" t="s">
        <v>16</v>
      </c>
      <c r="P1923" s="1" t="s">
        <v>16</v>
      </c>
    </row>
    <row r="1924" spans="1:17" ht="12.5" x14ac:dyDescent="0.25">
      <c r="A1924" s="1" t="s">
        <v>16</v>
      </c>
      <c r="B1924" s="1" t="s">
        <v>16</v>
      </c>
      <c r="C1924" s="1" t="s">
        <v>16</v>
      </c>
      <c r="D1924" s="1" t="s">
        <v>16</v>
      </c>
      <c r="E1924" s="1">
        <v>1900</v>
      </c>
      <c r="F1924" s="1" t="s">
        <v>6381</v>
      </c>
      <c r="G1924" s="1" t="s">
        <v>6382</v>
      </c>
      <c r="H1924" s="1" t="s">
        <v>16</v>
      </c>
      <c r="I1924" s="1" t="s">
        <v>20</v>
      </c>
      <c r="J1924" s="1" t="s">
        <v>6383</v>
      </c>
      <c r="K1924" s="1" t="b">
        <v>0</v>
      </c>
      <c r="L1924" s="1" t="s">
        <v>22</v>
      </c>
      <c r="M1924" s="1" t="s">
        <v>16</v>
      </c>
      <c r="N1924" s="1" t="s">
        <v>16</v>
      </c>
      <c r="O1924" s="1" t="s">
        <v>16</v>
      </c>
      <c r="P1924" s="1" t="s">
        <v>16</v>
      </c>
    </row>
    <row r="1925" spans="1:17" ht="12.5" x14ac:dyDescent="0.25">
      <c r="A1925" s="1" t="s">
        <v>16</v>
      </c>
      <c r="B1925" s="1" t="s">
        <v>16</v>
      </c>
      <c r="C1925" s="1" t="s">
        <v>16</v>
      </c>
      <c r="D1925" s="1" t="s">
        <v>16</v>
      </c>
      <c r="E1925" s="1">
        <v>1901</v>
      </c>
      <c r="F1925" s="1" t="s">
        <v>6384</v>
      </c>
      <c r="G1925" s="1" t="s">
        <v>6385</v>
      </c>
      <c r="H1925" s="1" t="s">
        <v>16</v>
      </c>
      <c r="I1925" s="1" t="s">
        <v>20</v>
      </c>
      <c r="J1925" s="1" t="s">
        <v>6386</v>
      </c>
      <c r="K1925" s="1" t="b">
        <v>0</v>
      </c>
      <c r="L1925" s="1" t="s">
        <v>22</v>
      </c>
      <c r="M1925" s="1" t="s">
        <v>16</v>
      </c>
      <c r="N1925" s="1" t="s">
        <v>16</v>
      </c>
      <c r="O1925" s="1" t="s">
        <v>16</v>
      </c>
      <c r="P1925" s="1" t="s">
        <v>16</v>
      </c>
    </row>
    <row r="1926" spans="1:17" ht="12.5" x14ac:dyDescent="0.25">
      <c r="A1926" s="1" t="s">
        <v>16</v>
      </c>
      <c r="B1926" s="1" t="s">
        <v>16</v>
      </c>
      <c r="C1926" s="1" t="s">
        <v>16</v>
      </c>
      <c r="D1926" s="1" t="s">
        <v>16</v>
      </c>
      <c r="E1926" s="1">
        <v>1902</v>
      </c>
      <c r="F1926" s="1" t="s">
        <v>6387</v>
      </c>
      <c r="G1926" s="1" t="s">
        <v>6388</v>
      </c>
      <c r="H1926" s="1" t="s">
        <v>16</v>
      </c>
      <c r="I1926" s="1" t="s">
        <v>20</v>
      </c>
      <c r="J1926" s="1" t="s">
        <v>6389</v>
      </c>
      <c r="K1926" s="1" t="b">
        <v>0</v>
      </c>
      <c r="L1926" s="1" t="s">
        <v>22</v>
      </c>
      <c r="M1926" s="1" t="s">
        <v>16</v>
      </c>
      <c r="N1926" s="1" t="s">
        <v>16</v>
      </c>
      <c r="O1926" s="1" t="s">
        <v>16</v>
      </c>
      <c r="P1926" s="1" t="s">
        <v>16</v>
      </c>
    </row>
    <row r="1927" spans="1:17" ht="12.5" x14ac:dyDescent="0.25">
      <c r="A1927" s="1" t="s">
        <v>16</v>
      </c>
      <c r="B1927" s="1" t="s">
        <v>16</v>
      </c>
      <c r="C1927" s="1" t="s">
        <v>16</v>
      </c>
      <c r="D1927" s="1" t="s">
        <v>16</v>
      </c>
      <c r="E1927" s="1">
        <v>1903</v>
      </c>
      <c r="F1927" s="1" t="s">
        <v>6390</v>
      </c>
      <c r="G1927" s="1" t="s">
        <v>6391</v>
      </c>
      <c r="H1927" s="1" t="s">
        <v>16</v>
      </c>
      <c r="I1927" s="1" t="s">
        <v>20</v>
      </c>
      <c r="J1927" s="1" t="s">
        <v>6392</v>
      </c>
      <c r="K1927" s="1" t="b">
        <v>0</v>
      </c>
      <c r="L1927" s="1" t="s">
        <v>22</v>
      </c>
      <c r="M1927" s="1" t="s">
        <v>16</v>
      </c>
      <c r="N1927" s="1" t="s">
        <v>16</v>
      </c>
      <c r="O1927" s="1" t="s">
        <v>16</v>
      </c>
      <c r="P1927" s="1" t="s">
        <v>16</v>
      </c>
    </row>
    <row r="1928" spans="1:17" ht="12.5" x14ac:dyDescent="0.25">
      <c r="A1928" s="1" t="s">
        <v>16</v>
      </c>
      <c r="B1928" s="1" t="s">
        <v>16</v>
      </c>
      <c r="C1928" s="1" t="s">
        <v>16</v>
      </c>
      <c r="D1928" s="1" t="s">
        <v>16</v>
      </c>
      <c r="E1928" s="1">
        <v>1904</v>
      </c>
      <c r="F1928" s="1" t="s">
        <v>6393</v>
      </c>
      <c r="G1928" s="1" t="s">
        <v>6394</v>
      </c>
      <c r="H1928" s="1" t="s">
        <v>16</v>
      </c>
      <c r="I1928" s="1" t="s">
        <v>20</v>
      </c>
      <c r="J1928" s="1" t="s">
        <v>6395</v>
      </c>
      <c r="K1928" s="1" t="b">
        <v>0</v>
      </c>
      <c r="L1928" s="1" t="s">
        <v>22</v>
      </c>
      <c r="M1928" s="1" t="s">
        <v>16</v>
      </c>
      <c r="N1928" s="1" t="s">
        <v>16</v>
      </c>
      <c r="O1928" s="1" t="s">
        <v>16</v>
      </c>
      <c r="P1928" s="1" t="s">
        <v>16</v>
      </c>
    </row>
    <row r="1929" spans="1:17" ht="12.5" x14ac:dyDescent="0.25">
      <c r="A1929" s="1" t="s">
        <v>16</v>
      </c>
      <c r="B1929" s="1" t="s">
        <v>16</v>
      </c>
      <c r="C1929" s="1" t="s">
        <v>16</v>
      </c>
      <c r="D1929" s="1" t="s">
        <v>16</v>
      </c>
      <c r="E1929" s="1">
        <v>1905</v>
      </c>
      <c r="F1929" s="1" t="s">
        <v>6396</v>
      </c>
      <c r="G1929" s="1" t="s">
        <v>6397</v>
      </c>
      <c r="H1929" s="1" t="s">
        <v>16</v>
      </c>
      <c r="I1929" s="1" t="s">
        <v>20</v>
      </c>
      <c r="J1929" s="1" t="s">
        <v>6398</v>
      </c>
      <c r="K1929" s="1" t="b">
        <v>0</v>
      </c>
      <c r="L1929" s="1" t="s">
        <v>22</v>
      </c>
      <c r="M1929" s="1" t="s">
        <v>16</v>
      </c>
      <c r="N1929" s="1" t="s">
        <v>16</v>
      </c>
      <c r="O1929" s="1" t="s">
        <v>16</v>
      </c>
      <c r="P1929" s="1" t="s">
        <v>16</v>
      </c>
    </row>
    <row r="1930" spans="1:17" ht="12.5" x14ac:dyDescent="0.25">
      <c r="A1930" s="1" t="s">
        <v>16</v>
      </c>
      <c r="B1930" s="1" t="s">
        <v>16</v>
      </c>
      <c r="C1930" s="1" t="s">
        <v>16</v>
      </c>
      <c r="D1930" s="1" t="s">
        <v>16</v>
      </c>
      <c r="E1930" s="1">
        <v>1906</v>
      </c>
      <c r="F1930" s="1" t="s">
        <v>6399</v>
      </c>
      <c r="G1930" s="1" t="s">
        <v>6400</v>
      </c>
      <c r="H1930" s="1" t="s">
        <v>16</v>
      </c>
      <c r="I1930" s="1" t="s">
        <v>20</v>
      </c>
      <c r="J1930" s="1" t="s">
        <v>6401</v>
      </c>
      <c r="K1930" s="1" t="b">
        <v>0</v>
      </c>
      <c r="L1930" s="1" t="s">
        <v>22</v>
      </c>
      <c r="M1930" s="1" t="s">
        <v>16</v>
      </c>
      <c r="N1930" s="1" t="s">
        <v>16</v>
      </c>
      <c r="O1930" s="1" t="s">
        <v>16</v>
      </c>
      <c r="P1930" s="1" t="s">
        <v>16</v>
      </c>
    </row>
    <row r="1931" spans="1:17" ht="12.5" x14ac:dyDescent="0.25">
      <c r="A1931" s="1" t="s">
        <v>16</v>
      </c>
      <c r="B1931" s="1" t="s">
        <v>16</v>
      </c>
      <c r="C1931" s="1" t="s">
        <v>16</v>
      </c>
      <c r="D1931" s="1" t="s">
        <v>16</v>
      </c>
      <c r="E1931" s="1">
        <v>1907</v>
      </c>
      <c r="F1931" s="1" t="s">
        <v>6402</v>
      </c>
      <c r="G1931" s="1" t="s">
        <v>6403</v>
      </c>
      <c r="H1931" s="1" t="s">
        <v>16</v>
      </c>
      <c r="I1931" s="1" t="s">
        <v>20</v>
      </c>
      <c r="J1931" s="1" t="s">
        <v>6404</v>
      </c>
      <c r="K1931" s="1" t="b">
        <v>0</v>
      </c>
      <c r="L1931" s="1" t="s">
        <v>22</v>
      </c>
      <c r="M1931" s="1" t="s">
        <v>16</v>
      </c>
      <c r="N1931" s="1" t="s">
        <v>16</v>
      </c>
      <c r="O1931" s="1" t="s">
        <v>16</v>
      </c>
      <c r="P1931" s="1" t="s">
        <v>16</v>
      </c>
    </row>
    <row r="1932" spans="1:17" ht="12.5" x14ac:dyDescent="0.25">
      <c r="A1932" s="1" t="s">
        <v>16</v>
      </c>
      <c r="B1932" s="1" t="s">
        <v>16</v>
      </c>
      <c r="C1932" s="1" t="s">
        <v>16</v>
      </c>
      <c r="D1932" s="1" t="s">
        <v>16</v>
      </c>
      <c r="E1932" s="1">
        <v>1908</v>
      </c>
      <c r="F1932" s="1" t="s">
        <v>6405</v>
      </c>
      <c r="G1932" s="1" t="s">
        <v>6406</v>
      </c>
      <c r="H1932" s="1" t="s">
        <v>16</v>
      </c>
      <c r="I1932" s="1" t="s">
        <v>20</v>
      </c>
      <c r="J1932" s="1" t="s">
        <v>6407</v>
      </c>
      <c r="K1932" s="1" t="b">
        <v>0</v>
      </c>
      <c r="L1932" s="1" t="s">
        <v>22</v>
      </c>
      <c r="M1932" s="1" t="s">
        <v>16</v>
      </c>
      <c r="N1932" s="1" t="s">
        <v>16</v>
      </c>
      <c r="O1932" s="1" t="s">
        <v>16</v>
      </c>
      <c r="P1932" s="1" t="s">
        <v>16</v>
      </c>
    </row>
    <row r="1933" spans="1:17" ht="12.5" x14ac:dyDescent="0.25">
      <c r="A1933" s="1" t="s">
        <v>16</v>
      </c>
      <c r="B1933" s="1" t="s">
        <v>16</v>
      </c>
      <c r="C1933" s="1" t="s">
        <v>16</v>
      </c>
      <c r="D1933" s="1" t="s">
        <v>16</v>
      </c>
      <c r="E1933" s="1">
        <v>1909</v>
      </c>
      <c r="F1933" s="1" t="s">
        <v>6408</v>
      </c>
      <c r="G1933" s="1" t="s">
        <v>6409</v>
      </c>
      <c r="H1933" s="1" t="s">
        <v>16</v>
      </c>
      <c r="I1933" s="1" t="s">
        <v>20</v>
      </c>
      <c r="J1933" s="1" t="s">
        <v>6410</v>
      </c>
      <c r="K1933" s="1" t="b">
        <v>0</v>
      </c>
      <c r="L1933" s="1" t="s">
        <v>22</v>
      </c>
      <c r="M1933" s="1" t="s">
        <v>16</v>
      </c>
      <c r="N1933" s="1" t="s">
        <v>16</v>
      </c>
      <c r="O1933" s="1" t="s">
        <v>16</v>
      </c>
      <c r="P1933" s="1" t="s">
        <v>16</v>
      </c>
    </row>
    <row r="1934" spans="1:17" ht="12.5" x14ac:dyDescent="0.25">
      <c r="A1934" s="1" t="s">
        <v>16</v>
      </c>
      <c r="B1934" s="1" t="s">
        <v>16</v>
      </c>
      <c r="C1934" s="1" t="s">
        <v>16</v>
      </c>
      <c r="D1934" s="1" t="s">
        <v>16</v>
      </c>
      <c r="E1934" s="1">
        <v>1910</v>
      </c>
      <c r="F1934" s="1" t="s">
        <v>6411</v>
      </c>
      <c r="G1934" s="1" t="s">
        <v>6412</v>
      </c>
      <c r="H1934" s="1" t="s">
        <v>16</v>
      </c>
      <c r="I1934" s="1" t="s">
        <v>20</v>
      </c>
      <c r="J1934" s="1" t="s">
        <v>6413</v>
      </c>
      <c r="K1934" s="1" t="b">
        <v>0</v>
      </c>
      <c r="L1934" s="1" t="s">
        <v>22</v>
      </c>
      <c r="M1934" s="1" t="s">
        <v>16</v>
      </c>
      <c r="N1934" s="1" t="s">
        <v>16</v>
      </c>
      <c r="O1934" s="1" t="s">
        <v>16</v>
      </c>
      <c r="P1934" s="1" t="s">
        <v>16</v>
      </c>
    </row>
    <row r="1935" spans="1:17" ht="12.5" x14ac:dyDescent="0.25">
      <c r="A1935" s="1">
        <v>818</v>
      </c>
      <c r="B1935" s="1" t="s">
        <v>6414</v>
      </c>
      <c r="C1935" s="1" t="s">
        <v>35</v>
      </c>
      <c r="D1935" s="1" t="s">
        <v>36</v>
      </c>
      <c r="E1935" s="1">
        <v>1911</v>
      </c>
      <c r="F1935" s="1" t="s">
        <v>6415</v>
      </c>
      <c r="G1935" s="1" t="s">
        <v>10062</v>
      </c>
      <c r="H1935" s="1" t="s">
        <v>6416</v>
      </c>
      <c r="I1935" s="1" t="s">
        <v>20</v>
      </c>
      <c r="J1935" s="1" t="s">
        <v>6417</v>
      </c>
      <c r="K1935" s="1" t="b">
        <v>0</v>
      </c>
      <c r="L1935" s="1" t="s">
        <v>22</v>
      </c>
      <c r="M1935" s="1" t="s">
        <v>16</v>
      </c>
      <c r="N1935" s="1" t="s">
        <v>16</v>
      </c>
      <c r="O1935" s="1" t="s">
        <v>16</v>
      </c>
      <c r="P1935" s="1" t="s">
        <v>16</v>
      </c>
      <c r="Q1935" s="1">
        <v>10</v>
      </c>
    </row>
    <row r="1936" spans="1:17" ht="12.5" x14ac:dyDescent="0.25">
      <c r="A1936" s="1" t="s">
        <v>16</v>
      </c>
      <c r="B1936" s="1" t="s">
        <v>16</v>
      </c>
      <c r="C1936" s="1" t="s">
        <v>16</v>
      </c>
      <c r="D1936" s="1" t="s">
        <v>16</v>
      </c>
      <c r="E1936" s="1">
        <v>1912</v>
      </c>
      <c r="F1936" s="1" t="s">
        <v>6419</v>
      </c>
      <c r="G1936" s="1" t="s">
        <v>6420</v>
      </c>
      <c r="H1936" s="1" t="s">
        <v>6421</v>
      </c>
      <c r="I1936" s="1" t="s">
        <v>20</v>
      </c>
      <c r="J1936" s="1" t="s">
        <v>6422</v>
      </c>
      <c r="K1936" s="1" t="b">
        <v>0</v>
      </c>
      <c r="L1936" s="1" t="s">
        <v>22</v>
      </c>
      <c r="M1936" s="1" t="s">
        <v>16</v>
      </c>
      <c r="N1936" s="1" t="s">
        <v>16</v>
      </c>
      <c r="O1936" s="1" t="s">
        <v>16</v>
      </c>
      <c r="P1936" s="1" t="s">
        <v>16</v>
      </c>
    </row>
    <row r="1937" spans="1:19" ht="12.5" x14ac:dyDescent="0.25">
      <c r="A1937" s="1" t="s">
        <v>16</v>
      </c>
      <c r="B1937" s="1" t="s">
        <v>16</v>
      </c>
      <c r="C1937" s="1" t="s">
        <v>16</v>
      </c>
      <c r="D1937" s="1" t="s">
        <v>16</v>
      </c>
      <c r="E1937" s="1">
        <v>1913</v>
      </c>
      <c r="F1937" s="1" t="s">
        <v>6423</v>
      </c>
      <c r="G1937" s="1" t="s">
        <v>10063</v>
      </c>
      <c r="H1937" s="1" t="s">
        <v>6416</v>
      </c>
      <c r="I1937" s="1" t="s">
        <v>20</v>
      </c>
      <c r="J1937" s="1" t="s">
        <v>6424</v>
      </c>
      <c r="K1937" s="1" t="b">
        <v>0</v>
      </c>
      <c r="L1937" s="1" t="s">
        <v>22</v>
      </c>
      <c r="M1937" s="1" t="s">
        <v>16</v>
      </c>
      <c r="N1937" s="1" t="s">
        <v>16</v>
      </c>
      <c r="O1937" s="1" t="s">
        <v>16</v>
      </c>
      <c r="P1937" s="1" t="s">
        <v>16</v>
      </c>
    </row>
    <row r="1938" spans="1:19" ht="12.5" x14ac:dyDescent="0.25">
      <c r="A1938" s="1" t="s">
        <v>16</v>
      </c>
      <c r="B1938" s="1" t="s">
        <v>16</v>
      </c>
      <c r="C1938" s="1" t="s">
        <v>16</v>
      </c>
      <c r="D1938" s="1" t="s">
        <v>16</v>
      </c>
      <c r="E1938" s="1">
        <v>1914</v>
      </c>
      <c r="F1938" s="1" t="s">
        <v>6425</v>
      </c>
      <c r="G1938" s="1" t="s">
        <v>10064</v>
      </c>
      <c r="H1938" s="1" t="s">
        <v>6426</v>
      </c>
      <c r="I1938" s="1" t="s">
        <v>20</v>
      </c>
      <c r="J1938" s="1" t="s">
        <v>6427</v>
      </c>
      <c r="K1938" s="1" t="b">
        <v>0</v>
      </c>
      <c r="L1938" s="1" t="s">
        <v>22</v>
      </c>
      <c r="M1938" s="1" t="s">
        <v>16</v>
      </c>
      <c r="N1938" s="1" t="s">
        <v>16</v>
      </c>
      <c r="O1938" s="1" t="s">
        <v>16</v>
      </c>
      <c r="P1938" s="1" t="s">
        <v>16</v>
      </c>
    </row>
    <row r="1939" spans="1:19" ht="12.5" x14ac:dyDescent="0.25">
      <c r="A1939" s="1" t="s">
        <v>16</v>
      </c>
      <c r="B1939" s="1" t="s">
        <v>16</v>
      </c>
      <c r="C1939" s="1" t="s">
        <v>16</v>
      </c>
      <c r="D1939" s="1" t="s">
        <v>16</v>
      </c>
      <c r="E1939" s="1">
        <v>1915</v>
      </c>
      <c r="F1939" s="1" t="s">
        <v>6428</v>
      </c>
      <c r="G1939" s="1" t="s">
        <v>10065</v>
      </c>
      <c r="H1939" s="1" t="s">
        <v>6429</v>
      </c>
      <c r="I1939" s="1" t="s">
        <v>20</v>
      </c>
      <c r="J1939" s="1" t="s">
        <v>6430</v>
      </c>
      <c r="K1939" s="1" t="b">
        <v>0</v>
      </c>
      <c r="L1939" s="1" t="s">
        <v>22</v>
      </c>
      <c r="M1939" s="1" t="s">
        <v>16</v>
      </c>
      <c r="N1939" s="1" t="s">
        <v>16</v>
      </c>
      <c r="O1939" s="1" t="s">
        <v>16</v>
      </c>
      <c r="P1939" s="1" t="s">
        <v>16</v>
      </c>
    </row>
    <row r="1940" spans="1:19" ht="12.5" x14ac:dyDescent="0.25">
      <c r="A1940" s="1" t="s">
        <v>16</v>
      </c>
      <c r="B1940" s="1" t="s">
        <v>16</v>
      </c>
      <c r="C1940" s="1" t="s">
        <v>16</v>
      </c>
      <c r="D1940" s="1" t="s">
        <v>16</v>
      </c>
      <c r="E1940" s="1">
        <v>1916</v>
      </c>
      <c r="F1940" s="1" t="s">
        <v>6431</v>
      </c>
      <c r="G1940" s="1" t="s">
        <v>6432</v>
      </c>
      <c r="H1940" s="1" t="s">
        <v>6416</v>
      </c>
      <c r="I1940" s="1" t="s">
        <v>20</v>
      </c>
      <c r="J1940" s="1" t="s">
        <v>6433</v>
      </c>
      <c r="K1940" s="1" t="b">
        <v>0</v>
      </c>
      <c r="L1940" s="1" t="s">
        <v>22</v>
      </c>
      <c r="M1940" s="1" t="s">
        <v>16</v>
      </c>
      <c r="N1940" s="1" t="s">
        <v>16</v>
      </c>
      <c r="O1940" s="1" t="s">
        <v>16</v>
      </c>
      <c r="P1940" s="1" t="s">
        <v>16</v>
      </c>
    </row>
    <row r="1941" spans="1:19" ht="12.5" x14ac:dyDescent="0.25">
      <c r="A1941" s="1">
        <v>1148</v>
      </c>
      <c r="B1941" s="1" t="s">
        <v>6434</v>
      </c>
      <c r="C1941" s="1" t="s">
        <v>35</v>
      </c>
      <c r="D1941" s="1" t="s">
        <v>152</v>
      </c>
      <c r="E1941" s="1">
        <v>1917</v>
      </c>
      <c r="F1941" s="1" t="s">
        <v>6436</v>
      </c>
      <c r="G1941" s="1" t="s">
        <v>10066</v>
      </c>
      <c r="H1941" s="1" t="s">
        <v>6416</v>
      </c>
      <c r="I1941" s="1" t="s">
        <v>20</v>
      </c>
      <c r="J1941" s="1" t="s">
        <v>6438</v>
      </c>
      <c r="K1941" s="1" t="b">
        <v>0</v>
      </c>
      <c r="L1941" s="1" t="s">
        <v>22</v>
      </c>
      <c r="M1941" s="1" t="s">
        <v>16</v>
      </c>
      <c r="N1941" s="1" t="s">
        <v>16</v>
      </c>
      <c r="O1941" s="1" t="s">
        <v>16</v>
      </c>
      <c r="P1941" s="1" t="s">
        <v>16</v>
      </c>
      <c r="Q1941" s="1">
        <v>100</v>
      </c>
    </row>
    <row r="1942" spans="1:19" ht="12.5" x14ac:dyDescent="0.25">
      <c r="A1942" s="1" t="s">
        <v>16</v>
      </c>
      <c r="B1942" s="1" t="s">
        <v>16</v>
      </c>
      <c r="C1942" s="1" t="s">
        <v>16</v>
      </c>
      <c r="D1942" s="1" t="s">
        <v>16</v>
      </c>
      <c r="E1942" s="1">
        <v>1918</v>
      </c>
      <c r="F1942" s="1" t="s">
        <v>6439</v>
      </c>
      <c r="G1942" s="1" t="s">
        <v>10067</v>
      </c>
      <c r="H1942" s="1" t="s">
        <v>6440</v>
      </c>
      <c r="I1942" s="1" t="s">
        <v>20</v>
      </c>
      <c r="J1942" s="1" t="s">
        <v>6441</v>
      </c>
      <c r="K1942" s="1" t="b">
        <v>0</v>
      </c>
      <c r="L1942" s="1" t="s">
        <v>22</v>
      </c>
      <c r="M1942" s="1" t="s">
        <v>16</v>
      </c>
      <c r="N1942" s="1" t="s">
        <v>16</v>
      </c>
      <c r="O1942" s="1" t="s">
        <v>16</v>
      </c>
      <c r="P1942" s="1" t="s">
        <v>16</v>
      </c>
    </row>
    <row r="1943" spans="1:19" ht="12.5" x14ac:dyDescent="0.25">
      <c r="A1943" s="1" t="s">
        <v>16</v>
      </c>
      <c r="B1943" s="1" t="s">
        <v>16</v>
      </c>
      <c r="C1943" s="1" t="s">
        <v>16</v>
      </c>
      <c r="D1943" s="1" t="s">
        <v>16</v>
      </c>
      <c r="E1943" s="1">
        <v>1919</v>
      </c>
      <c r="F1943" s="1" t="s">
        <v>6442</v>
      </c>
      <c r="G1943" s="1" t="s">
        <v>6443</v>
      </c>
      <c r="H1943" s="1" t="s">
        <v>16</v>
      </c>
      <c r="I1943" s="1" t="s">
        <v>20</v>
      </c>
      <c r="J1943" s="1" t="s">
        <v>6444</v>
      </c>
      <c r="K1943" s="1" t="b">
        <v>0</v>
      </c>
      <c r="L1943" s="1" t="s">
        <v>22</v>
      </c>
      <c r="M1943" s="1" t="s">
        <v>16</v>
      </c>
      <c r="N1943" s="1" t="s">
        <v>16</v>
      </c>
      <c r="O1943" s="1" t="s">
        <v>16</v>
      </c>
      <c r="P1943" s="1" t="s">
        <v>16</v>
      </c>
    </row>
    <row r="1944" spans="1:19" ht="12.5" x14ac:dyDescent="0.25">
      <c r="A1944" s="1" t="s">
        <v>16</v>
      </c>
      <c r="B1944" s="1" t="s">
        <v>16</v>
      </c>
      <c r="C1944" s="1" t="s">
        <v>16</v>
      </c>
      <c r="D1944" s="1" t="s">
        <v>16</v>
      </c>
      <c r="E1944" s="1">
        <v>1920</v>
      </c>
      <c r="F1944" s="1" t="s">
        <v>6445</v>
      </c>
      <c r="G1944" s="1" t="s">
        <v>6446</v>
      </c>
      <c r="H1944" s="1" t="s">
        <v>16</v>
      </c>
      <c r="I1944" s="1" t="s">
        <v>20</v>
      </c>
      <c r="J1944" s="1" t="s">
        <v>6447</v>
      </c>
      <c r="K1944" s="1" t="b">
        <v>0</v>
      </c>
      <c r="L1944" s="1" t="s">
        <v>22</v>
      </c>
      <c r="M1944" s="1" t="s">
        <v>16</v>
      </c>
      <c r="N1944" s="1" t="s">
        <v>16</v>
      </c>
      <c r="O1944" s="1" t="s">
        <v>16</v>
      </c>
      <c r="P1944" s="1" t="s">
        <v>16</v>
      </c>
    </row>
    <row r="1945" spans="1:19" ht="12.5" x14ac:dyDescent="0.25">
      <c r="A1945" s="1">
        <v>2167</v>
      </c>
      <c r="B1945" s="1" t="s">
        <v>6448</v>
      </c>
      <c r="C1945" s="1" t="s">
        <v>38</v>
      </c>
      <c r="D1945" s="1" t="s">
        <v>5701</v>
      </c>
      <c r="E1945" s="1">
        <v>1921</v>
      </c>
      <c r="F1945" s="1" t="s">
        <v>6449</v>
      </c>
      <c r="G1945" s="1" t="s">
        <v>6450</v>
      </c>
      <c r="H1945" s="1" t="s">
        <v>6451</v>
      </c>
      <c r="I1945" s="1" t="s">
        <v>29</v>
      </c>
      <c r="J1945" s="1" t="s">
        <v>6452</v>
      </c>
      <c r="K1945" s="1" t="b">
        <v>1</v>
      </c>
      <c r="L1945" s="1" t="s">
        <v>31</v>
      </c>
      <c r="M1945" s="1">
        <v>2022</v>
      </c>
      <c r="N1945" s="1" t="s">
        <v>45</v>
      </c>
      <c r="O1945" s="1" t="s">
        <v>9956</v>
      </c>
      <c r="P1945" s="1" t="s">
        <v>16</v>
      </c>
      <c r="Q1945" s="1">
        <v>100</v>
      </c>
      <c r="R1945" s="1">
        <v>200000</v>
      </c>
      <c r="S1945" s="1">
        <v>200000</v>
      </c>
    </row>
    <row r="1946" spans="1:19" ht="12.5" x14ac:dyDescent="0.25">
      <c r="A1946" s="1" t="s">
        <v>16</v>
      </c>
      <c r="B1946" s="1" t="s">
        <v>16</v>
      </c>
      <c r="C1946" s="1" t="s">
        <v>16</v>
      </c>
      <c r="D1946" s="1" t="s">
        <v>16</v>
      </c>
      <c r="E1946" s="1">
        <v>1922</v>
      </c>
      <c r="F1946" s="1" t="s">
        <v>6453</v>
      </c>
      <c r="G1946" s="1" t="s">
        <v>6454</v>
      </c>
      <c r="H1946" s="1" t="s">
        <v>16</v>
      </c>
      <c r="I1946" s="1" t="s">
        <v>20</v>
      </c>
      <c r="J1946" s="1" t="s">
        <v>6455</v>
      </c>
      <c r="K1946" s="1" t="b">
        <v>0</v>
      </c>
      <c r="L1946" s="1" t="s">
        <v>22</v>
      </c>
      <c r="M1946" s="1" t="s">
        <v>16</v>
      </c>
      <c r="N1946" s="1" t="s">
        <v>16</v>
      </c>
      <c r="O1946" s="1" t="s">
        <v>16</v>
      </c>
      <c r="P1946" s="1" t="s">
        <v>16</v>
      </c>
    </row>
    <row r="1947" spans="1:19" ht="12.5" x14ac:dyDescent="0.25">
      <c r="A1947" s="1" t="s">
        <v>16</v>
      </c>
      <c r="B1947" s="1" t="s">
        <v>16</v>
      </c>
      <c r="C1947" s="1" t="s">
        <v>16</v>
      </c>
      <c r="D1947" s="1" t="s">
        <v>16</v>
      </c>
      <c r="E1947" s="1">
        <v>1923</v>
      </c>
      <c r="F1947" s="1" t="s">
        <v>6456</v>
      </c>
      <c r="G1947" s="1" t="s">
        <v>6457</v>
      </c>
      <c r="H1947" s="1" t="s">
        <v>16</v>
      </c>
      <c r="I1947" s="1" t="s">
        <v>20</v>
      </c>
      <c r="J1947" s="1" t="s">
        <v>6458</v>
      </c>
      <c r="K1947" s="1" t="b">
        <v>0</v>
      </c>
      <c r="L1947" s="1" t="s">
        <v>22</v>
      </c>
      <c r="M1947" s="1" t="s">
        <v>16</v>
      </c>
      <c r="N1947" s="1" t="s">
        <v>16</v>
      </c>
      <c r="O1947" s="1" t="s">
        <v>16</v>
      </c>
      <c r="P1947" s="1" t="s">
        <v>16</v>
      </c>
    </row>
    <row r="1948" spans="1:19" ht="12.5" x14ac:dyDescent="0.25">
      <c r="A1948" s="1" t="s">
        <v>16</v>
      </c>
      <c r="B1948" s="1" t="s">
        <v>16</v>
      </c>
      <c r="C1948" s="1" t="s">
        <v>16</v>
      </c>
      <c r="D1948" s="1" t="s">
        <v>16</v>
      </c>
      <c r="E1948" s="1">
        <v>1924</v>
      </c>
      <c r="F1948" s="1" t="s">
        <v>6459</v>
      </c>
      <c r="G1948" s="1" t="s">
        <v>6460</v>
      </c>
      <c r="H1948" s="1" t="s">
        <v>16</v>
      </c>
      <c r="I1948" s="1" t="s">
        <v>20</v>
      </c>
      <c r="J1948" s="1" t="s">
        <v>6461</v>
      </c>
      <c r="K1948" s="1" t="b">
        <v>0</v>
      </c>
      <c r="L1948" s="1" t="s">
        <v>22</v>
      </c>
      <c r="M1948" s="1" t="s">
        <v>16</v>
      </c>
      <c r="N1948" s="1" t="s">
        <v>16</v>
      </c>
      <c r="O1948" s="1" t="s">
        <v>16</v>
      </c>
      <c r="P1948" s="1" t="s">
        <v>16</v>
      </c>
    </row>
    <row r="1949" spans="1:19" ht="12.5" x14ac:dyDescent="0.25">
      <c r="A1949" s="1" t="s">
        <v>16</v>
      </c>
      <c r="B1949" s="1" t="s">
        <v>16</v>
      </c>
      <c r="C1949" s="1" t="s">
        <v>16</v>
      </c>
      <c r="D1949" s="1" t="s">
        <v>16</v>
      </c>
      <c r="E1949" s="1">
        <v>1925</v>
      </c>
      <c r="F1949" s="1" t="s">
        <v>6462</v>
      </c>
      <c r="G1949" s="1" t="s">
        <v>6463</v>
      </c>
      <c r="H1949" s="1" t="s">
        <v>16</v>
      </c>
      <c r="I1949" s="1" t="s">
        <v>20</v>
      </c>
      <c r="J1949" s="1" t="s">
        <v>6464</v>
      </c>
      <c r="K1949" s="1" t="b">
        <v>0</v>
      </c>
      <c r="L1949" s="1" t="s">
        <v>22</v>
      </c>
      <c r="M1949" s="1" t="s">
        <v>16</v>
      </c>
      <c r="N1949" s="1" t="s">
        <v>16</v>
      </c>
      <c r="O1949" s="1" t="s">
        <v>16</v>
      </c>
      <c r="P1949" s="1" t="s">
        <v>16</v>
      </c>
    </row>
    <row r="1950" spans="1:19" ht="12.5" x14ac:dyDescent="0.25">
      <c r="A1950" s="1" t="s">
        <v>16</v>
      </c>
      <c r="B1950" s="1" t="s">
        <v>16</v>
      </c>
      <c r="C1950" s="1" t="s">
        <v>16</v>
      </c>
      <c r="D1950" s="1" t="s">
        <v>16</v>
      </c>
      <c r="E1950" s="1">
        <v>1926</v>
      </c>
      <c r="F1950" s="1" t="s">
        <v>6465</v>
      </c>
      <c r="G1950" s="1" t="s">
        <v>6466</v>
      </c>
      <c r="H1950" s="1" t="s">
        <v>16</v>
      </c>
      <c r="I1950" s="1" t="s">
        <v>20</v>
      </c>
      <c r="J1950" s="1" t="s">
        <v>6467</v>
      </c>
      <c r="K1950" s="1" t="b">
        <v>0</v>
      </c>
      <c r="L1950" s="1" t="s">
        <v>22</v>
      </c>
      <c r="M1950" s="1" t="s">
        <v>16</v>
      </c>
      <c r="N1950" s="1" t="s">
        <v>16</v>
      </c>
      <c r="O1950" s="1" t="s">
        <v>16</v>
      </c>
      <c r="P1950" s="1" t="s">
        <v>16</v>
      </c>
    </row>
    <row r="1951" spans="1:19" ht="12.5" x14ac:dyDescent="0.25">
      <c r="A1951" s="1" t="s">
        <v>16</v>
      </c>
      <c r="B1951" s="1" t="s">
        <v>16</v>
      </c>
      <c r="C1951" s="1" t="s">
        <v>16</v>
      </c>
      <c r="D1951" s="1" t="s">
        <v>16</v>
      </c>
      <c r="E1951" s="1">
        <v>1927</v>
      </c>
      <c r="F1951" s="1" t="s">
        <v>6468</v>
      </c>
      <c r="G1951" s="1" t="s">
        <v>6469</v>
      </c>
      <c r="H1951" s="1" t="s">
        <v>16</v>
      </c>
      <c r="I1951" s="1" t="s">
        <v>20</v>
      </c>
      <c r="J1951" s="1" t="s">
        <v>6470</v>
      </c>
      <c r="K1951" s="1" t="b">
        <v>0</v>
      </c>
      <c r="L1951" s="1" t="s">
        <v>22</v>
      </c>
      <c r="M1951" s="1" t="s">
        <v>16</v>
      </c>
      <c r="N1951" s="1" t="s">
        <v>16</v>
      </c>
      <c r="O1951" s="1" t="s">
        <v>16</v>
      </c>
      <c r="P1951" s="1" t="s">
        <v>16</v>
      </c>
    </row>
    <row r="1952" spans="1:19" ht="12.5" x14ac:dyDescent="0.25">
      <c r="A1952" s="1" t="s">
        <v>16</v>
      </c>
      <c r="B1952" s="1" t="s">
        <v>16</v>
      </c>
      <c r="C1952" s="1" t="s">
        <v>16</v>
      </c>
      <c r="D1952" s="1" t="s">
        <v>16</v>
      </c>
      <c r="E1952" s="1">
        <v>1928</v>
      </c>
      <c r="F1952" s="1" t="s">
        <v>6471</v>
      </c>
      <c r="G1952" s="1" t="s">
        <v>6472</v>
      </c>
      <c r="H1952" s="1" t="s">
        <v>16</v>
      </c>
      <c r="I1952" s="1" t="s">
        <v>20</v>
      </c>
      <c r="J1952" s="1" t="s">
        <v>6473</v>
      </c>
      <c r="K1952" s="1" t="b">
        <v>0</v>
      </c>
      <c r="L1952" s="1" t="s">
        <v>22</v>
      </c>
      <c r="M1952" s="1" t="s">
        <v>16</v>
      </c>
      <c r="N1952" s="1" t="s">
        <v>16</v>
      </c>
      <c r="O1952" s="1" t="s">
        <v>16</v>
      </c>
      <c r="P1952" s="1" t="s">
        <v>16</v>
      </c>
    </row>
    <row r="1953" spans="1:18" ht="12.5" x14ac:dyDescent="0.25">
      <c r="A1953" s="1" t="s">
        <v>16</v>
      </c>
      <c r="B1953" s="1" t="s">
        <v>16</v>
      </c>
      <c r="C1953" s="1" t="s">
        <v>16</v>
      </c>
      <c r="D1953" s="1" t="s">
        <v>16</v>
      </c>
      <c r="E1953" s="1">
        <v>1929</v>
      </c>
      <c r="F1953" s="1" t="s">
        <v>6474</v>
      </c>
      <c r="G1953" s="1" t="s">
        <v>6475</v>
      </c>
      <c r="H1953" s="1" t="s">
        <v>16</v>
      </c>
      <c r="I1953" s="1" t="s">
        <v>20</v>
      </c>
      <c r="J1953" s="1" t="s">
        <v>6476</v>
      </c>
      <c r="K1953" s="1" t="b">
        <v>0</v>
      </c>
      <c r="L1953" s="1" t="s">
        <v>22</v>
      </c>
      <c r="M1953" s="1" t="s">
        <v>16</v>
      </c>
      <c r="N1953" s="1" t="s">
        <v>16</v>
      </c>
      <c r="O1953" s="1" t="s">
        <v>16</v>
      </c>
      <c r="P1953" s="1" t="s">
        <v>16</v>
      </c>
    </row>
    <row r="1954" spans="1:18" ht="12.5" x14ac:dyDescent="0.25">
      <c r="A1954" s="1" t="s">
        <v>16</v>
      </c>
      <c r="B1954" s="1" t="s">
        <v>16</v>
      </c>
      <c r="C1954" s="1" t="s">
        <v>16</v>
      </c>
      <c r="D1954" s="1" t="s">
        <v>16</v>
      </c>
      <c r="E1954" s="1">
        <v>1930</v>
      </c>
      <c r="F1954" s="1" t="s">
        <v>6477</v>
      </c>
      <c r="G1954" s="1" t="s">
        <v>6478</v>
      </c>
      <c r="H1954" s="1" t="s">
        <v>16</v>
      </c>
      <c r="I1954" s="1" t="s">
        <v>20</v>
      </c>
      <c r="J1954" s="1" t="s">
        <v>6479</v>
      </c>
      <c r="K1954" s="1" t="b">
        <v>0</v>
      </c>
      <c r="L1954" s="1" t="s">
        <v>22</v>
      </c>
      <c r="M1954" s="1" t="s">
        <v>16</v>
      </c>
      <c r="N1954" s="1" t="s">
        <v>16</v>
      </c>
      <c r="O1954" s="1" t="s">
        <v>16</v>
      </c>
      <c r="P1954" s="1" t="s">
        <v>16</v>
      </c>
    </row>
    <row r="1955" spans="1:18" ht="12.5" x14ac:dyDescent="0.25">
      <c r="A1955" s="1" t="s">
        <v>16</v>
      </c>
      <c r="B1955" s="1" t="s">
        <v>16</v>
      </c>
      <c r="C1955" s="1" t="s">
        <v>16</v>
      </c>
      <c r="D1955" s="1" t="s">
        <v>16</v>
      </c>
      <c r="E1955" s="1">
        <v>1931</v>
      </c>
      <c r="F1955" s="1" t="s">
        <v>6480</v>
      </c>
      <c r="G1955" s="1" t="s">
        <v>6481</v>
      </c>
      <c r="H1955" s="1" t="s">
        <v>16</v>
      </c>
      <c r="I1955" s="1" t="s">
        <v>20</v>
      </c>
      <c r="J1955" s="1" t="s">
        <v>6482</v>
      </c>
      <c r="K1955" s="1" t="b">
        <v>0</v>
      </c>
      <c r="L1955" s="1" t="s">
        <v>22</v>
      </c>
      <c r="M1955" s="1" t="s">
        <v>16</v>
      </c>
      <c r="N1955" s="1" t="s">
        <v>16</v>
      </c>
      <c r="O1955" s="1" t="s">
        <v>16</v>
      </c>
      <c r="P1955" s="1" t="s">
        <v>16</v>
      </c>
    </row>
    <row r="1956" spans="1:18" ht="12.5" x14ac:dyDescent="0.25">
      <c r="A1956" s="1" t="s">
        <v>16</v>
      </c>
      <c r="B1956" s="1" t="s">
        <v>16</v>
      </c>
      <c r="C1956" s="1" t="s">
        <v>16</v>
      </c>
      <c r="D1956" s="1" t="s">
        <v>16</v>
      </c>
      <c r="E1956" s="1">
        <v>1932</v>
      </c>
      <c r="F1956" s="1" t="s">
        <v>6483</v>
      </c>
      <c r="G1956" s="1" t="s">
        <v>6484</v>
      </c>
      <c r="H1956" s="1" t="s">
        <v>16</v>
      </c>
      <c r="I1956" s="1" t="s">
        <v>20</v>
      </c>
      <c r="J1956" s="1" t="s">
        <v>6485</v>
      </c>
      <c r="K1956" s="1" t="b">
        <v>0</v>
      </c>
      <c r="L1956" s="1" t="s">
        <v>22</v>
      </c>
      <c r="M1956" s="1" t="s">
        <v>16</v>
      </c>
      <c r="N1956" s="1" t="s">
        <v>16</v>
      </c>
      <c r="O1956" s="1" t="s">
        <v>16</v>
      </c>
      <c r="P1956" s="1" t="s">
        <v>16</v>
      </c>
    </row>
    <row r="1957" spans="1:18" ht="12.5" x14ac:dyDescent="0.25">
      <c r="A1957" s="1" t="s">
        <v>16</v>
      </c>
      <c r="B1957" s="1" t="s">
        <v>16</v>
      </c>
      <c r="C1957" s="1" t="s">
        <v>16</v>
      </c>
      <c r="D1957" s="1" t="s">
        <v>16</v>
      </c>
      <c r="E1957" s="1">
        <v>1933</v>
      </c>
      <c r="F1957" s="1" t="s">
        <v>6486</v>
      </c>
      <c r="G1957" s="1" t="s">
        <v>6487</v>
      </c>
      <c r="H1957" s="1" t="s">
        <v>16</v>
      </c>
      <c r="I1957" s="1" t="s">
        <v>20</v>
      </c>
      <c r="J1957" s="1" t="s">
        <v>6488</v>
      </c>
      <c r="K1957" s="1" t="b">
        <v>0</v>
      </c>
      <c r="L1957" s="1" t="s">
        <v>22</v>
      </c>
      <c r="M1957" s="1">
        <v>2023</v>
      </c>
      <c r="N1957" s="1" t="s">
        <v>52</v>
      </c>
      <c r="O1957" s="1" t="s">
        <v>9935</v>
      </c>
      <c r="P1957" s="1" t="s">
        <v>10068</v>
      </c>
      <c r="R1957" s="1">
        <v>800000</v>
      </c>
    </row>
    <row r="1958" spans="1:18" ht="12.5" x14ac:dyDescent="0.25">
      <c r="A1958" s="1" t="s">
        <v>16</v>
      </c>
      <c r="B1958" s="1" t="s">
        <v>16</v>
      </c>
      <c r="C1958" s="1" t="s">
        <v>16</v>
      </c>
      <c r="D1958" s="1" t="s">
        <v>16</v>
      </c>
      <c r="E1958" s="1">
        <v>1934</v>
      </c>
      <c r="F1958" s="1" t="s">
        <v>6489</v>
      </c>
      <c r="G1958" s="1" t="s">
        <v>6490</v>
      </c>
      <c r="H1958" s="1" t="s">
        <v>16</v>
      </c>
      <c r="I1958" s="1" t="s">
        <v>20</v>
      </c>
      <c r="J1958" s="1" t="s">
        <v>6491</v>
      </c>
      <c r="K1958" s="1" t="b">
        <v>0</v>
      </c>
      <c r="L1958" s="1" t="s">
        <v>22</v>
      </c>
      <c r="M1958" s="1" t="s">
        <v>16</v>
      </c>
      <c r="N1958" s="1" t="s">
        <v>16</v>
      </c>
      <c r="O1958" s="1" t="s">
        <v>16</v>
      </c>
      <c r="P1958" s="1" t="s">
        <v>16</v>
      </c>
    </row>
    <row r="1959" spans="1:18" ht="12.5" x14ac:dyDescent="0.25">
      <c r="A1959" s="1" t="s">
        <v>16</v>
      </c>
      <c r="B1959" s="1" t="s">
        <v>16</v>
      </c>
      <c r="C1959" s="1" t="s">
        <v>16</v>
      </c>
      <c r="D1959" s="1" t="s">
        <v>16</v>
      </c>
      <c r="E1959" s="1">
        <v>1935</v>
      </c>
      <c r="F1959" s="1" t="s">
        <v>6492</v>
      </c>
      <c r="G1959" s="1" t="s">
        <v>6493</v>
      </c>
      <c r="H1959" s="1" t="s">
        <v>16</v>
      </c>
      <c r="I1959" s="1" t="s">
        <v>20</v>
      </c>
      <c r="J1959" s="1" t="s">
        <v>6494</v>
      </c>
      <c r="K1959" s="1" t="b">
        <v>0</v>
      </c>
      <c r="L1959" s="1" t="s">
        <v>22</v>
      </c>
      <c r="M1959" s="1" t="s">
        <v>16</v>
      </c>
      <c r="N1959" s="1" t="s">
        <v>16</v>
      </c>
      <c r="O1959" s="1" t="s">
        <v>16</v>
      </c>
      <c r="P1959" s="1" t="s">
        <v>16</v>
      </c>
    </row>
    <row r="1960" spans="1:18" ht="12.5" x14ac:dyDescent="0.25">
      <c r="A1960" s="1" t="s">
        <v>16</v>
      </c>
      <c r="B1960" s="1" t="s">
        <v>16</v>
      </c>
      <c r="C1960" s="1" t="s">
        <v>16</v>
      </c>
      <c r="D1960" s="1" t="s">
        <v>16</v>
      </c>
      <c r="E1960" s="1">
        <v>1936</v>
      </c>
      <c r="F1960" s="1" t="s">
        <v>6497</v>
      </c>
      <c r="G1960" s="1" t="s">
        <v>6498</v>
      </c>
      <c r="H1960" s="1" t="s">
        <v>16</v>
      </c>
      <c r="I1960" s="1" t="s">
        <v>20</v>
      </c>
      <c r="J1960" s="1" t="s">
        <v>6499</v>
      </c>
      <c r="K1960" s="1" t="b">
        <v>0</v>
      </c>
      <c r="L1960" s="1" t="s">
        <v>22</v>
      </c>
      <c r="M1960" s="1" t="s">
        <v>16</v>
      </c>
      <c r="N1960" s="1" t="s">
        <v>16</v>
      </c>
      <c r="O1960" s="1" t="s">
        <v>16</v>
      </c>
      <c r="P1960" s="1" t="s">
        <v>16</v>
      </c>
    </row>
    <row r="1961" spans="1:18" ht="12.5" x14ac:dyDescent="0.25">
      <c r="A1961" s="1" t="s">
        <v>16</v>
      </c>
      <c r="B1961" s="1" t="s">
        <v>16</v>
      </c>
      <c r="C1961" s="1" t="s">
        <v>16</v>
      </c>
      <c r="D1961" s="1" t="s">
        <v>16</v>
      </c>
      <c r="E1961" s="1">
        <v>1940</v>
      </c>
      <c r="F1961" s="1" t="s">
        <v>6500</v>
      </c>
      <c r="G1961" s="1" t="s">
        <v>6501</v>
      </c>
      <c r="H1961" s="1" t="s">
        <v>16</v>
      </c>
      <c r="I1961" s="1" t="s">
        <v>20</v>
      </c>
      <c r="J1961" s="1" t="s">
        <v>6502</v>
      </c>
      <c r="K1961" s="1" t="b">
        <v>0</v>
      </c>
      <c r="L1961" s="1" t="s">
        <v>22</v>
      </c>
      <c r="M1961" s="1" t="s">
        <v>16</v>
      </c>
      <c r="N1961" s="1" t="s">
        <v>16</v>
      </c>
      <c r="O1961" s="1" t="s">
        <v>16</v>
      </c>
      <c r="P1961" s="1" t="s">
        <v>16</v>
      </c>
    </row>
    <row r="1962" spans="1:18" ht="12.5" x14ac:dyDescent="0.25">
      <c r="A1962" s="1">
        <v>2483</v>
      </c>
      <c r="B1962" s="1" t="s">
        <v>6503</v>
      </c>
      <c r="C1962" s="1" t="s">
        <v>38</v>
      </c>
      <c r="D1962" s="1" t="s">
        <v>39</v>
      </c>
      <c r="E1962" s="1">
        <v>1941</v>
      </c>
      <c r="F1962" s="1" t="s">
        <v>6504</v>
      </c>
      <c r="G1962" s="1" t="s">
        <v>6505</v>
      </c>
      <c r="H1962" s="1" t="s">
        <v>16</v>
      </c>
      <c r="I1962" s="1" t="s">
        <v>20</v>
      </c>
      <c r="J1962" s="1" t="s">
        <v>6506</v>
      </c>
      <c r="K1962" s="1" t="b">
        <v>0</v>
      </c>
      <c r="L1962" s="1" t="s">
        <v>22</v>
      </c>
      <c r="M1962" s="1" t="s">
        <v>16</v>
      </c>
      <c r="N1962" s="1" t="s">
        <v>16</v>
      </c>
      <c r="O1962" s="1" t="s">
        <v>16</v>
      </c>
      <c r="P1962" s="1" t="s">
        <v>16</v>
      </c>
      <c r="Q1962" s="1">
        <v>50</v>
      </c>
    </row>
    <row r="1963" spans="1:18" ht="12.5" x14ac:dyDescent="0.25">
      <c r="A1963" s="1">
        <v>2484</v>
      </c>
      <c r="B1963" s="1" t="s">
        <v>6507</v>
      </c>
      <c r="C1963" s="1" t="s">
        <v>38</v>
      </c>
      <c r="D1963" s="1" t="s">
        <v>39</v>
      </c>
      <c r="E1963" s="1">
        <v>1941</v>
      </c>
      <c r="F1963" s="1" t="s">
        <v>6504</v>
      </c>
      <c r="G1963" s="1" t="s">
        <v>6505</v>
      </c>
      <c r="H1963" s="1" t="s">
        <v>16</v>
      </c>
      <c r="I1963" s="1" t="s">
        <v>20</v>
      </c>
      <c r="J1963" s="1" t="s">
        <v>6506</v>
      </c>
      <c r="K1963" s="1" t="b">
        <v>0</v>
      </c>
      <c r="L1963" s="1" t="s">
        <v>22</v>
      </c>
      <c r="M1963" s="1" t="s">
        <v>16</v>
      </c>
      <c r="N1963" s="1" t="s">
        <v>16</v>
      </c>
      <c r="O1963" s="1" t="s">
        <v>16</v>
      </c>
      <c r="P1963" s="1" t="s">
        <v>16</v>
      </c>
      <c r="Q1963" s="1">
        <v>50</v>
      </c>
    </row>
    <row r="1964" spans="1:18" ht="12.5" x14ac:dyDescent="0.25">
      <c r="A1964" s="1" t="s">
        <v>16</v>
      </c>
      <c r="B1964" s="1" t="s">
        <v>16</v>
      </c>
      <c r="C1964" s="1" t="s">
        <v>16</v>
      </c>
      <c r="D1964" s="1" t="s">
        <v>16</v>
      </c>
      <c r="E1964" s="1">
        <v>1942</v>
      </c>
      <c r="F1964" s="1" t="s">
        <v>6508</v>
      </c>
      <c r="G1964" s="1" t="s">
        <v>6509</v>
      </c>
      <c r="H1964" s="1" t="s">
        <v>16</v>
      </c>
      <c r="I1964" s="1" t="s">
        <v>20</v>
      </c>
      <c r="J1964" s="1" t="s">
        <v>6510</v>
      </c>
      <c r="K1964" s="1" t="b">
        <v>0</v>
      </c>
      <c r="L1964" s="1" t="s">
        <v>22</v>
      </c>
      <c r="M1964" s="1" t="s">
        <v>16</v>
      </c>
      <c r="N1964" s="1" t="s">
        <v>16</v>
      </c>
      <c r="O1964" s="1" t="s">
        <v>16</v>
      </c>
      <c r="P1964" s="1" t="s">
        <v>16</v>
      </c>
    </row>
    <row r="1965" spans="1:18" ht="12.5" x14ac:dyDescent="0.25">
      <c r="A1965" s="1" t="s">
        <v>16</v>
      </c>
      <c r="B1965" s="1" t="s">
        <v>16</v>
      </c>
      <c r="C1965" s="1" t="s">
        <v>16</v>
      </c>
      <c r="D1965" s="1" t="s">
        <v>16</v>
      </c>
      <c r="E1965" s="1">
        <v>1943</v>
      </c>
      <c r="F1965" s="1" t="s">
        <v>6511</v>
      </c>
      <c r="G1965" s="1" t="s">
        <v>6512</v>
      </c>
      <c r="H1965" s="1" t="s">
        <v>16</v>
      </c>
      <c r="I1965" s="1" t="s">
        <v>20</v>
      </c>
      <c r="J1965" s="1" t="s">
        <v>6513</v>
      </c>
      <c r="K1965" s="1" t="b">
        <v>0</v>
      </c>
      <c r="L1965" s="1" t="s">
        <v>22</v>
      </c>
      <c r="M1965" s="1" t="s">
        <v>16</v>
      </c>
      <c r="N1965" s="1" t="s">
        <v>16</v>
      </c>
      <c r="O1965" s="1" t="s">
        <v>16</v>
      </c>
      <c r="P1965" s="1" t="s">
        <v>16</v>
      </c>
    </row>
    <row r="1966" spans="1:18" ht="12.5" x14ac:dyDescent="0.25">
      <c r="A1966" s="1" t="s">
        <v>16</v>
      </c>
      <c r="B1966" s="1" t="s">
        <v>16</v>
      </c>
      <c r="C1966" s="1" t="s">
        <v>16</v>
      </c>
      <c r="D1966" s="1" t="s">
        <v>16</v>
      </c>
      <c r="E1966" s="1">
        <v>1944</v>
      </c>
      <c r="F1966" s="1" t="s">
        <v>6514</v>
      </c>
      <c r="G1966" s="1" t="s">
        <v>6515</v>
      </c>
      <c r="H1966" s="1" t="s">
        <v>16</v>
      </c>
      <c r="I1966" s="1" t="s">
        <v>20</v>
      </c>
      <c r="J1966" s="1" t="s">
        <v>6516</v>
      </c>
      <c r="K1966" s="1" t="b">
        <v>0</v>
      </c>
      <c r="L1966" s="1" t="s">
        <v>22</v>
      </c>
      <c r="M1966" s="1" t="s">
        <v>16</v>
      </c>
      <c r="N1966" s="1" t="s">
        <v>16</v>
      </c>
      <c r="O1966" s="1" t="s">
        <v>16</v>
      </c>
      <c r="P1966" s="1" t="s">
        <v>16</v>
      </c>
    </row>
    <row r="1967" spans="1:18" ht="12.5" x14ac:dyDescent="0.25">
      <c r="A1967" s="1" t="s">
        <v>16</v>
      </c>
      <c r="B1967" s="1" t="s">
        <v>16</v>
      </c>
      <c r="C1967" s="1" t="s">
        <v>16</v>
      </c>
      <c r="D1967" s="1" t="s">
        <v>16</v>
      </c>
      <c r="E1967" s="1">
        <v>1945</v>
      </c>
      <c r="F1967" s="1" t="s">
        <v>6517</v>
      </c>
      <c r="G1967" s="1" t="s">
        <v>6518</v>
      </c>
      <c r="H1967" s="1" t="s">
        <v>16</v>
      </c>
      <c r="I1967" s="1" t="s">
        <v>20</v>
      </c>
      <c r="J1967" s="1" t="s">
        <v>6519</v>
      </c>
      <c r="K1967" s="1" t="b">
        <v>0</v>
      </c>
      <c r="L1967" s="1" t="s">
        <v>22</v>
      </c>
      <c r="M1967" s="1" t="s">
        <v>16</v>
      </c>
      <c r="N1967" s="1" t="s">
        <v>16</v>
      </c>
      <c r="O1967" s="1" t="s">
        <v>16</v>
      </c>
      <c r="P1967" s="1" t="s">
        <v>16</v>
      </c>
    </row>
    <row r="1968" spans="1:18" ht="12.5" x14ac:dyDescent="0.25">
      <c r="A1968" s="1" t="s">
        <v>16</v>
      </c>
      <c r="B1968" s="1" t="s">
        <v>16</v>
      </c>
      <c r="C1968" s="1" t="s">
        <v>16</v>
      </c>
      <c r="D1968" s="1" t="s">
        <v>16</v>
      </c>
      <c r="E1968" s="1">
        <v>1946</v>
      </c>
      <c r="F1968" s="1" t="s">
        <v>6520</v>
      </c>
      <c r="G1968" s="1" t="s">
        <v>6521</v>
      </c>
      <c r="H1968" s="1" t="s">
        <v>16</v>
      </c>
      <c r="I1968" s="1" t="s">
        <v>20</v>
      </c>
      <c r="J1968" s="1" t="s">
        <v>6522</v>
      </c>
      <c r="K1968" s="1" t="b">
        <v>0</v>
      </c>
      <c r="L1968" s="1" t="s">
        <v>22</v>
      </c>
      <c r="M1968" s="1" t="s">
        <v>16</v>
      </c>
      <c r="N1968" s="1" t="s">
        <v>16</v>
      </c>
      <c r="O1968" s="1" t="s">
        <v>16</v>
      </c>
      <c r="P1968" s="1" t="s">
        <v>16</v>
      </c>
    </row>
    <row r="1969" spans="1:19" ht="12.5" x14ac:dyDescent="0.25">
      <c r="A1969" s="1" t="s">
        <v>16</v>
      </c>
      <c r="B1969" s="1" t="s">
        <v>16</v>
      </c>
      <c r="C1969" s="1" t="s">
        <v>16</v>
      </c>
      <c r="D1969" s="1" t="s">
        <v>16</v>
      </c>
      <c r="E1969" s="1">
        <v>1947</v>
      </c>
      <c r="F1969" s="1" t="s">
        <v>6523</v>
      </c>
      <c r="G1969" s="1" t="s">
        <v>6524</v>
      </c>
      <c r="H1969" s="1" t="s">
        <v>16</v>
      </c>
      <c r="I1969" s="1" t="s">
        <v>20</v>
      </c>
      <c r="J1969" s="1" t="s">
        <v>6525</v>
      </c>
      <c r="K1969" s="1" t="b">
        <v>0</v>
      </c>
      <c r="L1969" s="1" t="s">
        <v>22</v>
      </c>
      <c r="M1969" s="1" t="s">
        <v>16</v>
      </c>
      <c r="N1969" s="1" t="s">
        <v>16</v>
      </c>
      <c r="O1969" s="1" t="s">
        <v>16</v>
      </c>
      <c r="P1969" s="1" t="s">
        <v>16</v>
      </c>
    </row>
    <row r="1970" spans="1:19" ht="12.5" x14ac:dyDescent="0.25">
      <c r="A1970" s="1" t="s">
        <v>16</v>
      </c>
      <c r="B1970" s="1" t="s">
        <v>16</v>
      </c>
      <c r="C1970" s="1" t="s">
        <v>16</v>
      </c>
      <c r="D1970" s="1" t="s">
        <v>16</v>
      </c>
      <c r="E1970" s="1">
        <v>1948</v>
      </c>
      <c r="F1970" s="1" t="s">
        <v>6526</v>
      </c>
      <c r="G1970" s="1" t="s">
        <v>6527</v>
      </c>
      <c r="H1970" s="1" t="s">
        <v>16</v>
      </c>
      <c r="I1970" s="1" t="s">
        <v>20</v>
      </c>
      <c r="J1970" s="1" t="s">
        <v>6528</v>
      </c>
      <c r="K1970" s="1" t="b">
        <v>0</v>
      </c>
      <c r="L1970" s="1" t="s">
        <v>22</v>
      </c>
      <c r="M1970" s="1" t="s">
        <v>16</v>
      </c>
      <c r="N1970" s="1" t="s">
        <v>16</v>
      </c>
      <c r="O1970" s="1" t="s">
        <v>16</v>
      </c>
      <c r="P1970" s="1" t="s">
        <v>16</v>
      </c>
    </row>
    <row r="1971" spans="1:19" ht="12.5" x14ac:dyDescent="0.25">
      <c r="A1971" s="1">
        <v>811</v>
      </c>
      <c r="B1971" s="1" t="s">
        <v>6529</v>
      </c>
      <c r="C1971" s="1" t="s">
        <v>35</v>
      </c>
      <c r="D1971" s="1" t="s">
        <v>36</v>
      </c>
      <c r="E1971" s="1">
        <v>1949</v>
      </c>
      <c r="F1971" s="1" t="s">
        <v>6530</v>
      </c>
      <c r="G1971" s="1" t="s">
        <v>6531</v>
      </c>
      <c r="H1971" s="1" t="s">
        <v>6532</v>
      </c>
      <c r="I1971" s="1" t="s">
        <v>29</v>
      </c>
      <c r="J1971" s="1" t="s">
        <v>6533</v>
      </c>
      <c r="K1971" s="1" t="b">
        <v>0</v>
      </c>
      <c r="L1971" s="1" t="s">
        <v>22</v>
      </c>
      <c r="M1971" s="1">
        <v>2023</v>
      </c>
      <c r="N1971" s="1" t="s">
        <v>45</v>
      </c>
      <c r="O1971" s="1" t="s">
        <v>9935</v>
      </c>
      <c r="P1971" s="1" t="s">
        <v>16</v>
      </c>
      <c r="Q1971" s="1">
        <v>100</v>
      </c>
      <c r="R1971" s="1">
        <v>30000</v>
      </c>
      <c r="S1971" s="1">
        <v>30000</v>
      </c>
    </row>
    <row r="1972" spans="1:19" ht="12.5" x14ac:dyDescent="0.25">
      <c r="A1972" s="1">
        <v>1128</v>
      </c>
      <c r="B1972" s="1" t="s">
        <v>6534</v>
      </c>
      <c r="C1972" s="1" t="s">
        <v>35</v>
      </c>
      <c r="D1972" s="1" t="s">
        <v>152</v>
      </c>
      <c r="E1972" s="1">
        <v>1949</v>
      </c>
      <c r="F1972" s="1" t="s">
        <v>6530</v>
      </c>
      <c r="G1972" s="1" t="s">
        <v>6531</v>
      </c>
      <c r="H1972" s="1" t="s">
        <v>6532</v>
      </c>
      <c r="I1972" s="1" t="s">
        <v>29</v>
      </c>
      <c r="J1972" s="1" t="s">
        <v>6533</v>
      </c>
      <c r="K1972" s="1" t="b">
        <v>0</v>
      </c>
      <c r="L1972" s="1" t="s">
        <v>22</v>
      </c>
      <c r="M1972" s="1">
        <v>2023</v>
      </c>
      <c r="N1972" s="1" t="s">
        <v>45</v>
      </c>
      <c r="O1972" s="1" t="s">
        <v>9935</v>
      </c>
      <c r="P1972" s="1" t="s">
        <v>16</v>
      </c>
      <c r="Q1972" s="1">
        <v>0</v>
      </c>
      <c r="R1972" s="1">
        <v>30000</v>
      </c>
      <c r="S1972" s="1">
        <v>0</v>
      </c>
    </row>
    <row r="1973" spans="1:19" ht="12.5" x14ac:dyDescent="0.25">
      <c r="A1973" s="1" t="s">
        <v>16</v>
      </c>
      <c r="B1973" s="1" t="s">
        <v>16</v>
      </c>
      <c r="C1973" s="1" t="s">
        <v>16</v>
      </c>
      <c r="D1973" s="1" t="s">
        <v>16</v>
      </c>
      <c r="E1973" s="1">
        <v>1950</v>
      </c>
      <c r="F1973" s="1" t="s">
        <v>6536</v>
      </c>
      <c r="G1973" s="1" t="s">
        <v>6537</v>
      </c>
      <c r="H1973" s="1" t="s">
        <v>16</v>
      </c>
      <c r="I1973" s="1" t="s">
        <v>20</v>
      </c>
      <c r="J1973" s="1" t="s">
        <v>6538</v>
      </c>
      <c r="K1973" s="1" t="b">
        <v>0</v>
      </c>
      <c r="L1973" s="1" t="s">
        <v>22</v>
      </c>
      <c r="M1973" s="1" t="s">
        <v>16</v>
      </c>
      <c r="N1973" s="1" t="s">
        <v>16</v>
      </c>
      <c r="O1973" s="1" t="s">
        <v>16</v>
      </c>
      <c r="P1973" s="1" t="s">
        <v>16</v>
      </c>
    </row>
    <row r="1974" spans="1:19" ht="12.5" x14ac:dyDescent="0.25">
      <c r="A1974" s="1">
        <v>797</v>
      </c>
      <c r="B1974" s="1" t="s">
        <v>6539</v>
      </c>
      <c r="C1974" s="1" t="s">
        <v>35</v>
      </c>
      <c r="D1974" s="1" t="s">
        <v>36</v>
      </c>
      <c r="E1974" s="1">
        <v>1951</v>
      </c>
      <c r="F1974" s="1" t="s">
        <v>6540</v>
      </c>
      <c r="G1974" s="1" t="s">
        <v>6541</v>
      </c>
      <c r="H1974" s="1" t="s">
        <v>16</v>
      </c>
      <c r="I1974" s="1" t="s">
        <v>29</v>
      </c>
      <c r="J1974" s="1" t="s">
        <v>16</v>
      </c>
      <c r="K1974" s="1" t="b">
        <v>0</v>
      </c>
      <c r="L1974" s="1" t="s">
        <v>22</v>
      </c>
      <c r="M1974" s="1" t="s">
        <v>16</v>
      </c>
      <c r="N1974" s="1" t="s">
        <v>16</v>
      </c>
      <c r="O1974" s="1" t="s">
        <v>16</v>
      </c>
      <c r="P1974" s="1" t="s">
        <v>16</v>
      </c>
      <c r="Q1974" s="1">
        <v>100</v>
      </c>
    </row>
    <row r="1975" spans="1:19" ht="12.5" x14ac:dyDescent="0.25">
      <c r="A1975" s="1" t="s">
        <v>16</v>
      </c>
      <c r="B1975" s="1" t="s">
        <v>16</v>
      </c>
      <c r="C1975" s="1" t="s">
        <v>16</v>
      </c>
      <c r="D1975" s="1" t="s">
        <v>16</v>
      </c>
      <c r="E1975" s="1">
        <v>1952</v>
      </c>
      <c r="F1975" s="1" t="s">
        <v>6542</v>
      </c>
      <c r="G1975" s="1" t="s">
        <v>6543</v>
      </c>
      <c r="H1975" s="1" t="s">
        <v>16</v>
      </c>
      <c r="I1975" s="1" t="s">
        <v>20</v>
      </c>
      <c r="J1975" s="1" t="s">
        <v>6544</v>
      </c>
      <c r="K1975" s="1" t="b">
        <v>0</v>
      </c>
      <c r="L1975" s="1" t="s">
        <v>22</v>
      </c>
      <c r="M1975" s="1" t="s">
        <v>16</v>
      </c>
      <c r="N1975" s="1" t="s">
        <v>16</v>
      </c>
      <c r="O1975" s="1" t="s">
        <v>16</v>
      </c>
      <c r="P1975" s="1" t="s">
        <v>16</v>
      </c>
    </row>
    <row r="1976" spans="1:19" ht="12.5" x14ac:dyDescent="0.25">
      <c r="A1976" s="1">
        <v>797</v>
      </c>
      <c r="B1976" s="1" t="s">
        <v>6539</v>
      </c>
      <c r="C1976" s="1" t="s">
        <v>35</v>
      </c>
      <c r="D1976" s="1" t="s">
        <v>36</v>
      </c>
      <c r="E1976" s="1">
        <v>1953</v>
      </c>
      <c r="F1976" s="1" t="s">
        <v>6545</v>
      </c>
      <c r="G1976" s="1" t="s">
        <v>6546</v>
      </c>
      <c r="H1976" s="1" t="s">
        <v>16</v>
      </c>
      <c r="I1976" s="1" t="s">
        <v>29</v>
      </c>
      <c r="J1976" s="1" t="s">
        <v>16</v>
      </c>
      <c r="K1976" s="1" t="b">
        <v>0</v>
      </c>
      <c r="L1976" s="1" t="s">
        <v>22</v>
      </c>
      <c r="M1976" s="1" t="s">
        <v>16</v>
      </c>
      <c r="N1976" s="1" t="s">
        <v>16</v>
      </c>
      <c r="O1976" s="1" t="s">
        <v>16</v>
      </c>
      <c r="P1976" s="1" t="s">
        <v>16</v>
      </c>
      <c r="Q1976" s="1">
        <v>100</v>
      </c>
    </row>
    <row r="1977" spans="1:19" ht="12.5" x14ac:dyDescent="0.25">
      <c r="A1977" s="1">
        <v>794</v>
      </c>
      <c r="B1977" s="1" t="s">
        <v>6547</v>
      </c>
      <c r="C1977" s="1" t="s">
        <v>35</v>
      </c>
      <c r="D1977" s="1" t="s">
        <v>36</v>
      </c>
      <c r="E1977" s="1">
        <v>1954</v>
      </c>
      <c r="F1977" s="1" t="s">
        <v>6548</v>
      </c>
      <c r="G1977" s="1" t="s">
        <v>6549</v>
      </c>
      <c r="H1977" s="1" t="s">
        <v>16</v>
      </c>
      <c r="I1977" s="1" t="s">
        <v>29</v>
      </c>
      <c r="J1977" s="1" t="s">
        <v>6550</v>
      </c>
      <c r="K1977" s="1" t="b">
        <v>0</v>
      </c>
      <c r="L1977" s="1" t="s">
        <v>22</v>
      </c>
      <c r="M1977" s="1">
        <v>2022</v>
      </c>
      <c r="N1977" s="1" t="s">
        <v>32</v>
      </c>
      <c r="O1977" s="1" t="s">
        <v>9935</v>
      </c>
      <c r="P1977" s="1" t="s">
        <v>16</v>
      </c>
      <c r="Q1977" s="1">
        <v>100</v>
      </c>
      <c r="R1977" s="1">
        <v>1</v>
      </c>
      <c r="S1977" s="1">
        <v>1</v>
      </c>
    </row>
    <row r="1978" spans="1:19" ht="12.5" x14ac:dyDescent="0.25">
      <c r="A1978" s="1" t="s">
        <v>16</v>
      </c>
      <c r="B1978" s="1" t="s">
        <v>16</v>
      </c>
      <c r="C1978" s="1" t="s">
        <v>16</v>
      </c>
      <c r="D1978" s="1" t="s">
        <v>16</v>
      </c>
      <c r="E1978" s="1">
        <v>1955</v>
      </c>
      <c r="F1978" s="1" t="s">
        <v>6551</v>
      </c>
      <c r="G1978" s="1" t="s">
        <v>6552</v>
      </c>
      <c r="H1978" s="1" t="s">
        <v>16</v>
      </c>
      <c r="I1978" s="1" t="s">
        <v>20</v>
      </c>
      <c r="J1978" s="1" t="s">
        <v>6553</v>
      </c>
      <c r="K1978" s="1" t="b">
        <v>0</v>
      </c>
      <c r="L1978" s="1" t="s">
        <v>22</v>
      </c>
      <c r="M1978" s="1" t="s">
        <v>16</v>
      </c>
      <c r="N1978" s="1" t="s">
        <v>16</v>
      </c>
      <c r="O1978" s="1" t="s">
        <v>16</v>
      </c>
      <c r="P1978" s="1" t="s">
        <v>16</v>
      </c>
    </row>
    <row r="1979" spans="1:19" ht="12.5" x14ac:dyDescent="0.25">
      <c r="A1979" s="1" t="s">
        <v>16</v>
      </c>
      <c r="B1979" s="1" t="s">
        <v>16</v>
      </c>
      <c r="C1979" s="1" t="s">
        <v>16</v>
      </c>
      <c r="D1979" s="1" t="s">
        <v>16</v>
      </c>
      <c r="E1979" s="1">
        <v>1956</v>
      </c>
      <c r="F1979" s="1" t="s">
        <v>6554</v>
      </c>
      <c r="G1979" s="1" t="s">
        <v>6555</v>
      </c>
      <c r="H1979" s="1" t="s">
        <v>6429</v>
      </c>
      <c r="I1979" s="1" t="s">
        <v>20</v>
      </c>
      <c r="J1979" s="1" t="s">
        <v>16</v>
      </c>
      <c r="K1979" s="1" t="b">
        <v>0</v>
      </c>
      <c r="L1979" s="1" t="s">
        <v>22</v>
      </c>
      <c r="M1979" s="1" t="s">
        <v>16</v>
      </c>
      <c r="N1979" s="1" t="s">
        <v>16</v>
      </c>
      <c r="O1979" s="1" t="s">
        <v>16</v>
      </c>
      <c r="P1979" s="1" t="s">
        <v>16</v>
      </c>
    </row>
    <row r="1980" spans="1:19" ht="12.5" x14ac:dyDescent="0.25">
      <c r="A1980" s="1">
        <v>282</v>
      </c>
      <c r="B1980" s="1" t="s">
        <v>1170</v>
      </c>
      <c r="C1980" s="1" t="s">
        <v>35</v>
      </c>
      <c r="D1980" s="1" t="s">
        <v>36</v>
      </c>
      <c r="E1980" s="1">
        <v>1957</v>
      </c>
      <c r="F1980" s="1" t="s">
        <v>6556</v>
      </c>
      <c r="G1980" s="1" t="s">
        <v>6557</v>
      </c>
      <c r="H1980" s="1" t="s">
        <v>16</v>
      </c>
      <c r="I1980" s="1" t="s">
        <v>20</v>
      </c>
      <c r="J1980" s="1" t="s">
        <v>6558</v>
      </c>
      <c r="K1980" s="1" t="b">
        <v>0</v>
      </c>
      <c r="L1980" s="1" t="s">
        <v>22</v>
      </c>
      <c r="M1980" s="1" t="s">
        <v>16</v>
      </c>
      <c r="N1980" s="1" t="s">
        <v>16</v>
      </c>
      <c r="O1980" s="1" t="s">
        <v>16</v>
      </c>
      <c r="P1980" s="1" t="s">
        <v>16</v>
      </c>
      <c r="Q1980" s="1">
        <v>0</v>
      </c>
    </row>
    <row r="1981" spans="1:19" ht="12.5" x14ac:dyDescent="0.25">
      <c r="A1981" s="1">
        <v>2547</v>
      </c>
      <c r="B1981" s="1" t="s">
        <v>6559</v>
      </c>
      <c r="C1981" s="1" t="s">
        <v>38</v>
      </c>
      <c r="D1981" s="1" t="s">
        <v>39</v>
      </c>
      <c r="E1981" s="1">
        <v>1957</v>
      </c>
      <c r="F1981" s="1" t="s">
        <v>6556</v>
      </c>
      <c r="G1981" s="1" t="s">
        <v>6557</v>
      </c>
      <c r="H1981" s="1" t="s">
        <v>16</v>
      </c>
      <c r="I1981" s="1" t="s">
        <v>20</v>
      </c>
      <c r="J1981" s="1" t="s">
        <v>6558</v>
      </c>
      <c r="K1981" s="1" t="b">
        <v>0</v>
      </c>
      <c r="L1981" s="1" t="s">
        <v>22</v>
      </c>
      <c r="M1981" s="1" t="s">
        <v>16</v>
      </c>
      <c r="N1981" s="1" t="s">
        <v>16</v>
      </c>
      <c r="O1981" s="1" t="s">
        <v>16</v>
      </c>
      <c r="P1981" s="1" t="s">
        <v>16</v>
      </c>
      <c r="Q1981" s="1">
        <v>0</v>
      </c>
    </row>
    <row r="1982" spans="1:19" ht="12.5" x14ac:dyDescent="0.25">
      <c r="A1982" s="1" t="s">
        <v>16</v>
      </c>
      <c r="B1982" s="1" t="s">
        <v>16</v>
      </c>
      <c r="C1982" s="1" t="s">
        <v>16</v>
      </c>
      <c r="D1982" s="1" t="s">
        <v>16</v>
      </c>
      <c r="E1982" s="1">
        <v>1958</v>
      </c>
      <c r="F1982" s="1" t="s">
        <v>6560</v>
      </c>
      <c r="G1982" s="1" t="s">
        <v>6561</v>
      </c>
      <c r="H1982" s="1" t="s">
        <v>16</v>
      </c>
      <c r="I1982" s="1" t="s">
        <v>20</v>
      </c>
      <c r="J1982" s="1" t="s">
        <v>6562</v>
      </c>
      <c r="K1982" s="1" t="b">
        <v>0</v>
      </c>
      <c r="L1982" s="1" t="s">
        <v>22</v>
      </c>
      <c r="M1982" s="1" t="s">
        <v>16</v>
      </c>
      <c r="N1982" s="1" t="s">
        <v>16</v>
      </c>
      <c r="O1982" s="1" t="s">
        <v>16</v>
      </c>
      <c r="P1982" s="1" t="s">
        <v>16</v>
      </c>
    </row>
    <row r="1983" spans="1:19" ht="12.5" x14ac:dyDescent="0.25">
      <c r="A1983" s="1" t="s">
        <v>16</v>
      </c>
      <c r="B1983" s="1" t="s">
        <v>16</v>
      </c>
      <c r="C1983" s="1" t="s">
        <v>16</v>
      </c>
      <c r="D1983" s="1" t="s">
        <v>16</v>
      </c>
      <c r="E1983" s="1">
        <v>1959</v>
      </c>
      <c r="F1983" s="1" t="s">
        <v>6563</v>
      </c>
      <c r="G1983" s="1" t="s">
        <v>6564</v>
      </c>
      <c r="H1983" s="1" t="s">
        <v>16</v>
      </c>
      <c r="I1983" s="1" t="s">
        <v>20</v>
      </c>
      <c r="J1983" s="1" t="s">
        <v>6565</v>
      </c>
      <c r="K1983" s="1" t="b">
        <v>0</v>
      </c>
      <c r="L1983" s="1" t="s">
        <v>22</v>
      </c>
      <c r="M1983" s="1" t="s">
        <v>16</v>
      </c>
      <c r="N1983" s="1" t="s">
        <v>16</v>
      </c>
      <c r="O1983" s="1" t="s">
        <v>16</v>
      </c>
      <c r="P1983" s="1" t="s">
        <v>16</v>
      </c>
    </row>
    <row r="1984" spans="1:19" ht="12.5" x14ac:dyDescent="0.25">
      <c r="A1984" s="1" t="s">
        <v>16</v>
      </c>
      <c r="B1984" s="1" t="s">
        <v>16</v>
      </c>
      <c r="C1984" s="1" t="s">
        <v>16</v>
      </c>
      <c r="D1984" s="1" t="s">
        <v>16</v>
      </c>
      <c r="E1984" s="1">
        <v>1964</v>
      </c>
      <c r="F1984" s="1" t="s">
        <v>6566</v>
      </c>
      <c r="G1984" s="1" t="s">
        <v>6567</v>
      </c>
      <c r="H1984" s="1" t="s">
        <v>16</v>
      </c>
      <c r="I1984" s="1" t="s">
        <v>20</v>
      </c>
      <c r="J1984" s="1" t="s">
        <v>6568</v>
      </c>
      <c r="K1984" s="1" t="b">
        <v>0</v>
      </c>
      <c r="L1984" s="1" t="s">
        <v>22</v>
      </c>
      <c r="M1984" s="1" t="s">
        <v>16</v>
      </c>
      <c r="N1984" s="1" t="s">
        <v>16</v>
      </c>
      <c r="O1984" s="1" t="s">
        <v>16</v>
      </c>
      <c r="P1984" s="1" t="s">
        <v>16</v>
      </c>
    </row>
    <row r="1985" spans="1:19" ht="12.5" x14ac:dyDescent="0.25">
      <c r="A1985" s="1" t="s">
        <v>16</v>
      </c>
      <c r="B1985" s="1" t="s">
        <v>16</v>
      </c>
      <c r="C1985" s="1" t="s">
        <v>16</v>
      </c>
      <c r="D1985" s="1" t="s">
        <v>16</v>
      </c>
      <c r="E1985" s="1">
        <v>1965</v>
      </c>
      <c r="F1985" s="1" t="s">
        <v>6569</v>
      </c>
      <c r="G1985" s="1" t="s">
        <v>6570</v>
      </c>
      <c r="H1985" s="1" t="s">
        <v>16</v>
      </c>
      <c r="I1985" s="1" t="s">
        <v>20</v>
      </c>
      <c r="J1985" s="1" t="s">
        <v>6571</v>
      </c>
      <c r="K1985" s="1" t="b">
        <v>0</v>
      </c>
      <c r="L1985" s="1" t="s">
        <v>22</v>
      </c>
      <c r="M1985" s="1" t="s">
        <v>16</v>
      </c>
      <c r="N1985" s="1" t="s">
        <v>16</v>
      </c>
      <c r="O1985" s="1" t="s">
        <v>16</v>
      </c>
      <c r="P1985" s="1" t="s">
        <v>16</v>
      </c>
    </row>
    <row r="1986" spans="1:19" ht="12.5" x14ac:dyDescent="0.25">
      <c r="A1986" s="1" t="s">
        <v>16</v>
      </c>
      <c r="B1986" s="1" t="s">
        <v>16</v>
      </c>
      <c r="C1986" s="1" t="s">
        <v>16</v>
      </c>
      <c r="D1986" s="1" t="s">
        <v>16</v>
      </c>
      <c r="E1986" s="1">
        <v>1966</v>
      </c>
      <c r="F1986" s="1" t="s">
        <v>6572</v>
      </c>
      <c r="G1986" s="1" t="s">
        <v>6573</v>
      </c>
      <c r="H1986" s="1" t="s">
        <v>16</v>
      </c>
      <c r="I1986" s="1" t="s">
        <v>20</v>
      </c>
      <c r="J1986" s="1" t="s">
        <v>6574</v>
      </c>
      <c r="K1986" s="1" t="b">
        <v>0</v>
      </c>
      <c r="L1986" s="1" t="s">
        <v>22</v>
      </c>
      <c r="M1986" s="1" t="s">
        <v>16</v>
      </c>
      <c r="N1986" s="1" t="s">
        <v>16</v>
      </c>
      <c r="O1986" s="1" t="s">
        <v>16</v>
      </c>
      <c r="P1986" s="1" t="s">
        <v>16</v>
      </c>
    </row>
    <row r="1987" spans="1:19" ht="12.5" x14ac:dyDescent="0.25">
      <c r="A1987" s="1" t="s">
        <v>16</v>
      </c>
      <c r="B1987" s="1" t="s">
        <v>16</v>
      </c>
      <c r="C1987" s="1" t="s">
        <v>16</v>
      </c>
      <c r="D1987" s="1" t="s">
        <v>16</v>
      </c>
      <c r="E1987" s="1">
        <v>1967</v>
      </c>
      <c r="F1987" s="1" t="s">
        <v>6575</v>
      </c>
      <c r="G1987" s="1" t="s">
        <v>6576</v>
      </c>
      <c r="H1987" s="1" t="s">
        <v>16</v>
      </c>
      <c r="I1987" s="1" t="s">
        <v>20</v>
      </c>
      <c r="J1987" s="1" t="s">
        <v>6577</v>
      </c>
      <c r="K1987" s="1" t="b">
        <v>0</v>
      </c>
      <c r="L1987" s="1" t="s">
        <v>22</v>
      </c>
      <c r="M1987" s="1" t="s">
        <v>16</v>
      </c>
      <c r="N1987" s="1" t="s">
        <v>16</v>
      </c>
      <c r="O1987" s="1" t="s">
        <v>16</v>
      </c>
      <c r="P1987" s="1" t="s">
        <v>16</v>
      </c>
    </row>
    <row r="1988" spans="1:19" ht="12.5" x14ac:dyDescent="0.25">
      <c r="A1988" s="1" t="s">
        <v>16</v>
      </c>
      <c r="B1988" s="1" t="s">
        <v>16</v>
      </c>
      <c r="C1988" s="1" t="s">
        <v>16</v>
      </c>
      <c r="D1988" s="1" t="s">
        <v>16</v>
      </c>
      <c r="E1988" s="1">
        <v>1968</v>
      </c>
      <c r="F1988" s="1" t="s">
        <v>6578</v>
      </c>
      <c r="G1988" s="1" t="s">
        <v>6579</v>
      </c>
      <c r="H1988" s="1" t="s">
        <v>16</v>
      </c>
      <c r="I1988" s="1" t="s">
        <v>20</v>
      </c>
      <c r="J1988" s="1" t="s">
        <v>6580</v>
      </c>
      <c r="K1988" s="1" t="b">
        <v>0</v>
      </c>
      <c r="L1988" s="1" t="s">
        <v>22</v>
      </c>
      <c r="M1988" s="1" t="s">
        <v>16</v>
      </c>
      <c r="N1988" s="1" t="s">
        <v>16</v>
      </c>
      <c r="O1988" s="1" t="s">
        <v>16</v>
      </c>
      <c r="P1988" s="1" t="s">
        <v>16</v>
      </c>
    </row>
    <row r="1989" spans="1:19" ht="12.5" x14ac:dyDescent="0.25">
      <c r="A1989" s="1" t="s">
        <v>16</v>
      </c>
      <c r="B1989" s="1" t="s">
        <v>16</v>
      </c>
      <c r="C1989" s="1" t="s">
        <v>16</v>
      </c>
      <c r="D1989" s="1" t="s">
        <v>16</v>
      </c>
      <c r="E1989" s="1">
        <v>1969</v>
      </c>
      <c r="F1989" s="1" t="s">
        <v>6581</v>
      </c>
      <c r="G1989" s="1" t="s">
        <v>6582</v>
      </c>
      <c r="H1989" s="1" t="s">
        <v>16</v>
      </c>
      <c r="I1989" s="1" t="s">
        <v>20</v>
      </c>
      <c r="J1989" s="1" t="s">
        <v>6583</v>
      </c>
      <c r="K1989" s="1" t="b">
        <v>0</v>
      </c>
      <c r="L1989" s="1" t="s">
        <v>22</v>
      </c>
      <c r="M1989" s="1" t="s">
        <v>16</v>
      </c>
      <c r="N1989" s="1" t="s">
        <v>16</v>
      </c>
      <c r="O1989" s="1" t="s">
        <v>16</v>
      </c>
      <c r="P1989" s="1" t="s">
        <v>16</v>
      </c>
    </row>
    <row r="1990" spans="1:19" ht="12.5" x14ac:dyDescent="0.25">
      <c r="A1990" s="1" t="s">
        <v>16</v>
      </c>
      <c r="B1990" s="1" t="s">
        <v>16</v>
      </c>
      <c r="C1990" s="1" t="s">
        <v>16</v>
      </c>
      <c r="D1990" s="1" t="s">
        <v>16</v>
      </c>
      <c r="E1990" s="1">
        <v>1970</v>
      </c>
      <c r="F1990" s="1" t="s">
        <v>6584</v>
      </c>
      <c r="G1990" s="1" t="s">
        <v>6585</v>
      </c>
      <c r="H1990" s="1" t="s">
        <v>16</v>
      </c>
      <c r="I1990" s="1" t="s">
        <v>20</v>
      </c>
      <c r="J1990" s="1" t="s">
        <v>6586</v>
      </c>
      <c r="K1990" s="1" t="b">
        <v>0</v>
      </c>
      <c r="L1990" s="1" t="s">
        <v>22</v>
      </c>
      <c r="M1990" s="1" t="s">
        <v>16</v>
      </c>
      <c r="N1990" s="1" t="s">
        <v>16</v>
      </c>
      <c r="O1990" s="1" t="s">
        <v>16</v>
      </c>
      <c r="P1990" s="1" t="s">
        <v>16</v>
      </c>
    </row>
    <row r="1991" spans="1:19" ht="12.5" x14ac:dyDescent="0.25">
      <c r="A1991" s="1" t="s">
        <v>16</v>
      </c>
      <c r="B1991" s="1" t="s">
        <v>16</v>
      </c>
      <c r="C1991" s="1" t="s">
        <v>16</v>
      </c>
      <c r="D1991" s="1" t="s">
        <v>16</v>
      </c>
      <c r="E1991" s="1">
        <v>1972</v>
      </c>
      <c r="F1991" s="1" t="s">
        <v>6587</v>
      </c>
      <c r="G1991" s="1" t="s">
        <v>6588</v>
      </c>
      <c r="H1991" s="1" t="s">
        <v>16</v>
      </c>
      <c r="I1991" s="1" t="s">
        <v>20</v>
      </c>
      <c r="J1991" s="1" t="s">
        <v>6589</v>
      </c>
      <c r="K1991" s="1" t="b">
        <v>0</v>
      </c>
      <c r="L1991" s="1" t="s">
        <v>22</v>
      </c>
      <c r="M1991" s="1" t="s">
        <v>16</v>
      </c>
      <c r="N1991" s="1" t="s">
        <v>16</v>
      </c>
      <c r="O1991" s="1" t="s">
        <v>16</v>
      </c>
      <c r="P1991" s="1" t="s">
        <v>16</v>
      </c>
    </row>
    <row r="1992" spans="1:19" ht="12.5" x14ac:dyDescent="0.25">
      <c r="A1992" s="1" t="s">
        <v>16</v>
      </c>
      <c r="B1992" s="1" t="s">
        <v>16</v>
      </c>
      <c r="C1992" s="1" t="s">
        <v>16</v>
      </c>
      <c r="D1992" s="1" t="s">
        <v>16</v>
      </c>
      <c r="E1992" s="1">
        <v>1974</v>
      </c>
      <c r="F1992" s="1" t="s">
        <v>6590</v>
      </c>
      <c r="G1992" s="1" t="s">
        <v>6591</v>
      </c>
      <c r="H1992" s="1" t="s">
        <v>16</v>
      </c>
      <c r="I1992" s="1" t="s">
        <v>20</v>
      </c>
      <c r="J1992" s="1" t="s">
        <v>6592</v>
      </c>
      <c r="K1992" s="1" t="b">
        <v>0</v>
      </c>
      <c r="L1992" s="1" t="s">
        <v>22</v>
      </c>
      <c r="M1992" s="1" t="s">
        <v>16</v>
      </c>
      <c r="N1992" s="1" t="s">
        <v>16</v>
      </c>
      <c r="O1992" s="1" t="s">
        <v>16</v>
      </c>
      <c r="P1992" s="1" t="s">
        <v>16</v>
      </c>
    </row>
    <row r="1993" spans="1:19" ht="12.5" x14ac:dyDescent="0.25">
      <c r="A1993" s="1" t="s">
        <v>16</v>
      </c>
      <c r="B1993" s="1" t="s">
        <v>16</v>
      </c>
      <c r="C1993" s="1" t="s">
        <v>16</v>
      </c>
      <c r="D1993" s="1" t="s">
        <v>16</v>
      </c>
      <c r="E1993" s="1">
        <v>1976</v>
      </c>
      <c r="F1993" s="1" t="s">
        <v>6593</v>
      </c>
      <c r="G1993" s="1" t="s">
        <v>6594</v>
      </c>
      <c r="H1993" s="1" t="s">
        <v>16</v>
      </c>
      <c r="I1993" s="1" t="s">
        <v>20</v>
      </c>
      <c r="J1993" s="1" t="s">
        <v>6595</v>
      </c>
      <c r="K1993" s="1" t="b">
        <v>0</v>
      </c>
      <c r="L1993" s="1" t="s">
        <v>22</v>
      </c>
      <c r="M1993" s="1" t="s">
        <v>16</v>
      </c>
      <c r="N1993" s="1" t="s">
        <v>16</v>
      </c>
      <c r="O1993" s="1" t="s">
        <v>16</v>
      </c>
      <c r="P1993" s="1" t="s">
        <v>16</v>
      </c>
    </row>
    <row r="1994" spans="1:19" ht="12.5" x14ac:dyDescent="0.25">
      <c r="A1994" s="1" t="s">
        <v>16</v>
      </c>
      <c r="B1994" s="1" t="s">
        <v>16</v>
      </c>
      <c r="C1994" s="1" t="s">
        <v>16</v>
      </c>
      <c r="D1994" s="1" t="s">
        <v>16</v>
      </c>
      <c r="E1994" s="1">
        <v>1977</v>
      </c>
      <c r="F1994" s="1" t="s">
        <v>6596</v>
      </c>
      <c r="G1994" s="1" t="s">
        <v>6597</v>
      </c>
      <c r="H1994" s="1" t="s">
        <v>16</v>
      </c>
      <c r="I1994" s="1" t="s">
        <v>20</v>
      </c>
      <c r="J1994" s="1" t="s">
        <v>6598</v>
      </c>
      <c r="K1994" s="1" t="b">
        <v>0</v>
      </c>
      <c r="L1994" s="1" t="s">
        <v>22</v>
      </c>
      <c r="M1994" s="1" t="s">
        <v>16</v>
      </c>
      <c r="N1994" s="1" t="s">
        <v>16</v>
      </c>
      <c r="O1994" s="1" t="s">
        <v>16</v>
      </c>
      <c r="P1994" s="1" t="s">
        <v>16</v>
      </c>
    </row>
    <row r="1995" spans="1:19" ht="12.5" x14ac:dyDescent="0.25">
      <c r="A1995" s="1" t="s">
        <v>16</v>
      </c>
      <c r="B1995" s="1" t="s">
        <v>16</v>
      </c>
      <c r="C1995" s="1" t="s">
        <v>16</v>
      </c>
      <c r="D1995" s="1" t="s">
        <v>16</v>
      </c>
      <c r="E1995" s="1">
        <v>1978</v>
      </c>
      <c r="F1995" s="1" t="s">
        <v>6599</v>
      </c>
      <c r="G1995" s="1" t="s">
        <v>6600</v>
      </c>
      <c r="H1995" s="1" t="s">
        <v>16</v>
      </c>
      <c r="I1995" s="1" t="s">
        <v>20</v>
      </c>
      <c r="J1995" s="1" t="s">
        <v>6601</v>
      </c>
      <c r="K1995" s="1" t="b">
        <v>0</v>
      </c>
      <c r="L1995" s="1" t="s">
        <v>22</v>
      </c>
      <c r="M1995" s="1" t="s">
        <v>16</v>
      </c>
      <c r="N1995" s="1" t="s">
        <v>16</v>
      </c>
      <c r="O1995" s="1" t="s">
        <v>16</v>
      </c>
      <c r="P1995" s="1" t="s">
        <v>16</v>
      </c>
    </row>
    <row r="1996" spans="1:19" ht="12.5" x14ac:dyDescent="0.25">
      <c r="A1996" s="1" t="s">
        <v>16</v>
      </c>
      <c r="B1996" s="1" t="s">
        <v>16</v>
      </c>
      <c r="C1996" s="1" t="s">
        <v>16</v>
      </c>
      <c r="D1996" s="1" t="s">
        <v>16</v>
      </c>
      <c r="E1996" s="1">
        <v>1979</v>
      </c>
      <c r="F1996" s="1" t="s">
        <v>6602</v>
      </c>
      <c r="G1996" s="1" t="s">
        <v>6603</v>
      </c>
      <c r="H1996" s="1" t="s">
        <v>16</v>
      </c>
      <c r="I1996" s="1" t="s">
        <v>20</v>
      </c>
      <c r="J1996" s="1" t="s">
        <v>6604</v>
      </c>
      <c r="K1996" s="1" t="b">
        <v>0</v>
      </c>
      <c r="L1996" s="1" t="s">
        <v>22</v>
      </c>
      <c r="M1996" s="1" t="s">
        <v>16</v>
      </c>
      <c r="N1996" s="1" t="s">
        <v>16</v>
      </c>
      <c r="O1996" s="1" t="s">
        <v>16</v>
      </c>
      <c r="P1996" s="1" t="s">
        <v>16</v>
      </c>
    </row>
    <row r="1997" spans="1:19" ht="12.5" x14ac:dyDescent="0.25">
      <c r="A1997" s="1" t="s">
        <v>16</v>
      </c>
      <c r="B1997" s="1" t="s">
        <v>16</v>
      </c>
      <c r="C1997" s="1" t="s">
        <v>16</v>
      </c>
      <c r="D1997" s="1" t="s">
        <v>16</v>
      </c>
      <c r="E1997" s="1">
        <v>1980</v>
      </c>
      <c r="F1997" s="1" t="s">
        <v>6605</v>
      </c>
      <c r="G1997" s="1" t="s">
        <v>6606</v>
      </c>
      <c r="H1997" s="1" t="s">
        <v>16</v>
      </c>
      <c r="I1997" s="1" t="s">
        <v>20</v>
      </c>
      <c r="J1997" s="1" t="s">
        <v>6607</v>
      </c>
      <c r="K1997" s="1" t="b">
        <v>0</v>
      </c>
      <c r="L1997" s="1" t="s">
        <v>22</v>
      </c>
      <c r="M1997" s="1" t="s">
        <v>16</v>
      </c>
      <c r="N1997" s="1" t="s">
        <v>16</v>
      </c>
      <c r="O1997" s="1" t="s">
        <v>16</v>
      </c>
      <c r="P1997" s="1" t="s">
        <v>16</v>
      </c>
    </row>
    <row r="1998" spans="1:19" ht="12.5" x14ac:dyDescent="0.25">
      <c r="A1998" s="1">
        <v>1012</v>
      </c>
      <c r="B1998" s="1" t="s">
        <v>6608</v>
      </c>
      <c r="C1998" s="1" t="s">
        <v>35</v>
      </c>
      <c r="D1998" s="1" t="s">
        <v>152</v>
      </c>
      <c r="E1998" s="1">
        <v>1981</v>
      </c>
      <c r="F1998" s="1" t="s">
        <v>6610</v>
      </c>
      <c r="G1998" s="1" t="s">
        <v>3541</v>
      </c>
      <c r="H1998" s="1" t="s">
        <v>16</v>
      </c>
      <c r="I1998" s="1" t="s">
        <v>29</v>
      </c>
      <c r="J1998" s="1" t="s">
        <v>6611</v>
      </c>
      <c r="K1998" s="1" t="b">
        <v>1</v>
      </c>
      <c r="L1998" s="1" t="s">
        <v>31</v>
      </c>
      <c r="M1998" s="1">
        <v>2022</v>
      </c>
      <c r="N1998" s="1" t="s">
        <v>45</v>
      </c>
      <c r="O1998" s="1" t="s">
        <v>9956</v>
      </c>
      <c r="P1998" s="1"/>
      <c r="Q1998" s="1">
        <v>100</v>
      </c>
      <c r="R1998" s="1">
        <v>25000</v>
      </c>
      <c r="S1998" s="1">
        <v>25000</v>
      </c>
    </row>
    <row r="1999" spans="1:19" ht="12.5" x14ac:dyDescent="0.25">
      <c r="A1999" s="1" t="s">
        <v>16</v>
      </c>
      <c r="B1999" s="1" t="s">
        <v>16</v>
      </c>
      <c r="C1999" s="1" t="s">
        <v>16</v>
      </c>
      <c r="D1999" s="1" t="s">
        <v>16</v>
      </c>
      <c r="E1999" s="1">
        <v>1982</v>
      </c>
      <c r="F1999" s="1" t="s">
        <v>6612</v>
      </c>
      <c r="G1999" s="1" t="s">
        <v>6613</v>
      </c>
      <c r="H1999" s="1" t="s">
        <v>16</v>
      </c>
      <c r="I1999" s="1" t="s">
        <v>20</v>
      </c>
      <c r="J1999" s="1" t="s">
        <v>6614</v>
      </c>
      <c r="K1999" s="1" t="b">
        <v>0</v>
      </c>
      <c r="L1999" s="1" t="s">
        <v>22</v>
      </c>
      <c r="M1999" s="1" t="s">
        <v>16</v>
      </c>
      <c r="N1999" s="1" t="s">
        <v>16</v>
      </c>
      <c r="O1999" s="1" t="s">
        <v>16</v>
      </c>
      <c r="P1999" s="1" t="s">
        <v>16</v>
      </c>
    </row>
    <row r="2000" spans="1:19" ht="12.5" x14ac:dyDescent="0.25">
      <c r="A2000" s="1" t="s">
        <v>16</v>
      </c>
      <c r="B2000" s="1" t="s">
        <v>16</v>
      </c>
      <c r="C2000" s="1" t="s">
        <v>16</v>
      </c>
      <c r="D2000" s="1" t="s">
        <v>16</v>
      </c>
      <c r="E2000" s="1">
        <v>1983</v>
      </c>
      <c r="F2000" s="1" t="s">
        <v>6615</v>
      </c>
      <c r="G2000" s="1" t="s">
        <v>6616</v>
      </c>
      <c r="H2000" s="1" t="s">
        <v>16</v>
      </c>
      <c r="I2000" s="1" t="s">
        <v>20</v>
      </c>
      <c r="J2000" s="1" t="s">
        <v>6617</v>
      </c>
      <c r="K2000" s="1" t="b">
        <v>0</v>
      </c>
      <c r="L2000" s="1" t="s">
        <v>22</v>
      </c>
      <c r="M2000" s="1" t="s">
        <v>16</v>
      </c>
      <c r="N2000" s="1" t="s">
        <v>16</v>
      </c>
      <c r="O2000" s="1" t="s">
        <v>16</v>
      </c>
      <c r="P2000" s="1" t="s">
        <v>16</v>
      </c>
    </row>
    <row r="2001" spans="1:19" ht="12.5" x14ac:dyDescent="0.25">
      <c r="A2001" s="1">
        <v>2167</v>
      </c>
      <c r="B2001" s="1" t="s">
        <v>6448</v>
      </c>
      <c r="C2001" s="1" t="s">
        <v>38</v>
      </c>
      <c r="D2001" s="1" t="s">
        <v>5701</v>
      </c>
      <c r="E2001" s="1">
        <v>1984</v>
      </c>
      <c r="F2001" s="1" t="s">
        <v>6618</v>
      </c>
      <c r="G2001" s="1" t="s">
        <v>6619</v>
      </c>
      <c r="H2001" s="1" t="s">
        <v>16</v>
      </c>
      <c r="I2001" s="1" t="s">
        <v>20</v>
      </c>
      <c r="J2001" s="1" t="s">
        <v>6620</v>
      </c>
      <c r="K2001" s="1" t="b">
        <v>0</v>
      </c>
      <c r="L2001" s="1" t="s">
        <v>22</v>
      </c>
      <c r="M2001" s="1" t="s">
        <v>16</v>
      </c>
      <c r="N2001" s="1" t="s">
        <v>16</v>
      </c>
      <c r="O2001" s="1" t="s">
        <v>16</v>
      </c>
      <c r="P2001" s="1" t="s">
        <v>16</v>
      </c>
      <c r="Q2001" s="1">
        <v>5</v>
      </c>
    </row>
    <row r="2002" spans="1:19" ht="12.5" x14ac:dyDescent="0.25">
      <c r="A2002" s="1" t="s">
        <v>16</v>
      </c>
      <c r="B2002" s="1" t="s">
        <v>16</v>
      </c>
      <c r="C2002" s="1" t="s">
        <v>16</v>
      </c>
      <c r="D2002" s="1" t="s">
        <v>16</v>
      </c>
      <c r="E2002" s="1">
        <v>1985</v>
      </c>
      <c r="F2002" s="1" t="s">
        <v>6621</v>
      </c>
      <c r="G2002" s="1" t="s">
        <v>6622</v>
      </c>
      <c r="H2002" s="1" t="s">
        <v>16</v>
      </c>
      <c r="I2002" s="1" t="s">
        <v>20</v>
      </c>
      <c r="J2002" s="1" t="s">
        <v>6623</v>
      </c>
      <c r="K2002" s="1" t="b">
        <v>0</v>
      </c>
      <c r="L2002" s="1" t="s">
        <v>22</v>
      </c>
      <c r="M2002" s="1" t="s">
        <v>16</v>
      </c>
      <c r="N2002" s="1" t="s">
        <v>16</v>
      </c>
      <c r="O2002" s="1" t="s">
        <v>16</v>
      </c>
      <c r="P2002" s="1" t="s">
        <v>16</v>
      </c>
    </row>
    <row r="2003" spans="1:19" ht="12.5" x14ac:dyDescent="0.25">
      <c r="A2003" s="1" t="s">
        <v>16</v>
      </c>
      <c r="B2003" s="1" t="s">
        <v>16</v>
      </c>
      <c r="C2003" s="1" t="s">
        <v>16</v>
      </c>
      <c r="D2003" s="1" t="s">
        <v>16</v>
      </c>
      <c r="E2003" s="1">
        <v>1986</v>
      </c>
      <c r="F2003" s="1" t="s">
        <v>6624</v>
      </c>
      <c r="G2003" s="1" t="s">
        <v>6625</v>
      </c>
      <c r="H2003" s="1" t="s">
        <v>16</v>
      </c>
      <c r="I2003" s="1" t="s">
        <v>20</v>
      </c>
      <c r="J2003" s="1" t="s">
        <v>6626</v>
      </c>
      <c r="K2003" s="1" t="b">
        <v>0</v>
      </c>
      <c r="L2003" s="1" t="s">
        <v>22</v>
      </c>
      <c r="M2003" s="1" t="s">
        <v>16</v>
      </c>
      <c r="N2003" s="1" t="s">
        <v>16</v>
      </c>
      <c r="O2003" s="1" t="s">
        <v>16</v>
      </c>
      <c r="P2003" s="1" t="s">
        <v>16</v>
      </c>
    </row>
    <row r="2004" spans="1:19" ht="12.5" x14ac:dyDescent="0.25">
      <c r="A2004" s="1" t="s">
        <v>16</v>
      </c>
      <c r="B2004" s="1" t="s">
        <v>16</v>
      </c>
      <c r="C2004" s="1" t="s">
        <v>16</v>
      </c>
      <c r="D2004" s="1" t="s">
        <v>16</v>
      </c>
      <c r="E2004" s="1">
        <v>1987</v>
      </c>
      <c r="F2004" s="1" t="s">
        <v>6627</v>
      </c>
      <c r="G2004" s="1" t="s">
        <v>6628</v>
      </c>
      <c r="H2004" s="1" t="s">
        <v>16</v>
      </c>
      <c r="I2004" s="1" t="s">
        <v>20</v>
      </c>
      <c r="J2004" s="1" t="s">
        <v>6629</v>
      </c>
      <c r="K2004" s="1" t="b">
        <v>0</v>
      </c>
      <c r="L2004" s="1" t="s">
        <v>22</v>
      </c>
      <c r="M2004" s="1" t="s">
        <v>16</v>
      </c>
      <c r="N2004" s="1" t="s">
        <v>16</v>
      </c>
      <c r="O2004" s="1" t="s">
        <v>16</v>
      </c>
      <c r="P2004" s="1" t="s">
        <v>16</v>
      </c>
    </row>
    <row r="2005" spans="1:19" ht="12.5" x14ac:dyDescent="0.25">
      <c r="A2005" s="1" t="s">
        <v>16</v>
      </c>
      <c r="B2005" s="1" t="s">
        <v>16</v>
      </c>
      <c r="C2005" s="1" t="s">
        <v>16</v>
      </c>
      <c r="D2005" s="1" t="s">
        <v>16</v>
      </c>
      <c r="E2005" s="1">
        <v>1988</v>
      </c>
      <c r="F2005" s="1" t="s">
        <v>6630</v>
      </c>
      <c r="G2005" s="1" t="s">
        <v>6631</v>
      </c>
      <c r="H2005" s="1" t="s">
        <v>16</v>
      </c>
      <c r="I2005" s="1" t="s">
        <v>20</v>
      </c>
      <c r="J2005" s="1" t="s">
        <v>6632</v>
      </c>
      <c r="K2005" s="1" t="b">
        <v>0</v>
      </c>
      <c r="L2005" s="1" t="s">
        <v>22</v>
      </c>
      <c r="M2005" s="1" t="s">
        <v>16</v>
      </c>
      <c r="N2005" s="1" t="s">
        <v>16</v>
      </c>
      <c r="O2005" s="1" t="s">
        <v>16</v>
      </c>
      <c r="P2005" s="1" t="s">
        <v>16</v>
      </c>
    </row>
    <row r="2006" spans="1:19" ht="12.5" x14ac:dyDescent="0.25">
      <c r="A2006" s="1" t="s">
        <v>16</v>
      </c>
      <c r="B2006" s="1" t="s">
        <v>16</v>
      </c>
      <c r="C2006" s="1" t="s">
        <v>16</v>
      </c>
      <c r="D2006" s="1" t="s">
        <v>16</v>
      </c>
      <c r="E2006" s="1">
        <v>1989</v>
      </c>
      <c r="F2006" s="1" t="s">
        <v>6633</v>
      </c>
      <c r="G2006" s="1" t="s">
        <v>6634</v>
      </c>
      <c r="H2006" s="1" t="s">
        <v>16</v>
      </c>
      <c r="I2006" s="1" t="s">
        <v>20</v>
      </c>
      <c r="J2006" s="1" t="s">
        <v>6635</v>
      </c>
      <c r="K2006" s="1" t="b">
        <v>0</v>
      </c>
      <c r="L2006" s="1" t="s">
        <v>22</v>
      </c>
      <c r="M2006" s="1" t="s">
        <v>16</v>
      </c>
      <c r="N2006" s="1" t="s">
        <v>16</v>
      </c>
      <c r="O2006" s="1" t="s">
        <v>16</v>
      </c>
      <c r="P2006" s="1" t="s">
        <v>16</v>
      </c>
    </row>
    <row r="2007" spans="1:19" ht="12.5" x14ac:dyDescent="0.25">
      <c r="A2007" s="1" t="s">
        <v>16</v>
      </c>
      <c r="B2007" s="1" t="s">
        <v>16</v>
      </c>
      <c r="C2007" s="1" t="s">
        <v>16</v>
      </c>
      <c r="D2007" s="1" t="s">
        <v>16</v>
      </c>
      <c r="E2007" s="1">
        <v>1990</v>
      </c>
      <c r="F2007" s="1" t="s">
        <v>6636</v>
      </c>
      <c r="G2007" s="1" t="s">
        <v>6637</v>
      </c>
      <c r="H2007" s="1" t="s">
        <v>16</v>
      </c>
      <c r="I2007" s="1" t="s">
        <v>20</v>
      </c>
      <c r="J2007" s="1" t="s">
        <v>6638</v>
      </c>
      <c r="K2007" s="1" t="b">
        <v>0</v>
      </c>
      <c r="L2007" s="1" t="s">
        <v>22</v>
      </c>
      <c r="M2007" s="1" t="s">
        <v>16</v>
      </c>
      <c r="N2007" s="1" t="s">
        <v>16</v>
      </c>
      <c r="O2007" s="1" t="s">
        <v>16</v>
      </c>
      <c r="P2007" s="1" t="s">
        <v>16</v>
      </c>
    </row>
    <row r="2008" spans="1:19" ht="12.5" x14ac:dyDescent="0.25">
      <c r="A2008" s="1" t="s">
        <v>16</v>
      </c>
      <c r="B2008" s="1" t="s">
        <v>16</v>
      </c>
      <c r="C2008" s="1" t="s">
        <v>16</v>
      </c>
      <c r="D2008" s="1" t="s">
        <v>16</v>
      </c>
      <c r="E2008" s="1">
        <v>1991</v>
      </c>
      <c r="F2008" s="1" t="s">
        <v>6639</v>
      </c>
      <c r="G2008" s="1" t="s">
        <v>6640</v>
      </c>
      <c r="H2008" s="1" t="s">
        <v>16</v>
      </c>
      <c r="I2008" s="1" t="s">
        <v>20</v>
      </c>
      <c r="J2008" s="1" t="s">
        <v>6641</v>
      </c>
      <c r="K2008" s="1" t="b">
        <v>0</v>
      </c>
      <c r="L2008" s="1" t="s">
        <v>22</v>
      </c>
      <c r="M2008" s="1" t="s">
        <v>16</v>
      </c>
      <c r="N2008" s="1" t="s">
        <v>16</v>
      </c>
      <c r="O2008" s="1" t="s">
        <v>16</v>
      </c>
      <c r="P2008" s="1" t="s">
        <v>16</v>
      </c>
    </row>
    <row r="2009" spans="1:19" ht="12.5" x14ac:dyDescent="0.25">
      <c r="A2009" s="1" t="s">
        <v>16</v>
      </c>
      <c r="B2009" s="1" t="s">
        <v>16</v>
      </c>
      <c r="C2009" s="1" t="s">
        <v>16</v>
      </c>
      <c r="D2009" s="1" t="s">
        <v>16</v>
      </c>
      <c r="E2009" s="1">
        <v>1992</v>
      </c>
      <c r="F2009" s="1" t="s">
        <v>6642</v>
      </c>
      <c r="G2009" s="1" t="s">
        <v>6643</v>
      </c>
      <c r="H2009" s="1" t="s">
        <v>16</v>
      </c>
      <c r="I2009" s="1" t="s">
        <v>20</v>
      </c>
      <c r="J2009" s="1" t="s">
        <v>6644</v>
      </c>
      <c r="K2009" s="1" t="b">
        <v>0</v>
      </c>
      <c r="L2009" s="1" t="s">
        <v>22</v>
      </c>
      <c r="M2009" s="1" t="s">
        <v>16</v>
      </c>
      <c r="N2009" s="1" t="s">
        <v>16</v>
      </c>
      <c r="O2009" s="1" t="s">
        <v>16</v>
      </c>
      <c r="P2009" s="1" t="s">
        <v>16</v>
      </c>
    </row>
    <row r="2010" spans="1:19" ht="12.5" x14ac:dyDescent="0.25">
      <c r="A2010" s="1">
        <v>596</v>
      </c>
      <c r="B2010" s="1" t="s">
        <v>2449</v>
      </c>
      <c r="C2010" s="1" t="s">
        <v>35</v>
      </c>
      <c r="D2010" s="1" t="s">
        <v>36</v>
      </c>
      <c r="E2010" s="1">
        <v>1993</v>
      </c>
      <c r="F2010" s="1" t="s">
        <v>6645</v>
      </c>
      <c r="G2010" s="1" t="s">
        <v>6646</v>
      </c>
      <c r="H2010" s="1" t="s">
        <v>16</v>
      </c>
      <c r="I2010" s="1" t="s">
        <v>20</v>
      </c>
      <c r="J2010" s="1" t="s">
        <v>6647</v>
      </c>
      <c r="K2010" s="1" t="b">
        <v>0</v>
      </c>
      <c r="L2010" s="1" t="s">
        <v>22</v>
      </c>
      <c r="M2010" s="1" t="s">
        <v>16</v>
      </c>
      <c r="N2010" s="1" t="s">
        <v>16</v>
      </c>
      <c r="O2010" s="1" t="s">
        <v>16</v>
      </c>
      <c r="P2010" s="1" t="s">
        <v>16</v>
      </c>
      <c r="Q2010" s="1">
        <v>100</v>
      </c>
    </row>
    <row r="2011" spans="1:19" ht="12.5" x14ac:dyDescent="0.25">
      <c r="A2011" s="1">
        <v>1270</v>
      </c>
      <c r="B2011" s="1" t="s">
        <v>6648</v>
      </c>
      <c r="C2011" s="1" t="s">
        <v>35</v>
      </c>
      <c r="D2011" s="1" t="s">
        <v>152</v>
      </c>
      <c r="E2011" s="1">
        <v>2002</v>
      </c>
      <c r="F2011" s="1" t="s">
        <v>6649</v>
      </c>
      <c r="G2011" s="1" t="s">
        <v>6650</v>
      </c>
      <c r="H2011" s="1" t="s">
        <v>6651</v>
      </c>
      <c r="I2011" s="1" t="s">
        <v>29</v>
      </c>
      <c r="J2011" s="1" t="s">
        <v>16</v>
      </c>
      <c r="K2011" s="1" t="b">
        <v>0</v>
      </c>
      <c r="L2011" s="1" t="s">
        <v>22</v>
      </c>
      <c r="M2011" s="1" t="s">
        <v>16</v>
      </c>
      <c r="N2011" s="1" t="s">
        <v>16</v>
      </c>
      <c r="O2011" s="1" t="s">
        <v>9956</v>
      </c>
      <c r="P2011" s="1" t="s">
        <v>16</v>
      </c>
      <c r="Q2011" s="1">
        <v>100</v>
      </c>
      <c r="R2011" s="1">
        <v>500000</v>
      </c>
      <c r="S2011" s="1">
        <v>500000</v>
      </c>
    </row>
    <row r="2012" spans="1:19" ht="12.5" x14ac:dyDescent="0.25">
      <c r="A2012" s="1" t="s">
        <v>16</v>
      </c>
      <c r="B2012" s="1" t="s">
        <v>16</v>
      </c>
      <c r="C2012" s="1" t="s">
        <v>16</v>
      </c>
      <c r="D2012" s="1" t="s">
        <v>16</v>
      </c>
      <c r="E2012" s="1">
        <v>2003</v>
      </c>
      <c r="F2012" s="1" t="s">
        <v>6652</v>
      </c>
      <c r="G2012" s="1" t="s">
        <v>6653</v>
      </c>
      <c r="H2012" s="1" t="s">
        <v>16</v>
      </c>
      <c r="I2012" s="1" t="s">
        <v>20</v>
      </c>
      <c r="J2012" s="1" t="s">
        <v>6654</v>
      </c>
      <c r="K2012" s="1" t="b">
        <v>0</v>
      </c>
      <c r="L2012" s="1" t="s">
        <v>22</v>
      </c>
      <c r="M2012" s="1">
        <v>2022</v>
      </c>
      <c r="N2012" s="1" t="s">
        <v>23</v>
      </c>
      <c r="O2012" s="1" t="s">
        <v>9935</v>
      </c>
      <c r="P2012" s="1" t="s">
        <v>10069</v>
      </c>
      <c r="R2012" s="1">
        <v>499000</v>
      </c>
    </row>
    <row r="2013" spans="1:19" ht="12.5" x14ac:dyDescent="0.25">
      <c r="A2013" s="1" t="s">
        <v>16</v>
      </c>
      <c r="B2013" s="1" t="s">
        <v>16</v>
      </c>
      <c r="C2013" s="1" t="s">
        <v>16</v>
      </c>
      <c r="D2013" s="1" t="s">
        <v>16</v>
      </c>
      <c r="E2013" s="1">
        <v>2004</v>
      </c>
      <c r="F2013" s="1" t="s">
        <v>6655</v>
      </c>
      <c r="G2013" s="1" t="s">
        <v>6656</v>
      </c>
      <c r="H2013" s="1" t="s">
        <v>16</v>
      </c>
      <c r="I2013" s="1" t="s">
        <v>20</v>
      </c>
      <c r="J2013" s="1" t="s">
        <v>6657</v>
      </c>
      <c r="K2013" s="1" t="b">
        <v>0</v>
      </c>
      <c r="L2013" s="1" t="s">
        <v>22</v>
      </c>
      <c r="M2013" s="1" t="s">
        <v>16</v>
      </c>
      <c r="N2013" s="1" t="s">
        <v>16</v>
      </c>
      <c r="O2013" s="1" t="s">
        <v>16</v>
      </c>
      <c r="P2013" s="1" t="s">
        <v>16</v>
      </c>
    </row>
    <row r="2014" spans="1:19" ht="12.5" x14ac:dyDescent="0.25">
      <c r="A2014" s="1">
        <v>869</v>
      </c>
      <c r="B2014" s="1" t="s">
        <v>6658</v>
      </c>
      <c r="C2014" s="1" t="s">
        <v>35</v>
      </c>
      <c r="D2014" s="1" t="s">
        <v>152</v>
      </c>
      <c r="E2014" s="1">
        <v>2005</v>
      </c>
      <c r="F2014" s="1" t="s">
        <v>6660</v>
      </c>
      <c r="G2014" s="1" t="s">
        <v>6661</v>
      </c>
      <c r="H2014" s="1" t="s">
        <v>16</v>
      </c>
      <c r="I2014" s="1" t="s">
        <v>29</v>
      </c>
      <c r="J2014" s="1" t="s">
        <v>6662</v>
      </c>
      <c r="K2014" s="1" t="b">
        <v>1</v>
      </c>
      <c r="L2014" s="1" t="s">
        <v>31</v>
      </c>
      <c r="M2014" s="1" t="s">
        <v>16</v>
      </c>
      <c r="N2014" s="1" t="s">
        <v>16</v>
      </c>
      <c r="O2014" s="1" t="s">
        <v>9935</v>
      </c>
      <c r="P2014" s="1" t="s">
        <v>16</v>
      </c>
      <c r="Q2014" s="1">
        <v>100</v>
      </c>
      <c r="R2014" s="1">
        <v>38765</v>
      </c>
      <c r="S2014" s="1">
        <v>38765</v>
      </c>
    </row>
    <row r="2015" spans="1:19" ht="12.5" x14ac:dyDescent="0.25">
      <c r="A2015" s="1" t="s">
        <v>16</v>
      </c>
      <c r="B2015" s="1" t="s">
        <v>16</v>
      </c>
      <c r="C2015" s="1" t="s">
        <v>16</v>
      </c>
      <c r="D2015" s="1" t="s">
        <v>16</v>
      </c>
      <c r="E2015" s="1">
        <v>2006</v>
      </c>
      <c r="F2015" s="1" t="s">
        <v>6663</v>
      </c>
      <c r="G2015" s="1" t="s">
        <v>6664</v>
      </c>
      <c r="H2015" s="1" t="s">
        <v>16</v>
      </c>
      <c r="I2015" s="1" t="s">
        <v>20</v>
      </c>
      <c r="J2015" s="1" t="s">
        <v>6665</v>
      </c>
      <c r="K2015" s="1" t="b">
        <v>0</v>
      </c>
      <c r="L2015" s="1" t="s">
        <v>22</v>
      </c>
      <c r="M2015" s="1" t="s">
        <v>16</v>
      </c>
      <c r="N2015" s="1" t="s">
        <v>16</v>
      </c>
      <c r="O2015" s="1" t="s">
        <v>16</v>
      </c>
      <c r="P2015" s="1" t="s">
        <v>16</v>
      </c>
    </row>
    <row r="2016" spans="1:19" ht="12.5" x14ac:dyDescent="0.25">
      <c r="A2016" s="1" t="s">
        <v>16</v>
      </c>
      <c r="B2016" s="1" t="s">
        <v>16</v>
      </c>
      <c r="C2016" s="1" t="s">
        <v>16</v>
      </c>
      <c r="D2016" s="1" t="s">
        <v>16</v>
      </c>
      <c r="E2016" s="1">
        <v>2007</v>
      </c>
      <c r="F2016" s="1" t="s">
        <v>6666</v>
      </c>
      <c r="G2016" s="1" t="s">
        <v>6667</v>
      </c>
      <c r="H2016" s="1" t="s">
        <v>16</v>
      </c>
      <c r="I2016" s="1" t="s">
        <v>20</v>
      </c>
      <c r="J2016" s="1" t="s">
        <v>6668</v>
      </c>
      <c r="K2016" s="1" t="b">
        <v>0</v>
      </c>
      <c r="L2016" s="1" t="s">
        <v>22</v>
      </c>
      <c r="M2016" s="1" t="s">
        <v>16</v>
      </c>
      <c r="N2016" s="1" t="s">
        <v>16</v>
      </c>
      <c r="O2016" s="1" t="s">
        <v>16</v>
      </c>
      <c r="P2016" s="1" t="s">
        <v>16</v>
      </c>
    </row>
    <row r="2017" spans="1:19" ht="12.5" x14ac:dyDescent="0.25">
      <c r="A2017" s="1">
        <v>143</v>
      </c>
      <c r="B2017" s="1" t="s">
        <v>707</v>
      </c>
      <c r="C2017" s="1" t="s">
        <v>15</v>
      </c>
      <c r="D2017" s="1" t="s">
        <v>15</v>
      </c>
      <c r="E2017" s="1">
        <v>2008</v>
      </c>
      <c r="F2017" s="1" t="s">
        <v>6669</v>
      </c>
      <c r="G2017" s="1" t="s">
        <v>6670</v>
      </c>
      <c r="H2017" s="1" t="s">
        <v>16</v>
      </c>
      <c r="I2017" s="1" t="s">
        <v>20</v>
      </c>
      <c r="J2017" s="1" t="s">
        <v>6671</v>
      </c>
      <c r="K2017" s="1" t="b">
        <v>0</v>
      </c>
      <c r="L2017" s="1" t="s">
        <v>22</v>
      </c>
      <c r="M2017" s="1" t="s">
        <v>16</v>
      </c>
      <c r="N2017" s="1" t="s">
        <v>16</v>
      </c>
      <c r="O2017" s="1" t="s">
        <v>16</v>
      </c>
      <c r="P2017" s="1" t="s">
        <v>16</v>
      </c>
      <c r="Q2017" s="1">
        <v>100</v>
      </c>
    </row>
    <row r="2018" spans="1:19" ht="12.5" x14ac:dyDescent="0.25">
      <c r="A2018" s="1" t="s">
        <v>16</v>
      </c>
      <c r="B2018" s="1" t="s">
        <v>16</v>
      </c>
      <c r="C2018" s="1" t="s">
        <v>16</v>
      </c>
      <c r="D2018" s="1" t="s">
        <v>16</v>
      </c>
      <c r="E2018" s="1">
        <v>2009</v>
      </c>
      <c r="F2018" s="1" t="s">
        <v>6672</v>
      </c>
      <c r="G2018" s="1" t="s">
        <v>6673</v>
      </c>
      <c r="H2018" s="1" t="s">
        <v>16</v>
      </c>
      <c r="I2018" s="1" t="s">
        <v>20</v>
      </c>
      <c r="J2018" s="1" t="s">
        <v>6674</v>
      </c>
      <c r="K2018" s="1" t="b">
        <v>0</v>
      </c>
      <c r="L2018" s="1" t="s">
        <v>22</v>
      </c>
      <c r="M2018" s="1" t="s">
        <v>16</v>
      </c>
      <c r="N2018" s="1" t="s">
        <v>16</v>
      </c>
      <c r="O2018" s="1" t="s">
        <v>16</v>
      </c>
      <c r="P2018" s="1" t="s">
        <v>16</v>
      </c>
    </row>
    <row r="2019" spans="1:19" ht="12.5" x14ac:dyDescent="0.25">
      <c r="A2019" s="1">
        <v>964</v>
      </c>
      <c r="B2019" s="1" t="s">
        <v>6675</v>
      </c>
      <c r="C2019" s="1" t="s">
        <v>35</v>
      </c>
      <c r="D2019" s="1" t="s">
        <v>152</v>
      </c>
      <c r="E2019" s="1">
        <v>2010</v>
      </c>
      <c r="F2019" s="1" t="s">
        <v>6677</v>
      </c>
      <c r="G2019" s="1" t="s">
        <v>6678</v>
      </c>
      <c r="H2019" s="1" t="s">
        <v>16</v>
      </c>
      <c r="I2019" s="1" t="s">
        <v>29</v>
      </c>
      <c r="J2019" s="1" t="s">
        <v>6679</v>
      </c>
      <c r="K2019" s="1" t="b">
        <v>0</v>
      </c>
      <c r="L2019" s="1" t="s">
        <v>22</v>
      </c>
      <c r="M2019" s="1" t="s">
        <v>16</v>
      </c>
      <c r="N2019" s="1" t="s">
        <v>16</v>
      </c>
      <c r="O2019" s="1" t="s">
        <v>9956</v>
      </c>
      <c r="P2019" s="1" t="s">
        <v>16</v>
      </c>
      <c r="Q2019" s="1">
        <v>100</v>
      </c>
      <c r="R2019" s="1">
        <v>5000</v>
      </c>
      <c r="S2019" s="1">
        <v>5000</v>
      </c>
    </row>
    <row r="2020" spans="1:19" ht="12.5" x14ac:dyDescent="0.25">
      <c r="A2020" s="1">
        <v>634</v>
      </c>
      <c r="B2020" s="1" t="s">
        <v>2594</v>
      </c>
      <c r="C2020" s="1" t="s">
        <v>35</v>
      </c>
      <c r="D2020" s="1" t="s">
        <v>36</v>
      </c>
      <c r="E2020" s="1">
        <v>2011</v>
      </c>
      <c r="F2020" s="1" t="s">
        <v>6680</v>
      </c>
      <c r="G2020" s="1" t="s">
        <v>6681</v>
      </c>
      <c r="H2020" s="1" t="s">
        <v>16</v>
      </c>
      <c r="I2020" s="1" t="s">
        <v>20</v>
      </c>
      <c r="J2020" s="1" t="s">
        <v>6682</v>
      </c>
      <c r="K2020" s="1" t="b">
        <v>0</v>
      </c>
      <c r="L2020" s="1" t="s">
        <v>22</v>
      </c>
      <c r="M2020" s="1" t="s">
        <v>16</v>
      </c>
      <c r="N2020" s="1" t="s">
        <v>16</v>
      </c>
      <c r="O2020" s="1" t="s">
        <v>16</v>
      </c>
      <c r="P2020" s="1" t="s">
        <v>16</v>
      </c>
      <c r="Q2020" s="1">
        <v>80</v>
      </c>
    </row>
    <row r="2021" spans="1:19" ht="12.5" x14ac:dyDescent="0.25">
      <c r="A2021" s="1">
        <v>966</v>
      </c>
      <c r="B2021" s="1" t="s">
        <v>6683</v>
      </c>
      <c r="C2021" s="1" t="s">
        <v>35</v>
      </c>
      <c r="D2021" s="1" t="s">
        <v>152</v>
      </c>
      <c r="E2021" s="1">
        <v>2012</v>
      </c>
      <c r="F2021" s="1" t="s">
        <v>6685</v>
      </c>
      <c r="G2021" s="1" t="s">
        <v>6686</v>
      </c>
      <c r="H2021" s="1" t="s">
        <v>6687</v>
      </c>
      <c r="I2021" s="1" t="s">
        <v>29</v>
      </c>
      <c r="J2021" s="1" t="s">
        <v>6688</v>
      </c>
      <c r="K2021" s="1" t="b">
        <v>0</v>
      </c>
      <c r="L2021" s="1" t="s">
        <v>22</v>
      </c>
      <c r="M2021" s="1" t="s">
        <v>16</v>
      </c>
      <c r="N2021" s="1" t="s">
        <v>16</v>
      </c>
      <c r="O2021" s="1" t="s">
        <v>9956</v>
      </c>
      <c r="P2021" s="1" t="s">
        <v>16</v>
      </c>
      <c r="Q2021" s="1">
        <v>100</v>
      </c>
      <c r="R2021" s="1">
        <v>35800</v>
      </c>
      <c r="S2021" s="1">
        <v>35800</v>
      </c>
    </row>
    <row r="2022" spans="1:19" ht="12.5" x14ac:dyDescent="0.25">
      <c r="A2022" s="1" t="s">
        <v>16</v>
      </c>
      <c r="B2022" s="1" t="s">
        <v>16</v>
      </c>
      <c r="C2022" s="1" t="s">
        <v>16</v>
      </c>
      <c r="D2022" s="1" t="s">
        <v>16</v>
      </c>
      <c r="E2022" s="1">
        <v>2014</v>
      </c>
      <c r="F2022" s="1" t="s">
        <v>6689</v>
      </c>
      <c r="G2022" s="1" t="s">
        <v>6690</v>
      </c>
      <c r="H2022" s="1" t="s">
        <v>16</v>
      </c>
      <c r="I2022" s="1" t="s">
        <v>20</v>
      </c>
      <c r="J2022" s="1" t="s">
        <v>6691</v>
      </c>
      <c r="K2022" s="1" t="b">
        <v>0</v>
      </c>
      <c r="L2022" s="1" t="s">
        <v>22</v>
      </c>
      <c r="M2022" s="1" t="s">
        <v>16</v>
      </c>
      <c r="N2022" s="1" t="s">
        <v>16</v>
      </c>
      <c r="O2022" s="1" t="s">
        <v>16</v>
      </c>
      <c r="P2022" s="1" t="s">
        <v>16</v>
      </c>
    </row>
    <row r="2023" spans="1:19" ht="12.5" x14ac:dyDescent="0.25">
      <c r="A2023" s="1">
        <v>501</v>
      </c>
      <c r="B2023" s="1" t="s">
        <v>2057</v>
      </c>
      <c r="C2023" s="1" t="s">
        <v>35</v>
      </c>
      <c r="D2023" s="1" t="s">
        <v>36</v>
      </c>
      <c r="E2023" s="1">
        <v>2015</v>
      </c>
      <c r="F2023" s="1" t="s">
        <v>6692</v>
      </c>
      <c r="G2023" s="1" t="s">
        <v>6693</v>
      </c>
      <c r="H2023" s="1" t="s">
        <v>16</v>
      </c>
      <c r="I2023" s="1" t="s">
        <v>20</v>
      </c>
      <c r="J2023" s="1" t="s">
        <v>6694</v>
      </c>
      <c r="K2023" s="1" t="b">
        <v>0</v>
      </c>
      <c r="L2023" s="1" t="s">
        <v>22</v>
      </c>
      <c r="M2023" s="1" t="s">
        <v>16</v>
      </c>
      <c r="N2023" s="1" t="s">
        <v>16</v>
      </c>
      <c r="O2023" s="1" t="s">
        <v>16</v>
      </c>
      <c r="P2023" s="1" t="s">
        <v>16</v>
      </c>
      <c r="Q2023" s="1">
        <v>100</v>
      </c>
    </row>
    <row r="2024" spans="1:19" ht="12.5" x14ac:dyDescent="0.25">
      <c r="A2024" s="1">
        <v>978</v>
      </c>
      <c r="B2024" s="1" t="s">
        <v>6695</v>
      </c>
      <c r="C2024" s="1" t="s">
        <v>35</v>
      </c>
      <c r="D2024" s="1" t="s">
        <v>152</v>
      </c>
      <c r="E2024" s="1">
        <v>2016</v>
      </c>
      <c r="F2024" s="1" t="s">
        <v>6697</v>
      </c>
      <c r="G2024" s="1" t="s">
        <v>6698</v>
      </c>
      <c r="H2024" s="1" t="s">
        <v>16</v>
      </c>
      <c r="I2024" s="1" t="s">
        <v>29</v>
      </c>
      <c r="J2024" s="1" t="s">
        <v>6699</v>
      </c>
      <c r="K2024" s="1" t="b">
        <v>1</v>
      </c>
      <c r="L2024" s="1" t="s">
        <v>31</v>
      </c>
      <c r="M2024" s="1" t="s">
        <v>16</v>
      </c>
      <c r="N2024" s="1" t="s">
        <v>16</v>
      </c>
      <c r="O2024" s="1" t="s">
        <v>9956</v>
      </c>
      <c r="P2024" s="1" t="s">
        <v>16</v>
      </c>
      <c r="Q2024" s="1">
        <v>100</v>
      </c>
      <c r="R2024" s="1">
        <v>2276</v>
      </c>
      <c r="S2024" s="1">
        <v>2276</v>
      </c>
    </row>
    <row r="2025" spans="1:19" ht="12.5" x14ac:dyDescent="0.25">
      <c r="A2025" s="1" t="s">
        <v>16</v>
      </c>
      <c r="B2025" s="1" t="s">
        <v>16</v>
      </c>
      <c r="C2025" s="1" t="s">
        <v>16</v>
      </c>
      <c r="D2025" s="1" t="s">
        <v>16</v>
      </c>
      <c r="E2025" s="1">
        <v>2017</v>
      </c>
      <c r="F2025" s="1" t="s">
        <v>6700</v>
      </c>
      <c r="G2025" s="1" t="s">
        <v>6701</v>
      </c>
      <c r="H2025" s="1" t="s">
        <v>16</v>
      </c>
      <c r="I2025" s="1" t="s">
        <v>20</v>
      </c>
      <c r="J2025" s="1" t="s">
        <v>6702</v>
      </c>
      <c r="K2025" s="1" t="b">
        <v>0</v>
      </c>
      <c r="L2025" s="1" t="s">
        <v>22</v>
      </c>
      <c r="M2025" s="1" t="s">
        <v>16</v>
      </c>
      <c r="N2025" s="1" t="s">
        <v>16</v>
      </c>
      <c r="O2025" s="1" t="s">
        <v>16</v>
      </c>
      <c r="P2025" s="1" t="s">
        <v>16</v>
      </c>
    </row>
    <row r="2026" spans="1:19" ht="12.5" x14ac:dyDescent="0.25">
      <c r="A2026" s="1">
        <v>4284</v>
      </c>
      <c r="B2026" s="1" t="s">
        <v>6703</v>
      </c>
      <c r="C2026" s="1" t="s">
        <v>35</v>
      </c>
      <c r="D2026" s="1" t="s">
        <v>5669</v>
      </c>
      <c r="E2026" s="1">
        <v>2018</v>
      </c>
      <c r="F2026" s="1" t="s">
        <v>6704</v>
      </c>
      <c r="G2026" s="1" t="s">
        <v>6705</v>
      </c>
      <c r="H2026" s="1" t="s">
        <v>6706</v>
      </c>
      <c r="I2026" s="1" t="s">
        <v>20</v>
      </c>
      <c r="J2026" s="1" t="s">
        <v>6707</v>
      </c>
      <c r="K2026" s="1" t="b">
        <v>1</v>
      </c>
      <c r="L2026" s="1" t="s">
        <v>31</v>
      </c>
      <c r="M2026" s="1" t="s">
        <v>16</v>
      </c>
      <c r="N2026" s="1" t="s">
        <v>16</v>
      </c>
      <c r="O2026" s="1" t="s">
        <v>9935</v>
      </c>
      <c r="P2026" s="1" t="s">
        <v>16</v>
      </c>
      <c r="Q2026" s="1">
        <v>100</v>
      </c>
      <c r="R2026" s="1">
        <v>600000</v>
      </c>
      <c r="S2026" s="1">
        <v>600000</v>
      </c>
    </row>
    <row r="2027" spans="1:19" ht="12.5" x14ac:dyDescent="0.25">
      <c r="A2027" s="1">
        <v>1032</v>
      </c>
      <c r="B2027" s="1" t="s">
        <v>6708</v>
      </c>
      <c r="C2027" s="1" t="s">
        <v>35</v>
      </c>
      <c r="D2027" s="1" t="s">
        <v>152</v>
      </c>
      <c r="E2027" s="1">
        <v>2019</v>
      </c>
      <c r="F2027" s="1" t="s">
        <v>6710</v>
      </c>
      <c r="G2027" s="1" t="s">
        <v>6711</v>
      </c>
      <c r="H2027" s="1" t="s">
        <v>16</v>
      </c>
      <c r="I2027" s="1" t="s">
        <v>29</v>
      </c>
      <c r="J2027" s="1" t="s">
        <v>6712</v>
      </c>
      <c r="K2027" s="1" t="b">
        <v>1</v>
      </c>
      <c r="L2027" s="1" t="s">
        <v>31</v>
      </c>
      <c r="M2027" s="1">
        <v>2022</v>
      </c>
      <c r="N2027" s="1" t="s">
        <v>23</v>
      </c>
      <c r="O2027" s="1" t="s">
        <v>9935</v>
      </c>
      <c r="P2027" s="1"/>
      <c r="Q2027" s="1">
        <v>100</v>
      </c>
      <c r="R2027" s="1">
        <v>16000</v>
      </c>
      <c r="S2027" s="1">
        <v>16000</v>
      </c>
    </row>
    <row r="2028" spans="1:19" ht="12.5" x14ac:dyDescent="0.25">
      <c r="A2028" s="1" t="s">
        <v>16</v>
      </c>
      <c r="B2028" s="1" t="s">
        <v>16</v>
      </c>
      <c r="C2028" s="1" t="s">
        <v>16</v>
      </c>
      <c r="D2028" s="1" t="s">
        <v>16</v>
      </c>
      <c r="E2028" s="1">
        <v>2020</v>
      </c>
      <c r="F2028" s="1" t="s">
        <v>6713</v>
      </c>
      <c r="G2028" s="1" t="s">
        <v>6714</v>
      </c>
      <c r="H2028" s="1" t="s">
        <v>16</v>
      </c>
      <c r="I2028" s="1" t="s">
        <v>20</v>
      </c>
      <c r="J2028" s="1" t="s">
        <v>6715</v>
      </c>
      <c r="K2028" s="1" t="b">
        <v>0</v>
      </c>
      <c r="L2028" s="1" t="s">
        <v>22</v>
      </c>
      <c r="M2028" s="1" t="s">
        <v>16</v>
      </c>
      <c r="N2028" s="1" t="s">
        <v>16</v>
      </c>
      <c r="O2028" s="1" t="s">
        <v>16</v>
      </c>
      <c r="P2028" s="1" t="s">
        <v>16</v>
      </c>
    </row>
    <row r="2029" spans="1:19" ht="12.5" x14ac:dyDescent="0.25">
      <c r="A2029" s="1" t="s">
        <v>16</v>
      </c>
      <c r="B2029" s="1" t="s">
        <v>16</v>
      </c>
      <c r="C2029" s="1" t="s">
        <v>16</v>
      </c>
      <c r="D2029" s="1" t="s">
        <v>16</v>
      </c>
      <c r="E2029" s="1">
        <v>2021</v>
      </c>
      <c r="F2029" s="1" t="s">
        <v>6716</v>
      </c>
      <c r="G2029" s="1" t="s">
        <v>6717</v>
      </c>
      <c r="H2029" s="1" t="s">
        <v>16</v>
      </c>
      <c r="I2029" s="1" t="s">
        <v>20</v>
      </c>
      <c r="J2029" s="1" t="s">
        <v>6718</v>
      </c>
      <c r="K2029" s="1" t="b">
        <v>0</v>
      </c>
      <c r="L2029" s="1" t="s">
        <v>22</v>
      </c>
      <c r="M2029" s="1" t="s">
        <v>16</v>
      </c>
      <c r="N2029" s="1" t="s">
        <v>16</v>
      </c>
      <c r="O2029" s="1" t="s">
        <v>16</v>
      </c>
      <c r="P2029" s="1" t="s">
        <v>16</v>
      </c>
    </row>
    <row r="2030" spans="1:19" ht="12.5" x14ac:dyDescent="0.25">
      <c r="A2030" s="1" t="s">
        <v>16</v>
      </c>
      <c r="B2030" s="1" t="s">
        <v>16</v>
      </c>
      <c r="C2030" s="1" t="s">
        <v>16</v>
      </c>
      <c r="D2030" s="1" t="s">
        <v>16</v>
      </c>
      <c r="E2030" s="1">
        <v>2022</v>
      </c>
      <c r="F2030" s="1" t="s">
        <v>6719</v>
      </c>
      <c r="G2030" s="1" t="s">
        <v>6720</v>
      </c>
      <c r="H2030" s="1" t="s">
        <v>16</v>
      </c>
      <c r="I2030" s="1" t="s">
        <v>20</v>
      </c>
      <c r="J2030" s="1" t="s">
        <v>6721</v>
      </c>
      <c r="K2030" s="1" t="b">
        <v>0</v>
      </c>
      <c r="L2030" s="1" t="s">
        <v>22</v>
      </c>
      <c r="M2030" s="1" t="s">
        <v>16</v>
      </c>
      <c r="N2030" s="1" t="s">
        <v>16</v>
      </c>
      <c r="O2030" s="1" t="s">
        <v>16</v>
      </c>
      <c r="P2030" s="1" t="s">
        <v>16</v>
      </c>
    </row>
    <row r="2031" spans="1:19" ht="12.5" x14ac:dyDescent="0.25">
      <c r="A2031" s="1" t="s">
        <v>16</v>
      </c>
      <c r="B2031" s="1" t="s">
        <v>16</v>
      </c>
      <c r="C2031" s="1" t="s">
        <v>16</v>
      </c>
      <c r="D2031" s="1" t="s">
        <v>16</v>
      </c>
      <c r="E2031" s="1">
        <v>2023</v>
      </c>
      <c r="F2031" s="1" t="s">
        <v>6722</v>
      </c>
      <c r="G2031" s="1" t="s">
        <v>6723</v>
      </c>
      <c r="H2031" s="1" t="s">
        <v>16</v>
      </c>
      <c r="I2031" s="1" t="s">
        <v>20</v>
      </c>
      <c r="J2031" s="1" t="s">
        <v>6724</v>
      </c>
      <c r="K2031" s="1" t="b">
        <v>0</v>
      </c>
      <c r="L2031" s="1" t="s">
        <v>22</v>
      </c>
      <c r="M2031" s="1" t="s">
        <v>16</v>
      </c>
      <c r="N2031" s="1" t="s">
        <v>16</v>
      </c>
      <c r="O2031" s="1" t="s">
        <v>16</v>
      </c>
      <c r="P2031" s="1" t="s">
        <v>16</v>
      </c>
    </row>
    <row r="2032" spans="1:19" ht="12.5" x14ac:dyDescent="0.25">
      <c r="A2032" s="1" t="s">
        <v>16</v>
      </c>
      <c r="B2032" s="1" t="s">
        <v>16</v>
      </c>
      <c r="C2032" s="1" t="s">
        <v>16</v>
      </c>
      <c r="D2032" s="1" t="s">
        <v>16</v>
      </c>
      <c r="E2032" s="1">
        <v>2024</v>
      </c>
      <c r="F2032" s="1" t="s">
        <v>6725</v>
      </c>
      <c r="G2032" s="1" t="s">
        <v>6726</v>
      </c>
      <c r="H2032" s="1" t="s">
        <v>16</v>
      </c>
      <c r="I2032" s="1" t="s">
        <v>20</v>
      </c>
      <c r="J2032" s="1" t="s">
        <v>6727</v>
      </c>
      <c r="K2032" s="1" t="b">
        <v>0</v>
      </c>
      <c r="L2032" s="1" t="s">
        <v>22</v>
      </c>
      <c r="M2032" s="1" t="s">
        <v>16</v>
      </c>
      <c r="N2032" s="1" t="s">
        <v>16</v>
      </c>
      <c r="O2032" s="1" t="s">
        <v>16</v>
      </c>
      <c r="P2032" s="1" t="s">
        <v>16</v>
      </c>
    </row>
    <row r="2033" spans="1:19" ht="12.5" x14ac:dyDescent="0.25">
      <c r="A2033" s="1" t="s">
        <v>16</v>
      </c>
      <c r="B2033" s="1" t="s">
        <v>16</v>
      </c>
      <c r="C2033" s="1" t="s">
        <v>16</v>
      </c>
      <c r="D2033" s="1" t="s">
        <v>16</v>
      </c>
      <c r="E2033" s="1">
        <v>2025</v>
      </c>
      <c r="F2033" s="1" t="s">
        <v>6728</v>
      </c>
      <c r="G2033" s="1" t="s">
        <v>6729</v>
      </c>
      <c r="H2033" s="1" t="s">
        <v>6730</v>
      </c>
      <c r="I2033" s="1" t="s">
        <v>20</v>
      </c>
      <c r="J2033" s="1" t="s">
        <v>16</v>
      </c>
      <c r="K2033" s="1" t="b">
        <v>0</v>
      </c>
      <c r="L2033" s="1" t="s">
        <v>22</v>
      </c>
      <c r="M2033" s="1" t="s">
        <v>16</v>
      </c>
      <c r="N2033" s="1" t="s">
        <v>16</v>
      </c>
      <c r="O2033" s="1" t="s">
        <v>16</v>
      </c>
      <c r="P2033" s="1" t="s">
        <v>16</v>
      </c>
    </row>
    <row r="2034" spans="1:19" ht="12.5" x14ac:dyDescent="0.25">
      <c r="A2034" s="1">
        <v>2055</v>
      </c>
      <c r="B2034" s="1" t="s">
        <v>6731</v>
      </c>
      <c r="C2034" s="1" t="s">
        <v>15</v>
      </c>
      <c r="D2034" s="1" t="s">
        <v>15</v>
      </c>
      <c r="E2034" s="1">
        <v>2026</v>
      </c>
      <c r="F2034" s="1" t="s">
        <v>6732</v>
      </c>
      <c r="G2034" s="1" t="s">
        <v>6733</v>
      </c>
      <c r="H2034" s="1" t="s">
        <v>16</v>
      </c>
      <c r="I2034" s="1" t="s">
        <v>20</v>
      </c>
      <c r="J2034" s="1" t="s">
        <v>6734</v>
      </c>
      <c r="K2034" s="1" t="b">
        <v>0</v>
      </c>
      <c r="L2034" s="1" t="s">
        <v>22</v>
      </c>
      <c r="M2034" s="1" t="s">
        <v>16</v>
      </c>
      <c r="N2034" s="1" t="s">
        <v>16</v>
      </c>
      <c r="O2034" s="1" t="s">
        <v>16</v>
      </c>
      <c r="P2034" s="1" t="s">
        <v>16</v>
      </c>
      <c r="Q2034" s="1">
        <v>100</v>
      </c>
    </row>
    <row r="2035" spans="1:19" ht="12.5" x14ac:dyDescent="0.25">
      <c r="A2035" s="1">
        <v>1210</v>
      </c>
      <c r="B2035" s="1" t="s">
        <v>6735</v>
      </c>
      <c r="C2035" s="1" t="s">
        <v>35</v>
      </c>
      <c r="D2035" s="1" t="s">
        <v>152</v>
      </c>
      <c r="E2035" s="1">
        <v>2027</v>
      </c>
      <c r="F2035" s="1" t="s">
        <v>6737</v>
      </c>
      <c r="G2035" s="1" t="s">
        <v>6738</v>
      </c>
      <c r="H2035" s="1" t="s">
        <v>6739</v>
      </c>
      <c r="I2035" s="1" t="s">
        <v>29</v>
      </c>
      <c r="J2035" s="1" t="s">
        <v>6740</v>
      </c>
      <c r="K2035" s="1" t="b">
        <v>0</v>
      </c>
      <c r="L2035" s="1" t="s">
        <v>22</v>
      </c>
      <c r="M2035" s="1" t="s">
        <v>16</v>
      </c>
      <c r="N2035" s="1" t="s">
        <v>16</v>
      </c>
      <c r="O2035" s="1" t="s">
        <v>9956</v>
      </c>
      <c r="P2035" s="1" t="s">
        <v>16</v>
      </c>
      <c r="Q2035" s="1">
        <v>100</v>
      </c>
      <c r="R2035" s="1">
        <v>45440</v>
      </c>
      <c r="S2035" s="1">
        <v>45440</v>
      </c>
    </row>
    <row r="2036" spans="1:19" ht="12.5" x14ac:dyDescent="0.25">
      <c r="A2036" s="1">
        <v>1409</v>
      </c>
      <c r="B2036" s="1" t="s">
        <v>6741</v>
      </c>
      <c r="C2036" s="1" t="s">
        <v>35</v>
      </c>
      <c r="D2036" s="1" t="s">
        <v>152</v>
      </c>
      <c r="E2036" s="1">
        <v>2028</v>
      </c>
      <c r="F2036" s="1" t="s">
        <v>6743</v>
      </c>
      <c r="G2036" s="1" t="s">
        <v>6744</v>
      </c>
      <c r="H2036" s="1" t="s">
        <v>6745</v>
      </c>
      <c r="I2036" s="1" t="s">
        <v>29</v>
      </c>
      <c r="J2036" s="1" t="s">
        <v>6746</v>
      </c>
      <c r="K2036" s="1" t="b">
        <v>0</v>
      </c>
      <c r="L2036" s="1" t="s">
        <v>22</v>
      </c>
      <c r="M2036" s="1">
        <v>2023</v>
      </c>
      <c r="N2036" s="1" t="s">
        <v>45</v>
      </c>
      <c r="O2036" s="1" t="s">
        <v>9935</v>
      </c>
      <c r="P2036" s="1" t="s">
        <v>16</v>
      </c>
      <c r="Q2036" s="1">
        <v>100</v>
      </c>
      <c r="R2036" s="1">
        <v>50000</v>
      </c>
      <c r="S2036" s="1">
        <v>50000</v>
      </c>
    </row>
    <row r="2037" spans="1:19" ht="12.5" x14ac:dyDescent="0.25">
      <c r="A2037" s="1">
        <v>58</v>
      </c>
      <c r="B2037" s="1" t="s">
        <v>302</v>
      </c>
      <c r="C2037" s="1" t="s">
        <v>15</v>
      </c>
      <c r="D2037" s="1" t="s">
        <v>15</v>
      </c>
      <c r="E2037" s="1">
        <v>2029</v>
      </c>
      <c r="F2037" s="1" t="s">
        <v>6747</v>
      </c>
      <c r="G2037" s="1" t="s">
        <v>6748</v>
      </c>
      <c r="H2037" s="1" t="s">
        <v>16</v>
      </c>
      <c r="I2037" s="1" t="s">
        <v>20</v>
      </c>
      <c r="J2037" s="1" t="s">
        <v>6749</v>
      </c>
      <c r="K2037" s="1" t="b">
        <v>0</v>
      </c>
      <c r="L2037" s="1" t="s">
        <v>22</v>
      </c>
      <c r="M2037" s="1" t="s">
        <v>16</v>
      </c>
      <c r="N2037" s="1" t="s">
        <v>16</v>
      </c>
      <c r="O2037" s="1" t="s">
        <v>16</v>
      </c>
      <c r="P2037" s="1" t="s">
        <v>16</v>
      </c>
      <c r="Q2037" s="1">
        <v>20</v>
      </c>
    </row>
    <row r="2038" spans="1:19" ht="12.5" x14ac:dyDescent="0.25">
      <c r="A2038" s="1">
        <v>1473</v>
      </c>
      <c r="B2038" s="1" t="s">
        <v>6750</v>
      </c>
      <c r="C2038" s="1" t="s">
        <v>35</v>
      </c>
      <c r="D2038" s="1" t="s">
        <v>152</v>
      </c>
      <c r="E2038" s="1">
        <v>2030</v>
      </c>
      <c r="F2038" s="1" t="s">
        <v>6752</v>
      </c>
      <c r="G2038" s="1" t="s">
        <v>6753</v>
      </c>
      <c r="H2038" s="1" t="s">
        <v>6754</v>
      </c>
      <c r="I2038" s="1" t="s">
        <v>29</v>
      </c>
      <c r="J2038" s="1" t="s">
        <v>6755</v>
      </c>
      <c r="K2038" s="1" t="b">
        <v>0</v>
      </c>
      <c r="L2038" s="1" t="s">
        <v>22</v>
      </c>
      <c r="M2038" s="1">
        <v>2023</v>
      </c>
      <c r="N2038" s="1" t="s">
        <v>16</v>
      </c>
      <c r="O2038" s="1" t="s">
        <v>9935</v>
      </c>
      <c r="P2038" s="1" t="s">
        <v>16</v>
      </c>
      <c r="Q2038" s="1">
        <v>100</v>
      </c>
      <c r="R2038" s="1">
        <v>400000</v>
      </c>
      <c r="S2038" s="1">
        <v>400000</v>
      </c>
    </row>
    <row r="2039" spans="1:19" ht="12.5" x14ac:dyDescent="0.25">
      <c r="A2039" s="1" t="s">
        <v>16</v>
      </c>
      <c r="B2039" s="1" t="s">
        <v>16</v>
      </c>
      <c r="C2039" s="1" t="s">
        <v>16</v>
      </c>
      <c r="D2039" s="1" t="s">
        <v>16</v>
      </c>
      <c r="E2039" s="1">
        <v>2031</v>
      </c>
      <c r="F2039" s="1" t="s">
        <v>6756</v>
      </c>
      <c r="G2039" s="1" t="s">
        <v>10070</v>
      </c>
      <c r="H2039" s="1" t="s">
        <v>16</v>
      </c>
      <c r="I2039" s="1" t="s">
        <v>20</v>
      </c>
      <c r="J2039" s="1" t="s">
        <v>6757</v>
      </c>
      <c r="K2039" s="1" t="b">
        <v>0</v>
      </c>
      <c r="L2039" s="1" t="s">
        <v>22</v>
      </c>
      <c r="M2039" s="1" t="s">
        <v>16</v>
      </c>
      <c r="N2039" s="1" t="s">
        <v>16</v>
      </c>
      <c r="O2039" s="1" t="s">
        <v>16</v>
      </c>
      <c r="P2039" s="1" t="s">
        <v>16</v>
      </c>
    </row>
    <row r="2040" spans="1:19" ht="12.5" x14ac:dyDescent="0.25">
      <c r="A2040" s="1" t="s">
        <v>16</v>
      </c>
      <c r="B2040" s="1" t="s">
        <v>16</v>
      </c>
      <c r="C2040" s="1" t="s">
        <v>16</v>
      </c>
      <c r="D2040" s="1" t="s">
        <v>16</v>
      </c>
      <c r="E2040" s="1">
        <v>2032</v>
      </c>
      <c r="F2040" s="1" t="s">
        <v>6758</v>
      </c>
      <c r="G2040" s="1" t="s">
        <v>6759</v>
      </c>
      <c r="H2040" s="1" t="s">
        <v>16</v>
      </c>
      <c r="I2040" s="1" t="s">
        <v>20</v>
      </c>
      <c r="J2040" s="1" t="s">
        <v>6760</v>
      </c>
      <c r="K2040" s="1" t="b">
        <v>0</v>
      </c>
      <c r="L2040" s="1" t="s">
        <v>22</v>
      </c>
      <c r="M2040" s="1" t="s">
        <v>16</v>
      </c>
      <c r="N2040" s="1" t="s">
        <v>16</v>
      </c>
      <c r="O2040" s="1" t="s">
        <v>16</v>
      </c>
      <c r="P2040" s="1" t="s">
        <v>16</v>
      </c>
    </row>
    <row r="2041" spans="1:19" ht="12.5" x14ac:dyDescent="0.25">
      <c r="A2041" s="1">
        <v>380</v>
      </c>
      <c r="B2041" s="1" t="s">
        <v>1544</v>
      </c>
      <c r="C2041" s="1" t="s">
        <v>35</v>
      </c>
      <c r="D2041" s="1" t="s">
        <v>36</v>
      </c>
      <c r="E2041" s="1">
        <v>2033</v>
      </c>
      <c r="F2041" s="1" t="s">
        <v>6761</v>
      </c>
      <c r="G2041" s="1" t="s">
        <v>6762</v>
      </c>
      <c r="H2041" s="1" t="s">
        <v>16</v>
      </c>
      <c r="I2041" s="1" t="s">
        <v>20</v>
      </c>
      <c r="J2041" s="1" t="s">
        <v>6763</v>
      </c>
      <c r="K2041" s="1" t="b">
        <v>1</v>
      </c>
      <c r="L2041" s="1" t="s">
        <v>31</v>
      </c>
      <c r="M2041" s="1" t="s">
        <v>16</v>
      </c>
      <c r="N2041" s="1" t="s">
        <v>16</v>
      </c>
      <c r="O2041" s="1" t="s">
        <v>16</v>
      </c>
      <c r="P2041" s="1" t="s">
        <v>16</v>
      </c>
      <c r="Q2041" s="1">
        <v>30</v>
      </c>
    </row>
    <row r="2042" spans="1:19" ht="12.5" x14ac:dyDescent="0.25">
      <c r="A2042" s="1" t="s">
        <v>16</v>
      </c>
      <c r="B2042" s="1" t="s">
        <v>16</v>
      </c>
      <c r="C2042" s="1" t="s">
        <v>16</v>
      </c>
      <c r="D2042" s="1" t="s">
        <v>16</v>
      </c>
      <c r="E2042" s="1">
        <v>2034</v>
      </c>
      <c r="F2042" s="1" t="s">
        <v>6764</v>
      </c>
      <c r="G2042" s="1" t="s">
        <v>10071</v>
      </c>
      <c r="H2042" s="1" t="s">
        <v>16</v>
      </c>
      <c r="I2042" s="1" t="s">
        <v>20</v>
      </c>
      <c r="J2042" s="1" t="s">
        <v>6765</v>
      </c>
      <c r="K2042" s="1" t="b">
        <v>0</v>
      </c>
      <c r="L2042" s="1" t="s">
        <v>22</v>
      </c>
      <c r="M2042" s="1" t="s">
        <v>16</v>
      </c>
      <c r="N2042" s="1" t="s">
        <v>16</v>
      </c>
      <c r="O2042" s="1" t="s">
        <v>16</v>
      </c>
      <c r="P2042" s="1" t="s">
        <v>16</v>
      </c>
    </row>
    <row r="2043" spans="1:19" ht="12.5" x14ac:dyDescent="0.25">
      <c r="A2043" s="1" t="s">
        <v>16</v>
      </c>
      <c r="B2043" s="1" t="s">
        <v>16</v>
      </c>
      <c r="C2043" s="1" t="s">
        <v>16</v>
      </c>
      <c r="D2043" s="1" t="s">
        <v>16</v>
      </c>
      <c r="E2043" s="1">
        <v>2035</v>
      </c>
      <c r="F2043" s="1" t="s">
        <v>6766</v>
      </c>
      <c r="G2043" s="1" t="s">
        <v>6767</v>
      </c>
      <c r="H2043" s="1" t="s">
        <v>16</v>
      </c>
      <c r="I2043" s="1" t="s">
        <v>20</v>
      </c>
      <c r="J2043" s="1" t="s">
        <v>6768</v>
      </c>
      <c r="K2043" s="1" t="b">
        <v>0</v>
      </c>
      <c r="L2043" s="1" t="s">
        <v>22</v>
      </c>
      <c r="M2043" s="1" t="s">
        <v>16</v>
      </c>
      <c r="N2043" s="1" t="s">
        <v>16</v>
      </c>
      <c r="O2043" s="1" t="s">
        <v>16</v>
      </c>
      <c r="P2043" s="1" t="s">
        <v>16</v>
      </c>
    </row>
    <row r="2044" spans="1:19" ht="12.5" x14ac:dyDescent="0.25">
      <c r="A2044" s="1" t="s">
        <v>16</v>
      </c>
      <c r="B2044" s="1" t="s">
        <v>16</v>
      </c>
      <c r="C2044" s="1" t="s">
        <v>16</v>
      </c>
      <c r="D2044" s="1" t="s">
        <v>16</v>
      </c>
      <c r="E2044" s="1">
        <v>2036</v>
      </c>
      <c r="F2044" s="1" t="s">
        <v>6769</v>
      </c>
      <c r="G2044" s="1" t="s">
        <v>6770</v>
      </c>
      <c r="H2044" s="1" t="s">
        <v>16</v>
      </c>
      <c r="I2044" s="1" t="s">
        <v>20</v>
      </c>
      <c r="J2044" s="1" t="s">
        <v>6771</v>
      </c>
      <c r="K2044" s="1" t="b">
        <v>0</v>
      </c>
      <c r="L2044" s="1" t="s">
        <v>22</v>
      </c>
      <c r="M2044" s="1" t="s">
        <v>16</v>
      </c>
      <c r="N2044" s="1" t="s">
        <v>16</v>
      </c>
      <c r="O2044" s="1" t="s">
        <v>16</v>
      </c>
      <c r="P2044" s="1" t="s">
        <v>16</v>
      </c>
    </row>
    <row r="2045" spans="1:19" ht="12.5" x14ac:dyDescent="0.25">
      <c r="A2045" s="1">
        <v>1054</v>
      </c>
      <c r="B2045" s="1" t="s">
        <v>3690</v>
      </c>
      <c r="C2045" s="1" t="s">
        <v>35</v>
      </c>
      <c r="D2045" s="1" t="s">
        <v>152</v>
      </c>
      <c r="E2045" s="1">
        <v>2037</v>
      </c>
      <c r="F2045" s="1" t="s">
        <v>6772</v>
      </c>
      <c r="G2045" s="1" t="s">
        <v>6773</v>
      </c>
      <c r="H2045" s="1" t="s">
        <v>16</v>
      </c>
      <c r="I2045" s="1" t="s">
        <v>29</v>
      </c>
      <c r="J2045" s="1" t="s">
        <v>16</v>
      </c>
      <c r="K2045" s="1" t="b">
        <v>0</v>
      </c>
      <c r="L2045" s="1" t="s">
        <v>22</v>
      </c>
      <c r="M2045" s="1" t="s">
        <v>16</v>
      </c>
      <c r="N2045" s="1" t="s">
        <v>16</v>
      </c>
      <c r="O2045" s="1" t="s">
        <v>16</v>
      </c>
      <c r="P2045" s="1" t="s">
        <v>16</v>
      </c>
      <c r="Q2045" s="1">
        <v>100</v>
      </c>
    </row>
    <row r="2046" spans="1:19" ht="12.5" x14ac:dyDescent="0.25">
      <c r="A2046" s="1" t="s">
        <v>16</v>
      </c>
      <c r="B2046" s="1" t="s">
        <v>16</v>
      </c>
      <c r="C2046" s="1" t="s">
        <v>16</v>
      </c>
      <c r="D2046" s="1" t="s">
        <v>16</v>
      </c>
      <c r="E2046" s="1">
        <v>2038</v>
      </c>
      <c r="F2046" s="1" t="s">
        <v>6774</v>
      </c>
      <c r="G2046" s="1" t="s">
        <v>10072</v>
      </c>
      <c r="H2046" s="1" t="s">
        <v>16</v>
      </c>
      <c r="I2046" s="1" t="s">
        <v>20</v>
      </c>
      <c r="J2046" s="1" t="s">
        <v>6775</v>
      </c>
      <c r="K2046" s="1" t="b">
        <v>0</v>
      </c>
      <c r="L2046" s="1" t="s">
        <v>22</v>
      </c>
      <c r="M2046" s="1" t="s">
        <v>16</v>
      </c>
      <c r="N2046" s="1" t="s">
        <v>16</v>
      </c>
      <c r="O2046" s="1" t="s">
        <v>16</v>
      </c>
      <c r="P2046" s="1" t="s">
        <v>16</v>
      </c>
    </row>
    <row r="2047" spans="1:19" ht="12.5" x14ac:dyDescent="0.25">
      <c r="A2047" s="1" t="s">
        <v>16</v>
      </c>
      <c r="B2047" s="1" t="s">
        <v>16</v>
      </c>
      <c r="C2047" s="1" t="s">
        <v>16</v>
      </c>
      <c r="D2047" s="1" t="s">
        <v>16</v>
      </c>
      <c r="E2047" s="1">
        <v>2039</v>
      </c>
      <c r="F2047" s="1" t="s">
        <v>6776</v>
      </c>
      <c r="G2047" s="1" t="s">
        <v>6777</v>
      </c>
      <c r="H2047" s="1" t="s">
        <v>16</v>
      </c>
      <c r="I2047" s="1" t="s">
        <v>20</v>
      </c>
      <c r="J2047" s="1" t="s">
        <v>6778</v>
      </c>
      <c r="K2047" s="1" t="b">
        <v>0</v>
      </c>
      <c r="L2047" s="1" t="s">
        <v>22</v>
      </c>
      <c r="M2047" s="1" t="s">
        <v>16</v>
      </c>
      <c r="N2047" s="1" t="s">
        <v>16</v>
      </c>
      <c r="O2047" s="1" t="s">
        <v>16</v>
      </c>
      <c r="P2047" s="1" t="s">
        <v>16</v>
      </c>
    </row>
    <row r="2048" spans="1:19" ht="12.5" x14ac:dyDescent="0.25">
      <c r="A2048" s="1" t="s">
        <v>16</v>
      </c>
      <c r="B2048" s="1" t="s">
        <v>16</v>
      </c>
      <c r="C2048" s="1" t="s">
        <v>16</v>
      </c>
      <c r="D2048" s="1" t="s">
        <v>16</v>
      </c>
      <c r="E2048" s="1">
        <v>2040</v>
      </c>
      <c r="F2048" s="1" t="s">
        <v>6779</v>
      </c>
      <c r="G2048" s="1" t="s">
        <v>6780</v>
      </c>
      <c r="H2048" s="1" t="s">
        <v>16</v>
      </c>
      <c r="I2048" s="1" t="s">
        <v>20</v>
      </c>
      <c r="J2048" s="1" t="s">
        <v>6781</v>
      </c>
      <c r="K2048" s="1" t="b">
        <v>0</v>
      </c>
      <c r="L2048" s="1" t="s">
        <v>22</v>
      </c>
      <c r="M2048" s="1" t="s">
        <v>16</v>
      </c>
      <c r="N2048" s="1" t="s">
        <v>16</v>
      </c>
      <c r="O2048" s="1" t="s">
        <v>16</v>
      </c>
      <c r="P2048" s="1" t="s">
        <v>16</v>
      </c>
    </row>
    <row r="2049" spans="1:19" ht="12.5" x14ac:dyDescent="0.25">
      <c r="A2049" s="1" t="s">
        <v>16</v>
      </c>
      <c r="B2049" s="1" t="s">
        <v>16</v>
      </c>
      <c r="C2049" s="1" t="s">
        <v>16</v>
      </c>
      <c r="D2049" s="1" t="s">
        <v>16</v>
      </c>
      <c r="E2049" s="1">
        <v>2041</v>
      </c>
      <c r="F2049" s="1" t="s">
        <v>6782</v>
      </c>
      <c r="G2049" s="1" t="s">
        <v>6783</v>
      </c>
      <c r="H2049" s="1" t="s">
        <v>16</v>
      </c>
      <c r="I2049" s="1" t="s">
        <v>20</v>
      </c>
      <c r="J2049" s="1" t="s">
        <v>6784</v>
      </c>
      <c r="K2049" s="1" t="b">
        <v>0</v>
      </c>
      <c r="L2049" s="1" t="s">
        <v>22</v>
      </c>
      <c r="M2049" s="1" t="s">
        <v>16</v>
      </c>
      <c r="N2049" s="1" t="s">
        <v>16</v>
      </c>
      <c r="O2049" s="1" t="s">
        <v>16</v>
      </c>
      <c r="P2049" s="1" t="s">
        <v>16</v>
      </c>
    </row>
    <row r="2050" spans="1:19" ht="12.5" x14ac:dyDescent="0.25">
      <c r="A2050" s="1" t="s">
        <v>16</v>
      </c>
      <c r="B2050" s="1" t="s">
        <v>16</v>
      </c>
      <c r="C2050" s="1" t="s">
        <v>16</v>
      </c>
      <c r="D2050" s="1" t="s">
        <v>16</v>
      </c>
      <c r="E2050" s="1">
        <v>2042</v>
      </c>
      <c r="F2050" s="1" t="s">
        <v>6785</v>
      </c>
      <c r="G2050" s="1" t="s">
        <v>6786</v>
      </c>
      <c r="H2050" s="1" t="s">
        <v>16</v>
      </c>
      <c r="I2050" s="1" t="s">
        <v>20</v>
      </c>
      <c r="J2050" s="1" t="s">
        <v>6787</v>
      </c>
      <c r="K2050" s="1" t="b">
        <v>0</v>
      </c>
      <c r="L2050" s="1" t="s">
        <v>22</v>
      </c>
      <c r="M2050" s="1" t="s">
        <v>16</v>
      </c>
      <c r="N2050" s="1" t="s">
        <v>16</v>
      </c>
      <c r="O2050" s="1" t="s">
        <v>16</v>
      </c>
      <c r="P2050" s="1" t="s">
        <v>16</v>
      </c>
    </row>
    <row r="2051" spans="1:19" ht="12.5" x14ac:dyDescent="0.25">
      <c r="A2051" s="1" t="s">
        <v>16</v>
      </c>
      <c r="B2051" s="1" t="s">
        <v>16</v>
      </c>
      <c r="C2051" s="1" t="s">
        <v>16</v>
      </c>
      <c r="D2051" s="1" t="s">
        <v>16</v>
      </c>
      <c r="E2051" s="1">
        <v>2043</v>
      </c>
      <c r="F2051" s="1" t="s">
        <v>6788</v>
      </c>
      <c r="G2051" s="1" t="s">
        <v>6789</v>
      </c>
      <c r="H2051" s="1" t="s">
        <v>6790</v>
      </c>
      <c r="I2051" s="1" t="s">
        <v>20</v>
      </c>
      <c r="J2051" s="1" t="s">
        <v>6791</v>
      </c>
      <c r="K2051" s="1" t="b">
        <v>0</v>
      </c>
      <c r="L2051" s="1" t="s">
        <v>22</v>
      </c>
      <c r="M2051" s="1" t="s">
        <v>16</v>
      </c>
      <c r="N2051" s="1" t="s">
        <v>16</v>
      </c>
      <c r="O2051" s="1" t="s">
        <v>16</v>
      </c>
      <c r="P2051" s="1" t="s">
        <v>16</v>
      </c>
    </row>
    <row r="2052" spans="1:19" ht="12.5" x14ac:dyDescent="0.25">
      <c r="A2052" s="1">
        <v>2202</v>
      </c>
      <c r="B2052" s="1" t="s">
        <v>6792</v>
      </c>
      <c r="C2052" s="1" t="s">
        <v>15</v>
      </c>
      <c r="D2052" s="1" t="s">
        <v>15</v>
      </c>
      <c r="E2052" s="1">
        <v>2044</v>
      </c>
      <c r="F2052" s="1" t="s">
        <v>6793</v>
      </c>
      <c r="G2052" s="1" t="s">
        <v>6794</v>
      </c>
      <c r="H2052" s="1" t="s">
        <v>6795</v>
      </c>
      <c r="I2052" s="1" t="s">
        <v>29</v>
      </c>
      <c r="J2052" s="1" t="s">
        <v>6796</v>
      </c>
      <c r="K2052" s="1" t="b">
        <v>1</v>
      </c>
      <c r="L2052" s="1" t="s">
        <v>31</v>
      </c>
      <c r="M2052" s="1">
        <v>2022</v>
      </c>
      <c r="N2052" s="1" t="s">
        <v>32</v>
      </c>
      <c r="O2052" s="1" t="s">
        <v>9935</v>
      </c>
      <c r="P2052" s="1" t="s">
        <v>16</v>
      </c>
      <c r="Q2052" s="1">
        <v>100</v>
      </c>
      <c r="R2052" s="1">
        <v>6504.6</v>
      </c>
      <c r="S2052" s="1">
        <v>6504.6</v>
      </c>
    </row>
    <row r="2053" spans="1:19" ht="12.5" x14ac:dyDescent="0.25">
      <c r="A2053" s="1">
        <v>1694</v>
      </c>
      <c r="B2053" s="1" t="s">
        <v>6797</v>
      </c>
      <c r="C2053" s="1" t="s">
        <v>35</v>
      </c>
      <c r="D2053" s="1" t="s">
        <v>152</v>
      </c>
      <c r="E2053" s="1">
        <v>2045</v>
      </c>
      <c r="F2053" s="1" t="s">
        <v>6798</v>
      </c>
      <c r="G2053" s="1" t="s">
        <v>6799</v>
      </c>
      <c r="H2053" s="1" t="s">
        <v>6800</v>
      </c>
      <c r="I2053" s="1" t="s">
        <v>29</v>
      </c>
      <c r="J2053" s="1" t="s">
        <v>6801</v>
      </c>
      <c r="K2053" s="1" t="b">
        <v>0</v>
      </c>
      <c r="L2053" s="1" t="s">
        <v>22</v>
      </c>
      <c r="M2053" s="1">
        <v>2022</v>
      </c>
      <c r="N2053" s="1" t="s">
        <v>45</v>
      </c>
      <c r="O2053" s="1" t="s">
        <v>9956</v>
      </c>
      <c r="P2053" s="1" t="s">
        <v>10073</v>
      </c>
      <c r="Q2053" s="1">
        <v>50</v>
      </c>
      <c r="R2053" s="1">
        <v>300</v>
      </c>
      <c r="S2053" s="1">
        <v>150</v>
      </c>
    </row>
    <row r="2054" spans="1:19" ht="12.5" x14ac:dyDescent="0.25">
      <c r="A2054" s="1">
        <v>1695</v>
      </c>
      <c r="B2054" s="1" t="s">
        <v>6802</v>
      </c>
      <c r="C2054" s="1" t="s">
        <v>35</v>
      </c>
      <c r="D2054" s="1" t="s">
        <v>152</v>
      </c>
      <c r="E2054" s="1">
        <v>2045</v>
      </c>
      <c r="F2054" s="1" t="s">
        <v>6798</v>
      </c>
      <c r="G2054" s="1" t="s">
        <v>6799</v>
      </c>
      <c r="H2054" s="1" t="s">
        <v>6800</v>
      </c>
      <c r="I2054" s="1" t="s">
        <v>29</v>
      </c>
      <c r="J2054" s="1" t="s">
        <v>6801</v>
      </c>
      <c r="K2054" s="1" t="b">
        <v>0</v>
      </c>
      <c r="L2054" s="1" t="s">
        <v>22</v>
      </c>
      <c r="M2054" s="1">
        <v>2022</v>
      </c>
      <c r="N2054" s="1" t="s">
        <v>45</v>
      </c>
      <c r="O2054" s="1" t="s">
        <v>9956</v>
      </c>
      <c r="P2054" s="1" t="s">
        <v>10073</v>
      </c>
      <c r="Q2054" s="1">
        <v>50</v>
      </c>
      <c r="R2054" s="1">
        <v>300</v>
      </c>
      <c r="S2054" s="1">
        <v>150</v>
      </c>
    </row>
    <row r="2055" spans="1:19" ht="12.5" x14ac:dyDescent="0.25">
      <c r="A2055" s="1" t="s">
        <v>16</v>
      </c>
      <c r="B2055" s="1" t="s">
        <v>16</v>
      </c>
      <c r="C2055" s="1" t="s">
        <v>16</v>
      </c>
      <c r="D2055" s="1" t="s">
        <v>16</v>
      </c>
      <c r="E2055" s="1">
        <v>2046</v>
      </c>
      <c r="F2055" s="1" t="s">
        <v>6803</v>
      </c>
      <c r="G2055" s="1" t="s">
        <v>6804</v>
      </c>
      <c r="H2055" s="1" t="s">
        <v>6805</v>
      </c>
      <c r="I2055" s="1" t="s">
        <v>29</v>
      </c>
      <c r="J2055" s="1" t="s">
        <v>6806</v>
      </c>
      <c r="K2055" s="1" t="b">
        <v>0</v>
      </c>
      <c r="L2055" s="1" t="s">
        <v>22</v>
      </c>
      <c r="M2055" s="1">
        <v>2022</v>
      </c>
      <c r="N2055" s="1" t="s">
        <v>45</v>
      </c>
      <c r="O2055" s="1" t="s">
        <v>9935</v>
      </c>
      <c r="P2055" s="1" t="s">
        <v>16</v>
      </c>
      <c r="R2055" s="1">
        <v>1000</v>
      </c>
    </row>
    <row r="2056" spans="1:19" ht="12.5" x14ac:dyDescent="0.25">
      <c r="A2056" s="1">
        <v>4356</v>
      </c>
      <c r="B2056" s="1" t="s">
        <v>6807</v>
      </c>
      <c r="C2056" s="1" t="s">
        <v>6808</v>
      </c>
      <c r="D2056" s="1" t="s">
        <v>6809</v>
      </c>
      <c r="E2056" s="1">
        <v>2047</v>
      </c>
      <c r="F2056" s="1" t="s">
        <v>6810</v>
      </c>
      <c r="G2056" s="1" t="s">
        <v>6811</v>
      </c>
      <c r="H2056" s="1" t="s">
        <v>16</v>
      </c>
      <c r="I2056" s="1" t="s">
        <v>20</v>
      </c>
      <c r="J2056" s="1" t="s">
        <v>6812</v>
      </c>
      <c r="K2056" s="1" t="b">
        <v>0</v>
      </c>
      <c r="L2056" s="1" t="s">
        <v>22</v>
      </c>
      <c r="M2056" s="1" t="s">
        <v>16</v>
      </c>
      <c r="N2056" s="1" t="s">
        <v>16</v>
      </c>
      <c r="O2056" s="1" t="s">
        <v>16</v>
      </c>
      <c r="P2056" s="1" t="s">
        <v>16</v>
      </c>
      <c r="Q2056" s="1">
        <v>100</v>
      </c>
    </row>
    <row r="2057" spans="1:19" ht="12.5" x14ac:dyDescent="0.25">
      <c r="A2057" s="1">
        <v>1150</v>
      </c>
      <c r="B2057" s="1" t="s">
        <v>6813</v>
      </c>
      <c r="C2057" s="1" t="s">
        <v>35</v>
      </c>
      <c r="D2057" s="1" t="s">
        <v>152</v>
      </c>
      <c r="E2057" s="1">
        <v>2048</v>
      </c>
      <c r="F2057" s="1" t="s">
        <v>6815</v>
      </c>
      <c r="G2057" s="1" t="s">
        <v>6816</v>
      </c>
      <c r="H2057" s="1" t="s">
        <v>3132</v>
      </c>
      <c r="I2057" s="1" t="s">
        <v>29</v>
      </c>
      <c r="J2057" s="1" t="s">
        <v>6817</v>
      </c>
      <c r="K2057" s="1" t="b">
        <v>0</v>
      </c>
      <c r="L2057" s="1" t="s">
        <v>22</v>
      </c>
      <c r="M2057" s="1">
        <v>2022</v>
      </c>
      <c r="N2057" s="1" t="s">
        <v>52</v>
      </c>
      <c r="O2057" s="1" t="s">
        <v>9935</v>
      </c>
      <c r="P2057" s="1" t="s">
        <v>16</v>
      </c>
      <c r="Q2057" s="1">
        <v>100</v>
      </c>
      <c r="R2057" s="1">
        <v>40000</v>
      </c>
      <c r="S2057" s="1">
        <v>40000</v>
      </c>
    </row>
    <row r="2058" spans="1:19" ht="12.5" x14ac:dyDescent="0.25">
      <c r="A2058" s="1">
        <v>49</v>
      </c>
      <c r="B2058" s="1" t="s">
        <v>256</v>
      </c>
      <c r="C2058" s="1" t="s">
        <v>15</v>
      </c>
      <c r="D2058" s="1" t="s">
        <v>15</v>
      </c>
      <c r="E2058" s="1">
        <v>2049</v>
      </c>
      <c r="F2058" s="1" t="s">
        <v>6818</v>
      </c>
      <c r="G2058" s="1" t="s">
        <v>6819</v>
      </c>
      <c r="H2058" s="1" t="s">
        <v>16</v>
      </c>
      <c r="I2058" s="1" t="s">
        <v>20</v>
      </c>
      <c r="J2058" s="1" t="s">
        <v>6820</v>
      </c>
      <c r="K2058" s="1" t="b">
        <v>0</v>
      </c>
      <c r="L2058" s="1" t="s">
        <v>22</v>
      </c>
      <c r="M2058" s="1" t="s">
        <v>16</v>
      </c>
      <c r="N2058" s="1" t="s">
        <v>16</v>
      </c>
      <c r="O2058" s="1" t="s">
        <v>16</v>
      </c>
      <c r="P2058" s="1" t="s">
        <v>16</v>
      </c>
      <c r="Q2058" s="1">
        <v>100</v>
      </c>
    </row>
    <row r="2059" spans="1:19" ht="12.5" x14ac:dyDescent="0.25">
      <c r="A2059" s="1" t="s">
        <v>16</v>
      </c>
      <c r="B2059" s="1" t="s">
        <v>16</v>
      </c>
      <c r="C2059" s="1" t="s">
        <v>16</v>
      </c>
      <c r="D2059" s="1" t="s">
        <v>16</v>
      </c>
      <c r="E2059" s="1">
        <v>2050</v>
      </c>
      <c r="F2059" s="1" t="s">
        <v>6821</v>
      </c>
      <c r="G2059" s="1" t="s">
        <v>6822</v>
      </c>
      <c r="H2059" s="1" t="s">
        <v>16</v>
      </c>
      <c r="I2059" s="1" t="s">
        <v>20</v>
      </c>
      <c r="J2059" s="1" t="s">
        <v>6823</v>
      </c>
      <c r="K2059" s="1" t="b">
        <v>0</v>
      </c>
      <c r="L2059" s="1" t="s">
        <v>22</v>
      </c>
      <c r="M2059" s="1">
        <v>2023</v>
      </c>
      <c r="N2059" s="1" t="s">
        <v>45</v>
      </c>
      <c r="O2059" s="1" t="s">
        <v>9956</v>
      </c>
      <c r="P2059" s="1" t="s">
        <v>16</v>
      </c>
      <c r="R2059" s="1">
        <v>3500000</v>
      </c>
    </row>
    <row r="2060" spans="1:19" ht="12.5" x14ac:dyDescent="0.25">
      <c r="A2060" s="1">
        <v>1386</v>
      </c>
      <c r="B2060" s="1" t="s">
        <v>4603</v>
      </c>
      <c r="C2060" s="1" t="s">
        <v>35</v>
      </c>
      <c r="D2060" s="1" t="s">
        <v>152</v>
      </c>
      <c r="E2060" s="1">
        <v>2051</v>
      </c>
      <c r="F2060" s="1" t="s">
        <v>6824</v>
      </c>
      <c r="G2060" s="1" t="s">
        <v>6825</v>
      </c>
      <c r="H2060" s="1" t="s">
        <v>6826</v>
      </c>
      <c r="I2060" s="1" t="s">
        <v>29</v>
      </c>
      <c r="J2060" s="1" t="s">
        <v>6827</v>
      </c>
      <c r="K2060" s="1" t="b">
        <v>1</v>
      </c>
      <c r="L2060" s="1" t="s">
        <v>31</v>
      </c>
      <c r="M2060" s="1">
        <v>2022</v>
      </c>
      <c r="N2060" s="1" t="s">
        <v>52</v>
      </c>
      <c r="O2060" s="1" t="s">
        <v>9935</v>
      </c>
      <c r="P2060" s="1" t="s">
        <v>10074</v>
      </c>
      <c r="Q2060" s="1">
        <v>100</v>
      </c>
      <c r="R2060" s="1">
        <v>150000</v>
      </c>
      <c r="S2060" s="1">
        <v>150000</v>
      </c>
    </row>
    <row r="2061" spans="1:19" ht="12.5" x14ac:dyDescent="0.25">
      <c r="A2061" s="1">
        <v>1508</v>
      </c>
      <c r="B2061" s="1" t="s">
        <v>6828</v>
      </c>
      <c r="C2061" s="1" t="s">
        <v>35</v>
      </c>
      <c r="D2061" s="1" t="s">
        <v>152</v>
      </c>
      <c r="E2061" s="1">
        <v>2052</v>
      </c>
      <c r="F2061" s="1" t="s">
        <v>6830</v>
      </c>
      <c r="G2061" s="1" t="s">
        <v>6831</v>
      </c>
      <c r="H2061" s="1" t="s">
        <v>16</v>
      </c>
      <c r="I2061" s="1" t="s">
        <v>29</v>
      </c>
      <c r="J2061" s="1" t="s">
        <v>16</v>
      </c>
      <c r="K2061" s="1" t="b">
        <v>0</v>
      </c>
      <c r="L2061" s="1" t="s">
        <v>22</v>
      </c>
      <c r="M2061" s="1" t="s">
        <v>16</v>
      </c>
      <c r="N2061" s="1" t="s">
        <v>16</v>
      </c>
      <c r="O2061" s="1" t="s">
        <v>16</v>
      </c>
      <c r="P2061" s="1" t="s">
        <v>16</v>
      </c>
      <c r="Q2061" s="1">
        <v>100</v>
      </c>
    </row>
    <row r="2062" spans="1:19" ht="12.5" x14ac:dyDescent="0.25">
      <c r="A2062" s="1">
        <v>948</v>
      </c>
      <c r="B2062" s="1" t="s">
        <v>6832</v>
      </c>
      <c r="C2062" s="1" t="s">
        <v>35</v>
      </c>
      <c r="D2062" s="1" t="s">
        <v>152</v>
      </c>
      <c r="E2062" s="1">
        <v>2053</v>
      </c>
      <c r="F2062" s="1" t="s">
        <v>6834</v>
      </c>
      <c r="G2062" s="1" t="s">
        <v>6835</v>
      </c>
      <c r="H2062" s="1" t="s">
        <v>6836</v>
      </c>
      <c r="I2062" s="1" t="s">
        <v>29</v>
      </c>
      <c r="J2062" s="1" t="s">
        <v>6837</v>
      </c>
      <c r="K2062" s="1" t="b">
        <v>0</v>
      </c>
      <c r="L2062" s="1" t="s">
        <v>22</v>
      </c>
      <c r="M2062" s="1">
        <v>2021</v>
      </c>
      <c r="N2062" s="1" t="s">
        <v>52</v>
      </c>
      <c r="O2062" s="1" t="s">
        <v>9935</v>
      </c>
      <c r="P2062" s="1" t="s">
        <v>10075</v>
      </c>
      <c r="Q2062" s="1">
        <v>100</v>
      </c>
      <c r="R2062" s="1">
        <v>500</v>
      </c>
      <c r="S2062" s="1">
        <v>500</v>
      </c>
    </row>
    <row r="2063" spans="1:19" ht="12.5" x14ac:dyDescent="0.25">
      <c r="A2063" s="1">
        <v>1506</v>
      </c>
      <c r="B2063" s="1" t="s">
        <v>4974</v>
      </c>
      <c r="C2063" s="1" t="s">
        <v>35</v>
      </c>
      <c r="D2063" s="1" t="s">
        <v>152</v>
      </c>
      <c r="E2063" s="1">
        <v>2054</v>
      </c>
      <c r="F2063" s="1" t="s">
        <v>6838</v>
      </c>
      <c r="G2063" s="1" t="s">
        <v>6839</v>
      </c>
      <c r="H2063" s="1" t="s">
        <v>6840</v>
      </c>
      <c r="I2063" s="1" t="s">
        <v>29</v>
      </c>
      <c r="J2063" s="1" t="s">
        <v>6841</v>
      </c>
      <c r="K2063" s="1" t="b">
        <v>0</v>
      </c>
      <c r="L2063" s="1" t="s">
        <v>22</v>
      </c>
      <c r="M2063" s="1">
        <v>2023</v>
      </c>
      <c r="N2063" s="1" t="s">
        <v>45</v>
      </c>
      <c r="O2063" s="1" t="s">
        <v>9956</v>
      </c>
      <c r="P2063" s="1" t="s">
        <v>16</v>
      </c>
      <c r="Q2063" s="1">
        <v>100</v>
      </c>
      <c r="R2063" s="1">
        <v>50000</v>
      </c>
      <c r="S2063" s="1">
        <v>50000</v>
      </c>
    </row>
    <row r="2064" spans="1:19" ht="12.5" x14ac:dyDescent="0.25">
      <c r="A2064" s="1">
        <v>1235</v>
      </c>
      <c r="B2064" s="1" t="s">
        <v>6842</v>
      </c>
      <c r="C2064" s="1" t="s">
        <v>35</v>
      </c>
      <c r="D2064" s="1" t="s">
        <v>152</v>
      </c>
      <c r="E2064" s="1">
        <v>2055</v>
      </c>
      <c r="F2064" s="1" t="s">
        <v>6844</v>
      </c>
      <c r="G2064" s="1" t="s">
        <v>6845</v>
      </c>
      <c r="H2064" s="1" t="s">
        <v>6846</v>
      </c>
      <c r="I2064" s="1" t="s">
        <v>29</v>
      </c>
      <c r="J2064" s="1" t="s">
        <v>6847</v>
      </c>
      <c r="K2064" s="1" t="b">
        <v>1</v>
      </c>
      <c r="L2064" s="1" t="s">
        <v>31</v>
      </c>
      <c r="M2064" s="1">
        <v>2023</v>
      </c>
      <c r="N2064" s="1" t="s">
        <v>45</v>
      </c>
      <c r="O2064" s="1" t="s">
        <v>9935</v>
      </c>
      <c r="P2064" s="1" t="s">
        <v>10074</v>
      </c>
      <c r="Q2064" s="1">
        <v>100</v>
      </c>
      <c r="R2064" s="1">
        <v>150000</v>
      </c>
      <c r="S2064" s="1">
        <v>150000</v>
      </c>
    </row>
    <row r="2065" spans="1:19" ht="12.5" x14ac:dyDescent="0.25">
      <c r="A2065" s="1">
        <v>1235</v>
      </c>
      <c r="B2065" s="1" t="s">
        <v>6842</v>
      </c>
      <c r="C2065" s="1" t="s">
        <v>35</v>
      </c>
      <c r="D2065" s="1" t="s">
        <v>152</v>
      </c>
      <c r="E2065" s="1">
        <v>2056</v>
      </c>
      <c r="F2065" s="1" t="s">
        <v>6848</v>
      </c>
      <c r="G2065" s="1" t="s">
        <v>6849</v>
      </c>
      <c r="H2065" s="1" t="s">
        <v>6850</v>
      </c>
      <c r="I2065" s="1" t="s">
        <v>29</v>
      </c>
      <c r="J2065" s="1" t="s">
        <v>6851</v>
      </c>
      <c r="K2065" s="1" t="b">
        <v>1</v>
      </c>
      <c r="L2065" s="1" t="s">
        <v>31</v>
      </c>
      <c r="M2065" s="1">
        <v>2023</v>
      </c>
      <c r="N2065" s="1" t="s">
        <v>45</v>
      </c>
      <c r="O2065" s="1" t="s">
        <v>9935</v>
      </c>
      <c r="P2065" s="1" t="s">
        <v>10074</v>
      </c>
      <c r="Q2065" s="1">
        <v>100</v>
      </c>
      <c r="R2065" s="1">
        <v>250000</v>
      </c>
      <c r="S2065" s="1">
        <v>250000</v>
      </c>
    </row>
    <row r="2066" spans="1:19" ht="12.5" x14ac:dyDescent="0.25">
      <c r="A2066" s="1">
        <v>883</v>
      </c>
      <c r="B2066" s="1" t="s">
        <v>6852</v>
      </c>
      <c r="C2066" s="1" t="s">
        <v>35</v>
      </c>
      <c r="D2066" s="1" t="s">
        <v>152</v>
      </c>
      <c r="E2066" s="1">
        <v>2057</v>
      </c>
      <c r="F2066" s="1" t="s">
        <v>6853</v>
      </c>
      <c r="G2066" s="1" t="s">
        <v>6854</v>
      </c>
      <c r="H2066" s="1" t="s">
        <v>6855</v>
      </c>
      <c r="I2066" s="1" t="s">
        <v>29</v>
      </c>
      <c r="J2066" s="1" t="s">
        <v>6856</v>
      </c>
      <c r="K2066" s="1" t="b">
        <v>0</v>
      </c>
      <c r="L2066" s="1" t="s">
        <v>22</v>
      </c>
      <c r="M2066" s="1">
        <v>2025</v>
      </c>
      <c r="N2066" s="1" t="s">
        <v>45</v>
      </c>
      <c r="O2066" s="1" t="s">
        <v>9935</v>
      </c>
      <c r="P2066" s="1" t="s">
        <v>16</v>
      </c>
      <c r="Q2066" s="1">
        <v>100</v>
      </c>
      <c r="R2066" s="1">
        <v>200000</v>
      </c>
      <c r="S2066" s="1">
        <v>200000</v>
      </c>
    </row>
    <row r="2067" spans="1:19" ht="12.5" x14ac:dyDescent="0.25">
      <c r="A2067" s="1">
        <v>1474</v>
      </c>
      <c r="B2067" s="1" t="s">
        <v>4860</v>
      </c>
      <c r="C2067" s="1" t="s">
        <v>35</v>
      </c>
      <c r="D2067" s="1" t="s">
        <v>152</v>
      </c>
      <c r="E2067" s="1">
        <v>2058</v>
      </c>
      <c r="F2067" s="1" t="s">
        <v>6857</v>
      </c>
      <c r="G2067" s="1" t="s">
        <v>6858</v>
      </c>
      <c r="H2067" s="1" t="s">
        <v>6859</v>
      </c>
      <c r="I2067" s="1" t="s">
        <v>29</v>
      </c>
      <c r="J2067" s="1" t="s">
        <v>6860</v>
      </c>
      <c r="K2067" s="1" t="b">
        <v>0</v>
      </c>
      <c r="L2067" s="1" t="s">
        <v>22</v>
      </c>
      <c r="M2067" s="1">
        <v>2023</v>
      </c>
      <c r="N2067" s="1" t="s">
        <v>16</v>
      </c>
      <c r="O2067" s="1" t="s">
        <v>9956</v>
      </c>
      <c r="P2067" s="1" t="s">
        <v>16</v>
      </c>
      <c r="Q2067" s="1">
        <v>100</v>
      </c>
      <c r="R2067" s="1">
        <v>197566</v>
      </c>
      <c r="S2067" s="1">
        <v>197566</v>
      </c>
    </row>
    <row r="2068" spans="1:19" ht="12.5" x14ac:dyDescent="0.25">
      <c r="A2068" s="1">
        <v>1272</v>
      </c>
      <c r="B2068" s="1" t="s">
        <v>4264</v>
      </c>
      <c r="C2068" s="1" t="s">
        <v>35</v>
      </c>
      <c r="D2068" s="1" t="s">
        <v>152</v>
      </c>
      <c r="E2068" s="1">
        <v>2059</v>
      </c>
      <c r="F2068" s="1" t="s">
        <v>6861</v>
      </c>
      <c r="G2068" s="1" t="s">
        <v>5582</v>
      </c>
      <c r="H2068" s="1" t="s">
        <v>16</v>
      </c>
      <c r="I2068" s="1" t="s">
        <v>29</v>
      </c>
      <c r="J2068" s="1" t="s">
        <v>6862</v>
      </c>
      <c r="K2068" s="1" t="b">
        <v>0</v>
      </c>
      <c r="L2068" s="1" t="s">
        <v>22</v>
      </c>
      <c r="M2068" s="1">
        <v>2022</v>
      </c>
      <c r="N2068" s="1" t="s">
        <v>45</v>
      </c>
      <c r="O2068" s="1" t="s">
        <v>9940</v>
      </c>
      <c r="P2068" s="1" t="s">
        <v>16</v>
      </c>
      <c r="Q2068" s="1">
        <v>100</v>
      </c>
      <c r="R2068" s="1">
        <v>75000</v>
      </c>
      <c r="S2068" s="1">
        <v>75000</v>
      </c>
    </row>
    <row r="2069" spans="1:19" ht="12.5" x14ac:dyDescent="0.25">
      <c r="A2069" s="1">
        <v>1413</v>
      </c>
      <c r="B2069" s="1" t="s">
        <v>6863</v>
      </c>
      <c r="C2069" s="1" t="s">
        <v>35</v>
      </c>
      <c r="D2069" s="1" t="s">
        <v>152</v>
      </c>
      <c r="E2069" s="1">
        <v>2060</v>
      </c>
      <c r="F2069" s="1" t="s">
        <v>6865</v>
      </c>
      <c r="G2069" s="1" t="s">
        <v>6866</v>
      </c>
      <c r="H2069" s="1" t="s">
        <v>3132</v>
      </c>
      <c r="I2069" s="1" t="s">
        <v>29</v>
      </c>
      <c r="J2069" s="1" t="s">
        <v>6867</v>
      </c>
      <c r="K2069" s="1" t="b">
        <v>0</v>
      </c>
      <c r="L2069" s="1" t="s">
        <v>22</v>
      </c>
      <c r="M2069" s="1">
        <v>2022</v>
      </c>
      <c r="N2069" s="1" t="s">
        <v>32</v>
      </c>
      <c r="O2069" s="1" t="s">
        <v>9942</v>
      </c>
      <c r="P2069" s="1" t="s">
        <v>16</v>
      </c>
      <c r="Q2069" s="1">
        <v>100</v>
      </c>
      <c r="R2069" s="1">
        <v>25000</v>
      </c>
      <c r="S2069" s="1">
        <v>25000</v>
      </c>
    </row>
    <row r="2070" spans="1:19" ht="12.5" x14ac:dyDescent="0.25">
      <c r="A2070" s="1">
        <v>1414</v>
      </c>
      <c r="B2070" s="1" t="s">
        <v>6868</v>
      </c>
      <c r="C2070" s="1" t="s">
        <v>35</v>
      </c>
      <c r="D2070" s="1" t="s">
        <v>152</v>
      </c>
      <c r="E2070" s="1">
        <v>2061</v>
      </c>
      <c r="F2070" s="1" t="s">
        <v>6870</v>
      </c>
      <c r="G2070" s="1" t="s">
        <v>6871</v>
      </c>
      <c r="H2070" s="1" t="s">
        <v>3132</v>
      </c>
      <c r="I2070" s="1" t="s">
        <v>29</v>
      </c>
      <c r="J2070" s="1" t="s">
        <v>6872</v>
      </c>
      <c r="K2070" s="1" t="b">
        <v>1</v>
      </c>
      <c r="L2070" s="1" t="s">
        <v>31</v>
      </c>
      <c r="M2070" s="1">
        <v>2022</v>
      </c>
      <c r="N2070" s="1" t="s">
        <v>23</v>
      </c>
      <c r="O2070" s="1" t="s">
        <v>9942</v>
      </c>
      <c r="P2070" s="1" t="s">
        <v>16</v>
      </c>
      <c r="Q2070" s="1">
        <v>100</v>
      </c>
      <c r="R2070" s="1">
        <v>50000</v>
      </c>
      <c r="S2070" s="1">
        <v>50000</v>
      </c>
    </row>
    <row r="2071" spans="1:19" ht="12.5" x14ac:dyDescent="0.25">
      <c r="A2071" s="1">
        <v>1484</v>
      </c>
      <c r="B2071" s="1" t="s">
        <v>6873</v>
      </c>
      <c r="C2071" s="1" t="s">
        <v>35</v>
      </c>
      <c r="D2071" s="1" t="s">
        <v>152</v>
      </c>
      <c r="E2071" s="1">
        <v>2062</v>
      </c>
      <c r="F2071" s="1" t="s">
        <v>6875</v>
      </c>
      <c r="G2071" s="1" t="s">
        <v>6876</v>
      </c>
      <c r="H2071" s="1" t="s">
        <v>3132</v>
      </c>
      <c r="I2071" s="1" t="s">
        <v>29</v>
      </c>
      <c r="J2071" s="1" t="s">
        <v>6877</v>
      </c>
      <c r="K2071" s="1" t="b">
        <v>0</v>
      </c>
      <c r="L2071" s="1" t="s">
        <v>22</v>
      </c>
      <c r="M2071" s="1">
        <v>2022</v>
      </c>
      <c r="N2071" s="1" t="s">
        <v>23</v>
      </c>
      <c r="O2071" s="1" t="s">
        <v>9935</v>
      </c>
      <c r="P2071" s="1" t="s">
        <v>16</v>
      </c>
      <c r="Q2071" s="1">
        <v>100</v>
      </c>
      <c r="R2071" s="1">
        <v>25000</v>
      </c>
      <c r="S2071" s="1">
        <v>25000</v>
      </c>
    </row>
    <row r="2072" spans="1:19" ht="12.5" x14ac:dyDescent="0.25">
      <c r="A2072" s="1" t="s">
        <v>16</v>
      </c>
      <c r="B2072" s="1" t="s">
        <v>16</v>
      </c>
      <c r="C2072" s="1" t="s">
        <v>16</v>
      </c>
      <c r="D2072" s="1" t="s">
        <v>16</v>
      </c>
      <c r="E2072" s="1">
        <v>2063</v>
      </c>
      <c r="F2072" s="1" t="s">
        <v>6878</v>
      </c>
      <c r="G2072" s="1" t="s">
        <v>6879</v>
      </c>
      <c r="H2072" s="1" t="s">
        <v>16</v>
      </c>
      <c r="I2072" s="1" t="s">
        <v>20</v>
      </c>
      <c r="J2072" s="1" t="s">
        <v>6880</v>
      </c>
      <c r="K2072" s="1" t="b">
        <v>0</v>
      </c>
      <c r="L2072" s="1" t="s">
        <v>22</v>
      </c>
      <c r="M2072" s="1" t="s">
        <v>16</v>
      </c>
      <c r="N2072" s="1" t="s">
        <v>16</v>
      </c>
      <c r="O2072" s="1" t="s">
        <v>16</v>
      </c>
      <c r="P2072" s="1" t="s">
        <v>16</v>
      </c>
    </row>
    <row r="2073" spans="1:19" ht="12.5" x14ac:dyDescent="0.25">
      <c r="A2073" s="1" t="s">
        <v>16</v>
      </c>
      <c r="B2073" s="1" t="s">
        <v>16</v>
      </c>
      <c r="C2073" s="1" t="s">
        <v>16</v>
      </c>
      <c r="D2073" s="1" t="s">
        <v>16</v>
      </c>
      <c r="E2073" s="1">
        <v>2064</v>
      </c>
      <c r="F2073" s="1" t="s">
        <v>6881</v>
      </c>
      <c r="G2073" s="1" t="s">
        <v>6882</v>
      </c>
      <c r="H2073" s="1" t="s">
        <v>16</v>
      </c>
      <c r="I2073" s="1" t="s">
        <v>20</v>
      </c>
      <c r="J2073" s="1" t="s">
        <v>6883</v>
      </c>
      <c r="K2073" s="1" t="b">
        <v>0</v>
      </c>
      <c r="L2073" s="1" t="s">
        <v>22</v>
      </c>
      <c r="M2073" s="1" t="s">
        <v>16</v>
      </c>
      <c r="N2073" s="1" t="s">
        <v>16</v>
      </c>
      <c r="O2073" s="1" t="s">
        <v>16</v>
      </c>
      <c r="P2073" s="1" t="s">
        <v>16</v>
      </c>
    </row>
    <row r="2074" spans="1:19" ht="12.5" x14ac:dyDescent="0.25">
      <c r="A2074" s="1" t="s">
        <v>16</v>
      </c>
      <c r="B2074" s="1" t="s">
        <v>16</v>
      </c>
      <c r="C2074" s="1" t="s">
        <v>16</v>
      </c>
      <c r="D2074" s="1" t="s">
        <v>16</v>
      </c>
      <c r="E2074" s="1">
        <v>2065</v>
      </c>
      <c r="F2074" s="1" t="s">
        <v>6884</v>
      </c>
      <c r="G2074" s="1" t="s">
        <v>6885</v>
      </c>
      <c r="H2074" s="1" t="s">
        <v>16</v>
      </c>
      <c r="I2074" s="1" t="s">
        <v>20</v>
      </c>
      <c r="J2074" s="1" t="s">
        <v>6886</v>
      </c>
      <c r="K2074" s="1" t="b">
        <v>0</v>
      </c>
      <c r="L2074" s="1" t="s">
        <v>22</v>
      </c>
      <c r="M2074" s="1" t="s">
        <v>16</v>
      </c>
      <c r="N2074" s="1" t="s">
        <v>16</v>
      </c>
      <c r="O2074" s="1" t="s">
        <v>16</v>
      </c>
      <c r="P2074" s="1" t="s">
        <v>16</v>
      </c>
    </row>
    <row r="2075" spans="1:19" ht="12.5" x14ac:dyDescent="0.25">
      <c r="A2075" s="1">
        <v>2203</v>
      </c>
      <c r="B2075" s="1" t="s">
        <v>6887</v>
      </c>
      <c r="C2075" s="1" t="s">
        <v>38</v>
      </c>
      <c r="D2075" s="1" t="s">
        <v>5701</v>
      </c>
      <c r="E2075" s="1">
        <v>2066</v>
      </c>
      <c r="F2075" s="1" t="s">
        <v>6889</v>
      </c>
      <c r="G2075" s="1" t="s">
        <v>6888</v>
      </c>
      <c r="H2075" s="1" t="s">
        <v>16</v>
      </c>
      <c r="I2075" s="1" t="s">
        <v>29</v>
      </c>
      <c r="J2075" s="1" t="s">
        <v>6890</v>
      </c>
      <c r="K2075" s="1" t="b">
        <v>1</v>
      </c>
      <c r="L2075" s="1" t="s">
        <v>31</v>
      </c>
      <c r="M2075" s="1">
        <v>2022</v>
      </c>
      <c r="N2075" s="1" t="s">
        <v>45</v>
      </c>
      <c r="O2075" s="1" t="s">
        <v>9940</v>
      </c>
      <c r="P2075" s="1" t="s">
        <v>16</v>
      </c>
      <c r="Q2075" s="1">
        <v>100</v>
      </c>
      <c r="R2075" s="1">
        <v>17000</v>
      </c>
      <c r="S2075" s="1">
        <v>17000</v>
      </c>
    </row>
    <row r="2076" spans="1:19" ht="12.5" x14ac:dyDescent="0.25">
      <c r="A2076" s="1">
        <v>1193</v>
      </c>
      <c r="B2076" s="1" t="s">
        <v>4056</v>
      </c>
      <c r="C2076" s="1" t="s">
        <v>35</v>
      </c>
      <c r="D2076" s="1" t="s">
        <v>152</v>
      </c>
      <c r="E2076" s="1">
        <v>2067</v>
      </c>
      <c r="F2076" s="1" t="s">
        <v>6891</v>
      </c>
      <c r="G2076" s="1" t="s">
        <v>6892</v>
      </c>
      <c r="H2076" s="1" t="s">
        <v>16</v>
      </c>
      <c r="I2076" s="1" t="s">
        <v>29</v>
      </c>
      <c r="J2076" s="1" t="s">
        <v>6893</v>
      </c>
      <c r="K2076" s="1" t="b">
        <v>0</v>
      </c>
      <c r="L2076" s="1" t="s">
        <v>22</v>
      </c>
      <c r="M2076" s="1">
        <v>2022</v>
      </c>
      <c r="N2076" s="1" t="s">
        <v>16</v>
      </c>
      <c r="O2076" s="1" t="s">
        <v>9940</v>
      </c>
      <c r="P2076" s="1" t="s">
        <v>16</v>
      </c>
      <c r="Q2076" s="1">
        <v>100</v>
      </c>
      <c r="R2076" s="1">
        <v>75000</v>
      </c>
      <c r="S2076" s="1">
        <v>75000</v>
      </c>
    </row>
    <row r="2077" spans="1:19" ht="12.5" x14ac:dyDescent="0.25">
      <c r="A2077" s="1">
        <v>2204</v>
      </c>
      <c r="B2077" s="1" t="s">
        <v>6894</v>
      </c>
      <c r="C2077" s="1" t="s">
        <v>38</v>
      </c>
      <c r="D2077" s="1" t="s">
        <v>5701</v>
      </c>
      <c r="E2077" s="1">
        <v>2068</v>
      </c>
      <c r="F2077" s="1" t="s">
        <v>6895</v>
      </c>
      <c r="G2077" s="1" t="s">
        <v>6896</v>
      </c>
      <c r="H2077" s="1" t="s">
        <v>6897</v>
      </c>
      <c r="I2077" s="1" t="s">
        <v>29</v>
      </c>
      <c r="J2077" s="1" t="s">
        <v>6898</v>
      </c>
      <c r="K2077" s="1" t="b">
        <v>1</v>
      </c>
      <c r="L2077" s="1" t="s">
        <v>31</v>
      </c>
      <c r="M2077" s="1">
        <v>2022</v>
      </c>
      <c r="N2077" s="1" t="s">
        <v>45</v>
      </c>
      <c r="O2077" s="1" t="s">
        <v>9940</v>
      </c>
      <c r="P2077" s="1" t="s">
        <v>16</v>
      </c>
      <c r="Q2077" s="1">
        <v>100</v>
      </c>
      <c r="R2077" s="1">
        <v>10000</v>
      </c>
      <c r="S2077" s="1">
        <v>10000</v>
      </c>
    </row>
    <row r="2078" spans="1:19" ht="12.5" x14ac:dyDescent="0.25">
      <c r="A2078" s="1">
        <v>2205</v>
      </c>
      <c r="B2078" s="1" t="s">
        <v>6899</v>
      </c>
      <c r="C2078" s="1" t="s">
        <v>38</v>
      </c>
      <c r="D2078" s="1" t="s">
        <v>5701</v>
      </c>
      <c r="E2078" s="1">
        <v>2069</v>
      </c>
      <c r="F2078" s="1" t="s">
        <v>6900</v>
      </c>
      <c r="G2078" s="1" t="s">
        <v>6901</v>
      </c>
      <c r="H2078" s="1" t="s">
        <v>6902</v>
      </c>
      <c r="I2078" s="1" t="s">
        <v>29</v>
      </c>
      <c r="J2078" s="1" t="s">
        <v>6903</v>
      </c>
      <c r="K2078" s="1" t="b">
        <v>1</v>
      </c>
      <c r="L2078" s="1" t="s">
        <v>31</v>
      </c>
      <c r="M2078" s="1">
        <v>2022</v>
      </c>
      <c r="N2078" s="1" t="s">
        <v>45</v>
      </c>
      <c r="O2078" s="1" t="s">
        <v>9940</v>
      </c>
      <c r="P2078" s="1" t="s">
        <v>16</v>
      </c>
      <c r="Q2078" s="1">
        <v>100</v>
      </c>
      <c r="R2078" s="1">
        <v>10000</v>
      </c>
      <c r="S2078" s="1">
        <v>10000</v>
      </c>
    </row>
    <row r="2079" spans="1:19" ht="12.5" x14ac:dyDescent="0.25">
      <c r="A2079" s="1">
        <v>284</v>
      </c>
      <c r="B2079" s="1" t="s">
        <v>1175</v>
      </c>
      <c r="C2079" s="1" t="s">
        <v>35</v>
      </c>
      <c r="D2079" s="1" t="s">
        <v>36</v>
      </c>
      <c r="E2079" s="1">
        <v>2070</v>
      </c>
      <c r="F2079" s="1" t="s">
        <v>6904</v>
      </c>
      <c r="G2079" s="1" t="s">
        <v>5927</v>
      </c>
      <c r="H2079" s="1" t="s">
        <v>6905</v>
      </c>
      <c r="I2079" s="1" t="s">
        <v>29</v>
      </c>
      <c r="J2079" s="1" t="s">
        <v>6906</v>
      </c>
      <c r="K2079" s="1" t="b">
        <v>1</v>
      </c>
      <c r="L2079" s="1" t="s">
        <v>31</v>
      </c>
      <c r="M2079" s="1">
        <v>2022</v>
      </c>
      <c r="N2079" s="1" t="s">
        <v>16</v>
      </c>
      <c r="O2079" s="1" t="s">
        <v>9935</v>
      </c>
      <c r="P2079" s="1" t="s">
        <v>16</v>
      </c>
      <c r="Q2079" s="1">
        <v>100</v>
      </c>
      <c r="R2079" s="1">
        <v>100000</v>
      </c>
      <c r="S2079" s="1">
        <v>100000</v>
      </c>
    </row>
    <row r="2080" spans="1:19" ht="12.5" x14ac:dyDescent="0.25">
      <c r="A2080" s="1">
        <v>284</v>
      </c>
      <c r="B2080" s="1" t="s">
        <v>1175</v>
      </c>
      <c r="C2080" s="1" t="s">
        <v>35</v>
      </c>
      <c r="D2080" s="1" t="s">
        <v>36</v>
      </c>
      <c r="E2080" s="1">
        <v>2070</v>
      </c>
      <c r="F2080" s="1" t="s">
        <v>6904</v>
      </c>
      <c r="G2080" s="1" t="s">
        <v>5927</v>
      </c>
      <c r="H2080" s="1" t="s">
        <v>6905</v>
      </c>
      <c r="I2080" s="1" t="s">
        <v>29</v>
      </c>
      <c r="J2080" s="1" t="s">
        <v>6906</v>
      </c>
      <c r="K2080" s="1" t="b">
        <v>1</v>
      </c>
      <c r="L2080" s="1" t="s">
        <v>31</v>
      </c>
      <c r="M2080" s="1">
        <v>2022</v>
      </c>
      <c r="N2080" s="1" t="s">
        <v>16</v>
      </c>
      <c r="O2080" s="1" t="s">
        <v>9942</v>
      </c>
      <c r="P2080" s="1" t="s">
        <v>16</v>
      </c>
      <c r="Q2080" s="1">
        <v>100</v>
      </c>
      <c r="R2080" s="1">
        <v>250000</v>
      </c>
      <c r="S2080" s="1">
        <v>250000</v>
      </c>
    </row>
    <row r="2081" spans="1:19" ht="12.5" x14ac:dyDescent="0.25">
      <c r="A2081" s="1">
        <v>2205</v>
      </c>
      <c r="B2081" s="1" t="s">
        <v>6899</v>
      </c>
      <c r="C2081" s="1" t="s">
        <v>38</v>
      </c>
      <c r="D2081" s="1" t="s">
        <v>5701</v>
      </c>
      <c r="E2081" s="1">
        <v>2071</v>
      </c>
      <c r="F2081" s="1" t="s">
        <v>6907</v>
      </c>
      <c r="G2081" s="1" t="s">
        <v>6908</v>
      </c>
      <c r="H2081" s="1" t="s">
        <v>6909</v>
      </c>
      <c r="I2081" s="1" t="s">
        <v>29</v>
      </c>
      <c r="J2081" s="1" t="s">
        <v>6910</v>
      </c>
      <c r="K2081" s="1" t="b">
        <v>0</v>
      </c>
      <c r="L2081" s="1" t="s">
        <v>22</v>
      </c>
      <c r="M2081" s="1">
        <v>2022</v>
      </c>
      <c r="N2081" s="1" t="s">
        <v>45</v>
      </c>
      <c r="O2081" s="1" t="s">
        <v>9940</v>
      </c>
      <c r="P2081" s="1" t="s">
        <v>16</v>
      </c>
      <c r="Q2081" s="1">
        <v>100</v>
      </c>
      <c r="R2081" s="1">
        <v>19000</v>
      </c>
      <c r="S2081" s="1">
        <v>19000</v>
      </c>
    </row>
    <row r="2082" spans="1:19" ht="12.5" x14ac:dyDescent="0.25">
      <c r="A2082" s="1">
        <v>2207</v>
      </c>
      <c r="B2082" s="1" t="s">
        <v>6911</v>
      </c>
      <c r="C2082" s="1" t="s">
        <v>38</v>
      </c>
      <c r="D2082" s="1" t="s">
        <v>5701</v>
      </c>
      <c r="E2082" s="1">
        <v>2072</v>
      </c>
      <c r="F2082" s="1" t="s">
        <v>6912</v>
      </c>
      <c r="G2082" s="1" t="s">
        <v>6913</v>
      </c>
      <c r="H2082" s="1" t="s">
        <v>6914</v>
      </c>
      <c r="I2082" s="1" t="s">
        <v>29</v>
      </c>
      <c r="J2082" s="1" t="s">
        <v>6915</v>
      </c>
      <c r="K2082" s="1" t="b">
        <v>1</v>
      </c>
      <c r="L2082" s="1" t="s">
        <v>31</v>
      </c>
      <c r="M2082" s="1">
        <v>2022</v>
      </c>
      <c r="N2082" s="1" t="s">
        <v>45</v>
      </c>
      <c r="O2082" s="1" t="s">
        <v>9940</v>
      </c>
      <c r="P2082" s="1" t="s">
        <v>16</v>
      </c>
      <c r="Q2082" s="1">
        <v>100</v>
      </c>
      <c r="R2082" s="1">
        <v>40000</v>
      </c>
      <c r="S2082" s="1">
        <v>40000</v>
      </c>
    </row>
    <row r="2083" spans="1:19" ht="12.5" x14ac:dyDescent="0.25">
      <c r="A2083" s="1">
        <v>1084</v>
      </c>
      <c r="B2083" s="1" t="s">
        <v>6916</v>
      </c>
      <c r="C2083" s="1" t="s">
        <v>35</v>
      </c>
      <c r="D2083" s="1" t="s">
        <v>152</v>
      </c>
      <c r="E2083" s="1">
        <v>2073</v>
      </c>
      <c r="F2083" s="1" t="s">
        <v>6918</v>
      </c>
      <c r="G2083" s="1" t="s">
        <v>6919</v>
      </c>
      <c r="H2083" s="1" t="s">
        <v>3132</v>
      </c>
      <c r="I2083" s="1" t="s">
        <v>29</v>
      </c>
      <c r="J2083" s="1" t="s">
        <v>16</v>
      </c>
      <c r="K2083" s="1" t="b">
        <v>0</v>
      </c>
      <c r="L2083" s="1" t="s">
        <v>22</v>
      </c>
      <c r="M2083" s="1" t="s">
        <v>16</v>
      </c>
      <c r="N2083" s="1" t="s">
        <v>16</v>
      </c>
      <c r="O2083" s="1" t="s">
        <v>16</v>
      </c>
      <c r="P2083" s="1" t="s">
        <v>16</v>
      </c>
      <c r="Q2083" s="1">
        <v>100</v>
      </c>
    </row>
    <row r="2084" spans="1:19" ht="12.5" x14ac:dyDescent="0.25">
      <c r="A2084" s="1">
        <v>4558</v>
      </c>
      <c r="B2084" s="1" t="s">
        <v>6920</v>
      </c>
      <c r="C2084" s="1" t="s">
        <v>35</v>
      </c>
      <c r="D2084" s="1" t="s">
        <v>36</v>
      </c>
      <c r="E2084" s="1">
        <v>2074</v>
      </c>
      <c r="F2084" s="1" t="s">
        <v>6921</v>
      </c>
      <c r="G2084" s="1" t="s">
        <v>6922</v>
      </c>
      <c r="H2084" s="1" t="s">
        <v>16</v>
      </c>
      <c r="I2084" s="1" t="s">
        <v>20</v>
      </c>
      <c r="J2084" s="1" t="s">
        <v>6923</v>
      </c>
      <c r="K2084" s="1" t="b">
        <v>1</v>
      </c>
      <c r="L2084" s="1" t="s">
        <v>31</v>
      </c>
      <c r="M2084" s="1" t="s">
        <v>16</v>
      </c>
      <c r="N2084" s="1" t="s">
        <v>16</v>
      </c>
      <c r="O2084" s="1" t="s">
        <v>16</v>
      </c>
      <c r="P2084" s="1" t="s">
        <v>16</v>
      </c>
      <c r="Q2084" s="1">
        <v>100</v>
      </c>
    </row>
    <row r="2085" spans="1:19" ht="12.5" x14ac:dyDescent="0.25">
      <c r="A2085" s="1">
        <v>1426</v>
      </c>
      <c r="B2085" s="1" t="s">
        <v>4714</v>
      </c>
      <c r="C2085" s="1" t="s">
        <v>35</v>
      </c>
      <c r="D2085" s="1" t="s">
        <v>152</v>
      </c>
      <c r="E2085" s="1">
        <v>2075</v>
      </c>
      <c r="F2085" s="1" t="s">
        <v>6924</v>
      </c>
      <c r="G2085" s="1" t="s">
        <v>6925</v>
      </c>
      <c r="H2085" s="1" t="s">
        <v>6926</v>
      </c>
      <c r="I2085" s="1" t="s">
        <v>29</v>
      </c>
      <c r="J2085" s="1" t="s">
        <v>16</v>
      </c>
      <c r="K2085" s="1" t="b">
        <v>0</v>
      </c>
      <c r="L2085" s="1" t="s">
        <v>22</v>
      </c>
      <c r="M2085" s="1" t="s">
        <v>16</v>
      </c>
      <c r="N2085" s="1" t="s">
        <v>16</v>
      </c>
      <c r="O2085" s="1" t="s">
        <v>16</v>
      </c>
      <c r="P2085" s="1" t="s">
        <v>16</v>
      </c>
      <c r="Q2085" s="1">
        <v>100</v>
      </c>
    </row>
    <row r="2086" spans="1:19" ht="12.5" x14ac:dyDescent="0.25">
      <c r="A2086" s="1">
        <v>1760</v>
      </c>
      <c r="B2086" s="1" t="s">
        <v>6927</v>
      </c>
      <c r="C2086" s="1" t="s">
        <v>35</v>
      </c>
      <c r="D2086" s="1" t="s">
        <v>5409</v>
      </c>
      <c r="E2086" s="1">
        <v>2076</v>
      </c>
      <c r="F2086" s="1" t="s">
        <v>6928</v>
      </c>
      <c r="G2086" s="1" t="s">
        <v>6929</v>
      </c>
      <c r="H2086" s="1" t="s">
        <v>6930</v>
      </c>
      <c r="I2086" s="1" t="s">
        <v>29</v>
      </c>
      <c r="J2086" s="1" t="s">
        <v>6931</v>
      </c>
      <c r="K2086" s="1" t="b">
        <v>1</v>
      </c>
      <c r="L2086" s="1" t="s">
        <v>31</v>
      </c>
      <c r="M2086" s="1">
        <v>2022</v>
      </c>
      <c r="N2086" s="1" t="s">
        <v>32</v>
      </c>
      <c r="O2086" s="1" t="s">
        <v>9935</v>
      </c>
      <c r="P2086" s="1" t="s">
        <v>16</v>
      </c>
      <c r="Q2086" s="1">
        <v>100</v>
      </c>
      <c r="R2086" s="1">
        <v>40000</v>
      </c>
      <c r="S2086" s="1">
        <v>40000</v>
      </c>
    </row>
    <row r="2087" spans="1:19" ht="12.5" x14ac:dyDescent="0.25">
      <c r="A2087" s="1">
        <v>1444</v>
      </c>
      <c r="B2087" s="1" t="s">
        <v>6932</v>
      </c>
      <c r="C2087" s="1" t="s">
        <v>35</v>
      </c>
      <c r="D2087" s="1" t="s">
        <v>152</v>
      </c>
      <c r="E2087" s="1">
        <v>2077</v>
      </c>
      <c r="F2087" s="1" t="s">
        <v>6934</v>
      </c>
      <c r="G2087" s="1" t="s">
        <v>6935</v>
      </c>
      <c r="H2087" s="1" t="s">
        <v>16</v>
      </c>
      <c r="I2087" s="1" t="s">
        <v>20</v>
      </c>
      <c r="J2087" s="1" t="s">
        <v>6936</v>
      </c>
      <c r="K2087" s="1" t="b">
        <v>0</v>
      </c>
      <c r="L2087" s="1" t="s">
        <v>22</v>
      </c>
      <c r="M2087" s="1" t="s">
        <v>16</v>
      </c>
      <c r="N2087" s="1" t="s">
        <v>16</v>
      </c>
      <c r="O2087" s="1" t="s">
        <v>16</v>
      </c>
      <c r="P2087" s="1" t="s">
        <v>16</v>
      </c>
      <c r="Q2087" s="1">
        <v>100</v>
      </c>
    </row>
    <row r="2088" spans="1:19" ht="12.5" x14ac:dyDescent="0.25">
      <c r="A2088" s="1" t="s">
        <v>16</v>
      </c>
      <c r="B2088" s="1" t="s">
        <v>16</v>
      </c>
      <c r="C2088" s="1" t="s">
        <v>16</v>
      </c>
      <c r="D2088" s="1" t="s">
        <v>16</v>
      </c>
      <c r="E2088" s="1">
        <v>2078</v>
      </c>
      <c r="F2088" s="1" t="s">
        <v>6937</v>
      </c>
      <c r="G2088" s="1" t="s">
        <v>6938</v>
      </c>
      <c r="H2088" s="1" t="s">
        <v>16</v>
      </c>
      <c r="I2088" s="1" t="s">
        <v>20</v>
      </c>
      <c r="J2088" s="1" t="s">
        <v>6939</v>
      </c>
      <c r="K2088" s="1" t="b">
        <v>0</v>
      </c>
      <c r="L2088" s="1" t="s">
        <v>22</v>
      </c>
      <c r="M2088" s="1" t="s">
        <v>16</v>
      </c>
      <c r="N2088" s="1" t="s">
        <v>16</v>
      </c>
      <c r="O2088" s="1" t="s">
        <v>16</v>
      </c>
      <c r="P2088" s="1" t="s">
        <v>16</v>
      </c>
    </row>
    <row r="2089" spans="1:19" ht="12.5" x14ac:dyDescent="0.25">
      <c r="A2089" s="1" t="s">
        <v>16</v>
      </c>
      <c r="B2089" s="1" t="s">
        <v>16</v>
      </c>
      <c r="C2089" s="1" t="s">
        <v>16</v>
      </c>
      <c r="D2089" s="1" t="s">
        <v>16</v>
      </c>
      <c r="E2089" s="1">
        <v>2079</v>
      </c>
      <c r="F2089" s="1" t="s">
        <v>6940</v>
      </c>
      <c r="G2089" s="1" t="s">
        <v>6941</v>
      </c>
      <c r="H2089" s="1" t="s">
        <v>16</v>
      </c>
      <c r="I2089" s="1" t="s">
        <v>20</v>
      </c>
      <c r="J2089" s="1" t="s">
        <v>6942</v>
      </c>
      <c r="K2089" s="1" t="b">
        <v>0</v>
      </c>
      <c r="L2089" s="1" t="s">
        <v>22</v>
      </c>
      <c r="M2089" s="1" t="s">
        <v>16</v>
      </c>
      <c r="N2089" s="1" t="s">
        <v>16</v>
      </c>
      <c r="O2089" s="1" t="s">
        <v>16</v>
      </c>
      <c r="P2089" s="1" t="s">
        <v>16</v>
      </c>
    </row>
    <row r="2090" spans="1:19" ht="12.5" x14ac:dyDescent="0.25">
      <c r="A2090" s="1">
        <v>390</v>
      </c>
      <c r="B2090" s="1" t="s">
        <v>1579</v>
      </c>
      <c r="C2090" s="1" t="s">
        <v>35</v>
      </c>
      <c r="D2090" s="1" t="s">
        <v>36</v>
      </c>
      <c r="E2090" s="1">
        <v>2080</v>
      </c>
      <c r="F2090" s="1" t="s">
        <v>6943</v>
      </c>
      <c r="G2090" s="1" t="s">
        <v>6944</v>
      </c>
      <c r="H2090" s="1" t="s">
        <v>16</v>
      </c>
      <c r="I2090" s="1" t="s">
        <v>20</v>
      </c>
      <c r="J2090" s="1" t="s">
        <v>6945</v>
      </c>
      <c r="K2090" s="1" t="b">
        <v>0</v>
      </c>
      <c r="L2090" s="1" t="s">
        <v>22</v>
      </c>
      <c r="M2090" s="1" t="s">
        <v>16</v>
      </c>
      <c r="N2090" s="1" t="s">
        <v>16</v>
      </c>
      <c r="O2090" s="1" t="s">
        <v>16</v>
      </c>
      <c r="P2090" s="1" t="s">
        <v>16</v>
      </c>
      <c r="Q2090" s="1">
        <v>25</v>
      </c>
    </row>
    <row r="2091" spans="1:19" ht="12.5" x14ac:dyDescent="0.25">
      <c r="A2091" s="1" t="s">
        <v>16</v>
      </c>
      <c r="B2091" s="1" t="s">
        <v>16</v>
      </c>
      <c r="C2091" s="1" t="s">
        <v>16</v>
      </c>
      <c r="D2091" s="1" t="s">
        <v>16</v>
      </c>
      <c r="E2091" s="1">
        <v>2081</v>
      </c>
      <c r="F2091" s="1" t="s">
        <v>6946</v>
      </c>
      <c r="G2091" s="1" t="s">
        <v>6947</v>
      </c>
      <c r="H2091" s="1" t="s">
        <v>16</v>
      </c>
      <c r="I2091" s="1" t="s">
        <v>20</v>
      </c>
      <c r="J2091" s="1" t="s">
        <v>6948</v>
      </c>
      <c r="K2091" s="1" t="b">
        <v>0</v>
      </c>
      <c r="L2091" s="1" t="s">
        <v>22</v>
      </c>
      <c r="M2091" s="1" t="s">
        <v>16</v>
      </c>
      <c r="N2091" s="1" t="s">
        <v>16</v>
      </c>
      <c r="O2091" s="1" t="s">
        <v>16</v>
      </c>
      <c r="P2091" s="1" t="s">
        <v>16</v>
      </c>
    </row>
    <row r="2092" spans="1:19" ht="12.5" x14ac:dyDescent="0.25">
      <c r="A2092" s="1" t="s">
        <v>16</v>
      </c>
      <c r="B2092" s="1" t="s">
        <v>16</v>
      </c>
      <c r="C2092" s="1" t="s">
        <v>16</v>
      </c>
      <c r="D2092" s="1" t="s">
        <v>16</v>
      </c>
      <c r="E2092" s="1">
        <v>2082</v>
      </c>
      <c r="F2092" s="1" t="s">
        <v>6949</v>
      </c>
      <c r="G2092" s="1" t="s">
        <v>6950</v>
      </c>
      <c r="H2092" s="1" t="s">
        <v>16</v>
      </c>
      <c r="I2092" s="1" t="s">
        <v>20</v>
      </c>
      <c r="J2092" s="1" t="s">
        <v>6951</v>
      </c>
      <c r="K2092" s="1" t="b">
        <v>0</v>
      </c>
      <c r="L2092" s="1" t="s">
        <v>22</v>
      </c>
      <c r="M2092" s="1" t="s">
        <v>16</v>
      </c>
      <c r="N2092" s="1" t="s">
        <v>16</v>
      </c>
      <c r="O2092" s="1" t="s">
        <v>16</v>
      </c>
      <c r="P2092" s="1" t="s">
        <v>16</v>
      </c>
    </row>
    <row r="2093" spans="1:19" ht="12.5" x14ac:dyDescent="0.25">
      <c r="A2093" s="1" t="s">
        <v>16</v>
      </c>
      <c r="B2093" s="1" t="s">
        <v>16</v>
      </c>
      <c r="C2093" s="1" t="s">
        <v>16</v>
      </c>
      <c r="D2093" s="1" t="s">
        <v>16</v>
      </c>
      <c r="E2093" s="1">
        <v>2083</v>
      </c>
      <c r="F2093" s="1" t="s">
        <v>6952</v>
      </c>
      <c r="G2093" s="1" t="s">
        <v>6953</v>
      </c>
      <c r="H2093" s="1" t="s">
        <v>16</v>
      </c>
      <c r="I2093" s="1" t="s">
        <v>20</v>
      </c>
      <c r="J2093" s="1" t="s">
        <v>6954</v>
      </c>
      <c r="K2093" s="1" t="b">
        <v>0</v>
      </c>
      <c r="L2093" s="1" t="s">
        <v>22</v>
      </c>
      <c r="M2093" s="1" t="s">
        <v>16</v>
      </c>
      <c r="N2093" s="1" t="s">
        <v>16</v>
      </c>
      <c r="O2093" s="1" t="s">
        <v>16</v>
      </c>
      <c r="P2093" s="1" t="s">
        <v>16</v>
      </c>
    </row>
    <row r="2094" spans="1:19" ht="12.5" x14ac:dyDescent="0.25">
      <c r="A2094" s="1">
        <v>1626</v>
      </c>
      <c r="B2094" s="1" t="s">
        <v>5225</v>
      </c>
      <c r="C2094" s="1" t="s">
        <v>35</v>
      </c>
      <c r="D2094" s="1" t="s">
        <v>152</v>
      </c>
      <c r="E2094" s="1">
        <v>2084</v>
      </c>
      <c r="F2094" s="1" t="s">
        <v>6955</v>
      </c>
      <c r="G2094" s="1" t="s">
        <v>6956</v>
      </c>
      <c r="H2094" s="1" t="s">
        <v>6957</v>
      </c>
      <c r="I2094" s="1" t="s">
        <v>29</v>
      </c>
      <c r="J2094" s="1" t="s">
        <v>6958</v>
      </c>
      <c r="K2094" s="1" t="b">
        <v>0</v>
      </c>
      <c r="L2094" s="1" t="s">
        <v>22</v>
      </c>
      <c r="M2094" s="1">
        <v>2022</v>
      </c>
      <c r="N2094" s="1" t="s">
        <v>45</v>
      </c>
      <c r="O2094" s="1" t="s">
        <v>9956</v>
      </c>
      <c r="P2094" s="1" t="s">
        <v>10043</v>
      </c>
      <c r="Q2094" s="1">
        <v>100</v>
      </c>
      <c r="R2094" s="1">
        <v>1500</v>
      </c>
      <c r="S2094" s="1">
        <v>1500</v>
      </c>
    </row>
    <row r="2095" spans="1:19" ht="12.5" x14ac:dyDescent="0.25">
      <c r="A2095" s="1">
        <v>1666</v>
      </c>
      <c r="B2095" s="1" t="s">
        <v>5279</v>
      </c>
      <c r="C2095" s="1" t="s">
        <v>35</v>
      </c>
      <c r="D2095" s="1" t="s">
        <v>152</v>
      </c>
      <c r="E2095" s="1">
        <v>2085</v>
      </c>
      <c r="F2095" s="1" t="s">
        <v>6959</v>
      </c>
      <c r="G2095" s="1" t="s">
        <v>6960</v>
      </c>
      <c r="H2095" s="1" t="s">
        <v>6961</v>
      </c>
      <c r="I2095" s="1" t="s">
        <v>29</v>
      </c>
      <c r="J2095" s="1" t="s">
        <v>6962</v>
      </c>
      <c r="K2095" s="1" t="b">
        <v>0</v>
      </c>
      <c r="L2095" s="1" t="s">
        <v>22</v>
      </c>
      <c r="M2095" s="1">
        <v>2022</v>
      </c>
      <c r="N2095" s="1" t="s">
        <v>45</v>
      </c>
      <c r="O2095" s="1" t="s">
        <v>9956</v>
      </c>
      <c r="P2095" s="1" t="s">
        <v>10043</v>
      </c>
      <c r="Q2095" s="1">
        <v>100</v>
      </c>
      <c r="R2095" s="1">
        <v>5000</v>
      </c>
      <c r="S2095" s="1">
        <v>5000</v>
      </c>
    </row>
    <row r="2096" spans="1:19" ht="12.5" x14ac:dyDescent="0.25">
      <c r="A2096" s="1">
        <v>1694</v>
      </c>
      <c r="B2096" s="1" t="s">
        <v>6797</v>
      </c>
      <c r="C2096" s="1" t="s">
        <v>35</v>
      </c>
      <c r="D2096" s="1" t="s">
        <v>152</v>
      </c>
      <c r="E2096" s="1">
        <v>2086</v>
      </c>
      <c r="F2096" s="1" t="s">
        <v>6963</v>
      </c>
      <c r="G2096" s="1" t="s">
        <v>6964</v>
      </c>
      <c r="H2096" s="1" t="s">
        <v>6961</v>
      </c>
      <c r="I2096" s="1" t="s">
        <v>29</v>
      </c>
      <c r="J2096" s="1" t="s">
        <v>6965</v>
      </c>
      <c r="K2096" s="1" t="b">
        <v>0</v>
      </c>
      <c r="L2096" s="1" t="s">
        <v>22</v>
      </c>
      <c r="M2096" s="1">
        <v>2022</v>
      </c>
      <c r="N2096" s="1" t="s">
        <v>45</v>
      </c>
      <c r="O2096" s="1" t="s">
        <v>9956</v>
      </c>
      <c r="P2096" s="1" t="s">
        <v>10043</v>
      </c>
      <c r="Q2096" s="1">
        <v>100</v>
      </c>
      <c r="R2096" s="1">
        <v>5000</v>
      </c>
      <c r="S2096" s="1">
        <v>5000</v>
      </c>
    </row>
    <row r="2097" spans="1:19" ht="12.5" x14ac:dyDescent="0.25">
      <c r="A2097" s="1" t="s">
        <v>16</v>
      </c>
      <c r="B2097" s="1" t="s">
        <v>16</v>
      </c>
      <c r="C2097" s="1" t="s">
        <v>16</v>
      </c>
      <c r="D2097" s="1" t="s">
        <v>16</v>
      </c>
      <c r="E2097" s="1">
        <v>2087</v>
      </c>
      <c r="F2097" s="1" t="s">
        <v>6966</v>
      </c>
      <c r="G2097" s="1" t="s">
        <v>6967</v>
      </c>
      <c r="H2097" s="1" t="s">
        <v>16</v>
      </c>
      <c r="I2097" s="1" t="s">
        <v>20</v>
      </c>
      <c r="J2097" s="1" t="s">
        <v>6968</v>
      </c>
      <c r="K2097" s="1" t="b">
        <v>0</v>
      </c>
      <c r="L2097" s="1" t="s">
        <v>22</v>
      </c>
      <c r="M2097" s="1" t="s">
        <v>16</v>
      </c>
      <c r="N2097" s="1" t="s">
        <v>16</v>
      </c>
      <c r="O2097" s="1" t="s">
        <v>16</v>
      </c>
      <c r="P2097" s="1" t="s">
        <v>16</v>
      </c>
    </row>
    <row r="2098" spans="1:19" ht="12.5" x14ac:dyDescent="0.25">
      <c r="A2098" s="1" t="s">
        <v>16</v>
      </c>
      <c r="B2098" s="1" t="s">
        <v>16</v>
      </c>
      <c r="C2098" s="1" t="s">
        <v>16</v>
      </c>
      <c r="D2098" s="1" t="s">
        <v>16</v>
      </c>
      <c r="E2098" s="1">
        <v>2088</v>
      </c>
      <c r="F2098" s="1" t="s">
        <v>6969</v>
      </c>
      <c r="G2098" s="1" t="s">
        <v>6970</v>
      </c>
      <c r="H2098" s="1" t="s">
        <v>16</v>
      </c>
      <c r="I2098" s="1" t="s">
        <v>20</v>
      </c>
      <c r="J2098" s="1" t="s">
        <v>6971</v>
      </c>
      <c r="K2098" s="1" t="b">
        <v>0</v>
      </c>
      <c r="L2098" s="1" t="s">
        <v>22</v>
      </c>
      <c r="M2098" s="1" t="s">
        <v>16</v>
      </c>
      <c r="N2098" s="1" t="s">
        <v>16</v>
      </c>
      <c r="O2098" s="1" t="s">
        <v>16</v>
      </c>
      <c r="P2098" s="1" t="s">
        <v>16</v>
      </c>
    </row>
    <row r="2099" spans="1:19" ht="12.5" x14ac:dyDescent="0.25">
      <c r="A2099" s="1" t="s">
        <v>16</v>
      </c>
      <c r="B2099" s="1" t="s">
        <v>16</v>
      </c>
      <c r="C2099" s="1" t="s">
        <v>16</v>
      </c>
      <c r="D2099" s="1" t="s">
        <v>16</v>
      </c>
      <c r="E2099" s="1">
        <v>2089</v>
      </c>
      <c r="F2099" s="1" t="s">
        <v>6972</v>
      </c>
      <c r="G2099" s="1" t="s">
        <v>6973</v>
      </c>
      <c r="H2099" s="1" t="s">
        <v>16</v>
      </c>
      <c r="I2099" s="1" t="s">
        <v>20</v>
      </c>
      <c r="J2099" s="1" t="s">
        <v>6974</v>
      </c>
      <c r="K2099" s="1" t="b">
        <v>0</v>
      </c>
      <c r="L2099" s="1" t="s">
        <v>22</v>
      </c>
      <c r="M2099" s="1" t="s">
        <v>16</v>
      </c>
      <c r="N2099" s="1" t="s">
        <v>16</v>
      </c>
      <c r="O2099" s="1" t="s">
        <v>16</v>
      </c>
      <c r="P2099" s="1" t="s">
        <v>16</v>
      </c>
    </row>
    <row r="2100" spans="1:19" ht="12.5" x14ac:dyDescent="0.25">
      <c r="A2100" s="1" t="s">
        <v>16</v>
      </c>
      <c r="B2100" s="1" t="s">
        <v>16</v>
      </c>
      <c r="C2100" s="1" t="s">
        <v>16</v>
      </c>
      <c r="D2100" s="1" t="s">
        <v>16</v>
      </c>
      <c r="E2100" s="1">
        <v>2090</v>
      </c>
      <c r="F2100" s="1" t="s">
        <v>6975</v>
      </c>
      <c r="G2100" s="1" t="s">
        <v>6976</v>
      </c>
      <c r="H2100" s="1" t="s">
        <v>16</v>
      </c>
      <c r="I2100" s="1" t="s">
        <v>20</v>
      </c>
      <c r="J2100" s="1" t="s">
        <v>6977</v>
      </c>
      <c r="K2100" s="1" t="b">
        <v>0</v>
      </c>
      <c r="L2100" s="1" t="s">
        <v>22</v>
      </c>
      <c r="M2100" s="1" t="s">
        <v>16</v>
      </c>
      <c r="N2100" s="1" t="s">
        <v>16</v>
      </c>
      <c r="O2100" s="1" t="s">
        <v>16</v>
      </c>
      <c r="P2100" s="1" t="s">
        <v>16</v>
      </c>
    </row>
    <row r="2101" spans="1:19" ht="12.5" x14ac:dyDescent="0.25">
      <c r="A2101" s="1" t="s">
        <v>16</v>
      </c>
      <c r="B2101" s="1" t="s">
        <v>16</v>
      </c>
      <c r="C2101" s="1" t="s">
        <v>16</v>
      </c>
      <c r="D2101" s="1" t="s">
        <v>16</v>
      </c>
      <c r="E2101" s="1">
        <v>2091</v>
      </c>
      <c r="F2101" s="1" t="s">
        <v>6978</v>
      </c>
      <c r="G2101" s="1" t="s">
        <v>6979</v>
      </c>
      <c r="H2101" s="1" t="s">
        <v>16</v>
      </c>
      <c r="I2101" s="1" t="s">
        <v>20</v>
      </c>
      <c r="J2101" s="1" t="s">
        <v>6980</v>
      </c>
      <c r="K2101" s="1" t="b">
        <v>0</v>
      </c>
      <c r="L2101" s="1" t="s">
        <v>22</v>
      </c>
      <c r="M2101" s="1" t="s">
        <v>16</v>
      </c>
      <c r="N2101" s="1" t="s">
        <v>16</v>
      </c>
      <c r="O2101" s="1" t="s">
        <v>16</v>
      </c>
      <c r="P2101" s="1" t="s">
        <v>16</v>
      </c>
    </row>
    <row r="2102" spans="1:19" ht="12.5" x14ac:dyDescent="0.25">
      <c r="A2102" s="1">
        <v>1571</v>
      </c>
      <c r="B2102" s="1" t="s">
        <v>6981</v>
      </c>
      <c r="C2102" s="1" t="s">
        <v>35</v>
      </c>
      <c r="D2102" s="1" t="s">
        <v>152</v>
      </c>
      <c r="E2102" s="1">
        <v>2092</v>
      </c>
      <c r="F2102" s="1" t="s">
        <v>6982</v>
      </c>
      <c r="G2102" s="1" t="s">
        <v>6983</v>
      </c>
      <c r="H2102" s="1" t="s">
        <v>6984</v>
      </c>
      <c r="I2102" s="1" t="s">
        <v>29</v>
      </c>
      <c r="J2102" s="1" t="s">
        <v>6985</v>
      </c>
      <c r="K2102" s="1" t="b">
        <v>0</v>
      </c>
      <c r="L2102" s="1" t="s">
        <v>22</v>
      </c>
      <c r="M2102" s="1">
        <v>2022</v>
      </c>
      <c r="N2102" s="1" t="s">
        <v>45</v>
      </c>
      <c r="O2102" s="1" t="s">
        <v>9956</v>
      </c>
      <c r="P2102" s="1" t="s">
        <v>16</v>
      </c>
      <c r="Q2102" s="1">
        <v>100</v>
      </c>
      <c r="R2102" s="1">
        <v>165000</v>
      </c>
      <c r="S2102" s="1">
        <v>165000</v>
      </c>
    </row>
    <row r="2103" spans="1:19" ht="12.5" x14ac:dyDescent="0.25">
      <c r="A2103" s="1">
        <v>166</v>
      </c>
      <c r="B2103" s="1" t="s">
        <v>6986</v>
      </c>
      <c r="C2103" s="1" t="s">
        <v>15</v>
      </c>
      <c r="D2103" s="1" t="s">
        <v>15</v>
      </c>
      <c r="E2103" s="1">
        <v>2093</v>
      </c>
      <c r="F2103" s="1" t="s">
        <v>6987</v>
      </c>
      <c r="G2103" s="1" t="s">
        <v>6988</v>
      </c>
      <c r="H2103" s="1" t="s">
        <v>16</v>
      </c>
      <c r="I2103" s="1" t="s">
        <v>20</v>
      </c>
      <c r="J2103" s="1" t="s">
        <v>6989</v>
      </c>
      <c r="K2103" s="1" t="b">
        <v>0</v>
      </c>
      <c r="L2103" s="1" t="s">
        <v>22</v>
      </c>
      <c r="M2103" s="1" t="s">
        <v>16</v>
      </c>
      <c r="N2103" s="1" t="s">
        <v>16</v>
      </c>
      <c r="O2103" s="1" t="s">
        <v>16</v>
      </c>
      <c r="P2103" s="1" t="s">
        <v>16</v>
      </c>
      <c r="Q2103" s="1">
        <v>100</v>
      </c>
    </row>
    <row r="2104" spans="1:19" ht="12.5" x14ac:dyDescent="0.25">
      <c r="A2104" s="1" t="s">
        <v>16</v>
      </c>
      <c r="B2104" s="1" t="s">
        <v>16</v>
      </c>
      <c r="C2104" s="1" t="s">
        <v>16</v>
      </c>
      <c r="D2104" s="1" t="s">
        <v>16</v>
      </c>
      <c r="E2104" s="1">
        <v>2094</v>
      </c>
      <c r="F2104" s="1" t="s">
        <v>6990</v>
      </c>
      <c r="G2104" s="1" t="s">
        <v>6991</v>
      </c>
      <c r="H2104" s="1" t="s">
        <v>16</v>
      </c>
      <c r="I2104" s="1" t="s">
        <v>20</v>
      </c>
      <c r="J2104" s="1" t="s">
        <v>6992</v>
      </c>
      <c r="K2104" s="1" t="b">
        <v>0</v>
      </c>
      <c r="L2104" s="1" t="s">
        <v>22</v>
      </c>
      <c r="M2104" s="1" t="s">
        <v>16</v>
      </c>
      <c r="N2104" s="1" t="s">
        <v>16</v>
      </c>
      <c r="O2104" s="1" t="s">
        <v>16</v>
      </c>
      <c r="P2104" s="1" t="s">
        <v>16</v>
      </c>
    </row>
    <row r="2105" spans="1:19" ht="12.5" x14ac:dyDescent="0.25">
      <c r="A2105" s="1" t="s">
        <v>16</v>
      </c>
      <c r="B2105" s="1" t="s">
        <v>16</v>
      </c>
      <c r="C2105" s="1" t="s">
        <v>16</v>
      </c>
      <c r="D2105" s="1" t="s">
        <v>16</v>
      </c>
      <c r="E2105" s="1">
        <v>2095</v>
      </c>
      <c r="F2105" s="1" t="s">
        <v>6993</v>
      </c>
      <c r="G2105" s="1" t="s">
        <v>6994</v>
      </c>
      <c r="H2105" s="1" t="s">
        <v>16</v>
      </c>
      <c r="I2105" s="1" t="s">
        <v>20</v>
      </c>
      <c r="J2105" s="1" t="s">
        <v>6995</v>
      </c>
      <c r="K2105" s="1" t="b">
        <v>0</v>
      </c>
      <c r="L2105" s="1" t="s">
        <v>22</v>
      </c>
      <c r="M2105" s="1" t="s">
        <v>16</v>
      </c>
      <c r="N2105" s="1" t="s">
        <v>16</v>
      </c>
      <c r="O2105" s="1" t="s">
        <v>16</v>
      </c>
      <c r="P2105" s="1" t="s">
        <v>16</v>
      </c>
    </row>
    <row r="2106" spans="1:19" ht="12.5" x14ac:dyDescent="0.25">
      <c r="A2106" s="1">
        <v>1789</v>
      </c>
      <c r="B2106" s="1" t="s">
        <v>5448</v>
      </c>
      <c r="C2106" s="1" t="s">
        <v>35</v>
      </c>
      <c r="D2106" s="1" t="s">
        <v>5409</v>
      </c>
      <c r="E2106" s="1">
        <v>2096</v>
      </c>
      <c r="F2106" s="1" t="s">
        <v>6996</v>
      </c>
      <c r="G2106" s="1" t="s">
        <v>6997</v>
      </c>
      <c r="H2106" s="1" t="s">
        <v>6998</v>
      </c>
      <c r="I2106" s="1" t="s">
        <v>29</v>
      </c>
      <c r="J2106" s="1" t="s">
        <v>16</v>
      </c>
      <c r="K2106" s="1" t="b">
        <v>0</v>
      </c>
      <c r="L2106" s="1" t="s">
        <v>22</v>
      </c>
      <c r="M2106" s="1">
        <v>2022</v>
      </c>
      <c r="N2106" s="1" t="s">
        <v>32</v>
      </c>
      <c r="O2106" s="1" t="s">
        <v>9935</v>
      </c>
      <c r="P2106" s="1" t="s">
        <v>16</v>
      </c>
      <c r="Q2106" s="1">
        <v>100</v>
      </c>
      <c r="R2106" s="1">
        <v>180000</v>
      </c>
      <c r="S2106" s="1">
        <v>180000</v>
      </c>
    </row>
    <row r="2107" spans="1:19" ht="12.5" x14ac:dyDescent="0.25">
      <c r="A2107" s="1" t="s">
        <v>16</v>
      </c>
      <c r="B2107" s="1" t="s">
        <v>16</v>
      </c>
      <c r="C2107" s="1" t="s">
        <v>16</v>
      </c>
      <c r="D2107" s="1" t="s">
        <v>16</v>
      </c>
      <c r="E2107" s="1">
        <v>2097</v>
      </c>
      <c r="F2107" s="1" t="s">
        <v>6999</v>
      </c>
      <c r="G2107" s="1" t="s">
        <v>7000</v>
      </c>
      <c r="H2107" s="1" t="s">
        <v>16</v>
      </c>
      <c r="I2107" s="1" t="s">
        <v>20</v>
      </c>
      <c r="J2107" s="1" t="s">
        <v>7001</v>
      </c>
      <c r="K2107" s="1" t="b">
        <v>0</v>
      </c>
      <c r="L2107" s="1" t="s">
        <v>22</v>
      </c>
      <c r="M2107" s="1" t="s">
        <v>16</v>
      </c>
      <c r="N2107" s="1" t="s">
        <v>16</v>
      </c>
      <c r="O2107" s="1" t="s">
        <v>16</v>
      </c>
      <c r="P2107" s="1" t="s">
        <v>16</v>
      </c>
    </row>
    <row r="2108" spans="1:19" ht="12.5" x14ac:dyDescent="0.25">
      <c r="A2108" s="1">
        <v>863</v>
      </c>
      <c r="B2108" s="1" t="s">
        <v>7002</v>
      </c>
      <c r="C2108" s="1" t="s">
        <v>35</v>
      </c>
      <c r="D2108" s="1" t="s">
        <v>152</v>
      </c>
      <c r="E2108" s="1">
        <v>2098</v>
      </c>
      <c r="F2108" s="1" t="s">
        <v>7003</v>
      </c>
      <c r="G2108" s="1" t="s">
        <v>7004</v>
      </c>
      <c r="H2108" s="1" t="s">
        <v>16</v>
      </c>
      <c r="I2108" s="1" t="s">
        <v>29</v>
      </c>
      <c r="J2108" s="1" t="s">
        <v>7005</v>
      </c>
      <c r="K2108" s="1" t="b">
        <v>0</v>
      </c>
      <c r="L2108" s="1" t="s">
        <v>22</v>
      </c>
      <c r="M2108" s="1">
        <v>2021</v>
      </c>
      <c r="N2108" s="1" t="s">
        <v>23</v>
      </c>
      <c r="O2108" s="1" t="s">
        <v>9956</v>
      </c>
      <c r="P2108" s="1" t="s">
        <v>10076</v>
      </c>
      <c r="Q2108" s="1">
        <v>100</v>
      </c>
      <c r="R2108" s="1">
        <v>250</v>
      </c>
      <c r="S2108" s="1">
        <v>250</v>
      </c>
    </row>
    <row r="2109" spans="1:19" ht="12.5" x14ac:dyDescent="0.25">
      <c r="A2109" s="1" t="s">
        <v>16</v>
      </c>
      <c r="B2109" s="1" t="s">
        <v>16</v>
      </c>
      <c r="C2109" s="1" t="s">
        <v>16</v>
      </c>
      <c r="D2109" s="1" t="s">
        <v>16</v>
      </c>
      <c r="E2109" s="1">
        <v>2099</v>
      </c>
      <c r="F2109" s="1" t="s">
        <v>7006</v>
      </c>
      <c r="G2109" s="1" t="s">
        <v>7007</v>
      </c>
      <c r="H2109" s="1" t="s">
        <v>16</v>
      </c>
      <c r="I2109" s="1" t="s">
        <v>20</v>
      </c>
      <c r="J2109" s="1" t="s">
        <v>7008</v>
      </c>
      <c r="K2109" s="1" t="b">
        <v>0</v>
      </c>
      <c r="L2109" s="1" t="s">
        <v>22</v>
      </c>
      <c r="M2109" s="1" t="s">
        <v>16</v>
      </c>
      <c r="N2109" s="1" t="s">
        <v>16</v>
      </c>
      <c r="O2109" s="1" t="s">
        <v>16</v>
      </c>
      <c r="P2109" s="1" t="s">
        <v>16</v>
      </c>
    </row>
    <row r="2110" spans="1:19" ht="12.5" x14ac:dyDescent="0.25">
      <c r="A2110" s="1" t="s">
        <v>16</v>
      </c>
      <c r="B2110" s="1" t="s">
        <v>16</v>
      </c>
      <c r="C2110" s="1" t="s">
        <v>16</v>
      </c>
      <c r="D2110" s="1" t="s">
        <v>16</v>
      </c>
      <c r="E2110" s="1">
        <v>2100</v>
      </c>
      <c r="F2110" s="1" t="s">
        <v>7009</v>
      </c>
      <c r="G2110" s="1" t="s">
        <v>7010</v>
      </c>
      <c r="H2110" s="1" t="s">
        <v>16</v>
      </c>
      <c r="I2110" s="1" t="s">
        <v>20</v>
      </c>
      <c r="J2110" s="1" t="s">
        <v>7011</v>
      </c>
      <c r="K2110" s="1" t="b">
        <v>0</v>
      </c>
      <c r="L2110" s="1" t="s">
        <v>22</v>
      </c>
      <c r="M2110" s="1" t="s">
        <v>16</v>
      </c>
      <c r="N2110" s="1" t="s">
        <v>16</v>
      </c>
      <c r="O2110" s="1" t="s">
        <v>16</v>
      </c>
      <c r="P2110" s="1" t="s">
        <v>16</v>
      </c>
    </row>
    <row r="2111" spans="1:19" ht="12.5" x14ac:dyDescent="0.25">
      <c r="A2111" s="1">
        <v>136</v>
      </c>
      <c r="B2111" s="1" t="s">
        <v>672</v>
      </c>
      <c r="C2111" s="1" t="s">
        <v>15</v>
      </c>
      <c r="D2111" s="1" t="s">
        <v>15</v>
      </c>
      <c r="E2111" s="1">
        <v>2101</v>
      </c>
      <c r="F2111" s="1" t="s">
        <v>7012</v>
      </c>
      <c r="G2111" s="1" t="s">
        <v>7013</v>
      </c>
      <c r="H2111" s="1" t="s">
        <v>16</v>
      </c>
      <c r="I2111" s="1" t="s">
        <v>20</v>
      </c>
      <c r="J2111" s="1" t="s">
        <v>7014</v>
      </c>
      <c r="K2111" s="1" t="b">
        <v>0</v>
      </c>
      <c r="L2111" s="1" t="s">
        <v>22</v>
      </c>
      <c r="M2111" s="1" t="s">
        <v>16</v>
      </c>
      <c r="N2111" s="1" t="s">
        <v>16</v>
      </c>
      <c r="O2111" s="1" t="s">
        <v>16</v>
      </c>
      <c r="P2111" s="1" t="s">
        <v>16</v>
      </c>
      <c r="Q2111" s="1">
        <v>40</v>
      </c>
    </row>
    <row r="2112" spans="1:19" ht="12.5" x14ac:dyDescent="0.25">
      <c r="A2112" s="1">
        <v>683</v>
      </c>
      <c r="B2112" s="1" t="s">
        <v>2800</v>
      </c>
      <c r="C2112" s="1" t="s">
        <v>35</v>
      </c>
      <c r="D2112" s="1" t="s">
        <v>36</v>
      </c>
      <c r="E2112" s="1">
        <v>2101</v>
      </c>
      <c r="F2112" s="1" t="s">
        <v>7012</v>
      </c>
      <c r="G2112" s="1" t="s">
        <v>7013</v>
      </c>
      <c r="H2112" s="1" t="s">
        <v>16</v>
      </c>
      <c r="I2112" s="1" t="s">
        <v>20</v>
      </c>
      <c r="J2112" s="1" t="s">
        <v>7014</v>
      </c>
      <c r="K2112" s="1" t="b">
        <v>0</v>
      </c>
      <c r="L2112" s="1" t="s">
        <v>22</v>
      </c>
      <c r="M2112" s="1" t="s">
        <v>16</v>
      </c>
      <c r="N2112" s="1" t="s">
        <v>16</v>
      </c>
      <c r="O2112" s="1" t="s">
        <v>16</v>
      </c>
      <c r="P2112" s="1" t="s">
        <v>16</v>
      </c>
      <c r="Q2112" s="1">
        <v>5</v>
      </c>
    </row>
    <row r="2113" spans="1:19" ht="12.5" x14ac:dyDescent="0.25">
      <c r="A2113" s="1">
        <v>2219</v>
      </c>
      <c r="B2113" s="1" t="s">
        <v>7015</v>
      </c>
      <c r="C2113" s="1" t="s">
        <v>35</v>
      </c>
      <c r="D2113" s="1" t="s">
        <v>5669</v>
      </c>
      <c r="E2113" s="1">
        <v>2102</v>
      </c>
      <c r="F2113" s="1" t="s">
        <v>7016</v>
      </c>
      <c r="G2113" s="1" t="s">
        <v>7017</v>
      </c>
      <c r="H2113" s="1" t="s">
        <v>7018</v>
      </c>
      <c r="I2113" s="1" t="s">
        <v>29</v>
      </c>
      <c r="J2113" s="1" t="s">
        <v>7019</v>
      </c>
      <c r="K2113" s="1" t="b">
        <v>1</v>
      </c>
      <c r="L2113" s="1" t="s">
        <v>31</v>
      </c>
      <c r="M2113" s="1">
        <v>2022</v>
      </c>
      <c r="N2113" s="1" t="s">
        <v>32</v>
      </c>
      <c r="O2113" s="1" t="s">
        <v>9935</v>
      </c>
      <c r="P2113" s="1" t="s">
        <v>16</v>
      </c>
      <c r="Q2113" s="1">
        <v>100</v>
      </c>
      <c r="R2113" s="1">
        <v>14596.29</v>
      </c>
      <c r="S2113" s="1">
        <v>14596.29</v>
      </c>
    </row>
    <row r="2114" spans="1:19" ht="12.5" x14ac:dyDescent="0.25">
      <c r="A2114" s="1" t="s">
        <v>16</v>
      </c>
      <c r="B2114" s="1" t="s">
        <v>16</v>
      </c>
      <c r="C2114" s="1" t="s">
        <v>16</v>
      </c>
      <c r="D2114" s="1" t="s">
        <v>16</v>
      </c>
      <c r="E2114" s="1">
        <v>2103</v>
      </c>
      <c r="F2114" s="1" t="s">
        <v>7020</v>
      </c>
      <c r="G2114" s="1" t="s">
        <v>7021</v>
      </c>
      <c r="H2114" s="1" t="s">
        <v>16</v>
      </c>
      <c r="I2114" s="1" t="s">
        <v>20</v>
      </c>
      <c r="J2114" s="1" t="s">
        <v>7022</v>
      </c>
      <c r="K2114" s="1" t="b">
        <v>0</v>
      </c>
      <c r="L2114" s="1" t="s">
        <v>22</v>
      </c>
      <c r="M2114" s="1" t="s">
        <v>16</v>
      </c>
      <c r="N2114" s="1" t="s">
        <v>16</v>
      </c>
      <c r="O2114" s="1" t="s">
        <v>16</v>
      </c>
      <c r="P2114" s="1" t="s">
        <v>16</v>
      </c>
    </row>
    <row r="2115" spans="1:19" ht="12.5" x14ac:dyDescent="0.25">
      <c r="A2115" s="1">
        <v>1445</v>
      </c>
      <c r="B2115" s="1" t="s">
        <v>7023</v>
      </c>
      <c r="C2115" s="1" t="s">
        <v>35</v>
      </c>
      <c r="D2115" s="1" t="s">
        <v>152</v>
      </c>
      <c r="E2115" s="1">
        <v>2104</v>
      </c>
      <c r="F2115" s="1" t="s">
        <v>7025</v>
      </c>
      <c r="G2115" s="1" t="s">
        <v>7026</v>
      </c>
      <c r="H2115" s="1" t="s">
        <v>16</v>
      </c>
      <c r="I2115" s="1" t="s">
        <v>29</v>
      </c>
      <c r="J2115" s="1" t="s">
        <v>7027</v>
      </c>
      <c r="K2115" s="1" t="b">
        <v>0</v>
      </c>
      <c r="L2115" s="1" t="s">
        <v>22</v>
      </c>
      <c r="M2115" s="1">
        <v>2022</v>
      </c>
      <c r="N2115" s="1" t="s">
        <v>16</v>
      </c>
      <c r="O2115" s="1" t="s">
        <v>9942</v>
      </c>
      <c r="P2115" s="1" t="s">
        <v>16</v>
      </c>
      <c r="Q2115" s="1">
        <v>100</v>
      </c>
      <c r="R2115" s="1">
        <v>1</v>
      </c>
      <c r="S2115" s="1">
        <v>1</v>
      </c>
    </row>
    <row r="2116" spans="1:19" ht="12.5" x14ac:dyDescent="0.25">
      <c r="A2116" s="1" t="s">
        <v>16</v>
      </c>
      <c r="B2116" s="1" t="s">
        <v>16</v>
      </c>
      <c r="C2116" s="1" t="s">
        <v>16</v>
      </c>
      <c r="D2116" s="1" t="s">
        <v>16</v>
      </c>
      <c r="E2116" s="1">
        <v>2105</v>
      </c>
      <c r="F2116" s="1" t="s">
        <v>7028</v>
      </c>
      <c r="G2116" s="1" t="s">
        <v>7029</v>
      </c>
      <c r="H2116" s="1" t="s">
        <v>16</v>
      </c>
      <c r="I2116" s="1" t="s">
        <v>20</v>
      </c>
      <c r="J2116" s="1" t="s">
        <v>7030</v>
      </c>
      <c r="K2116" s="1" t="b">
        <v>0</v>
      </c>
      <c r="L2116" s="1" t="s">
        <v>22</v>
      </c>
      <c r="M2116" s="1" t="s">
        <v>16</v>
      </c>
      <c r="N2116" s="1" t="s">
        <v>16</v>
      </c>
      <c r="O2116" s="1" t="s">
        <v>16</v>
      </c>
      <c r="P2116" s="1" t="s">
        <v>16</v>
      </c>
    </row>
    <row r="2117" spans="1:19" ht="12.5" x14ac:dyDescent="0.25">
      <c r="A2117" s="1">
        <v>86</v>
      </c>
      <c r="B2117" s="1" t="s">
        <v>7031</v>
      </c>
      <c r="C2117" s="1" t="s">
        <v>15</v>
      </c>
      <c r="D2117" s="1" t="s">
        <v>15</v>
      </c>
      <c r="E2117" s="1">
        <v>2106</v>
      </c>
      <c r="F2117" s="1" t="s">
        <v>7032</v>
      </c>
      <c r="G2117" s="1" t="s">
        <v>7033</v>
      </c>
      <c r="H2117" s="1" t="s">
        <v>16</v>
      </c>
      <c r="I2117" s="1" t="s">
        <v>20</v>
      </c>
      <c r="J2117" s="1" t="s">
        <v>7034</v>
      </c>
      <c r="K2117" s="1" t="b">
        <v>0</v>
      </c>
      <c r="L2117" s="1" t="s">
        <v>22</v>
      </c>
      <c r="M2117" s="1" t="s">
        <v>16</v>
      </c>
      <c r="N2117" s="1" t="s">
        <v>16</v>
      </c>
      <c r="O2117" s="1" t="s">
        <v>16</v>
      </c>
      <c r="P2117" s="1" t="s">
        <v>16</v>
      </c>
      <c r="Q2117" s="1">
        <v>100</v>
      </c>
    </row>
    <row r="2118" spans="1:19" ht="12.5" x14ac:dyDescent="0.25">
      <c r="A2118" s="1" t="s">
        <v>16</v>
      </c>
      <c r="B2118" s="1" t="s">
        <v>16</v>
      </c>
      <c r="C2118" s="1" t="s">
        <v>16</v>
      </c>
      <c r="D2118" s="1" t="s">
        <v>16</v>
      </c>
      <c r="E2118" s="1">
        <v>2107</v>
      </c>
      <c r="F2118" s="1" t="s">
        <v>7035</v>
      </c>
      <c r="G2118" s="1" t="s">
        <v>7036</v>
      </c>
      <c r="H2118" s="1" t="s">
        <v>16</v>
      </c>
      <c r="I2118" s="1" t="s">
        <v>20</v>
      </c>
      <c r="J2118" s="1" t="s">
        <v>7037</v>
      </c>
      <c r="K2118" s="1" t="b">
        <v>0</v>
      </c>
      <c r="L2118" s="1" t="s">
        <v>22</v>
      </c>
      <c r="M2118" s="1" t="s">
        <v>16</v>
      </c>
      <c r="N2118" s="1" t="s">
        <v>16</v>
      </c>
      <c r="O2118" s="1" t="s">
        <v>16</v>
      </c>
      <c r="P2118" s="1" t="s">
        <v>16</v>
      </c>
    </row>
    <row r="2119" spans="1:19" ht="12.5" x14ac:dyDescent="0.25">
      <c r="A2119" s="1" t="s">
        <v>16</v>
      </c>
      <c r="B2119" s="1" t="s">
        <v>16</v>
      </c>
      <c r="C2119" s="1" t="s">
        <v>16</v>
      </c>
      <c r="D2119" s="1" t="s">
        <v>16</v>
      </c>
      <c r="E2119" s="1">
        <v>2108</v>
      </c>
      <c r="F2119" s="1" t="s">
        <v>7038</v>
      </c>
      <c r="G2119" s="1" t="s">
        <v>7039</v>
      </c>
      <c r="H2119" s="1" t="s">
        <v>16</v>
      </c>
      <c r="I2119" s="1" t="s">
        <v>20</v>
      </c>
      <c r="J2119" s="1" t="s">
        <v>7040</v>
      </c>
      <c r="K2119" s="1" t="b">
        <v>0</v>
      </c>
      <c r="L2119" s="1" t="s">
        <v>22</v>
      </c>
      <c r="M2119" s="1" t="s">
        <v>16</v>
      </c>
      <c r="N2119" s="1" t="s">
        <v>16</v>
      </c>
      <c r="O2119" s="1" t="s">
        <v>16</v>
      </c>
      <c r="P2119" s="1" t="s">
        <v>16</v>
      </c>
    </row>
    <row r="2120" spans="1:19" ht="12.5" x14ac:dyDescent="0.25">
      <c r="A2120" s="1" t="s">
        <v>16</v>
      </c>
      <c r="B2120" s="1" t="s">
        <v>16</v>
      </c>
      <c r="C2120" s="1" t="s">
        <v>16</v>
      </c>
      <c r="D2120" s="1" t="s">
        <v>16</v>
      </c>
      <c r="E2120" s="1">
        <v>2109</v>
      </c>
      <c r="F2120" s="1" t="s">
        <v>7041</v>
      </c>
      <c r="G2120" s="1" t="s">
        <v>7042</v>
      </c>
      <c r="H2120" s="1" t="s">
        <v>16</v>
      </c>
      <c r="I2120" s="1" t="s">
        <v>20</v>
      </c>
      <c r="J2120" s="1" t="s">
        <v>7043</v>
      </c>
      <c r="K2120" s="1" t="b">
        <v>0</v>
      </c>
      <c r="L2120" s="1" t="s">
        <v>22</v>
      </c>
      <c r="M2120" s="1" t="s">
        <v>16</v>
      </c>
      <c r="N2120" s="1" t="s">
        <v>16</v>
      </c>
      <c r="O2120" s="1" t="s">
        <v>16</v>
      </c>
      <c r="P2120" s="1" t="s">
        <v>16</v>
      </c>
    </row>
    <row r="2121" spans="1:19" ht="12.5" x14ac:dyDescent="0.25">
      <c r="A2121" s="1" t="s">
        <v>16</v>
      </c>
      <c r="B2121" s="1" t="s">
        <v>16</v>
      </c>
      <c r="C2121" s="1" t="s">
        <v>16</v>
      </c>
      <c r="D2121" s="1" t="s">
        <v>16</v>
      </c>
      <c r="E2121" s="1">
        <v>2110</v>
      </c>
      <c r="F2121" s="1" t="s">
        <v>7044</v>
      </c>
      <c r="G2121" s="1" t="s">
        <v>7045</v>
      </c>
      <c r="H2121" s="1" t="s">
        <v>16</v>
      </c>
      <c r="I2121" s="1" t="s">
        <v>20</v>
      </c>
      <c r="J2121" s="1" t="s">
        <v>7046</v>
      </c>
      <c r="K2121" s="1" t="b">
        <v>0</v>
      </c>
      <c r="L2121" s="1" t="s">
        <v>22</v>
      </c>
      <c r="M2121" s="1" t="s">
        <v>16</v>
      </c>
      <c r="N2121" s="1" t="s">
        <v>16</v>
      </c>
      <c r="O2121" s="1" t="s">
        <v>16</v>
      </c>
      <c r="P2121" s="1" t="s">
        <v>16</v>
      </c>
    </row>
    <row r="2122" spans="1:19" ht="12.5" x14ac:dyDescent="0.25">
      <c r="A2122" s="1" t="s">
        <v>16</v>
      </c>
      <c r="B2122" s="1" t="s">
        <v>16</v>
      </c>
      <c r="C2122" s="1" t="s">
        <v>16</v>
      </c>
      <c r="D2122" s="1" t="s">
        <v>16</v>
      </c>
      <c r="E2122" s="1">
        <v>2111</v>
      </c>
      <c r="F2122" s="1" t="s">
        <v>7047</v>
      </c>
      <c r="G2122" s="1" t="s">
        <v>7048</v>
      </c>
      <c r="H2122" s="1" t="s">
        <v>16</v>
      </c>
      <c r="I2122" s="1" t="s">
        <v>20</v>
      </c>
      <c r="J2122" s="1" t="s">
        <v>7049</v>
      </c>
      <c r="K2122" s="1" t="b">
        <v>0</v>
      </c>
      <c r="L2122" s="1" t="s">
        <v>22</v>
      </c>
      <c r="M2122" s="1" t="s">
        <v>16</v>
      </c>
      <c r="N2122" s="1" t="s">
        <v>16</v>
      </c>
      <c r="O2122" s="1" t="s">
        <v>16</v>
      </c>
      <c r="P2122" s="1" t="s">
        <v>16</v>
      </c>
    </row>
    <row r="2123" spans="1:19" ht="12.5" x14ac:dyDescent="0.25">
      <c r="A2123" s="1" t="s">
        <v>16</v>
      </c>
      <c r="B2123" s="1" t="s">
        <v>16</v>
      </c>
      <c r="C2123" s="1" t="s">
        <v>16</v>
      </c>
      <c r="D2123" s="1" t="s">
        <v>16</v>
      </c>
      <c r="E2123" s="1">
        <v>2112</v>
      </c>
      <c r="F2123" s="1" t="s">
        <v>7050</v>
      </c>
      <c r="G2123" s="1" t="s">
        <v>7051</v>
      </c>
      <c r="H2123" s="1" t="s">
        <v>16</v>
      </c>
      <c r="I2123" s="1" t="s">
        <v>20</v>
      </c>
      <c r="J2123" s="1" t="s">
        <v>7052</v>
      </c>
      <c r="K2123" s="1" t="b">
        <v>0</v>
      </c>
      <c r="L2123" s="1" t="s">
        <v>22</v>
      </c>
      <c r="M2123" s="1" t="s">
        <v>16</v>
      </c>
      <c r="N2123" s="1" t="s">
        <v>16</v>
      </c>
      <c r="O2123" s="1" t="s">
        <v>16</v>
      </c>
      <c r="P2123" s="1" t="s">
        <v>16</v>
      </c>
    </row>
    <row r="2124" spans="1:19" ht="12.5" x14ac:dyDescent="0.25">
      <c r="A2124" s="1" t="s">
        <v>16</v>
      </c>
      <c r="B2124" s="1" t="s">
        <v>16</v>
      </c>
      <c r="C2124" s="1" t="s">
        <v>16</v>
      </c>
      <c r="D2124" s="1" t="s">
        <v>16</v>
      </c>
      <c r="E2124" s="1">
        <v>2113</v>
      </c>
      <c r="F2124" s="1" t="s">
        <v>7053</v>
      </c>
      <c r="G2124" s="1" t="s">
        <v>7054</v>
      </c>
      <c r="H2124" s="1" t="s">
        <v>16</v>
      </c>
      <c r="I2124" s="1" t="s">
        <v>20</v>
      </c>
      <c r="J2124" s="1" t="s">
        <v>7055</v>
      </c>
      <c r="K2124" s="1" t="b">
        <v>0</v>
      </c>
      <c r="L2124" s="1" t="s">
        <v>22</v>
      </c>
      <c r="M2124" s="1" t="s">
        <v>16</v>
      </c>
      <c r="N2124" s="1" t="s">
        <v>16</v>
      </c>
      <c r="O2124" s="1" t="s">
        <v>16</v>
      </c>
      <c r="P2124" s="1" t="s">
        <v>16</v>
      </c>
    </row>
    <row r="2125" spans="1:19" ht="12.5" x14ac:dyDescent="0.25">
      <c r="A2125" s="1" t="s">
        <v>16</v>
      </c>
      <c r="B2125" s="1" t="s">
        <v>16</v>
      </c>
      <c r="C2125" s="1" t="s">
        <v>16</v>
      </c>
      <c r="D2125" s="1" t="s">
        <v>16</v>
      </c>
      <c r="E2125" s="1">
        <v>2114</v>
      </c>
      <c r="F2125" s="1" t="s">
        <v>7056</v>
      </c>
      <c r="G2125" s="1" t="s">
        <v>7057</v>
      </c>
      <c r="H2125" s="1" t="s">
        <v>16</v>
      </c>
      <c r="I2125" s="1" t="s">
        <v>20</v>
      </c>
      <c r="J2125" s="1" t="s">
        <v>7058</v>
      </c>
      <c r="K2125" s="1" t="b">
        <v>0</v>
      </c>
      <c r="L2125" s="1" t="s">
        <v>22</v>
      </c>
      <c r="M2125" s="1" t="s">
        <v>16</v>
      </c>
      <c r="N2125" s="1" t="s">
        <v>16</v>
      </c>
      <c r="O2125" s="1" t="s">
        <v>16</v>
      </c>
      <c r="P2125" s="1" t="s">
        <v>16</v>
      </c>
    </row>
    <row r="2126" spans="1:19" ht="12.5" x14ac:dyDescent="0.25">
      <c r="A2126" s="1" t="s">
        <v>16</v>
      </c>
      <c r="B2126" s="1" t="s">
        <v>16</v>
      </c>
      <c r="C2126" s="1" t="s">
        <v>16</v>
      </c>
      <c r="D2126" s="1" t="s">
        <v>16</v>
      </c>
      <c r="E2126" s="1">
        <v>2115</v>
      </c>
      <c r="F2126" s="1" t="s">
        <v>7059</v>
      </c>
      <c r="G2126" s="1" t="s">
        <v>7060</v>
      </c>
      <c r="H2126" s="1" t="s">
        <v>16</v>
      </c>
      <c r="I2126" s="1" t="s">
        <v>20</v>
      </c>
      <c r="J2126" s="1" t="s">
        <v>7061</v>
      </c>
      <c r="K2126" s="1" t="b">
        <v>0</v>
      </c>
      <c r="L2126" s="1" t="s">
        <v>22</v>
      </c>
      <c r="M2126" s="1" t="s">
        <v>16</v>
      </c>
      <c r="N2126" s="1" t="s">
        <v>16</v>
      </c>
      <c r="O2126" s="1" t="s">
        <v>16</v>
      </c>
      <c r="P2126" s="1" t="s">
        <v>16</v>
      </c>
    </row>
    <row r="2127" spans="1:19" ht="12.5" x14ac:dyDescent="0.25">
      <c r="A2127" s="1" t="s">
        <v>16</v>
      </c>
      <c r="B2127" s="1" t="s">
        <v>16</v>
      </c>
      <c r="C2127" s="1" t="s">
        <v>16</v>
      </c>
      <c r="D2127" s="1" t="s">
        <v>16</v>
      </c>
      <c r="E2127" s="1">
        <v>2116</v>
      </c>
      <c r="F2127" s="1" t="s">
        <v>7062</v>
      </c>
      <c r="G2127" s="1" t="s">
        <v>7063</v>
      </c>
      <c r="H2127" s="1" t="s">
        <v>16</v>
      </c>
      <c r="I2127" s="1" t="s">
        <v>20</v>
      </c>
      <c r="J2127" s="1" t="s">
        <v>7064</v>
      </c>
      <c r="K2127" s="1" t="b">
        <v>0</v>
      </c>
      <c r="L2127" s="1" t="s">
        <v>22</v>
      </c>
      <c r="M2127" s="1" t="s">
        <v>16</v>
      </c>
      <c r="N2127" s="1" t="s">
        <v>16</v>
      </c>
      <c r="O2127" s="1" t="s">
        <v>16</v>
      </c>
      <c r="P2127" s="1" t="s">
        <v>16</v>
      </c>
    </row>
    <row r="2128" spans="1:19" ht="12.5" x14ac:dyDescent="0.25">
      <c r="A2128" s="1" t="s">
        <v>16</v>
      </c>
      <c r="B2128" s="1" t="s">
        <v>16</v>
      </c>
      <c r="C2128" s="1" t="s">
        <v>16</v>
      </c>
      <c r="D2128" s="1" t="s">
        <v>16</v>
      </c>
      <c r="E2128" s="1">
        <v>2117</v>
      </c>
      <c r="F2128" s="1" t="s">
        <v>7065</v>
      </c>
      <c r="G2128" s="1" t="s">
        <v>1169</v>
      </c>
      <c r="H2128" s="1" t="s">
        <v>16</v>
      </c>
      <c r="I2128" s="1" t="s">
        <v>20</v>
      </c>
      <c r="J2128" s="1" t="s">
        <v>7066</v>
      </c>
      <c r="K2128" s="1" t="b">
        <v>0</v>
      </c>
      <c r="L2128" s="1" t="s">
        <v>22</v>
      </c>
      <c r="M2128" s="1" t="s">
        <v>16</v>
      </c>
      <c r="N2128" s="1" t="s">
        <v>16</v>
      </c>
      <c r="O2128" s="1" t="s">
        <v>16</v>
      </c>
      <c r="P2128" s="1" t="s">
        <v>16</v>
      </c>
    </row>
    <row r="2129" spans="1:19" ht="12.5" x14ac:dyDescent="0.25">
      <c r="A2129" s="1" t="s">
        <v>16</v>
      </c>
      <c r="B2129" s="1" t="s">
        <v>16</v>
      </c>
      <c r="C2129" s="1" t="s">
        <v>16</v>
      </c>
      <c r="D2129" s="1" t="s">
        <v>16</v>
      </c>
      <c r="E2129" s="1">
        <v>2118</v>
      </c>
      <c r="F2129" s="1" t="s">
        <v>7067</v>
      </c>
      <c r="G2129" s="1" t="s">
        <v>7068</v>
      </c>
      <c r="H2129" s="1" t="s">
        <v>16</v>
      </c>
      <c r="I2129" s="1" t="s">
        <v>20</v>
      </c>
      <c r="J2129" s="1" t="s">
        <v>7069</v>
      </c>
      <c r="K2129" s="1" t="b">
        <v>0</v>
      </c>
      <c r="L2129" s="1" t="s">
        <v>22</v>
      </c>
      <c r="M2129" s="1" t="s">
        <v>16</v>
      </c>
      <c r="N2129" s="1" t="s">
        <v>16</v>
      </c>
      <c r="O2129" s="1" t="s">
        <v>16</v>
      </c>
      <c r="P2129" s="1" t="s">
        <v>16</v>
      </c>
    </row>
    <row r="2130" spans="1:19" ht="12.5" x14ac:dyDescent="0.25">
      <c r="A2130" s="1">
        <v>2220</v>
      </c>
      <c r="B2130" s="1" t="s">
        <v>7070</v>
      </c>
      <c r="C2130" s="1" t="s">
        <v>38</v>
      </c>
      <c r="D2130" s="1" t="s">
        <v>5701</v>
      </c>
      <c r="E2130" s="1">
        <v>2119</v>
      </c>
      <c r="F2130" s="1" t="s">
        <v>7072</v>
      </c>
      <c r="G2130" s="1" t="s">
        <v>7071</v>
      </c>
      <c r="H2130" s="1" t="s">
        <v>7071</v>
      </c>
      <c r="I2130" s="1" t="s">
        <v>29</v>
      </c>
      <c r="J2130" s="1" t="s">
        <v>7073</v>
      </c>
      <c r="K2130" s="1" t="b">
        <v>1</v>
      </c>
      <c r="L2130" s="1" t="s">
        <v>31</v>
      </c>
      <c r="M2130" s="1">
        <v>2022</v>
      </c>
      <c r="N2130" s="1" t="s">
        <v>45</v>
      </c>
      <c r="O2130" s="1" t="s">
        <v>9956</v>
      </c>
      <c r="P2130" s="1" t="s">
        <v>16</v>
      </c>
      <c r="Q2130" s="1">
        <v>100</v>
      </c>
      <c r="R2130" s="1">
        <v>16000</v>
      </c>
      <c r="S2130" s="1">
        <v>16000</v>
      </c>
    </row>
    <row r="2131" spans="1:19" ht="12.5" x14ac:dyDescent="0.25">
      <c r="A2131" s="1">
        <v>2220</v>
      </c>
      <c r="B2131" s="1" t="s">
        <v>7070</v>
      </c>
      <c r="C2131" s="1" t="s">
        <v>38</v>
      </c>
      <c r="D2131" s="1" t="s">
        <v>5701</v>
      </c>
      <c r="E2131" s="1">
        <v>2120</v>
      </c>
      <c r="F2131" s="1" t="s">
        <v>7074</v>
      </c>
      <c r="G2131" s="1" t="s">
        <v>7075</v>
      </c>
      <c r="H2131" s="1" t="s">
        <v>16</v>
      </c>
      <c r="I2131" s="1" t="s">
        <v>29</v>
      </c>
      <c r="J2131" s="1" t="s">
        <v>7076</v>
      </c>
      <c r="K2131" s="1" t="b">
        <v>1</v>
      </c>
      <c r="L2131" s="1" t="s">
        <v>31</v>
      </c>
      <c r="M2131" s="1">
        <v>2022</v>
      </c>
      <c r="N2131" s="1" t="s">
        <v>45</v>
      </c>
      <c r="O2131" s="1" t="s">
        <v>9956</v>
      </c>
      <c r="P2131" s="1" t="s">
        <v>16</v>
      </c>
      <c r="Q2131" s="1">
        <v>100</v>
      </c>
      <c r="R2131" s="1">
        <v>16500</v>
      </c>
      <c r="S2131" s="1">
        <v>16500</v>
      </c>
    </row>
    <row r="2132" spans="1:19" ht="12.5" x14ac:dyDescent="0.25">
      <c r="A2132" s="1" t="s">
        <v>16</v>
      </c>
      <c r="B2132" s="1" t="s">
        <v>16</v>
      </c>
      <c r="C2132" s="1" t="s">
        <v>16</v>
      </c>
      <c r="D2132" s="1" t="s">
        <v>16</v>
      </c>
      <c r="E2132" s="1">
        <v>2121</v>
      </c>
      <c r="F2132" s="1" t="s">
        <v>7077</v>
      </c>
      <c r="G2132" s="1" t="s">
        <v>7078</v>
      </c>
      <c r="H2132" s="1" t="s">
        <v>16</v>
      </c>
      <c r="I2132" s="1" t="s">
        <v>20</v>
      </c>
      <c r="J2132" s="1" t="s">
        <v>7079</v>
      </c>
      <c r="K2132" s="1" t="b">
        <v>0</v>
      </c>
      <c r="L2132" s="1" t="s">
        <v>22</v>
      </c>
      <c r="M2132" s="1" t="s">
        <v>16</v>
      </c>
      <c r="N2132" s="1" t="s">
        <v>16</v>
      </c>
      <c r="O2132" s="1" t="s">
        <v>16</v>
      </c>
      <c r="P2132" s="1" t="s">
        <v>16</v>
      </c>
    </row>
    <row r="2133" spans="1:19" ht="12.5" x14ac:dyDescent="0.25">
      <c r="A2133" s="1" t="s">
        <v>16</v>
      </c>
      <c r="B2133" s="1" t="s">
        <v>16</v>
      </c>
      <c r="C2133" s="1" t="s">
        <v>16</v>
      </c>
      <c r="D2133" s="1" t="s">
        <v>16</v>
      </c>
      <c r="E2133" s="1">
        <v>2122</v>
      </c>
      <c r="F2133" s="1" t="s">
        <v>7080</v>
      </c>
      <c r="G2133" s="1" t="s">
        <v>7081</v>
      </c>
      <c r="H2133" s="1" t="s">
        <v>16</v>
      </c>
      <c r="I2133" s="1" t="s">
        <v>20</v>
      </c>
      <c r="J2133" s="1" t="s">
        <v>7082</v>
      </c>
      <c r="K2133" s="1" t="b">
        <v>0</v>
      </c>
      <c r="L2133" s="1" t="s">
        <v>22</v>
      </c>
      <c r="M2133" s="1" t="s">
        <v>16</v>
      </c>
      <c r="N2133" s="1" t="s">
        <v>16</v>
      </c>
      <c r="O2133" s="1" t="s">
        <v>16</v>
      </c>
      <c r="P2133" s="1" t="s">
        <v>16</v>
      </c>
    </row>
    <row r="2134" spans="1:19" ht="12.5" x14ac:dyDescent="0.25">
      <c r="A2134" s="1" t="s">
        <v>16</v>
      </c>
      <c r="B2134" s="1" t="s">
        <v>16</v>
      </c>
      <c r="C2134" s="1" t="s">
        <v>16</v>
      </c>
      <c r="D2134" s="1" t="s">
        <v>16</v>
      </c>
      <c r="E2134" s="1">
        <v>2123</v>
      </c>
      <c r="F2134" s="1" t="s">
        <v>7083</v>
      </c>
      <c r="G2134" s="1" t="s">
        <v>7084</v>
      </c>
      <c r="H2134" s="1" t="s">
        <v>16</v>
      </c>
      <c r="I2134" s="1" t="s">
        <v>20</v>
      </c>
      <c r="J2134" s="1" t="s">
        <v>7085</v>
      </c>
      <c r="K2134" s="1" t="b">
        <v>0</v>
      </c>
      <c r="L2134" s="1" t="s">
        <v>22</v>
      </c>
      <c r="M2134" s="1" t="s">
        <v>16</v>
      </c>
      <c r="N2134" s="1" t="s">
        <v>16</v>
      </c>
      <c r="O2134" s="1" t="s">
        <v>16</v>
      </c>
      <c r="P2134" s="1" t="s">
        <v>16</v>
      </c>
    </row>
    <row r="2135" spans="1:19" ht="12.5" x14ac:dyDescent="0.25">
      <c r="A2135" s="1" t="s">
        <v>16</v>
      </c>
      <c r="B2135" s="1" t="s">
        <v>16</v>
      </c>
      <c r="C2135" s="1" t="s">
        <v>16</v>
      </c>
      <c r="D2135" s="1" t="s">
        <v>16</v>
      </c>
      <c r="E2135" s="1">
        <v>2124</v>
      </c>
      <c r="F2135" s="1" t="s">
        <v>7086</v>
      </c>
      <c r="G2135" s="1" t="s">
        <v>7087</v>
      </c>
      <c r="H2135" s="1" t="s">
        <v>16</v>
      </c>
      <c r="I2135" s="1" t="s">
        <v>20</v>
      </c>
      <c r="J2135" s="1" t="s">
        <v>7088</v>
      </c>
      <c r="K2135" s="1" t="b">
        <v>0</v>
      </c>
      <c r="L2135" s="1" t="s">
        <v>22</v>
      </c>
      <c r="M2135" s="1" t="s">
        <v>16</v>
      </c>
      <c r="N2135" s="1" t="s">
        <v>16</v>
      </c>
      <c r="O2135" s="1" t="s">
        <v>16</v>
      </c>
      <c r="P2135" s="1" t="s">
        <v>16</v>
      </c>
    </row>
    <row r="2136" spans="1:19" ht="12.5" x14ac:dyDescent="0.25">
      <c r="A2136" s="1">
        <v>1408</v>
      </c>
      <c r="B2136" s="1" t="s">
        <v>4667</v>
      </c>
      <c r="C2136" s="1" t="s">
        <v>35</v>
      </c>
      <c r="D2136" s="1" t="s">
        <v>152</v>
      </c>
      <c r="E2136" s="1">
        <v>2125</v>
      </c>
      <c r="F2136" s="1" t="s">
        <v>7089</v>
      </c>
      <c r="G2136" s="1" t="s">
        <v>7090</v>
      </c>
      <c r="H2136" s="1" t="s">
        <v>7091</v>
      </c>
      <c r="I2136" s="1" t="s">
        <v>29</v>
      </c>
      <c r="J2136" s="1" t="s">
        <v>7092</v>
      </c>
      <c r="K2136" s="1" t="b">
        <v>1</v>
      </c>
      <c r="L2136" s="1" t="s">
        <v>31</v>
      </c>
      <c r="M2136" s="1">
        <v>2022</v>
      </c>
      <c r="N2136" s="1" t="s">
        <v>45</v>
      </c>
      <c r="O2136" s="1" t="s">
        <v>9940</v>
      </c>
      <c r="P2136" s="1" t="s">
        <v>16</v>
      </c>
      <c r="Q2136" s="1">
        <v>100</v>
      </c>
      <c r="R2136" s="1">
        <v>6500</v>
      </c>
      <c r="S2136" s="1">
        <v>6500</v>
      </c>
    </row>
    <row r="2137" spans="1:19" ht="12.5" x14ac:dyDescent="0.25">
      <c r="A2137" s="1">
        <v>1223</v>
      </c>
      <c r="B2137" s="1" t="s">
        <v>4107</v>
      </c>
      <c r="C2137" s="1" t="s">
        <v>35</v>
      </c>
      <c r="D2137" s="1" t="s">
        <v>152</v>
      </c>
      <c r="E2137" s="1">
        <v>2126</v>
      </c>
      <c r="F2137" s="1" t="s">
        <v>7093</v>
      </c>
      <c r="G2137" s="1" t="s">
        <v>3762</v>
      </c>
      <c r="H2137" s="1" t="s">
        <v>16</v>
      </c>
      <c r="I2137" s="1" t="s">
        <v>29</v>
      </c>
      <c r="J2137" s="1" t="s">
        <v>7094</v>
      </c>
      <c r="K2137" s="1" t="b">
        <v>0</v>
      </c>
      <c r="L2137" s="1" t="s">
        <v>22</v>
      </c>
      <c r="M2137" s="1" t="s">
        <v>16</v>
      </c>
      <c r="N2137" s="1" t="s">
        <v>16</v>
      </c>
      <c r="O2137" s="1" t="s">
        <v>9940</v>
      </c>
      <c r="P2137" s="1" t="s">
        <v>16</v>
      </c>
      <c r="Q2137" s="1">
        <v>100</v>
      </c>
      <c r="R2137" s="1">
        <v>75000</v>
      </c>
      <c r="S2137" s="1">
        <v>75000</v>
      </c>
    </row>
    <row r="2138" spans="1:19" ht="12.5" x14ac:dyDescent="0.25">
      <c r="A2138" s="1">
        <v>1152</v>
      </c>
      <c r="B2138" s="1" t="s">
        <v>3960</v>
      </c>
      <c r="C2138" s="1" t="s">
        <v>35</v>
      </c>
      <c r="D2138" s="1" t="s">
        <v>152</v>
      </c>
      <c r="E2138" s="1">
        <v>2127</v>
      </c>
      <c r="F2138" s="1" t="s">
        <v>7095</v>
      </c>
      <c r="G2138" s="1" t="s">
        <v>3762</v>
      </c>
      <c r="H2138" s="1" t="s">
        <v>16</v>
      </c>
      <c r="I2138" s="1" t="s">
        <v>29</v>
      </c>
      <c r="J2138" s="1" t="s">
        <v>7096</v>
      </c>
      <c r="K2138" s="1" t="b">
        <v>0</v>
      </c>
      <c r="L2138" s="1" t="s">
        <v>22</v>
      </c>
      <c r="M2138" s="1">
        <v>2022</v>
      </c>
      <c r="N2138" s="1" t="s">
        <v>16</v>
      </c>
      <c r="O2138" s="1" t="s">
        <v>9940</v>
      </c>
      <c r="P2138" s="1" t="s">
        <v>16</v>
      </c>
      <c r="Q2138" s="1">
        <v>100</v>
      </c>
      <c r="R2138" s="1">
        <v>75000</v>
      </c>
      <c r="S2138" s="1">
        <v>75000</v>
      </c>
    </row>
    <row r="2139" spans="1:19" ht="12.5" x14ac:dyDescent="0.25">
      <c r="A2139" s="1">
        <v>1145</v>
      </c>
      <c r="B2139" s="1" t="s">
        <v>3934</v>
      </c>
      <c r="C2139" s="1" t="s">
        <v>35</v>
      </c>
      <c r="D2139" s="1" t="s">
        <v>152</v>
      </c>
      <c r="E2139" s="1">
        <v>2128</v>
      </c>
      <c r="F2139" s="1" t="s">
        <v>7097</v>
      </c>
      <c r="G2139" s="1" t="s">
        <v>7098</v>
      </c>
      <c r="H2139" s="1" t="s">
        <v>16</v>
      </c>
      <c r="I2139" s="1" t="s">
        <v>29</v>
      </c>
      <c r="J2139" s="1" t="s">
        <v>7099</v>
      </c>
      <c r="K2139" s="1" t="b">
        <v>0</v>
      </c>
      <c r="L2139" s="1" t="s">
        <v>22</v>
      </c>
      <c r="M2139" s="1">
        <v>2022</v>
      </c>
      <c r="N2139" s="1" t="s">
        <v>16</v>
      </c>
      <c r="O2139" s="1" t="s">
        <v>9940</v>
      </c>
      <c r="P2139" s="1" t="s">
        <v>16</v>
      </c>
      <c r="Q2139" s="1">
        <v>100</v>
      </c>
      <c r="R2139" s="1">
        <v>75000</v>
      </c>
      <c r="S2139" s="1">
        <v>75000</v>
      </c>
    </row>
    <row r="2140" spans="1:19" ht="12.5" x14ac:dyDescent="0.25">
      <c r="A2140" s="1">
        <v>1038</v>
      </c>
      <c r="B2140" s="1" t="s">
        <v>3637</v>
      </c>
      <c r="C2140" s="1" t="s">
        <v>35</v>
      </c>
      <c r="D2140" s="1" t="s">
        <v>152</v>
      </c>
      <c r="E2140" s="1">
        <v>2129</v>
      </c>
      <c r="F2140" s="1" t="s">
        <v>7100</v>
      </c>
      <c r="G2140" s="1" t="s">
        <v>7101</v>
      </c>
      <c r="H2140" s="1" t="s">
        <v>16</v>
      </c>
      <c r="I2140" s="1" t="s">
        <v>29</v>
      </c>
      <c r="J2140" s="1" t="s">
        <v>7102</v>
      </c>
      <c r="K2140" s="1" t="b">
        <v>0</v>
      </c>
      <c r="L2140" s="1" t="s">
        <v>22</v>
      </c>
      <c r="M2140" s="1">
        <v>2022</v>
      </c>
      <c r="N2140" s="1" t="s">
        <v>16</v>
      </c>
      <c r="O2140" s="1" t="s">
        <v>9940</v>
      </c>
      <c r="P2140" s="1" t="s">
        <v>16</v>
      </c>
      <c r="Q2140" s="1">
        <v>100</v>
      </c>
      <c r="R2140" s="1">
        <v>150000</v>
      </c>
      <c r="S2140" s="1">
        <v>150000</v>
      </c>
    </row>
    <row r="2141" spans="1:19" ht="12.5" x14ac:dyDescent="0.25">
      <c r="A2141" s="1">
        <v>991</v>
      </c>
      <c r="B2141" s="1" t="s">
        <v>3466</v>
      </c>
      <c r="C2141" s="1" t="s">
        <v>35</v>
      </c>
      <c r="D2141" s="1" t="s">
        <v>152</v>
      </c>
      <c r="E2141" s="1">
        <v>2130</v>
      </c>
      <c r="F2141" s="1" t="s">
        <v>7103</v>
      </c>
      <c r="G2141" s="1" t="s">
        <v>3762</v>
      </c>
      <c r="H2141" s="1" t="s">
        <v>16</v>
      </c>
      <c r="I2141" s="1" t="s">
        <v>29</v>
      </c>
      <c r="J2141" s="1" t="s">
        <v>7104</v>
      </c>
      <c r="K2141" s="1" t="b">
        <v>0</v>
      </c>
      <c r="L2141" s="1" t="s">
        <v>22</v>
      </c>
      <c r="M2141" s="1">
        <v>2022</v>
      </c>
      <c r="N2141" s="1" t="s">
        <v>16</v>
      </c>
      <c r="O2141" s="1" t="s">
        <v>9940</v>
      </c>
      <c r="P2141" s="1" t="s">
        <v>16</v>
      </c>
      <c r="Q2141" s="1">
        <v>100</v>
      </c>
      <c r="R2141" s="1">
        <v>75000</v>
      </c>
      <c r="S2141" s="1">
        <v>75000</v>
      </c>
    </row>
    <row r="2142" spans="1:19" ht="12.5" x14ac:dyDescent="0.25">
      <c r="A2142" s="1">
        <v>971</v>
      </c>
      <c r="B2142" s="1" t="s">
        <v>3419</v>
      </c>
      <c r="C2142" s="1" t="s">
        <v>35</v>
      </c>
      <c r="D2142" s="1" t="s">
        <v>152</v>
      </c>
      <c r="E2142" s="1">
        <v>2131</v>
      </c>
      <c r="F2142" s="1" t="s">
        <v>7105</v>
      </c>
      <c r="G2142" s="1" t="s">
        <v>7098</v>
      </c>
      <c r="H2142" s="1" t="s">
        <v>16</v>
      </c>
      <c r="I2142" s="1" t="s">
        <v>29</v>
      </c>
      <c r="J2142" s="1" t="s">
        <v>7106</v>
      </c>
      <c r="K2142" s="1" t="b">
        <v>0</v>
      </c>
      <c r="L2142" s="1" t="s">
        <v>22</v>
      </c>
      <c r="M2142" s="1">
        <v>2022</v>
      </c>
      <c r="N2142" s="1" t="s">
        <v>16</v>
      </c>
      <c r="O2142" s="1" t="s">
        <v>9940</v>
      </c>
      <c r="P2142" s="1" t="s">
        <v>16</v>
      </c>
      <c r="Q2142" s="1">
        <v>100</v>
      </c>
      <c r="R2142" s="1">
        <v>75000</v>
      </c>
      <c r="S2142" s="1">
        <v>75000</v>
      </c>
    </row>
    <row r="2143" spans="1:19" ht="12.5" x14ac:dyDescent="0.25">
      <c r="A2143" s="1">
        <v>968</v>
      </c>
      <c r="B2143" s="1" t="s">
        <v>3401</v>
      </c>
      <c r="C2143" s="1" t="s">
        <v>35</v>
      </c>
      <c r="D2143" s="1" t="s">
        <v>152</v>
      </c>
      <c r="E2143" s="1">
        <v>2132</v>
      </c>
      <c r="F2143" s="1" t="s">
        <v>7107</v>
      </c>
      <c r="G2143" s="1" t="s">
        <v>7108</v>
      </c>
      <c r="H2143" s="1" t="s">
        <v>16</v>
      </c>
      <c r="I2143" s="1" t="s">
        <v>29</v>
      </c>
      <c r="J2143" s="1" t="s">
        <v>7109</v>
      </c>
      <c r="K2143" s="1" t="b">
        <v>0</v>
      </c>
      <c r="L2143" s="1" t="s">
        <v>22</v>
      </c>
      <c r="M2143" s="1">
        <v>2022</v>
      </c>
      <c r="N2143" s="1" t="s">
        <v>16</v>
      </c>
      <c r="O2143" s="1" t="s">
        <v>9940</v>
      </c>
      <c r="P2143" s="1" t="s">
        <v>16</v>
      </c>
      <c r="Q2143" s="1">
        <v>100</v>
      </c>
      <c r="R2143" s="1">
        <v>75000</v>
      </c>
      <c r="S2143" s="1">
        <v>75000</v>
      </c>
    </row>
    <row r="2144" spans="1:19" ht="12.5" x14ac:dyDescent="0.25">
      <c r="A2144" s="1">
        <v>2222</v>
      </c>
      <c r="B2144" s="1" t="s">
        <v>7110</v>
      </c>
      <c r="C2144" s="1" t="s">
        <v>35</v>
      </c>
      <c r="D2144" s="1" t="s">
        <v>5669</v>
      </c>
      <c r="E2144" s="1">
        <v>2133</v>
      </c>
      <c r="F2144" s="1" t="s">
        <v>7111</v>
      </c>
      <c r="G2144" s="1" t="s">
        <v>7112</v>
      </c>
      <c r="H2144" s="1" t="s">
        <v>7113</v>
      </c>
      <c r="I2144" s="1" t="s">
        <v>29</v>
      </c>
      <c r="J2144" s="1" t="s">
        <v>7114</v>
      </c>
      <c r="K2144" s="1" t="b">
        <v>1</v>
      </c>
      <c r="L2144" s="1" t="s">
        <v>31</v>
      </c>
      <c r="M2144" s="1">
        <v>2023</v>
      </c>
      <c r="N2144" s="1" t="s">
        <v>23</v>
      </c>
      <c r="O2144" s="1" t="s">
        <v>9956</v>
      </c>
      <c r="P2144" s="1" t="s">
        <v>10077</v>
      </c>
      <c r="Q2144" s="1">
        <v>100</v>
      </c>
      <c r="R2144" s="1">
        <v>38000</v>
      </c>
      <c r="S2144" s="1">
        <v>38000</v>
      </c>
    </row>
    <row r="2145" spans="1:19" ht="12.5" x14ac:dyDescent="0.25">
      <c r="A2145" s="1">
        <v>958</v>
      </c>
      <c r="B2145" s="1" t="s">
        <v>3381</v>
      </c>
      <c r="C2145" s="1" t="s">
        <v>35</v>
      </c>
      <c r="D2145" s="1" t="s">
        <v>152</v>
      </c>
      <c r="E2145" s="1">
        <v>2134</v>
      </c>
      <c r="F2145" s="1" t="s">
        <v>7115</v>
      </c>
      <c r="G2145" s="1" t="s">
        <v>7116</v>
      </c>
      <c r="H2145" s="1" t="s">
        <v>16</v>
      </c>
      <c r="I2145" s="1" t="s">
        <v>29</v>
      </c>
      <c r="J2145" s="1" t="s">
        <v>7117</v>
      </c>
      <c r="K2145" s="1" t="b">
        <v>0</v>
      </c>
      <c r="L2145" s="1" t="s">
        <v>22</v>
      </c>
      <c r="M2145" s="1" t="s">
        <v>16</v>
      </c>
      <c r="N2145" s="1" t="s">
        <v>16</v>
      </c>
      <c r="O2145" s="1" t="s">
        <v>9940</v>
      </c>
      <c r="P2145" s="1" t="s">
        <v>16</v>
      </c>
      <c r="Q2145" s="1">
        <v>100</v>
      </c>
      <c r="R2145" s="1">
        <v>75000</v>
      </c>
      <c r="S2145" s="1">
        <v>75000</v>
      </c>
    </row>
    <row r="2146" spans="1:19" ht="12.5" x14ac:dyDescent="0.25">
      <c r="A2146" s="1">
        <v>2223</v>
      </c>
      <c r="B2146" s="1" t="s">
        <v>7118</v>
      </c>
      <c r="C2146" s="1" t="s">
        <v>6808</v>
      </c>
      <c r="D2146" s="1" t="s">
        <v>6809</v>
      </c>
      <c r="E2146" s="1">
        <v>2135</v>
      </c>
      <c r="F2146" s="1" t="s">
        <v>7119</v>
      </c>
      <c r="G2146" s="1" t="s">
        <v>7120</v>
      </c>
      <c r="H2146" s="1" t="s">
        <v>7121</v>
      </c>
      <c r="I2146" s="1" t="s">
        <v>29</v>
      </c>
      <c r="J2146" s="1" t="s">
        <v>16</v>
      </c>
      <c r="K2146" s="1" t="b">
        <v>0</v>
      </c>
      <c r="L2146" s="1" t="s">
        <v>22</v>
      </c>
      <c r="M2146" s="1">
        <v>2022</v>
      </c>
      <c r="N2146" s="1" t="s">
        <v>45</v>
      </c>
      <c r="O2146" s="1" t="s">
        <v>9935</v>
      </c>
      <c r="P2146" s="1" t="s">
        <v>10078</v>
      </c>
      <c r="Q2146" s="1">
        <v>100</v>
      </c>
      <c r="R2146" s="1">
        <v>500000</v>
      </c>
      <c r="S2146" s="1">
        <v>500000</v>
      </c>
    </row>
    <row r="2147" spans="1:19" ht="12.5" x14ac:dyDescent="0.25">
      <c r="A2147" s="1">
        <v>1504</v>
      </c>
      <c r="B2147" s="1" t="s">
        <v>7124</v>
      </c>
      <c r="C2147" s="1" t="s">
        <v>35</v>
      </c>
      <c r="D2147" s="1" t="s">
        <v>152</v>
      </c>
      <c r="E2147" s="1">
        <v>2136</v>
      </c>
      <c r="F2147" s="1" t="s">
        <v>7122</v>
      </c>
      <c r="G2147" s="1" t="s">
        <v>7123</v>
      </c>
      <c r="H2147" s="1" t="s">
        <v>16</v>
      </c>
      <c r="I2147" s="1" t="s">
        <v>29</v>
      </c>
      <c r="J2147" s="1" t="s">
        <v>16</v>
      </c>
      <c r="K2147" s="1" t="b">
        <v>0</v>
      </c>
      <c r="L2147" s="1" t="s">
        <v>22</v>
      </c>
      <c r="M2147" s="1" t="s">
        <v>16</v>
      </c>
      <c r="N2147" s="1" t="s">
        <v>16</v>
      </c>
      <c r="O2147" s="1" t="s">
        <v>16</v>
      </c>
      <c r="P2147" s="1" t="s">
        <v>16</v>
      </c>
      <c r="Q2147" s="1">
        <v>100</v>
      </c>
    </row>
    <row r="2148" spans="1:19" ht="12.5" x14ac:dyDescent="0.25">
      <c r="A2148" s="1">
        <v>2517</v>
      </c>
      <c r="B2148" s="1" t="s">
        <v>7126</v>
      </c>
      <c r="C2148" s="1" t="s">
        <v>38</v>
      </c>
      <c r="D2148" s="1" t="s">
        <v>39</v>
      </c>
      <c r="E2148" s="1">
        <v>2136</v>
      </c>
      <c r="F2148" s="1" t="s">
        <v>7122</v>
      </c>
      <c r="G2148" s="1" t="s">
        <v>7123</v>
      </c>
      <c r="H2148" s="1" t="s">
        <v>16</v>
      </c>
      <c r="I2148" s="1" t="s">
        <v>29</v>
      </c>
      <c r="J2148" s="1" t="s">
        <v>16</v>
      </c>
      <c r="K2148" s="1" t="b">
        <v>0</v>
      </c>
      <c r="L2148" s="1" t="s">
        <v>22</v>
      </c>
      <c r="M2148" s="1" t="s">
        <v>16</v>
      </c>
      <c r="N2148" s="1" t="s">
        <v>16</v>
      </c>
      <c r="O2148" s="1" t="s">
        <v>16</v>
      </c>
      <c r="P2148" s="1" t="s">
        <v>16</v>
      </c>
      <c r="Q2148" s="1">
        <v>0</v>
      </c>
    </row>
    <row r="2149" spans="1:19" ht="12.5" x14ac:dyDescent="0.25">
      <c r="A2149" s="1">
        <v>2166</v>
      </c>
      <c r="B2149" s="1" t="s">
        <v>7127</v>
      </c>
      <c r="C2149" s="1" t="s">
        <v>38</v>
      </c>
      <c r="D2149" s="1" t="s">
        <v>5701</v>
      </c>
      <c r="E2149" s="1">
        <v>2137</v>
      </c>
      <c r="F2149" s="1" t="s">
        <v>7128</v>
      </c>
      <c r="G2149" s="1" t="s">
        <v>7129</v>
      </c>
      <c r="H2149" s="1" t="s">
        <v>16</v>
      </c>
      <c r="I2149" s="1" t="s">
        <v>20</v>
      </c>
      <c r="J2149" s="1" t="s">
        <v>7130</v>
      </c>
      <c r="K2149" s="1" t="b">
        <v>0</v>
      </c>
      <c r="L2149" s="1" t="s">
        <v>22</v>
      </c>
      <c r="M2149" s="1" t="s">
        <v>16</v>
      </c>
      <c r="N2149" s="1" t="s">
        <v>16</v>
      </c>
      <c r="O2149" s="1" t="s">
        <v>16</v>
      </c>
      <c r="P2149" s="1" t="s">
        <v>16</v>
      </c>
      <c r="Q2149" s="1">
        <v>100</v>
      </c>
    </row>
    <row r="2150" spans="1:19" ht="12.5" x14ac:dyDescent="0.25">
      <c r="A2150" s="1" t="s">
        <v>16</v>
      </c>
      <c r="B2150" s="1" t="s">
        <v>16</v>
      </c>
      <c r="C2150" s="1" t="s">
        <v>16</v>
      </c>
      <c r="D2150" s="1" t="s">
        <v>16</v>
      </c>
      <c r="E2150" s="1">
        <v>2138</v>
      </c>
      <c r="F2150" s="1" t="s">
        <v>7131</v>
      </c>
      <c r="G2150" s="1" t="s">
        <v>7132</v>
      </c>
      <c r="H2150" s="1" t="s">
        <v>16</v>
      </c>
      <c r="I2150" s="1" t="s">
        <v>20</v>
      </c>
      <c r="J2150" s="1" t="s">
        <v>7133</v>
      </c>
      <c r="K2150" s="1" t="b">
        <v>0</v>
      </c>
      <c r="L2150" s="1" t="s">
        <v>22</v>
      </c>
      <c r="M2150" s="1" t="s">
        <v>16</v>
      </c>
      <c r="N2150" s="1" t="s">
        <v>16</v>
      </c>
      <c r="O2150" s="1" t="s">
        <v>16</v>
      </c>
      <c r="P2150" s="1" t="s">
        <v>16</v>
      </c>
    </row>
    <row r="2151" spans="1:19" ht="12.5" x14ac:dyDescent="0.25">
      <c r="A2151" s="1" t="s">
        <v>16</v>
      </c>
      <c r="B2151" s="1" t="s">
        <v>16</v>
      </c>
      <c r="C2151" s="1" t="s">
        <v>16</v>
      </c>
      <c r="D2151" s="1" t="s">
        <v>16</v>
      </c>
      <c r="E2151" s="1">
        <v>2139</v>
      </c>
      <c r="F2151" s="1" t="s">
        <v>7134</v>
      </c>
      <c r="G2151" s="1" t="s">
        <v>7135</v>
      </c>
      <c r="H2151" s="1" t="s">
        <v>16</v>
      </c>
      <c r="I2151" s="1" t="s">
        <v>20</v>
      </c>
      <c r="J2151" s="1" t="s">
        <v>7136</v>
      </c>
      <c r="K2151" s="1" t="b">
        <v>0</v>
      </c>
      <c r="L2151" s="1" t="s">
        <v>22</v>
      </c>
      <c r="M2151" s="1" t="s">
        <v>16</v>
      </c>
      <c r="N2151" s="1" t="s">
        <v>16</v>
      </c>
      <c r="O2151" s="1" t="s">
        <v>16</v>
      </c>
      <c r="P2151" s="1" t="s">
        <v>16</v>
      </c>
    </row>
    <row r="2152" spans="1:19" ht="12.5" x14ac:dyDescent="0.25">
      <c r="A2152" s="1">
        <v>2224</v>
      </c>
      <c r="B2152" s="1" t="s">
        <v>7137</v>
      </c>
      <c r="C2152" s="1" t="s">
        <v>38</v>
      </c>
      <c r="D2152" s="1" t="s">
        <v>5701</v>
      </c>
      <c r="E2152" s="1">
        <v>2140</v>
      </c>
      <c r="F2152" s="1" t="s">
        <v>7138</v>
      </c>
      <c r="G2152" s="1" t="s">
        <v>7139</v>
      </c>
      <c r="H2152" s="1" t="s">
        <v>16</v>
      </c>
      <c r="I2152" s="1" t="s">
        <v>29</v>
      </c>
      <c r="J2152" s="1" t="s">
        <v>7140</v>
      </c>
      <c r="K2152" s="1" t="b">
        <v>0</v>
      </c>
      <c r="L2152" s="1" t="s">
        <v>22</v>
      </c>
      <c r="M2152" s="1">
        <v>2022</v>
      </c>
      <c r="N2152" s="1" t="s">
        <v>23</v>
      </c>
      <c r="O2152" s="1" t="s">
        <v>9940</v>
      </c>
      <c r="P2152" s="1" t="s">
        <v>16</v>
      </c>
      <c r="Q2152" s="1">
        <v>100</v>
      </c>
      <c r="R2152" s="1">
        <v>80000</v>
      </c>
      <c r="S2152" s="1">
        <v>80000</v>
      </c>
    </row>
    <row r="2153" spans="1:19" ht="12.5" x14ac:dyDescent="0.25">
      <c r="A2153" s="1">
        <v>2230</v>
      </c>
      <c r="B2153" s="1" t="s">
        <v>7141</v>
      </c>
      <c r="C2153" s="1" t="s">
        <v>38</v>
      </c>
      <c r="D2153" s="1" t="s">
        <v>5701</v>
      </c>
      <c r="E2153" s="1">
        <v>2141</v>
      </c>
      <c r="F2153" s="1" t="s">
        <v>7142</v>
      </c>
      <c r="G2153" s="1" t="s">
        <v>7143</v>
      </c>
      <c r="H2153" s="1" t="s">
        <v>16</v>
      </c>
      <c r="I2153" s="1" t="s">
        <v>29</v>
      </c>
      <c r="J2153" s="1" t="s">
        <v>7144</v>
      </c>
      <c r="K2153" s="1" t="b">
        <v>0</v>
      </c>
      <c r="L2153" s="1" t="s">
        <v>22</v>
      </c>
      <c r="M2153" s="1" t="s">
        <v>16</v>
      </c>
      <c r="N2153" s="1" t="s">
        <v>16</v>
      </c>
      <c r="O2153" s="1" t="s">
        <v>9940</v>
      </c>
      <c r="P2153" s="1" t="s">
        <v>16</v>
      </c>
      <c r="Q2153" s="1">
        <v>100</v>
      </c>
      <c r="R2153" s="1">
        <v>80000</v>
      </c>
      <c r="S2153" s="1">
        <v>80000</v>
      </c>
    </row>
    <row r="2154" spans="1:19" ht="12.5" x14ac:dyDescent="0.25">
      <c r="A2154" s="1" t="s">
        <v>16</v>
      </c>
      <c r="B2154" s="1" t="s">
        <v>16</v>
      </c>
      <c r="C2154" s="1" t="s">
        <v>16</v>
      </c>
      <c r="D2154" s="1" t="s">
        <v>16</v>
      </c>
      <c r="E2154" s="1">
        <v>2142</v>
      </c>
      <c r="F2154" s="1" t="s">
        <v>7145</v>
      </c>
      <c r="G2154" s="1" t="s">
        <v>7146</v>
      </c>
      <c r="H2154" s="1" t="s">
        <v>16</v>
      </c>
      <c r="I2154" s="1" t="s">
        <v>20</v>
      </c>
      <c r="J2154" s="1" t="s">
        <v>7147</v>
      </c>
      <c r="K2154" s="1" t="b">
        <v>0</v>
      </c>
      <c r="L2154" s="1" t="s">
        <v>22</v>
      </c>
      <c r="M2154" s="1" t="s">
        <v>16</v>
      </c>
      <c r="N2154" s="1" t="s">
        <v>16</v>
      </c>
      <c r="O2154" s="1" t="s">
        <v>16</v>
      </c>
      <c r="P2154" s="1" t="s">
        <v>16</v>
      </c>
    </row>
    <row r="2155" spans="1:19" ht="12.5" x14ac:dyDescent="0.25">
      <c r="A2155" s="1">
        <v>708</v>
      </c>
      <c r="B2155" s="1" t="s">
        <v>2905</v>
      </c>
      <c r="C2155" s="1" t="s">
        <v>35</v>
      </c>
      <c r="D2155" s="1" t="s">
        <v>36</v>
      </c>
      <c r="E2155" s="1">
        <v>2143</v>
      </c>
      <c r="F2155" s="1" t="s">
        <v>7148</v>
      </c>
      <c r="G2155" s="1" t="s">
        <v>7149</v>
      </c>
      <c r="H2155" s="1" t="s">
        <v>16</v>
      </c>
      <c r="I2155" s="1" t="s">
        <v>29</v>
      </c>
      <c r="J2155" s="1" t="s">
        <v>7150</v>
      </c>
      <c r="K2155" s="1" t="b">
        <v>0</v>
      </c>
      <c r="L2155" s="1" t="s">
        <v>22</v>
      </c>
      <c r="M2155" s="1">
        <v>2022</v>
      </c>
      <c r="N2155" s="1" t="s">
        <v>32</v>
      </c>
      <c r="O2155" s="1" t="s">
        <v>9935</v>
      </c>
      <c r="P2155" s="1" t="s">
        <v>16</v>
      </c>
      <c r="Q2155" s="1">
        <v>100</v>
      </c>
      <c r="R2155" s="1">
        <v>19000</v>
      </c>
      <c r="S2155" s="1">
        <v>19000</v>
      </c>
    </row>
    <row r="2156" spans="1:19" ht="12.5" x14ac:dyDescent="0.25">
      <c r="A2156" s="1">
        <v>2226</v>
      </c>
      <c r="B2156" s="1" t="s">
        <v>7151</v>
      </c>
      <c r="C2156" s="1" t="s">
        <v>38</v>
      </c>
      <c r="D2156" s="1" t="s">
        <v>5701</v>
      </c>
      <c r="E2156" s="1">
        <v>2144</v>
      </c>
      <c r="F2156" s="1" t="s">
        <v>7152</v>
      </c>
      <c r="G2156" s="1" t="s">
        <v>7153</v>
      </c>
      <c r="H2156" s="1" t="s">
        <v>7154</v>
      </c>
      <c r="I2156" s="1" t="s">
        <v>29</v>
      </c>
      <c r="J2156" s="1" t="s">
        <v>16</v>
      </c>
      <c r="K2156" s="1" t="b">
        <v>0</v>
      </c>
      <c r="L2156" s="1" t="s">
        <v>22</v>
      </c>
      <c r="M2156" s="1" t="s">
        <v>16</v>
      </c>
      <c r="N2156" s="1" t="s">
        <v>16</v>
      </c>
      <c r="O2156" s="1" t="s">
        <v>16</v>
      </c>
      <c r="P2156" s="1" t="s">
        <v>16</v>
      </c>
      <c r="Q2156" s="1">
        <v>100</v>
      </c>
    </row>
    <row r="2157" spans="1:19" ht="12.5" x14ac:dyDescent="0.25">
      <c r="A2157" s="1" t="s">
        <v>16</v>
      </c>
      <c r="B2157" s="1" t="s">
        <v>16</v>
      </c>
      <c r="C2157" s="1" t="s">
        <v>16</v>
      </c>
      <c r="D2157" s="1" t="s">
        <v>16</v>
      </c>
      <c r="E2157" s="1">
        <v>2145</v>
      </c>
      <c r="F2157" s="1" t="s">
        <v>7155</v>
      </c>
      <c r="G2157" s="1" t="s">
        <v>7156</v>
      </c>
      <c r="H2157" s="1" t="s">
        <v>16</v>
      </c>
      <c r="I2157" s="1" t="s">
        <v>20</v>
      </c>
      <c r="J2157" s="1" t="s">
        <v>7157</v>
      </c>
      <c r="K2157" s="1" t="b">
        <v>0</v>
      </c>
      <c r="L2157" s="1" t="s">
        <v>22</v>
      </c>
      <c r="M2157" s="1" t="s">
        <v>16</v>
      </c>
      <c r="N2157" s="1" t="s">
        <v>16</v>
      </c>
      <c r="O2157" s="1" t="s">
        <v>16</v>
      </c>
      <c r="P2157" s="1" t="s">
        <v>16</v>
      </c>
    </row>
    <row r="2158" spans="1:19" ht="12.5" x14ac:dyDescent="0.25">
      <c r="A2158" s="1">
        <v>2251</v>
      </c>
      <c r="B2158" s="1" t="s">
        <v>7158</v>
      </c>
      <c r="C2158" s="1" t="s">
        <v>38</v>
      </c>
      <c r="D2158" s="1" t="s">
        <v>39</v>
      </c>
      <c r="E2158" s="1">
        <v>2146</v>
      </c>
      <c r="F2158" s="1" t="s">
        <v>7159</v>
      </c>
      <c r="G2158" s="1" t="s">
        <v>7160</v>
      </c>
      <c r="H2158" s="1" t="s">
        <v>7161</v>
      </c>
      <c r="I2158" s="1" t="s">
        <v>29</v>
      </c>
      <c r="J2158" s="1" t="s">
        <v>7162</v>
      </c>
      <c r="K2158" s="1" t="b">
        <v>1</v>
      </c>
      <c r="L2158" s="1" t="s">
        <v>31</v>
      </c>
      <c r="M2158" s="1">
        <v>2022</v>
      </c>
      <c r="N2158" s="1" t="s">
        <v>45</v>
      </c>
      <c r="O2158" s="1" t="s">
        <v>9956</v>
      </c>
      <c r="P2158" s="1" t="s">
        <v>16</v>
      </c>
      <c r="Q2158" s="1">
        <v>100</v>
      </c>
      <c r="R2158" s="1">
        <v>15000</v>
      </c>
      <c r="S2158" s="1">
        <v>15000</v>
      </c>
    </row>
    <row r="2159" spans="1:19" ht="12.5" x14ac:dyDescent="0.25">
      <c r="A2159" s="1">
        <v>2251</v>
      </c>
      <c r="B2159" s="1" t="s">
        <v>7158</v>
      </c>
      <c r="C2159" s="1" t="s">
        <v>38</v>
      </c>
      <c r="D2159" s="1" t="s">
        <v>39</v>
      </c>
      <c r="E2159" s="1">
        <v>2147</v>
      </c>
      <c r="F2159" s="1" t="s">
        <v>7163</v>
      </c>
      <c r="G2159" s="1" t="s">
        <v>7164</v>
      </c>
      <c r="H2159" s="1" t="s">
        <v>7165</v>
      </c>
      <c r="I2159" s="1" t="s">
        <v>29</v>
      </c>
      <c r="J2159" s="1" t="s">
        <v>7166</v>
      </c>
      <c r="K2159" s="1" t="b">
        <v>1</v>
      </c>
      <c r="L2159" s="1" t="s">
        <v>31</v>
      </c>
      <c r="M2159" s="1">
        <v>2022</v>
      </c>
      <c r="N2159" s="1" t="s">
        <v>45</v>
      </c>
      <c r="O2159" s="1" t="s">
        <v>9956</v>
      </c>
      <c r="P2159" s="1" t="s">
        <v>16</v>
      </c>
      <c r="Q2159" s="1">
        <v>100</v>
      </c>
      <c r="R2159" s="1">
        <v>22000</v>
      </c>
      <c r="S2159" s="1">
        <v>22000</v>
      </c>
    </row>
    <row r="2160" spans="1:19" ht="12.5" x14ac:dyDescent="0.25">
      <c r="A2160" s="1" t="s">
        <v>16</v>
      </c>
      <c r="B2160" s="1" t="s">
        <v>16</v>
      </c>
      <c r="C2160" s="1" t="s">
        <v>16</v>
      </c>
      <c r="D2160" s="1" t="s">
        <v>16</v>
      </c>
      <c r="E2160" s="1">
        <v>2148</v>
      </c>
      <c r="F2160" s="1" t="s">
        <v>7167</v>
      </c>
      <c r="G2160" s="1" t="s">
        <v>7168</v>
      </c>
      <c r="H2160" s="1" t="s">
        <v>16</v>
      </c>
      <c r="I2160" s="1" t="s">
        <v>20</v>
      </c>
      <c r="J2160" s="1" t="s">
        <v>7169</v>
      </c>
      <c r="K2160" s="1" t="b">
        <v>0</v>
      </c>
      <c r="L2160" s="1" t="s">
        <v>22</v>
      </c>
      <c r="M2160" s="1" t="s">
        <v>16</v>
      </c>
      <c r="N2160" s="1" t="s">
        <v>16</v>
      </c>
      <c r="O2160" s="1" t="s">
        <v>16</v>
      </c>
      <c r="P2160" s="1" t="s">
        <v>16</v>
      </c>
    </row>
    <row r="2161" spans="1:19" ht="12.5" x14ac:dyDescent="0.25">
      <c r="A2161" s="1">
        <v>716</v>
      </c>
      <c r="B2161" s="1" t="s">
        <v>2943</v>
      </c>
      <c r="C2161" s="1" t="s">
        <v>35</v>
      </c>
      <c r="D2161" s="1" t="s">
        <v>36</v>
      </c>
      <c r="E2161" s="1">
        <v>2149</v>
      </c>
      <c r="F2161" s="1" t="s">
        <v>7170</v>
      </c>
      <c r="G2161" s="1" t="s">
        <v>7171</v>
      </c>
      <c r="H2161" s="1" t="s">
        <v>7172</v>
      </c>
      <c r="I2161" s="1" t="s">
        <v>29</v>
      </c>
      <c r="J2161" s="1" t="s">
        <v>7173</v>
      </c>
      <c r="K2161" s="1" t="b">
        <v>1</v>
      </c>
      <c r="L2161" s="1" t="s">
        <v>31</v>
      </c>
      <c r="M2161" s="1">
        <v>2022</v>
      </c>
      <c r="N2161" s="1" t="s">
        <v>45</v>
      </c>
      <c r="O2161" s="1" t="s">
        <v>9942</v>
      </c>
      <c r="P2161" s="1" t="s">
        <v>16</v>
      </c>
      <c r="Q2161" s="1">
        <v>0</v>
      </c>
      <c r="R2161" s="1">
        <v>199000</v>
      </c>
      <c r="S2161" s="1">
        <v>0</v>
      </c>
    </row>
    <row r="2162" spans="1:19" ht="12.5" x14ac:dyDescent="0.25">
      <c r="A2162" s="1">
        <v>716</v>
      </c>
      <c r="B2162" s="1" t="s">
        <v>2943</v>
      </c>
      <c r="C2162" s="1" t="s">
        <v>35</v>
      </c>
      <c r="D2162" s="1" t="s">
        <v>36</v>
      </c>
      <c r="E2162" s="1">
        <v>2149</v>
      </c>
      <c r="F2162" s="1" t="s">
        <v>7170</v>
      </c>
      <c r="G2162" s="1" t="s">
        <v>7171</v>
      </c>
      <c r="H2162" s="1" t="s">
        <v>7172</v>
      </c>
      <c r="I2162" s="1" t="s">
        <v>29</v>
      </c>
      <c r="J2162" s="1" t="s">
        <v>7173</v>
      </c>
      <c r="K2162" s="1" t="b">
        <v>1</v>
      </c>
      <c r="L2162" s="1" t="s">
        <v>31</v>
      </c>
      <c r="M2162" s="1">
        <v>2022</v>
      </c>
      <c r="N2162" s="1" t="s">
        <v>45</v>
      </c>
      <c r="O2162" s="1" t="s">
        <v>9935</v>
      </c>
      <c r="P2162" s="1" t="s">
        <v>16</v>
      </c>
      <c r="Q2162" s="1">
        <v>0</v>
      </c>
      <c r="R2162" s="1">
        <v>43000</v>
      </c>
      <c r="S2162" s="1">
        <v>0</v>
      </c>
    </row>
    <row r="2163" spans="1:19" ht="12.5" x14ac:dyDescent="0.25">
      <c r="A2163" s="1">
        <v>1542</v>
      </c>
      <c r="B2163" s="1" t="s">
        <v>7174</v>
      </c>
      <c r="C2163" s="1" t="s">
        <v>35</v>
      </c>
      <c r="D2163" s="1" t="s">
        <v>152</v>
      </c>
      <c r="E2163" s="1">
        <v>2149</v>
      </c>
      <c r="F2163" s="1" t="s">
        <v>7170</v>
      </c>
      <c r="G2163" s="1" t="s">
        <v>7171</v>
      </c>
      <c r="H2163" s="1" t="s">
        <v>7172</v>
      </c>
      <c r="I2163" s="1" t="s">
        <v>29</v>
      </c>
      <c r="J2163" s="1" t="s">
        <v>7173</v>
      </c>
      <c r="K2163" s="1" t="b">
        <v>1</v>
      </c>
      <c r="L2163" s="1" t="s">
        <v>31</v>
      </c>
      <c r="M2163" s="1">
        <v>2022</v>
      </c>
      <c r="N2163" s="1" t="s">
        <v>45</v>
      </c>
      <c r="O2163" s="1" t="s">
        <v>9942</v>
      </c>
      <c r="P2163" s="1" t="s">
        <v>16</v>
      </c>
      <c r="Q2163" s="1">
        <v>100</v>
      </c>
      <c r="R2163" s="1">
        <v>199000</v>
      </c>
      <c r="S2163" s="1">
        <v>199000</v>
      </c>
    </row>
    <row r="2164" spans="1:19" ht="12.5" x14ac:dyDescent="0.25">
      <c r="A2164" s="1">
        <v>1542</v>
      </c>
      <c r="B2164" s="1" t="s">
        <v>7174</v>
      </c>
      <c r="C2164" s="1" t="s">
        <v>35</v>
      </c>
      <c r="D2164" s="1" t="s">
        <v>152</v>
      </c>
      <c r="E2164" s="1">
        <v>2149</v>
      </c>
      <c r="F2164" s="1" t="s">
        <v>7170</v>
      </c>
      <c r="G2164" s="1" t="s">
        <v>7171</v>
      </c>
      <c r="H2164" s="1" t="s">
        <v>7172</v>
      </c>
      <c r="I2164" s="1" t="s">
        <v>29</v>
      </c>
      <c r="J2164" s="1" t="s">
        <v>7173</v>
      </c>
      <c r="K2164" s="1" t="b">
        <v>1</v>
      </c>
      <c r="L2164" s="1" t="s">
        <v>31</v>
      </c>
      <c r="M2164" s="1">
        <v>2022</v>
      </c>
      <c r="N2164" s="1" t="s">
        <v>45</v>
      </c>
      <c r="O2164" s="1" t="s">
        <v>9935</v>
      </c>
      <c r="P2164" s="1" t="s">
        <v>16</v>
      </c>
      <c r="Q2164" s="1">
        <v>100</v>
      </c>
      <c r="R2164" s="1">
        <v>43000</v>
      </c>
      <c r="S2164" s="1">
        <v>43000</v>
      </c>
    </row>
    <row r="2165" spans="1:19" ht="12.5" x14ac:dyDescent="0.25">
      <c r="A2165" s="1">
        <v>2218</v>
      </c>
      <c r="B2165" s="1" t="s">
        <v>7175</v>
      </c>
      <c r="C2165" s="1" t="s">
        <v>35</v>
      </c>
      <c r="D2165" s="1" t="s">
        <v>5409</v>
      </c>
      <c r="E2165" s="1">
        <v>2150</v>
      </c>
      <c r="F2165" s="1" t="s">
        <v>7176</v>
      </c>
      <c r="G2165" s="1" t="s">
        <v>7177</v>
      </c>
      <c r="H2165" s="1" t="s">
        <v>16</v>
      </c>
      <c r="I2165" s="1" t="s">
        <v>29</v>
      </c>
      <c r="J2165" s="1" t="s">
        <v>7178</v>
      </c>
      <c r="K2165" s="1" t="b">
        <v>1</v>
      </c>
      <c r="L2165" s="1" t="s">
        <v>31</v>
      </c>
      <c r="M2165" s="1">
        <v>2022</v>
      </c>
      <c r="N2165" s="1" t="s">
        <v>45</v>
      </c>
      <c r="O2165" s="1" t="s">
        <v>9935</v>
      </c>
      <c r="P2165" s="1" t="s">
        <v>16</v>
      </c>
      <c r="Q2165" s="1">
        <v>100</v>
      </c>
      <c r="R2165" s="1">
        <v>100000</v>
      </c>
      <c r="S2165" s="1">
        <v>100000</v>
      </c>
    </row>
    <row r="2166" spans="1:19" ht="12.5" x14ac:dyDescent="0.25">
      <c r="A2166" s="1">
        <v>2252</v>
      </c>
      <c r="B2166" s="1" t="s">
        <v>7179</v>
      </c>
      <c r="C2166" s="1" t="s">
        <v>38</v>
      </c>
      <c r="D2166" s="1" t="s">
        <v>5701</v>
      </c>
      <c r="E2166" s="1">
        <v>2151</v>
      </c>
      <c r="F2166" s="1" t="s">
        <v>7180</v>
      </c>
      <c r="G2166" s="1" t="s">
        <v>7181</v>
      </c>
      <c r="H2166" s="1" t="s">
        <v>7181</v>
      </c>
      <c r="I2166" s="1" t="s">
        <v>29</v>
      </c>
      <c r="J2166" s="1" t="s">
        <v>7182</v>
      </c>
      <c r="K2166" s="1" t="b">
        <v>1</v>
      </c>
      <c r="L2166" s="1" t="s">
        <v>31</v>
      </c>
      <c r="M2166" s="1">
        <v>2022</v>
      </c>
      <c r="N2166" s="1" t="s">
        <v>45</v>
      </c>
      <c r="O2166" s="1" t="s">
        <v>9956</v>
      </c>
      <c r="P2166" s="1" t="s">
        <v>16</v>
      </c>
      <c r="Q2166" s="1">
        <v>100</v>
      </c>
      <c r="R2166" s="1">
        <v>30000</v>
      </c>
      <c r="S2166" s="1">
        <v>30000</v>
      </c>
    </row>
    <row r="2167" spans="1:19" ht="12.5" x14ac:dyDescent="0.25">
      <c r="A2167" s="1">
        <v>2252</v>
      </c>
      <c r="B2167" s="1" t="s">
        <v>7179</v>
      </c>
      <c r="C2167" s="1" t="s">
        <v>38</v>
      </c>
      <c r="D2167" s="1" t="s">
        <v>5701</v>
      </c>
      <c r="E2167" s="1">
        <v>2152</v>
      </c>
      <c r="F2167" s="1" t="s">
        <v>7183</v>
      </c>
      <c r="G2167" s="1" t="s">
        <v>7184</v>
      </c>
      <c r="H2167" s="1" t="s">
        <v>7185</v>
      </c>
      <c r="I2167" s="1" t="s">
        <v>29</v>
      </c>
      <c r="J2167" s="1" t="s">
        <v>7186</v>
      </c>
      <c r="K2167" s="1" t="b">
        <v>1</v>
      </c>
      <c r="L2167" s="1" t="s">
        <v>31</v>
      </c>
      <c r="M2167" s="1">
        <v>2022</v>
      </c>
      <c r="N2167" s="1" t="s">
        <v>45</v>
      </c>
      <c r="O2167" s="1" t="s">
        <v>9956</v>
      </c>
      <c r="P2167" s="1" t="s">
        <v>16</v>
      </c>
      <c r="Q2167" s="1">
        <v>100</v>
      </c>
      <c r="R2167" s="1">
        <v>30000</v>
      </c>
      <c r="S2167" s="1">
        <v>30000</v>
      </c>
    </row>
    <row r="2168" spans="1:19" ht="12.5" x14ac:dyDescent="0.25">
      <c r="A2168" s="1">
        <v>2254</v>
      </c>
      <c r="B2168" s="1" t="s">
        <v>7187</v>
      </c>
      <c r="C2168" s="1" t="s">
        <v>38</v>
      </c>
      <c r="D2168" s="1" t="s">
        <v>5701</v>
      </c>
      <c r="E2168" s="1">
        <v>2153</v>
      </c>
      <c r="F2168" s="1" t="s">
        <v>7188</v>
      </c>
      <c r="G2168" s="1" t="s">
        <v>7189</v>
      </c>
      <c r="H2168" s="1" t="s">
        <v>7189</v>
      </c>
      <c r="I2168" s="1" t="s">
        <v>29</v>
      </c>
      <c r="J2168" s="1" t="s">
        <v>7190</v>
      </c>
      <c r="K2168" s="1" t="b">
        <v>0</v>
      </c>
      <c r="L2168" s="1" t="s">
        <v>22</v>
      </c>
      <c r="M2168" s="1">
        <v>2022</v>
      </c>
      <c r="N2168" s="1" t="s">
        <v>45</v>
      </c>
      <c r="O2168" s="1" t="s">
        <v>9956</v>
      </c>
      <c r="P2168" s="1" t="s">
        <v>16</v>
      </c>
      <c r="Q2168" s="1">
        <v>100</v>
      </c>
      <c r="R2168" s="1">
        <v>30000</v>
      </c>
      <c r="S2168" s="1">
        <v>30000</v>
      </c>
    </row>
    <row r="2169" spans="1:19" ht="12.5" x14ac:dyDescent="0.25">
      <c r="A2169" s="1">
        <v>2255</v>
      </c>
      <c r="B2169" s="1" t="s">
        <v>7191</v>
      </c>
      <c r="C2169" s="1" t="s">
        <v>38</v>
      </c>
      <c r="D2169" s="1" t="s">
        <v>5701</v>
      </c>
      <c r="E2169" s="1">
        <v>2154</v>
      </c>
      <c r="F2169" s="1" t="s">
        <v>7192</v>
      </c>
      <c r="G2169" s="1" t="s">
        <v>7193</v>
      </c>
      <c r="H2169" s="1" t="s">
        <v>7193</v>
      </c>
      <c r="I2169" s="1" t="s">
        <v>29</v>
      </c>
      <c r="J2169" s="1" t="s">
        <v>7194</v>
      </c>
      <c r="K2169" s="1" t="b">
        <v>0</v>
      </c>
      <c r="L2169" s="1" t="s">
        <v>22</v>
      </c>
      <c r="M2169" s="1">
        <v>2022</v>
      </c>
      <c r="N2169" s="1" t="s">
        <v>45</v>
      </c>
      <c r="O2169" s="1" t="s">
        <v>9956</v>
      </c>
      <c r="P2169" s="1" t="s">
        <v>16</v>
      </c>
      <c r="Q2169" s="1">
        <v>100</v>
      </c>
      <c r="R2169" s="1">
        <v>30000</v>
      </c>
      <c r="S2169" s="1">
        <v>30000</v>
      </c>
    </row>
    <row r="2170" spans="1:19" ht="12.5" x14ac:dyDescent="0.25">
      <c r="A2170" s="1">
        <v>2256</v>
      </c>
      <c r="B2170" s="1" t="s">
        <v>7195</v>
      </c>
      <c r="C2170" s="1" t="s">
        <v>38</v>
      </c>
      <c r="D2170" s="1" t="s">
        <v>5701</v>
      </c>
      <c r="E2170" s="1">
        <v>2155</v>
      </c>
      <c r="F2170" s="1" t="s">
        <v>7196</v>
      </c>
      <c r="G2170" s="1" t="s">
        <v>7197</v>
      </c>
      <c r="H2170" s="1" t="s">
        <v>7197</v>
      </c>
      <c r="I2170" s="1" t="s">
        <v>29</v>
      </c>
      <c r="J2170" s="1" t="s">
        <v>7198</v>
      </c>
      <c r="K2170" s="1" t="b">
        <v>1</v>
      </c>
      <c r="L2170" s="1" t="s">
        <v>31</v>
      </c>
      <c r="M2170" s="1">
        <v>2022</v>
      </c>
      <c r="N2170" s="1" t="s">
        <v>23</v>
      </c>
      <c r="O2170" s="1" t="s">
        <v>9956</v>
      </c>
      <c r="P2170" s="1" t="s">
        <v>16</v>
      </c>
      <c r="Q2170" s="1">
        <v>100</v>
      </c>
      <c r="R2170" s="1">
        <v>50000</v>
      </c>
      <c r="S2170" s="1">
        <v>50000</v>
      </c>
    </row>
    <row r="2171" spans="1:19" ht="12.5" x14ac:dyDescent="0.25">
      <c r="A2171" s="1">
        <v>2257</v>
      </c>
      <c r="B2171" s="1" t="s">
        <v>7199</v>
      </c>
      <c r="C2171" s="1" t="s">
        <v>38</v>
      </c>
      <c r="D2171" s="1" t="s">
        <v>5701</v>
      </c>
      <c r="E2171" s="1">
        <v>2156</v>
      </c>
      <c r="F2171" s="1" t="s">
        <v>7200</v>
      </c>
      <c r="G2171" s="1" t="s">
        <v>7201</v>
      </c>
      <c r="H2171" s="1" t="s">
        <v>7201</v>
      </c>
      <c r="I2171" s="1" t="s">
        <v>29</v>
      </c>
      <c r="J2171" s="1" t="s">
        <v>7202</v>
      </c>
      <c r="K2171" s="1" t="b">
        <v>0</v>
      </c>
      <c r="L2171" s="1" t="s">
        <v>22</v>
      </c>
      <c r="M2171" s="1">
        <v>2022</v>
      </c>
      <c r="N2171" s="1" t="s">
        <v>45</v>
      </c>
      <c r="O2171" s="1" t="s">
        <v>9956</v>
      </c>
      <c r="P2171" s="1" t="s">
        <v>16</v>
      </c>
      <c r="Q2171" s="1">
        <v>100</v>
      </c>
      <c r="R2171" s="1">
        <v>30000</v>
      </c>
      <c r="S2171" s="1">
        <v>30000</v>
      </c>
    </row>
    <row r="2172" spans="1:19" ht="12.5" x14ac:dyDescent="0.25">
      <c r="A2172" s="1">
        <v>2258</v>
      </c>
      <c r="B2172" s="1" t="s">
        <v>7203</v>
      </c>
      <c r="C2172" s="1" t="s">
        <v>38</v>
      </c>
      <c r="D2172" s="1" t="s">
        <v>39</v>
      </c>
      <c r="E2172" s="1">
        <v>2157</v>
      </c>
      <c r="F2172" s="1" t="s">
        <v>7204</v>
      </c>
      <c r="G2172" s="1" t="s">
        <v>7205</v>
      </c>
      <c r="H2172" s="1" t="s">
        <v>7206</v>
      </c>
      <c r="I2172" s="1" t="s">
        <v>29</v>
      </c>
      <c r="J2172" s="1" t="s">
        <v>7207</v>
      </c>
      <c r="K2172" s="1" t="b">
        <v>1</v>
      </c>
      <c r="L2172" s="1" t="s">
        <v>31</v>
      </c>
      <c r="M2172" s="1">
        <v>2022</v>
      </c>
      <c r="N2172" s="1" t="s">
        <v>45</v>
      </c>
      <c r="O2172" s="1" t="s">
        <v>9956</v>
      </c>
      <c r="P2172" s="1" t="s">
        <v>16</v>
      </c>
      <c r="Q2172" s="1">
        <v>100</v>
      </c>
      <c r="R2172" s="1">
        <v>30000</v>
      </c>
      <c r="S2172" s="1">
        <v>30000</v>
      </c>
    </row>
    <row r="2173" spans="1:19" ht="12.5" x14ac:dyDescent="0.25">
      <c r="A2173" s="1">
        <v>2259</v>
      </c>
      <c r="B2173" s="1" t="s">
        <v>7208</v>
      </c>
      <c r="C2173" s="1" t="s">
        <v>38</v>
      </c>
      <c r="D2173" s="1" t="s">
        <v>5701</v>
      </c>
      <c r="E2173" s="1">
        <v>2158</v>
      </c>
      <c r="F2173" s="1" t="s">
        <v>7209</v>
      </c>
      <c r="G2173" s="1" t="s">
        <v>7210</v>
      </c>
      <c r="H2173" s="1" t="s">
        <v>7210</v>
      </c>
      <c r="I2173" s="1" t="s">
        <v>29</v>
      </c>
      <c r="J2173" s="1" t="s">
        <v>7211</v>
      </c>
      <c r="K2173" s="1" t="b">
        <v>1</v>
      </c>
      <c r="L2173" s="1" t="s">
        <v>31</v>
      </c>
      <c r="M2173" s="1">
        <v>2022</v>
      </c>
      <c r="N2173" s="1" t="s">
        <v>23</v>
      </c>
      <c r="O2173" s="1" t="s">
        <v>9956</v>
      </c>
      <c r="P2173" s="1" t="s">
        <v>16</v>
      </c>
      <c r="Q2173" s="1">
        <v>100</v>
      </c>
      <c r="R2173" s="1">
        <v>50000</v>
      </c>
      <c r="S2173" s="1">
        <v>50000</v>
      </c>
    </row>
    <row r="2174" spans="1:19" ht="12.5" x14ac:dyDescent="0.25">
      <c r="A2174" s="1">
        <v>2260</v>
      </c>
      <c r="B2174" s="1" t="s">
        <v>7212</v>
      </c>
      <c r="C2174" s="1" t="s">
        <v>38</v>
      </c>
      <c r="D2174" s="1" t="s">
        <v>5701</v>
      </c>
      <c r="E2174" s="1">
        <v>2159</v>
      </c>
      <c r="F2174" s="1" t="s">
        <v>7213</v>
      </c>
      <c r="G2174" s="1" t="s">
        <v>7214</v>
      </c>
      <c r="H2174" s="1" t="s">
        <v>7214</v>
      </c>
      <c r="I2174" s="1" t="s">
        <v>29</v>
      </c>
      <c r="J2174" s="1" t="s">
        <v>7215</v>
      </c>
      <c r="K2174" s="1" t="b">
        <v>0</v>
      </c>
      <c r="L2174" s="1" t="s">
        <v>22</v>
      </c>
      <c r="M2174" s="1">
        <v>2022</v>
      </c>
      <c r="N2174" s="1" t="s">
        <v>45</v>
      </c>
      <c r="O2174" s="1" t="s">
        <v>9956</v>
      </c>
      <c r="P2174" s="1" t="s">
        <v>16</v>
      </c>
      <c r="Q2174" s="1">
        <v>100</v>
      </c>
      <c r="R2174" s="1">
        <v>30000</v>
      </c>
      <c r="S2174" s="1">
        <v>30000</v>
      </c>
    </row>
    <row r="2175" spans="1:19" ht="12.5" x14ac:dyDescent="0.25">
      <c r="A2175" s="1">
        <v>2261</v>
      </c>
      <c r="B2175" s="1" t="s">
        <v>7216</v>
      </c>
      <c r="C2175" s="1" t="s">
        <v>38</v>
      </c>
      <c r="D2175" s="1" t="s">
        <v>5701</v>
      </c>
      <c r="E2175" s="1">
        <v>2160</v>
      </c>
      <c r="F2175" s="1" t="s">
        <v>7217</v>
      </c>
      <c r="G2175" s="1" t="s">
        <v>7218</v>
      </c>
      <c r="H2175" s="1" t="s">
        <v>7218</v>
      </c>
      <c r="I2175" s="1" t="s">
        <v>29</v>
      </c>
      <c r="J2175" s="1" t="s">
        <v>7219</v>
      </c>
      <c r="K2175" s="1" t="b">
        <v>1</v>
      </c>
      <c r="L2175" s="1" t="s">
        <v>31</v>
      </c>
      <c r="M2175" s="1">
        <v>2022</v>
      </c>
      <c r="N2175" s="1" t="s">
        <v>45</v>
      </c>
      <c r="O2175" s="1" t="s">
        <v>9956</v>
      </c>
      <c r="P2175" s="1" t="s">
        <v>16</v>
      </c>
      <c r="Q2175" s="1">
        <v>100</v>
      </c>
      <c r="R2175" s="1">
        <v>30000</v>
      </c>
      <c r="S2175" s="1">
        <v>30000</v>
      </c>
    </row>
    <row r="2176" spans="1:19" ht="12.5" x14ac:dyDescent="0.25">
      <c r="A2176" s="1">
        <v>2261</v>
      </c>
      <c r="B2176" s="1" t="s">
        <v>7216</v>
      </c>
      <c r="C2176" s="1" t="s">
        <v>38</v>
      </c>
      <c r="D2176" s="1" t="s">
        <v>5701</v>
      </c>
      <c r="E2176" s="1">
        <v>2161</v>
      </c>
      <c r="F2176" s="1" t="s">
        <v>7220</v>
      </c>
      <c r="G2176" s="1" t="s">
        <v>7221</v>
      </c>
      <c r="H2176" s="1" t="s">
        <v>7221</v>
      </c>
      <c r="I2176" s="1" t="s">
        <v>29</v>
      </c>
      <c r="J2176" s="1" t="s">
        <v>7222</v>
      </c>
      <c r="K2176" s="1" t="b">
        <v>1</v>
      </c>
      <c r="L2176" s="1" t="s">
        <v>31</v>
      </c>
      <c r="M2176" s="1">
        <v>2022</v>
      </c>
      <c r="N2176" s="1" t="s">
        <v>45</v>
      </c>
      <c r="O2176" s="1" t="s">
        <v>9956</v>
      </c>
      <c r="P2176" s="1" t="s">
        <v>16</v>
      </c>
      <c r="Q2176" s="1">
        <v>100</v>
      </c>
      <c r="R2176" s="1">
        <v>30000</v>
      </c>
      <c r="S2176" s="1">
        <v>30000</v>
      </c>
    </row>
    <row r="2177" spans="1:19" ht="12.5" x14ac:dyDescent="0.25">
      <c r="A2177" s="1">
        <v>2229</v>
      </c>
      <c r="B2177" s="1" t="s">
        <v>7223</v>
      </c>
      <c r="C2177" s="1" t="s">
        <v>38</v>
      </c>
      <c r="D2177" s="1" t="s">
        <v>5701</v>
      </c>
      <c r="E2177" s="1">
        <v>2162</v>
      </c>
      <c r="F2177" s="1" t="s">
        <v>7224</v>
      </c>
      <c r="G2177" s="1" t="s">
        <v>7225</v>
      </c>
      <c r="H2177" s="1" t="s">
        <v>7226</v>
      </c>
      <c r="I2177" s="1" t="s">
        <v>29</v>
      </c>
      <c r="J2177" s="1" t="s">
        <v>7227</v>
      </c>
      <c r="K2177" s="1" t="b">
        <v>1</v>
      </c>
      <c r="L2177" s="1" t="s">
        <v>31</v>
      </c>
      <c r="M2177" s="1">
        <v>2022</v>
      </c>
      <c r="N2177" s="1" t="s">
        <v>45</v>
      </c>
      <c r="O2177" s="1" t="s">
        <v>9935</v>
      </c>
      <c r="P2177" s="1" t="s">
        <v>16</v>
      </c>
      <c r="Q2177" s="1">
        <v>100</v>
      </c>
      <c r="R2177" s="1">
        <v>1</v>
      </c>
      <c r="S2177" s="1">
        <v>1</v>
      </c>
    </row>
    <row r="2178" spans="1:19" ht="12.5" x14ac:dyDescent="0.25">
      <c r="A2178" s="1">
        <v>3981</v>
      </c>
      <c r="B2178" s="1" t="s">
        <v>6418</v>
      </c>
      <c r="C2178" s="1" t="s">
        <v>38</v>
      </c>
      <c r="D2178" s="1" t="s">
        <v>39</v>
      </c>
      <c r="E2178" s="1">
        <v>2162</v>
      </c>
      <c r="F2178" s="1" t="s">
        <v>7224</v>
      </c>
      <c r="G2178" s="1" t="s">
        <v>7225</v>
      </c>
      <c r="H2178" s="1" t="s">
        <v>7226</v>
      </c>
      <c r="I2178" s="1" t="s">
        <v>29</v>
      </c>
      <c r="J2178" s="1" t="s">
        <v>7227</v>
      </c>
      <c r="K2178" s="1" t="b">
        <v>1</v>
      </c>
      <c r="L2178" s="1" t="s">
        <v>31</v>
      </c>
      <c r="M2178" s="1">
        <v>2022</v>
      </c>
      <c r="N2178" s="1" t="s">
        <v>45</v>
      </c>
      <c r="O2178" s="1" t="s">
        <v>9935</v>
      </c>
      <c r="P2178" s="1" t="s">
        <v>16</v>
      </c>
      <c r="Q2178" s="1">
        <v>0</v>
      </c>
      <c r="R2178" s="1">
        <v>1</v>
      </c>
      <c r="S2178" s="1">
        <v>0</v>
      </c>
    </row>
    <row r="2179" spans="1:19" ht="12.5" x14ac:dyDescent="0.25">
      <c r="A2179" s="1">
        <v>2227</v>
      </c>
      <c r="B2179" s="1" t="s">
        <v>7228</v>
      </c>
      <c r="C2179" s="1" t="s">
        <v>38</v>
      </c>
      <c r="D2179" s="1" t="s">
        <v>5701</v>
      </c>
      <c r="E2179" s="1">
        <v>2163</v>
      </c>
      <c r="F2179" s="1" t="s">
        <v>7229</v>
      </c>
      <c r="G2179" s="1" t="s">
        <v>7230</v>
      </c>
      <c r="H2179" s="1" t="s">
        <v>7231</v>
      </c>
      <c r="I2179" s="1" t="s">
        <v>29</v>
      </c>
      <c r="J2179" s="1" t="s">
        <v>7232</v>
      </c>
      <c r="K2179" s="1" t="b">
        <v>1</v>
      </c>
      <c r="L2179" s="1" t="s">
        <v>31</v>
      </c>
      <c r="M2179" s="1">
        <v>2022</v>
      </c>
      <c r="N2179" s="1" t="s">
        <v>45</v>
      </c>
      <c r="O2179" s="1" t="s">
        <v>9935</v>
      </c>
      <c r="P2179" s="1" t="s">
        <v>16</v>
      </c>
      <c r="Q2179" s="1">
        <v>100</v>
      </c>
      <c r="R2179" s="1">
        <v>31000</v>
      </c>
      <c r="S2179" s="1">
        <v>31000</v>
      </c>
    </row>
    <row r="2180" spans="1:19" ht="12.5" x14ac:dyDescent="0.25">
      <c r="A2180" s="1" t="s">
        <v>16</v>
      </c>
      <c r="B2180" s="1" t="s">
        <v>16</v>
      </c>
      <c r="C2180" s="1" t="s">
        <v>16</v>
      </c>
      <c r="D2180" s="1" t="s">
        <v>16</v>
      </c>
      <c r="E2180" s="1">
        <v>2164</v>
      </c>
      <c r="F2180" s="1" t="s">
        <v>7233</v>
      </c>
      <c r="G2180" s="1" t="s">
        <v>7234</v>
      </c>
      <c r="H2180" s="1" t="s">
        <v>7235</v>
      </c>
      <c r="I2180" s="1" t="s">
        <v>29</v>
      </c>
      <c r="J2180" s="1" t="s">
        <v>16</v>
      </c>
      <c r="K2180" s="1" t="b">
        <v>0</v>
      </c>
      <c r="L2180" s="1" t="s">
        <v>22</v>
      </c>
      <c r="M2180" s="1" t="s">
        <v>16</v>
      </c>
      <c r="N2180" s="1" t="s">
        <v>16</v>
      </c>
      <c r="O2180" s="1" t="s">
        <v>16</v>
      </c>
      <c r="P2180" s="1" t="s">
        <v>16</v>
      </c>
    </row>
    <row r="2181" spans="1:19" ht="12.5" x14ac:dyDescent="0.25">
      <c r="A2181" s="1" t="s">
        <v>16</v>
      </c>
      <c r="B2181" s="1" t="s">
        <v>16</v>
      </c>
      <c r="C2181" s="1" t="s">
        <v>16</v>
      </c>
      <c r="D2181" s="1" t="s">
        <v>16</v>
      </c>
      <c r="E2181" s="1">
        <v>2165</v>
      </c>
      <c r="F2181" s="1" t="s">
        <v>7236</v>
      </c>
      <c r="G2181" s="1" t="s">
        <v>7237</v>
      </c>
      <c r="H2181" s="1" t="s">
        <v>7238</v>
      </c>
      <c r="I2181" s="1" t="s">
        <v>29</v>
      </c>
      <c r="J2181" s="1" t="s">
        <v>16</v>
      </c>
      <c r="K2181" s="1" t="b">
        <v>0</v>
      </c>
      <c r="L2181" s="1" t="s">
        <v>22</v>
      </c>
      <c r="M2181" s="1" t="s">
        <v>16</v>
      </c>
      <c r="N2181" s="1" t="s">
        <v>16</v>
      </c>
      <c r="O2181" s="1" t="s">
        <v>16</v>
      </c>
      <c r="P2181" s="1" t="s">
        <v>16</v>
      </c>
    </row>
    <row r="2182" spans="1:19" ht="12.5" x14ac:dyDescent="0.25">
      <c r="A2182" s="1" t="s">
        <v>16</v>
      </c>
      <c r="B2182" s="1" t="s">
        <v>16</v>
      </c>
      <c r="C2182" s="1" t="s">
        <v>16</v>
      </c>
      <c r="D2182" s="1" t="s">
        <v>16</v>
      </c>
      <c r="E2182" s="1">
        <v>2166</v>
      </c>
      <c r="F2182" s="1" t="s">
        <v>7239</v>
      </c>
      <c r="G2182" s="1" t="s">
        <v>7240</v>
      </c>
      <c r="H2182" s="1" t="s">
        <v>16</v>
      </c>
      <c r="I2182" s="1" t="s">
        <v>20</v>
      </c>
      <c r="J2182" s="1" t="s">
        <v>7241</v>
      </c>
      <c r="K2182" s="1" t="b">
        <v>0</v>
      </c>
      <c r="L2182" s="1" t="s">
        <v>22</v>
      </c>
      <c r="M2182" s="1">
        <v>2021</v>
      </c>
      <c r="N2182" s="1" t="s">
        <v>32</v>
      </c>
      <c r="O2182" s="1" t="s">
        <v>9935</v>
      </c>
      <c r="P2182" s="1" t="s">
        <v>16</v>
      </c>
      <c r="R2182" s="1">
        <v>20364000</v>
      </c>
    </row>
    <row r="2183" spans="1:19" ht="12.5" x14ac:dyDescent="0.25">
      <c r="A2183" s="1" t="s">
        <v>16</v>
      </c>
      <c r="B2183" s="1" t="s">
        <v>16</v>
      </c>
      <c r="C2183" s="1" t="s">
        <v>16</v>
      </c>
      <c r="D2183" s="1" t="s">
        <v>16</v>
      </c>
      <c r="E2183" s="1">
        <v>2167</v>
      </c>
      <c r="F2183" s="1" t="s">
        <v>7242</v>
      </c>
      <c r="G2183" s="1" t="s">
        <v>7243</v>
      </c>
      <c r="H2183" s="1" t="s">
        <v>16</v>
      </c>
      <c r="I2183" s="1" t="s">
        <v>20</v>
      </c>
      <c r="J2183" s="1" t="s">
        <v>7244</v>
      </c>
      <c r="K2183" s="1" t="b">
        <v>0</v>
      </c>
      <c r="L2183" s="1" t="s">
        <v>22</v>
      </c>
      <c r="M2183" s="1">
        <v>2022</v>
      </c>
      <c r="N2183" s="1" t="s">
        <v>32</v>
      </c>
      <c r="O2183" s="1" t="s">
        <v>9935</v>
      </c>
      <c r="P2183" s="1" t="s">
        <v>16</v>
      </c>
      <c r="R2183" s="1">
        <v>1800000</v>
      </c>
    </row>
    <row r="2184" spans="1:19" ht="12.5" x14ac:dyDescent="0.25">
      <c r="A2184" s="1">
        <v>1193</v>
      </c>
      <c r="B2184" s="1" t="s">
        <v>4056</v>
      </c>
      <c r="C2184" s="1" t="s">
        <v>35</v>
      </c>
      <c r="D2184" s="1" t="s">
        <v>152</v>
      </c>
      <c r="E2184" s="1">
        <v>2168</v>
      </c>
      <c r="F2184" s="1" t="s">
        <v>7245</v>
      </c>
      <c r="G2184" s="1" t="s">
        <v>5582</v>
      </c>
      <c r="H2184" s="1" t="s">
        <v>16</v>
      </c>
      <c r="I2184" s="1" t="s">
        <v>29</v>
      </c>
      <c r="J2184" s="1" t="s">
        <v>7246</v>
      </c>
      <c r="K2184" s="1" t="b">
        <v>0</v>
      </c>
      <c r="L2184" s="1" t="s">
        <v>22</v>
      </c>
      <c r="M2184" s="1">
        <v>2022</v>
      </c>
      <c r="N2184" s="1" t="s">
        <v>45</v>
      </c>
      <c r="O2184" s="1" t="s">
        <v>9940</v>
      </c>
      <c r="P2184" s="1" t="s">
        <v>16</v>
      </c>
      <c r="Q2184" s="1">
        <v>100</v>
      </c>
      <c r="R2184" s="1">
        <v>75000</v>
      </c>
      <c r="S2184" s="1">
        <v>75000</v>
      </c>
    </row>
    <row r="2185" spans="1:19" ht="12.5" x14ac:dyDescent="0.25">
      <c r="A2185" s="1">
        <v>2266</v>
      </c>
      <c r="B2185" s="1" t="s">
        <v>7247</v>
      </c>
      <c r="C2185" s="1" t="s">
        <v>38</v>
      </c>
      <c r="D2185" s="1" t="s">
        <v>5701</v>
      </c>
      <c r="E2185" s="1">
        <v>2169</v>
      </c>
      <c r="F2185" s="1" t="s">
        <v>7248</v>
      </c>
      <c r="G2185" s="1" t="s">
        <v>7249</v>
      </c>
      <c r="H2185" s="1" t="s">
        <v>7250</v>
      </c>
      <c r="I2185" s="1" t="s">
        <v>29</v>
      </c>
      <c r="J2185" s="1" t="s">
        <v>7251</v>
      </c>
      <c r="K2185" s="1" t="b">
        <v>1</v>
      </c>
      <c r="L2185" s="1" t="s">
        <v>31</v>
      </c>
      <c r="M2185" s="1">
        <v>2022</v>
      </c>
      <c r="N2185" s="1" t="s">
        <v>45</v>
      </c>
      <c r="O2185" s="1" t="s">
        <v>9956</v>
      </c>
      <c r="P2185" s="1" t="s">
        <v>16</v>
      </c>
      <c r="Q2185" s="1">
        <v>100</v>
      </c>
      <c r="R2185" s="1">
        <v>21000</v>
      </c>
      <c r="S2185" s="1">
        <v>21000</v>
      </c>
    </row>
    <row r="2186" spans="1:19" ht="12.5" x14ac:dyDescent="0.25">
      <c r="A2186" s="1">
        <v>2266</v>
      </c>
      <c r="B2186" s="1" t="s">
        <v>7247</v>
      </c>
      <c r="C2186" s="1" t="s">
        <v>38</v>
      </c>
      <c r="D2186" s="1" t="s">
        <v>5701</v>
      </c>
      <c r="E2186" s="1">
        <v>2170</v>
      </c>
      <c r="F2186" s="1" t="s">
        <v>7252</v>
      </c>
      <c r="G2186" s="1" t="s">
        <v>7253</v>
      </c>
      <c r="H2186" s="1" t="s">
        <v>7253</v>
      </c>
      <c r="I2186" s="1" t="s">
        <v>29</v>
      </c>
      <c r="J2186" s="1" t="s">
        <v>7254</v>
      </c>
      <c r="K2186" s="1" t="b">
        <v>1</v>
      </c>
      <c r="L2186" s="1" t="s">
        <v>31</v>
      </c>
      <c r="M2186" s="1">
        <v>2022</v>
      </c>
      <c r="N2186" s="1" t="s">
        <v>45</v>
      </c>
      <c r="O2186" s="1" t="s">
        <v>9956</v>
      </c>
      <c r="P2186" s="1" t="s">
        <v>16</v>
      </c>
      <c r="Q2186" s="1">
        <v>100</v>
      </c>
      <c r="R2186" s="1">
        <v>17000</v>
      </c>
      <c r="S2186" s="1">
        <v>17000</v>
      </c>
    </row>
    <row r="2187" spans="1:19" ht="12.5" x14ac:dyDescent="0.25">
      <c r="A2187" s="1">
        <v>1027</v>
      </c>
      <c r="B2187" s="1" t="s">
        <v>7255</v>
      </c>
      <c r="C2187" s="1" t="s">
        <v>35</v>
      </c>
      <c r="D2187" s="1" t="s">
        <v>152</v>
      </c>
      <c r="E2187" s="1">
        <v>2171</v>
      </c>
      <c r="F2187" s="1" t="s">
        <v>7257</v>
      </c>
      <c r="G2187" s="1" t="s">
        <v>7258</v>
      </c>
      <c r="H2187" s="1" t="s">
        <v>7259</v>
      </c>
      <c r="I2187" s="1" t="s">
        <v>20</v>
      </c>
      <c r="J2187" s="1" t="s">
        <v>7260</v>
      </c>
      <c r="K2187" s="1" t="b">
        <v>0</v>
      </c>
      <c r="L2187" s="1" t="s">
        <v>22</v>
      </c>
      <c r="M2187" s="1" t="s">
        <v>16</v>
      </c>
      <c r="N2187" s="1" t="s">
        <v>16</v>
      </c>
      <c r="O2187" s="1" t="s">
        <v>16</v>
      </c>
      <c r="P2187" s="1" t="s">
        <v>16</v>
      </c>
      <c r="Q2187" s="1">
        <v>100</v>
      </c>
    </row>
    <row r="2188" spans="1:19" ht="12.5" x14ac:dyDescent="0.25">
      <c r="A2188" s="1" t="s">
        <v>16</v>
      </c>
      <c r="B2188" s="1" t="s">
        <v>16</v>
      </c>
      <c r="C2188" s="1" t="s">
        <v>16</v>
      </c>
      <c r="D2188" s="1" t="s">
        <v>16</v>
      </c>
      <c r="E2188" s="1">
        <v>2172</v>
      </c>
      <c r="F2188" s="1" t="s">
        <v>7261</v>
      </c>
      <c r="G2188" s="1" t="s">
        <v>7262</v>
      </c>
      <c r="H2188" s="1" t="s">
        <v>16</v>
      </c>
      <c r="I2188" s="1" t="s">
        <v>20</v>
      </c>
      <c r="J2188" s="1" t="s">
        <v>7263</v>
      </c>
      <c r="K2188" s="1" t="b">
        <v>0</v>
      </c>
      <c r="L2188" s="1" t="s">
        <v>22</v>
      </c>
      <c r="M2188" s="1" t="s">
        <v>16</v>
      </c>
      <c r="N2188" s="1" t="s">
        <v>16</v>
      </c>
      <c r="O2188" s="1" t="s">
        <v>16</v>
      </c>
      <c r="P2188" s="1" t="s">
        <v>16</v>
      </c>
    </row>
    <row r="2189" spans="1:19" ht="12.5" x14ac:dyDescent="0.25">
      <c r="A2189" s="1">
        <v>1095</v>
      </c>
      <c r="B2189" s="1" t="s">
        <v>3810</v>
      </c>
      <c r="C2189" s="1" t="s">
        <v>35</v>
      </c>
      <c r="D2189" s="1" t="s">
        <v>152</v>
      </c>
      <c r="E2189" s="1">
        <v>2173</v>
      </c>
      <c r="F2189" s="1" t="s">
        <v>7264</v>
      </c>
      <c r="G2189" s="1" t="s">
        <v>7265</v>
      </c>
      <c r="H2189" s="1" t="s">
        <v>16</v>
      </c>
      <c r="I2189" s="1" t="s">
        <v>20</v>
      </c>
      <c r="J2189" s="1" t="s">
        <v>7266</v>
      </c>
      <c r="K2189" s="1" t="b">
        <v>0</v>
      </c>
      <c r="L2189" s="1" t="s">
        <v>22</v>
      </c>
      <c r="M2189" s="1" t="s">
        <v>16</v>
      </c>
      <c r="N2189" s="1" t="s">
        <v>16</v>
      </c>
      <c r="O2189" s="1" t="s">
        <v>16</v>
      </c>
      <c r="P2189" s="1" t="s">
        <v>16</v>
      </c>
      <c r="Q2189" s="1">
        <v>0</v>
      </c>
    </row>
    <row r="2190" spans="1:19" ht="12.5" x14ac:dyDescent="0.25">
      <c r="A2190" s="1">
        <v>2506</v>
      </c>
      <c r="B2190" s="1" t="s">
        <v>7267</v>
      </c>
      <c r="C2190" s="1" t="s">
        <v>38</v>
      </c>
      <c r="D2190" s="1" t="s">
        <v>39</v>
      </c>
      <c r="E2190" s="1">
        <v>2173</v>
      </c>
      <c r="F2190" s="1" t="s">
        <v>7264</v>
      </c>
      <c r="G2190" s="1" t="s">
        <v>7265</v>
      </c>
      <c r="H2190" s="1" t="s">
        <v>16</v>
      </c>
      <c r="I2190" s="1" t="s">
        <v>20</v>
      </c>
      <c r="J2190" s="1" t="s">
        <v>7266</v>
      </c>
      <c r="K2190" s="1" t="b">
        <v>0</v>
      </c>
      <c r="L2190" s="1" t="s">
        <v>22</v>
      </c>
      <c r="M2190" s="1" t="s">
        <v>16</v>
      </c>
      <c r="N2190" s="1" t="s">
        <v>16</v>
      </c>
      <c r="O2190" s="1" t="s">
        <v>16</v>
      </c>
      <c r="P2190" s="1" t="s">
        <v>16</v>
      </c>
      <c r="Q2190" s="1">
        <v>0</v>
      </c>
    </row>
    <row r="2191" spans="1:19" ht="12.5" x14ac:dyDescent="0.25">
      <c r="A2191" s="1">
        <v>2615</v>
      </c>
      <c r="B2191" s="1" t="s">
        <v>7268</v>
      </c>
      <c r="C2191" s="1" t="s">
        <v>38</v>
      </c>
      <c r="D2191" s="1" t="s">
        <v>39</v>
      </c>
      <c r="E2191" s="1">
        <v>2173</v>
      </c>
      <c r="F2191" s="1" t="s">
        <v>7264</v>
      </c>
      <c r="G2191" s="1" t="s">
        <v>7265</v>
      </c>
      <c r="H2191" s="1" t="s">
        <v>16</v>
      </c>
      <c r="I2191" s="1" t="s">
        <v>20</v>
      </c>
      <c r="J2191" s="1" t="s">
        <v>7266</v>
      </c>
      <c r="K2191" s="1" t="b">
        <v>0</v>
      </c>
      <c r="L2191" s="1" t="s">
        <v>22</v>
      </c>
      <c r="M2191" s="1" t="s">
        <v>16</v>
      </c>
      <c r="N2191" s="1" t="s">
        <v>16</v>
      </c>
      <c r="O2191" s="1" t="s">
        <v>16</v>
      </c>
      <c r="P2191" s="1" t="s">
        <v>16</v>
      </c>
      <c r="Q2191" s="1">
        <v>0</v>
      </c>
    </row>
    <row r="2192" spans="1:19" ht="12.5" x14ac:dyDescent="0.25">
      <c r="A2192" s="1">
        <v>1378</v>
      </c>
      <c r="B2192" s="1" t="s">
        <v>7269</v>
      </c>
      <c r="C2192" s="1" t="s">
        <v>35</v>
      </c>
      <c r="D2192" s="1" t="s">
        <v>152</v>
      </c>
      <c r="E2192" s="1">
        <v>2174</v>
      </c>
      <c r="F2192" s="1" t="s">
        <v>7271</v>
      </c>
      <c r="G2192" s="1" t="s">
        <v>7272</v>
      </c>
      <c r="H2192" s="1" t="s">
        <v>16</v>
      </c>
      <c r="I2192" s="1" t="s">
        <v>29</v>
      </c>
      <c r="J2192" s="1" t="s">
        <v>7273</v>
      </c>
      <c r="K2192" s="1" t="b">
        <v>1</v>
      </c>
      <c r="L2192" s="1" t="s">
        <v>31</v>
      </c>
      <c r="M2192" s="1">
        <v>2022</v>
      </c>
      <c r="N2192" s="1" t="s">
        <v>23</v>
      </c>
      <c r="O2192" s="1" t="s">
        <v>9940</v>
      </c>
      <c r="P2192" s="1" t="s">
        <v>10034</v>
      </c>
      <c r="Q2192" s="1">
        <v>100</v>
      </c>
      <c r="R2192" s="1">
        <v>34000</v>
      </c>
      <c r="S2192" s="1">
        <v>34000</v>
      </c>
    </row>
    <row r="2193" spans="1:19" ht="12.5" x14ac:dyDescent="0.25">
      <c r="A2193" s="1" t="s">
        <v>16</v>
      </c>
      <c r="B2193" s="1" t="s">
        <v>16</v>
      </c>
      <c r="C2193" s="1" t="s">
        <v>16</v>
      </c>
      <c r="D2193" s="1" t="s">
        <v>16</v>
      </c>
      <c r="E2193" s="1">
        <v>2175</v>
      </c>
      <c r="F2193" s="1" t="s">
        <v>7274</v>
      </c>
      <c r="G2193" s="1" t="s">
        <v>7275</v>
      </c>
      <c r="H2193" s="1" t="s">
        <v>16</v>
      </c>
      <c r="I2193" s="1" t="s">
        <v>20</v>
      </c>
      <c r="J2193" s="1" t="s">
        <v>7276</v>
      </c>
      <c r="K2193" s="1" t="b">
        <v>0</v>
      </c>
      <c r="L2193" s="1" t="s">
        <v>22</v>
      </c>
      <c r="M2193" s="1" t="s">
        <v>16</v>
      </c>
      <c r="N2193" s="1" t="s">
        <v>16</v>
      </c>
      <c r="O2193" s="1" t="s">
        <v>16</v>
      </c>
      <c r="P2193" s="1" t="s">
        <v>16</v>
      </c>
    </row>
    <row r="2194" spans="1:19" ht="12.5" x14ac:dyDescent="0.25">
      <c r="A2194" s="1">
        <v>1514</v>
      </c>
      <c r="B2194" s="1" t="s">
        <v>7277</v>
      </c>
      <c r="C2194" s="1" t="s">
        <v>35</v>
      </c>
      <c r="D2194" s="1" t="s">
        <v>152</v>
      </c>
      <c r="E2194" s="1">
        <v>2176</v>
      </c>
      <c r="F2194" s="1" t="s">
        <v>7278</v>
      </c>
      <c r="G2194" s="1" t="s">
        <v>7279</v>
      </c>
      <c r="H2194" s="1" t="s">
        <v>7280</v>
      </c>
      <c r="I2194" s="1" t="s">
        <v>29</v>
      </c>
      <c r="J2194" s="1" t="s">
        <v>7281</v>
      </c>
      <c r="K2194" s="1" t="b">
        <v>0</v>
      </c>
      <c r="L2194" s="1" t="s">
        <v>22</v>
      </c>
      <c r="M2194" s="1">
        <v>2022</v>
      </c>
      <c r="N2194" s="1" t="s">
        <v>45</v>
      </c>
      <c r="O2194" s="1" t="s">
        <v>9935</v>
      </c>
      <c r="P2194" s="1" t="s">
        <v>10079</v>
      </c>
      <c r="Q2194" s="1">
        <v>100</v>
      </c>
      <c r="R2194" s="1">
        <v>7500</v>
      </c>
      <c r="S2194" s="1">
        <v>7500</v>
      </c>
    </row>
    <row r="2195" spans="1:19" ht="12.5" x14ac:dyDescent="0.25">
      <c r="A2195" s="1">
        <v>1175</v>
      </c>
      <c r="B2195" s="1" t="s">
        <v>7282</v>
      </c>
      <c r="C2195" s="1" t="s">
        <v>35</v>
      </c>
      <c r="D2195" s="1" t="s">
        <v>152</v>
      </c>
      <c r="E2195" s="1">
        <v>2177</v>
      </c>
      <c r="F2195" s="1" t="s">
        <v>7284</v>
      </c>
      <c r="G2195" s="1" t="s">
        <v>7285</v>
      </c>
      <c r="H2195" s="1" t="s">
        <v>16</v>
      </c>
      <c r="I2195" s="1" t="s">
        <v>20</v>
      </c>
      <c r="J2195" s="1" t="s">
        <v>7286</v>
      </c>
      <c r="K2195" s="1" t="b">
        <v>0</v>
      </c>
      <c r="L2195" s="1" t="s">
        <v>22</v>
      </c>
      <c r="M2195" s="1">
        <v>2026</v>
      </c>
      <c r="N2195" s="1" t="s">
        <v>16</v>
      </c>
      <c r="O2195" s="1" t="s">
        <v>9935</v>
      </c>
      <c r="P2195" s="1" t="s">
        <v>10080</v>
      </c>
      <c r="Q2195" s="1">
        <v>2</v>
      </c>
      <c r="R2195" s="1">
        <v>1300000</v>
      </c>
      <c r="S2195" s="1">
        <v>26000</v>
      </c>
    </row>
    <row r="2196" spans="1:19" ht="12.5" x14ac:dyDescent="0.25">
      <c r="A2196" s="1">
        <v>1175</v>
      </c>
      <c r="B2196" s="1" t="s">
        <v>7282</v>
      </c>
      <c r="C2196" s="1" t="s">
        <v>35</v>
      </c>
      <c r="D2196" s="1" t="s">
        <v>152</v>
      </c>
      <c r="E2196" s="1">
        <v>2177</v>
      </c>
      <c r="F2196" s="1" t="s">
        <v>7284</v>
      </c>
      <c r="G2196" s="1" t="s">
        <v>7285</v>
      </c>
      <c r="H2196" s="1" t="s">
        <v>16</v>
      </c>
      <c r="I2196" s="1" t="s">
        <v>20</v>
      </c>
      <c r="J2196" s="1" t="s">
        <v>7286</v>
      </c>
      <c r="K2196" s="1" t="b">
        <v>0</v>
      </c>
      <c r="L2196" s="1" t="s">
        <v>22</v>
      </c>
      <c r="M2196" s="1">
        <v>2023</v>
      </c>
      <c r="N2196" s="1" t="s">
        <v>16</v>
      </c>
      <c r="O2196" s="1" t="s">
        <v>9952</v>
      </c>
      <c r="P2196" s="1" t="s">
        <v>10081</v>
      </c>
      <c r="Q2196" s="1">
        <v>2</v>
      </c>
      <c r="R2196" s="1">
        <v>84000</v>
      </c>
      <c r="S2196" s="1">
        <v>1680</v>
      </c>
    </row>
    <row r="2197" spans="1:19" ht="12.5" x14ac:dyDescent="0.25">
      <c r="A2197" s="1">
        <v>1482</v>
      </c>
      <c r="B2197" s="1" t="s">
        <v>4899</v>
      </c>
      <c r="C2197" s="1" t="s">
        <v>35</v>
      </c>
      <c r="D2197" s="1" t="s">
        <v>152</v>
      </c>
      <c r="E2197" s="1">
        <v>2178</v>
      </c>
      <c r="F2197" s="1" t="s">
        <v>7287</v>
      </c>
      <c r="G2197" s="1" t="s">
        <v>3094</v>
      </c>
      <c r="H2197" s="1" t="s">
        <v>16</v>
      </c>
      <c r="I2197" s="1" t="s">
        <v>29</v>
      </c>
      <c r="J2197" s="1" t="s">
        <v>7288</v>
      </c>
      <c r="K2197" s="1" t="b">
        <v>0</v>
      </c>
      <c r="L2197" s="1" t="s">
        <v>22</v>
      </c>
      <c r="M2197" s="1" t="s">
        <v>16</v>
      </c>
      <c r="N2197" s="1" t="s">
        <v>16</v>
      </c>
      <c r="O2197" s="1" t="s">
        <v>9940</v>
      </c>
      <c r="P2197" s="1" t="s">
        <v>16</v>
      </c>
      <c r="Q2197" s="1">
        <v>100</v>
      </c>
      <c r="R2197" s="1">
        <v>75000</v>
      </c>
      <c r="S2197" s="1">
        <v>75000</v>
      </c>
    </row>
    <row r="2198" spans="1:19" ht="12.5" x14ac:dyDescent="0.25">
      <c r="A2198" s="1" t="s">
        <v>16</v>
      </c>
      <c r="B2198" s="1" t="s">
        <v>16</v>
      </c>
      <c r="C2198" s="1" t="s">
        <v>16</v>
      </c>
      <c r="D2198" s="1" t="s">
        <v>16</v>
      </c>
      <c r="E2198" s="1">
        <v>2179</v>
      </c>
      <c r="F2198" s="1" t="s">
        <v>7289</v>
      </c>
      <c r="G2198" s="1" t="s">
        <v>7290</v>
      </c>
      <c r="H2198" s="1" t="s">
        <v>16</v>
      </c>
      <c r="I2198" s="1" t="s">
        <v>20</v>
      </c>
      <c r="J2198" s="1" t="s">
        <v>7291</v>
      </c>
      <c r="K2198" s="1" t="b">
        <v>0</v>
      </c>
      <c r="L2198" s="1" t="s">
        <v>22</v>
      </c>
      <c r="M2198" s="1" t="s">
        <v>16</v>
      </c>
      <c r="N2198" s="1" t="s">
        <v>16</v>
      </c>
      <c r="O2198" s="1" t="s">
        <v>16</v>
      </c>
      <c r="P2198" s="1" t="s">
        <v>16</v>
      </c>
    </row>
    <row r="2199" spans="1:19" ht="12.5" x14ac:dyDescent="0.25">
      <c r="A2199" s="1" t="s">
        <v>16</v>
      </c>
      <c r="B2199" s="1" t="s">
        <v>16</v>
      </c>
      <c r="C2199" s="1" t="s">
        <v>16</v>
      </c>
      <c r="D2199" s="1" t="s">
        <v>16</v>
      </c>
      <c r="E2199" s="1">
        <v>2180</v>
      </c>
      <c r="F2199" s="1" t="s">
        <v>7292</v>
      </c>
      <c r="G2199" s="1" t="s">
        <v>7293</v>
      </c>
      <c r="H2199" s="1" t="s">
        <v>16</v>
      </c>
      <c r="I2199" s="1" t="s">
        <v>20</v>
      </c>
      <c r="J2199" s="1" t="s">
        <v>7294</v>
      </c>
      <c r="K2199" s="1" t="b">
        <v>0</v>
      </c>
      <c r="L2199" s="1" t="s">
        <v>22</v>
      </c>
      <c r="M2199" s="1" t="s">
        <v>16</v>
      </c>
      <c r="N2199" s="1" t="s">
        <v>16</v>
      </c>
      <c r="O2199" s="1" t="s">
        <v>16</v>
      </c>
      <c r="P2199" s="1" t="s">
        <v>16</v>
      </c>
    </row>
    <row r="2200" spans="1:19" ht="12.5" x14ac:dyDescent="0.25">
      <c r="A2200" s="1" t="s">
        <v>16</v>
      </c>
      <c r="B2200" s="1" t="s">
        <v>16</v>
      </c>
      <c r="C2200" s="1" t="s">
        <v>16</v>
      </c>
      <c r="D2200" s="1" t="s">
        <v>16</v>
      </c>
      <c r="E2200" s="1">
        <v>2181</v>
      </c>
      <c r="F2200" s="1" t="s">
        <v>7295</v>
      </c>
      <c r="G2200" s="1" t="s">
        <v>7296</v>
      </c>
      <c r="H2200" s="1" t="s">
        <v>16</v>
      </c>
      <c r="I2200" s="1" t="s">
        <v>20</v>
      </c>
      <c r="J2200" s="1" t="s">
        <v>7297</v>
      </c>
      <c r="K2200" s="1" t="b">
        <v>0</v>
      </c>
      <c r="L2200" s="1" t="s">
        <v>22</v>
      </c>
      <c r="M2200" s="1" t="s">
        <v>16</v>
      </c>
      <c r="N2200" s="1" t="s">
        <v>16</v>
      </c>
      <c r="O2200" s="1" t="s">
        <v>16</v>
      </c>
      <c r="P2200" s="1" t="s">
        <v>16</v>
      </c>
    </row>
    <row r="2201" spans="1:19" ht="12.5" x14ac:dyDescent="0.25">
      <c r="A2201" s="1" t="s">
        <v>16</v>
      </c>
      <c r="B2201" s="1" t="s">
        <v>16</v>
      </c>
      <c r="C2201" s="1" t="s">
        <v>16</v>
      </c>
      <c r="D2201" s="1" t="s">
        <v>16</v>
      </c>
      <c r="E2201" s="1">
        <v>2182</v>
      </c>
      <c r="F2201" s="1" t="s">
        <v>7298</v>
      </c>
      <c r="G2201" s="1" t="s">
        <v>7299</v>
      </c>
      <c r="H2201" s="1" t="s">
        <v>16</v>
      </c>
      <c r="I2201" s="1" t="s">
        <v>20</v>
      </c>
      <c r="J2201" s="1" t="s">
        <v>7300</v>
      </c>
      <c r="K2201" s="1" t="b">
        <v>0</v>
      </c>
      <c r="L2201" s="1" t="s">
        <v>22</v>
      </c>
      <c r="M2201" s="1" t="s">
        <v>16</v>
      </c>
      <c r="N2201" s="1" t="s">
        <v>16</v>
      </c>
      <c r="O2201" s="1" t="s">
        <v>16</v>
      </c>
      <c r="P2201" s="1" t="s">
        <v>16</v>
      </c>
    </row>
    <row r="2202" spans="1:19" ht="12.5" x14ac:dyDescent="0.25">
      <c r="A2202" s="1" t="s">
        <v>16</v>
      </c>
      <c r="B2202" s="1" t="s">
        <v>16</v>
      </c>
      <c r="C2202" s="1" t="s">
        <v>16</v>
      </c>
      <c r="D2202" s="1" t="s">
        <v>16</v>
      </c>
      <c r="E2202" s="1">
        <v>2183</v>
      </c>
      <c r="F2202" s="1" t="s">
        <v>7301</v>
      </c>
      <c r="G2202" s="1" t="s">
        <v>7302</v>
      </c>
      <c r="H2202" s="1" t="s">
        <v>16</v>
      </c>
      <c r="I2202" s="1" t="s">
        <v>20</v>
      </c>
      <c r="J2202" s="1" t="s">
        <v>7303</v>
      </c>
      <c r="K2202" s="1" t="b">
        <v>0</v>
      </c>
      <c r="L2202" s="1" t="s">
        <v>22</v>
      </c>
      <c r="M2202" s="1" t="s">
        <v>16</v>
      </c>
      <c r="N2202" s="1" t="s">
        <v>16</v>
      </c>
      <c r="O2202" s="1" t="s">
        <v>16</v>
      </c>
      <c r="P2202" s="1" t="s">
        <v>16</v>
      </c>
    </row>
    <row r="2203" spans="1:19" ht="12.5" x14ac:dyDescent="0.25">
      <c r="A2203" s="1" t="s">
        <v>16</v>
      </c>
      <c r="B2203" s="1" t="s">
        <v>16</v>
      </c>
      <c r="C2203" s="1" t="s">
        <v>16</v>
      </c>
      <c r="D2203" s="1" t="s">
        <v>16</v>
      </c>
      <c r="E2203" s="1">
        <v>2184</v>
      </c>
      <c r="F2203" s="1" t="s">
        <v>7304</v>
      </c>
      <c r="G2203" s="1" t="s">
        <v>7305</v>
      </c>
      <c r="H2203" s="1" t="s">
        <v>16</v>
      </c>
      <c r="I2203" s="1" t="s">
        <v>20</v>
      </c>
      <c r="J2203" s="1" t="s">
        <v>7306</v>
      </c>
      <c r="K2203" s="1" t="b">
        <v>0</v>
      </c>
      <c r="L2203" s="1" t="s">
        <v>22</v>
      </c>
      <c r="M2203" s="1" t="s">
        <v>16</v>
      </c>
      <c r="N2203" s="1" t="s">
        <v>16</v>
      </c>
      <c r="O2203" s="1" t="s">
        <v>16</v>
      </c>
      <c r="P2203" s="1" t="s">
        <v>16</v>
      </c>
    </row>
    <row r="2204" spans="1:19" ht="12.5" x14ac:dyDescent="0.25">
      <c r="A2204" s="1" t="s">
        <v>16</v>
      </c>
      <c r="B2204" s="1" t="s">
        <v>16</v>
      </c>
      <c r="C2204" s="1" t="s">
        <v>16</v>
      </c>
      <c r="D2204" s="1" t="s">
        <v>16</v>
      </c>
      <c r="E2204" s="1">
        <v>2185</v>
      </c>
      <c r="F2204" s="1" t="s">
        <v>7307</v>
      </c>
      <c r="G2204" s="1" t="s">
        <v>7308</v>
      </c>
      <c r="H2204" s="1" t="s">
        <v>16</v>
      </c>
      <c r="I2204" s="1" t="s">
        <v>20</v>
      </c>
      <c r="J2204" s="1" t="s">
        <v>7309</v>
      </c>
      <c r="K2204" s="1" t="b">
        <v>1</v>
      </c>
      <c r="L2204" s="1" t="s">
        <v>31</v>
      </c>
      <c r="M2204" s="1" t="s">
        <v>16</v>
      </c>
      <c r="N2204" s="1" t="s">
        <v>16</v>
      </c>
      <c r="O2204" s="1" t="s">
        <v>16</v>
      </c>
      <c r="P2204" s="1" t="s">
        <v>16</v>
      </c>
    </row>
    <row r="2205" spans="1:19" ht="12.5" x14ac:dyDescent="0.25">
      <c r="A2205" s="1">
        <v>977</v>
      </c>
      <c r="B2205" s="1" t="s">
        <v>7310</v>
      </c>
      <c r="C2205" s="1" t="s">
        <v>35</v>
      </c>
      <c r="D2205" s="1" t="s">
        <v>152</v>
      </c>
      <c r="E2205" s="1">
        <v>2186</v>
      </c>
      <c r="F2205" s="1" t="s">
        <v>7312</v>
      </c>
      <c r="G2205" s="1" t="s">
        <v>7313</v>
      </c>
      <c r="H2205" s="1" t="s">
        <v>16</v>
      </c>
      <c r="I2205" s="1" t="s">
        <v>29</v>
      </c>
      <c r="J2205" s="1" t="s">
        <v>7314</v>
      </c>
      <c r="K2205" s="1" t="b">
        <v>1</v>
      </c>
      <c r="L2205" s="1" t="s">
        <v>31</v>
      </c>
      <c r="M2205" s="1">
        <v>2022</v>
      </c>
      <c r="N2205" s="1" t="s">
        <v>23</v>
      </c>
      <c r="O2205" s="1" t="s">
        <v>9935</v>
      </c>
      <c r="P2205" s="1" t="s">
        <v>16</v>
      </c>
      <c r="Q2205" s="1">
        <v>100</v>
      </c>
      <c r="R2205" s="1">
        <v>5000</v>
      </c>
      <c r="S2205" s="1">
        <v>5000</v>
      </c>
    </row>
    <row r="2206" spans="1:19" ht="12.5" x14ac:dyDescent="0.25">
      <c r="A2206" s="1" t="s">
        <v>16</v>
      </c>
      <c r="B2206" s="1" t="s">
        <v>16</v>
      </c>
      <c r="C2206" s="1" t="s">
        <v>16</v>
      </c>
      <c r="D2206" s="1" t="s">
        <v>16</v>
      </c>
      <c r="E2206" s="1">
        <v>2187</v>
      </c>
      <c r="F2206" s="1" t="s">
        <v>7315</v>
      </c>
      <c r="G2206" s="1" t="s">
        <v>7316</v>
      </c>
      <c r="H2206" s="1" t="s">
        <v>16</v>
      </c>
      <c r="I2206" s="1" t="s">
        <v>20</v>
      </c>
      <c r="J2206" s="1" t="s">
        <v>7317</v>
      </c>
      <c r="K2206" s="1" t="b">
        <v>0</v>
      </c>
      <c r="L2206" s="1" t="s">
        <v>22</v>
      </c>
      <c r="M2206" s="1" t="s">
        <v>16</v>
      </c>
      <c r="N2206" s="1" t="s">
        <v>16</v>
      </c>
      <c r="O2206" s="1" t="s">
        <v>16</v>
      </c>
      <c r="P2206" s="1" t="s">
        <v>16</v>
      </c>
    </row>
    <row r="2207" spans="1:19" ht="12.5" x14ac:dyDescent="0.25">
      <c r="A2207" s="1" t="s">
        <v>16</v>
      </c>
      <c r="B2207" s="1" t="s">
        <v>16</v>
      </c>
      <c r="C2207" s="1" t="s">
        <v>16</v>
      </c>
      <c r="D2207" s="1" t="s">
        <v>16</v>
      </c>
      <c r="E2207" s="1">
        <v>2188</v>
      </c>
      <c r="F2207" s="1" t="s">
        <v>7318</v>
      </c>
      <c r="G2207" s="1" t="s">
        <v>7319</v>
      </c>
      <c r="H2207" s="1" t="s">
        <v>16</v>
      </c>
      <c r="I2207" s="1" t="s">
        <v>20</v>
      </c>
      <c r="J2207" s="1" t="s">
        <v>7320</v>
      </c>
      <c r="K2207" s="1" t="b">
        <v>0</v>
      </c>
      <c r="L2207" s="1" t="s">
        <v>22</v>
      </c>
      <c r="M2207" s="1" t="s">
        <v>16</v>
      </c>
      <c r="N2207" s="1" t="s">
        <v>16</v>
      </c>
      <c r="O2207" s="1" t="s">
        <v>16</v>
      </c>
      <c r="P2207" s="1" t="s">
        <v>16</v>
      </c>
    </row>
    <row r="2208" spans="1:19" ht="12.5" x14ac:dyDescent="0.25">
      <c r="A2208" s="1" t="s">
        <v>16</v>
      </c>
      <c r="B2208" s="1" t="s">
        <v>16</v>
      </c>
      <c r="C2208" s="1" t="s">
        <v>16</v>
      </c>
      <c r="D2208" s="1" t="s">
        <v>16</v>
      </c>
      <c r="E2208" s="1">
        <v>2189</v>
      </c>
      <c r="F2208" s="1" t="s">
        <v>7321</v>
      </c>
      <c r="G2208" s="1" t="s">
        <v>7322</v>
      </c>
      <c r="H2208" s="1" t="s">
        <v>16</v>
      </c>
      <c r="I2208" s="1" t="s">
        <v>20</v>
      </c>
      <c r="J2208" s="1" t="s">
        <v>7323</v>
      </c>
      <c r="K2208" s="1" t="b">
        <v>0</v>
      </c>
      <c r="L2208" s="1" t="s">
        <v>22</v>
      </c>
      <c r="M2208" s="1" t="s">
        <v>16</v>
      </c>
      <c r="N2208" s="1" t="s">
        <v>16</v>
      </c>
      <c r="O2208" s="1" t="s">
        <v>16</v>
      </c>
      <c r="P2208" s="1" t="s">
        <v>16</v>
      </c>
    </row>
    <row r="2209" spans="1:16" ht="12.5" x14ac:dyDescent="0.25">
      <c r="A2209" s="1" t="s">
        <v>16</v>
      </c>
      <c r="B2209" s="1" t="s">
        <v>16</v>
      </c>
      <c r="C2209" s="1" t="s">
        <v>16</v>
      </c>
      <c r="D2209" s="1" t="s">
        <v>16</v>
      </c>
      <c r="E2209" s="1">
        <v>2190</v>
      </c>
      <c r="F2209" s="1" t="s">
        <v>7324</v>
      </c>
      <c r="G2209" s="1" t="s">
        <v>7325</v>
      </c>
      <c r="H2209" s="1" t="s">
        <v>16</v>
      </c>
      <c r="I2209" s="1" t="s">
        <v>20</v>
      </c>
      <c r="J2209" s="1" t="s">
        <v>7326</v>
      </c>
      <c r="K2209" s="1" t="b">
        <v>0</v>
      </c>
      <c r="L2209" s="1" t="s">
        <v>22</v>
      </c>
      <c r="M2209" s="1" t="s">
        <v>16</v>
      </c>
      <c r="N2209" s="1" t="s">
        <v>16</v>
      </c>
      <c r="O2209" s="1" t="s">
        <v>16</v>
      </c>
      <c r="P2209" s="1" t="s">
        <v>16</v>
      </c>
    </row>
    <row r="2210" spans="1:16" ht="12.5" x14ac:dyDescent="0.25">
      <c r="A2210" s="1" t="s">
        <v>16</v>
      </c>
      <c r="B2210" s="1" t="s">
        <v>16</v>
      </c>
      <c r="C2210" s="1" t="s">
        <v>16</v>
      </c>
      <c r="D2210" s="1" t="s">
        <v>16</v>
      </c>
      <c r="E2210" s="1">
        <v>2191</v>
      </c>
      <c r="F2210" s="1" t="s">
        <v>7327</v>
      </c>
      <c r="G2210" s="1" t="s">
        <v>7328</v>
      </c>
      <c r="H2210" s="1" t="s">
        <v>16</v>
      </c>
      <c r="I2210" s="1" t="s">
        <v>20</v>
      </c>
      <c r="J2210" s="1" t="s">
        <v>7329</v>
      </c>
      <c r="K2210" s="1" t="b">
        <v>1</v>
      </c>
      <c r="L2210" s="1" t="s">
        <v>31</v>
      </c>
      <c r="M2210" s="1" t="s">
        <v>16</v>
      </c>
      <c r="N2210" s="1" t="s">
        <v>16</v>
      </c>
      <c r="O2210" s="1" t="s">
        <v>16</v>
      </c>
      <c r="P2210" s="1" t="s">
        <v>16</v>
      </c>
    </row>
    <row r="2211" spans="1:16" ht="12.5" x14ac:dyDescent="0.25">
      <c r="A2211" s="1" t="s">
        <v>16</v>
      </c>
      <c r="B2211" s="1" t="s">
        <v>16</v>
      </c>
      <c r="C2211" s="1" t="s">
        <v>16</v>
      </c>
      <c r="D2211" s="1" t="s">
        <v>16</v>
      </c>
      <c r="E2211" s="1">
        <v>2192</v>
      </c>
      <c r="F2211" s="1" t="s">
        <v>7330</v>
      </c>
      <c r="G2211" s="1" t="s">
        <v>7331</v>
      </c>
      <c r="H2211" s="1" t="s">
        <v>16</v>
      </c>
      <c r="I2211" s="1" t="s">
        <v>20</v>
      </c>
      <c r="J2211" s="1" t="s">
        <v>7332</v>
      </c>
      <c r="K2211" s="1" t="b">
        <v>0</v>
      </c>
      <c r="L2211" s="1" t="s">
        <v>22</v>
      </c>
      <c r="M2211" s="1" t="s">
        <v>16</v>
      </c>
      <c r="N2211" s="1" t="s">
        <v>16</v>
      </c>
      <c r="O2211" s="1" t="s">
        <v>16</v>
      </c>
      <c r="P2211" s="1" t="s">
        <v>16</v>
      </c>
    </row>
    <row r="2212" spans="1:16" ht="12.5" x14ac:dyDescent="0.25">
      <c r="A2212" s="1" t="s">
        <v>16</v>
      </c>
      <c r="B2212" s="1" t="s">
        <v>16</v>
      </c>
      <c r="C2212" s="1" t="s">
        <v>16</v>
      </c>
      <c r="D2212" s="1" t="s">
        <v>16</v>
      </c>
      <c r="E2212" s="1">
        <v>2193</v>
      </c>
      <c r="F2212" s="1" t="s">
        <v>7333</v>
      </c>
      <c r="G2212" s="1" t="s">
        <v>7334</v>
      </c>
      <c r="H2212" s="1" t="s">
        <v>16</v>
      </c>
      <c r="I2212" s="1" t="s">
        <v>20</v>
      </c>
      <c r="J2212" s="1" t="s">
        <v>7335</v>
      </c>
      <c r="K2212" s="1" t="b">
        <v>0</v>
      </c>
      <c r="L2212" s="1" t="s">
        <v>22</v>
      </c>
      <c r="M2212" s="1" t="s">
        <v>16</v>
      </c>
      <c r="N2212" s="1" t="s">
        <v>16</v>
      </c>
      <c r="O2212" s="1" t="s">
        <v>16</v>
      </c>
      <c r="P2212" s="1" t="s">
        <v>16</v>
      </c>
    </row>
    <row r="2213" spans="1:16" ht="12.5" x14ac:dyDescent="0.25">
      <c r="A2213" s="1" t="s">
        <v>16</v>
      </c>
      <c r="B2213" s="1" t="s">
        <v>16</v>
      </c>
      <c r="C2213" s="1" t="s">
        <v>16</v>
      </c>
      <c r="D2213" s="1" t="s">
        <v>16</v>
      </c>
      <c r="E2213" s="1">
        <v>2194</v>
      </c>
      <c r="F2213" s="1" t="s">
        <v>7336</v>
      </c>
      <c r="G2213" s="1" t="s">
        <v>7337</v>
      </c>
      <c r="H2213" s="1" t="s">
        <v>16</v>
      </c>
      <c r="I2213" s="1" t="s">
        <v>20</v>
      </c>
      <c r="J2213" s="1" t="s">
        <v>7338</v>
      </c>
      <c r="K2213" s="1" t="b">
        <v>0</v>
      </c>
      <c r="L2213" s="1" t="s">
        <v>22</v>
      </c>
      <c r="M2213" s="1" t="s">
        <v>16</v>
      </c>
      <c r="N2213" s="1" t="s">
        <v>16</v>
      </c>
      <c r="O2213" s="1" t="s">
        <v>16</v>
      </c>
      <c r="P2213" s="1" t="s">
        <v>16</v>
      </c>
    </row>
    <row r="2214" spans="1:16" ht="12.5" x14ac:dyDescent="0.25">
      <c r="A2214" s="1" t="s">
        <v>16</v>
      </c>
      <c r="B2214" s="1" t="s">
        <v>16</v>
      </c>
      <c r="C2214" s="1" t="s">
        <v>16</v>
      </c>
      <c r="D2214" s="1" t="s">
        <v>16</v>
      </c>
      <c r="E2214" s="1">
        <v>2195</v>
      </c>
      <c r="F2214" s="1" t="s">
        <v>7339</v>
      </c>
      <c r="G2214" s="1" t="s">
        <v>7340</v>
      </c>
      <c r="H2214" s="1" t="s">
        <v>16</v>
      </c>
      <c r="I2214" s="1" t="s">
        <v>20</v>
      </c>
      <c r="J2214" s="1" t="s">
        <v>7341</v>
      </c>
      <c r="K2214" s="1" t="b">
        <v>0</v>
      </c>
      <c r="L2214" s="1" t="s">
        <v>22</v>
      </c>
      <c r="M2214" s="1" t="s">
        <v>16</v>
      </c>
      <c r="N2214" s="1" t="s">
        <v>16</v>
      </c>
      <c r="O2214" s="1" t="s">
        <v>16</v>
      </c>
      <c r="P2214" s="1" t="s">
        <v>16</v>
      </c>
    </row>
    <row r="2215" spans="1:16" ht="12.5" x14ac:dyDescent="0.25">
      <c r="A2215" s="1" t="s">
        <v>16</v>
      </c>
      <c r="B2215" s="1" t="s">
        <v>16</v>
      </c>
      <c r="C2215" s="1" t="s">
        <v>16</v>
      </c>
      <c r="D2215" s="1" t="s">
        <v>16</v>
      </c>
      <c r="E2215" s="1">
        <v>2196</v>
      </c>
      <c r="F2215" s="1" t="s">
        <v>7342</v>
      </c>
      <c r="G2215" s="1" t="s">
        <v>7343</v>
      </c>
      <c r="H2215" s="1" t="s">
        <v>16</v>
      </c>
      <c r="I2215" s="1" t="s">
        <v>20</v>
      </c>
      <c r="J2215" s="1" t="s">
        <v>7344</v>
      </c>
      <c r="K2215" s="1" t="b">
        <v>0</v>
      </c>
      <c r="L2215" s="1" t="s">
        <v>22</v>
      </c>
      <c r="M2215" s="1" t="s">
        <v>16</v>
      </c>
      <c r="N2215" s="1" t="s">
        <v>16</v>
      </c>
      <c r="O2215" s="1" t="s">
        <v>16</v>
      </c>
      <c r="P2215" s="1" t="s">
        <v>16</v>
      </c>
    </row>
    <row r="2216" spans="1:16" ht="12.5" x14ac:dyDescent="0.25">
      <c r="A2216" s="1" t="s">
        <v>16</v>
      </c>
      <c r="B2216" s="1" t="s">
        <v>16</v>
      </c>
      <c r="C2216" s="1" t="s">
        <v>16</v>
      </c>
      <c r="D2216" s="1" t="s">
        <v>16</v>
      </c>
      <c r="E2216" s="1">
        <v>2197</v>
      </c>
      <c r="F2216" s="1" t="s">
        <v>7345</v>
      </c>
      <c r="G2216" s="1" t="s">
        <v>7346</v>
      </c>
      <c r="H2216" s="1" t="s">
        <v>16</v>
      </c>
      <c r="I2216" s="1" t="s">
        <v>20</v>
      </c>
      <c r="J2216" s="1" t="s">
        <v>7347</v>
      </c>
      <c r="K2216" s="1" t="b">
        <v>0</v>
      </c>
      <c r="L2216" s="1" t="s">
        <v>22</v>
      </c>
      <c r="M2216" s="1" t="s">
        <v>16</v>
      </c>
      <c r="N2216" s="1" t="s">
        <v>16</v>
      </c>
      <c r="O2216" s="1" t="s">
        <v>16</v>
      </c>
      <c r="P2216" s="1" t="s">
        <v>16</v>
      </c>
    </row>
    <row r="2217" spans="1:16" ht="12.5" x14ac:dyDescent="0.25">
      <c r="A2217" s="1" t="s">
        <v>16</v>
      </c>
      <c r="B2217" s="1" t="s">
        <v>16</v>
      </c>
      <c r="C2217" s="1" t="s">
        <v>16</v>
      </c>
      <c r="D2217" s="1" t="s">
        <v>16</v>
      </c>
      <c r="E2217" s="1">
        <v>2198</v>
      </c>
      <c r="F2217" s="1" t="s">
        <v>7348</v>
      </c>
      <c r="G2217" s="1" t="s">
        <v>7349</v>
      </c>
      <c r="H2217" s="1" t="s">
        <v>16</v>
      </c>
      <c r="I2217" s="1" t="s">
        <v>20</v>
      </c>
      <c r="J2217" s="1" t="s">
        <v>7350</v>
      </c>
      <c r="K2217" s="1" t="b">
        <v>0</v>
      </c>
      <c r="L2217" s="1" t="s">
        <v>22</v>
      </c>
      <c r="M2217" s="1" t="s">
        <v>16</v>
      </c>
      <c r="N2217" s="1" t="s">
        <v>16</v>
      </c>
      <c r="O2217" s="1" t="s">
        <v>16</v>
      </c>
      <c r="P2217" s="1" t="s">
        <v>16</v>
      </c>
    </row>
    <row r="2218" spans="1:16" ht="12.5" x14ac:dyDescent="0.25">
      <c r="A2218" s="1" t="s">
        <v>16</v>
      </c>
      <c r="B2218" s="1" t="s">
        <v>16</v>
      </c>
      <c r="C2218" s="1" t="s">
        <v>16</v>
      </c>
      <c r="D2218" s="1" t="s">
        <v>16</v>
      </c>
      <c r="E2218" s="1">
        <v>2199</v>
      </c>
      <c r="F2218" s="1" t="s">
        <v>7351</v>
      </c>
      <c r="G2218" s="1" t="s">
        <v>7352</v>
      </c>
      <c r="H2218" s="1" t="s">
        <v>16</v>
      </c>
      <c r="I2218" s="1" t="s">
        <v>20</v>
      </c>
      <c r="J2218" s="1" t="s">
        <v>7353</v>
      </c>
      <c r="K2218" s="1" t="b">
        <v>0</v>
      </c>
      <c r="L2218" s="1" t="s">
        <v>22</v>
      </c>
      <c r="M2218" s="1" t="s">
        <v>16</v>
      </c>
      <c r="N2218" s="1" t="s">
        <v>16</v>
      </c>
      <c r="O2218" s="1" t="s">
        <v>16</v>
      </c>
      <c r="P2218" s="1" t="s">
        <v>16</v>
      </c>
    </row>
    <row r="2219" spans="1:16" ht="12.5" x14ac:dyDescent="0.25">
      <c r="A2219" s="1" t="s">
        <v>16</v>
      </c>
      <c r="B2219" s="1" t="s">
        <v>16</v>
      </c>
      <c r="C2219" s="1" t="s">
        <v>16</v>
      </c>
      <c r="D2219" s="1" t="s">
        <v>16</v>
      </c>
      <c r="E2219" s="1">
        <v>2200</v>
      </c>
      <c r="F2219" s="1" t="s">
        <v>7354</v>
      </c>
      <c r="G2219" s="1" t="s">
        <v>7355</v>
      </c>
      <c r="H2219" s="1" t="s">
        <v>16</v>
      </c>
      <c r="I2219" s="1" t="s">
        <v>20</v>
      </c>
      <c r="J2219" s="1" t="s">
        <v>7356</v>
      </c>
      <c r="K2219" s="1" t="b">
        <v>0</v>
      </c>
      <c r="L2219" s="1" t="s">
        <v>22</v>
      </c>
      <c r="M2219" s="1" t="s">
        <v>16</v>
      </c>
      <c r="N2219" s="1" t="s">
        <v>16</v>
      </c>
      <c r="O2219" s="1" t="s">
        <v>16</v>
      </c>
      <c r="P2219" s="1" t="s">
        <v>16</v>
      </c>
    </row>
    <row r="2220" spans="1:16" ht="12.5" x14ac:dyDescent="0.25">
      <c r="A2220" s="1" t="s">
        <v>16</v>
      </c>
      <c r="B2220" s="1" t="s">
        <v>16</v>
      </c>
      <c r="C2220" s="1" t="s">
        <v>16</v>
      </c>
      <c r="D2220" s="1" t="s">
        <v>16</v>
      </c>
      <c r="E2220" s="1">
        <v>2201</v>
      </c>
      <c r="F2220" s="1" t="s">
        <v>7357</v>
      </c>
      <c r="G2220" s="1" t="s">
        <v>7358</v>
      </c>
      <c r="H2220" s="1" t="s">
        <v>16</v>
      </c>
      <c r="I2220" s="1" t="s">
        <v>20</v>
      </c>
      <c r="J2220" s="1" t="s">
        <v>7359</v>
      </c>
      <c r="K2220" s="1" t="b">
        <v>0</v>
      </c>
      <c r="L2220" s="1" t="s">
        <v>22</v>
      </c>
      <c r="M2220" s="1" t="s">
        <v>16</v>
      </c>
      <c r="N2220" s="1" t="s">
        <v>16</v>
      </c>
      <c r="O2220" s="1" t="s">
        <v>16</v>
      </c>
      <c r="P2220" s="1" t="s">
        <v>16</v>
      </c>
    </row>
    <row r="2221" spans="1:16" ht="12.5" x14ac:dyDescent="0.25">
      <c r="A2221" s="1" t="s">
        <v>16</v>
      </c>
      <c r="B2221" s="1" t="s">
        <v>16</v>
      </c>
      <c r="C2221" s="1" t="s">
        <v>16</v>
      </c>
      <c r="D2221" s="1" t="s">
        <v>16</v>
      </c>
      <c r="E2221" s="1">
        <v>2202</v>
      </c>
      <c r="F2221" s="1" t="s">
        <v>7360</v>
      </c>
      <c r="G2221" s="1" t="s">
        <v>7361</v>
      </c>
      <c r="H2221" s="1" t="s">
        <v>16</v>
      </c>
      <c r="I2221" s="1" t="s">
        <v>20</v>
      </c>
      <c r="J2221" s="1" t="s">
        <v>7362</v>
      </c>
      <c r="K2221" s="1" t="b">
        <v>0</v>
      </c>
      <c r="L2221" s="1" t="s">
        <v>22</v>
      </c>
      <c r="M2221" s="1" t="s">
        <v>16</v>
      </c>
      <c r="N2221" s="1" t="s">
        <v>16</v>
      </c>
      <c r="O2221" s="1" t="s">
        <v>16</v>
      </c>
      <c r="P2221" s="1" t="s">
        <v>16</v>
      </c>
    </row>
    <row r="2222" spans="1:16" ht="12.5" x14ac:dyDescent="0.25">
      <c r="A2222" s="1" t="s">
        <v>16</v>
      </c>
      <c r="B2222" s="1" t="s">
        <v>16</v>
      </c>
      <c r="C2222" s="1" t="s">
        <v>16</v>
      </c>
      <c r="D2222" s="1" t="s">
        <v>16</v>
      </c>
      <c r="E2222" s="1">
        <v>2203</v>
      </c>
      <c r="F2222" s="1" t="s">
        <v>7363</v>
      </c>
      <c r="G2222" s="1" t="s">
        <v>7364</v>
      </c>
      <c r="H2222" s="1" t="s">
        <v>16</v>
      </c>
      <c r="I2222" s="1" t="s">
        <v>20</v>
      </c>
      <c r="J2222" s="1" t="s">
        <v>7365</v>
      </c>
      <c r="K2222" s="1" t="b">
        <v>0</v>
      </c>
      <c r="L2222" s="1" t="s">
        <v>22</v>
      </c>
      <c r="M2222" s="1" t="s">
        <v>16</v>
      </c>
      <c r="N2222" s="1" t="s">
        <v>16</v>
      </c>
      <c r="O2222" s="1" t="s">
        <v>16</v>
      </c>
      <c r="P2222" s="1" t="s">
        <v>16</v>
      </c>
    </row>
    <row r="2223" spans="1:16" ht="12.5" x14ac:dyDescent="0.25">
      <c r="A2223" s="1" t="s">
        <v>16</v>
      </c>
      <c r="B2223" s="1" t="s">
        <v>16</v>
      </c>
      <c r="C2223" s="1" t="s">
        <v>16</v>
      </c>
      <c r="D2223" s="1" t="s">
        <v>16</v>
      </c>
      <c r="E2223" s="1">
        <v>2204</v>
      </c>
      <c r="F2223" s="1" t="s">
        <v>7366</v>
      </c>
      <c r="G2223" s="1" t="s">
        <v>7367</v>
      </c>
      <c r="H2223" s="1" t="s">
        <v>16</v>
      </c>
      <c r="I2223" s="1" t="s">
        <v>20</v>
      </c>
      <c r="J2223" s="1" t="s">
        <v>7368</v>
      </c>
      <c r="K2223" s="1" t="b">
        <v>0</v>
      </c>
      <c r="L2223" s="1" t="s">
        <v>22</v>
      </c>
      <c r="M2223" s="1" t="s">
        <v>16</v>
      </c>
      <c r="N2223" s="1" t="s">
        <v>16</v>
      </c>
      <c r="O2223" s="1" t="s">
        <v>16</v>
      </c>
      <c r="P2223" s="1" t="s">
        <v>16</v>
      </c>
    </row>
    <row r="2224" spans="1:16" ht="12.5" x14ac:dyDescent="0.25">
      <c r="A2224" s="1" t="s">
        <v>16</v>
      </c>
      <c r="B2224" s="1" t="s">
        <v>16</v>
      </c>
      <c r="C2224" s="1" t="s">
        <v>16</v>
      </c>
      <c r="D2224" s="1" t="s">
        <v>16</v>
      </c>
      <c r="E2224" s="1">
        <v>2205</v>
      </c>
      <c r="F2224" s="1" t="s">
        <v>7369</v>
      </c>
      <c r="G2224" s="1" t="s">
        <v>7370</v>
      </c>
      <c r="H2224" s="1" t="s">
        <v>16</v>
      </c>
      <c r="I2224" s="1" t="s">
        <v>20</v>
      </c>
      <c r="J2224" s="1" t="s">
        <v>7371</v>
      </c>
      <c r="K2224" s="1" t="b">
        <v>0</v>
      </c>
      <c r="L2224" s="1" t="s">
        <v>22</v>
      </c>
      <c r="M2224" s="1" t="s">
        <v>16</v>
      </c>
      <c r="N2224" s="1" t="s">
        <v>16</v>
      </c>
      <c r="O2224" s="1" t="s">
        <v>16</v>
      </c>
      <c r="P2224" s="1" t="s">
        <v>16</v>
      </c>
    </row>
    <row r="2225" spans="1:17" ht="12.5" x14ac:dyDescent="0.25">
      <c r="A2225" s="1" t="s">
        <v>16</v>
      </c>
      <c r="B2225" s="1" t="s">
        <v>16</v>
      </c>
      <c r="C2225" s="1" t="s">
        <v>16</v>
      </c>
      <c r="D2225" s="1" t="s">
        <v>16</v>
      </c>
      <c r="E2225" s="1">
        <v>2206</v>
      </c>
      <c r="F2225" s="1" t="s">
        <v>7372</v>
      </c>
      <c r="G2225" s="1" t="s">
        <v>7373</v>
      </c>
      <c r="H2225" s="1" t="s">
        <v>16</v>
      </c>
      <c r="I2225" s="1" t="s">
        <v>20</v>
      </c>
      <c r="J2225" s="1" t="s">
        <v>7374</v>
      </c>
      <c r="K2225" s="1" t="b">
        <v>0</v>
      </c>
      <c r="L2225" s="1" t="s">
        <v>22</v>
      </c>
      <c r="M2225" s="1" t="s">
        <v>16</v>
      </c>
      <c r="N2225" s="1" t="s">
        <v>16</v>
      </c>
      <c r="O2225" s="1" t="s">
        <v>16</v>
      </c>
      <c r="P2225" s="1" t="s">
        <v>16</v>
      </c>
    </row>
    <row r="2226" spans="1:17" ht="12.5" x14ac:dyDescent="0.25">
      <c r="A2226" s="1" t="s">
        <v>16</v>
      </c>
      <c r="B2226" s="1" t="s">
        <v>16</v>
      </c>
      <c r="C2226" s="1" t="s">
        <v>16</v>
      </c>
      <c r="D2226" s="1" t="s">
        <v>16</v>
      </c>
      <c r="E2226" s="1">
        <v>2207</v>
      </c>
      <c r="F2226" s="1" t="s">
        <v>7375</v>
      </c>
      <c r="G2226" s="1" t="s">
        <v>7376</v>
      </c>
      <c r="H2226" s="1" t="s">
        <v>16</v>
      </c>
      <c r="I2226" s="1" t="s">
        <v>20</v>
      </c>
      <c r="J2226" s="1" t="s">
        <v>16</v>
      </c>
      <c r="K2226" s="1" t="b">
        <v>0</v>
      </c>
      <c r="L2226" s="1" t="s">
        <v>22</v>
      </c>
      <c r="M2226" s="1" t="s">
        <v>16</v>
      </c>
      <c r="N2226" s="1" t="s">
        <v>16</v>
      </c>
      <c r="O2226" s="1" t="s">
        <v>16</v>
      </c>
      <c r="P2226" s="1" t="s">
        <v>16</v>
      </c>
    </row>
    <row r="2227" spans="1:17" ht="12.5" x14ac:dyDescent="0.25">
      <c r="A2227" s="1">
        <v>188</v>
      </c>
      <c r="B2227" s="1" t="s">
        <v>7377</v>
      </c>
      <c r="C2227" s="1" t="s">
        <v>15</v>
      </c>
      <c r="D2227" s="1" t="s">
        <v>15</v>
      </c>
      <c r="E2227" s="1">
        <v>2208</v>
      </c>
      <c r="F2227" s="1" t="s">
        <v>7378</v>
      </c>
      <c r="G2227" s="1" t="s">
        <v>7379</v>
      </c>
      <c r="H2227" s="1" t="s">
        <v>16</v>
      </c>
      <c r="I2227" s="1" t="s">
        <v>20</v>
      </c>
      <c r="J2227" s="1" t="s">
        <v>7380</v>
      </c>
      <c r="K2227" s="1" t="b">
        <v>0</v>
      </c>
      <c r="L2227" s="1" t="s">
        <v>22</v>
      </c>
      <c r="M2227" s="1" t="s">
        <v>16</v>
      </c>
      <c r="N2227" s="1" t="s">
        <v>16</v>
      </c>
      <c r="O2227" s="1" t="s">
        <v>16</v>
      </c>
      <c r="P2227" s="1" t="s">
        <v>16</v>
      </c>
      <c r="Q2227" s="1">
        <v>100</v>
      </c>
    </row>
    <row r="2228" spans="1:17" ht="12.5" x14ac:dyDescent="0.25">
      <c r="A2228" s="1" t="s">
        <v>16</v>
      </c>
      <c r="B2228" s="1" t="s">
        <v>16</v>
      </c>
      <c r="C2228" s="1" t="s">
        <v>16</v>
      </c>
      <c r="D2228" s="1" t="s">
        <v>16</v>
      </c>
      <c r="E2228" s="1">
        <v>2209</v>
      </c>
      <c r="F2228" s="1" t="s">
        <v>7381</v>
      </c>
      <c r="G2228" s="1" t="s">
        <v>7382</v>
      </c>
      <c r="H2228" s="1" t="s">
        <v>16</v>
      </c>
      <c r="I2228" s="1" t="s">
        <v>20</v>
      </c>
      <c r="J2228" s="1" t="s">
        <v>7383</v>
      </c>
      <c r="K2228" s="1" t="b">
        <v>0</v>
      </c>
      <c r="L2228" s="1" t="s">
        <v>22</v>
      </c>
      <c r="M2228" s="1" t="s">
        <v>16</v>
      </c>
      <c r="N2228" s="1" t="s">
        <v>16</v>
      </c>
      <c r="O2228" s="1" t="s">
        <v>16</v>
      </c>
      <c r="P2228" s="1" t="s">
        <v>16</v>
      </c>
    </row>
    <row r="2229" spans="1:17" ht="12.5" x14ac:dyDescent="0.25">
      <c r="A2229" s="1" t="s">
        <v>16</v>
      </c>
      <c r="B2229" s="1" t="s">
        <v>16</v>
      </c>
      <c r="C2229" s="1" t="s">
        <v>16</v>
      </c>
      <c r="D2229" s="1" t="s">
        <v>16</v>
      </c>
      <c r="E2229" s="1">
        <v>2210</v>
      </c>
      <c r="F2229" s="1" t="s">
        <v>7384</v>
      </c>
      <c r="G2229" s="1" t="s">
        <v>7385</v>
      </c>
      <c r="H2229" s="1" t="s">
        <v>16</v>
      </c>
      <c r="I2229" s="1" t="s">
        <v>20</v>
      </c>
      <c r="J2229" s="1" t="s">
        <v>7386</v>
      </c>
      <c r="K2229" s="1" t="b">
        <v>0</v>
      </c>
      <c r="L2229" s="1" t="s">
        <v>22</v>
      </c>
      <c r="M2229" s="1" t="s">
        <v>16</v>
      </c>
      <c r="N2229" s="1" t="s">
        <v>16</v>
      </c>
      <c r="O2229" s="1" t="s">
        <v>16</v>
      </c>
      <c r="P2229" s="1" t="s">
        <v>16</v>
      </c>
    </row>
    <row r="2230" spans="1:17" ht="12.5" x14ac:dyDescent="0.25">
      <c r="A2230" s="1" t="s">
        <v>16</v>
      </c>
      <c r="B2230" s="1" t="s">
        <v>16</v>
      </c>
      <c r="C2230" s="1" t="s">
        <v>16</v>
      </c>
      <c r="D2230" s="1" t="s">
        <v>16</v>
      </c>
      <c r="E2230" s="1">
        <v>2211</v>
      </c>
      <c r="F2230" s="1" t="s">
        <v>7387</v>
      </c>
      <c r="G2230" s="1" t="s">
        <v>7388</v>
      </c>
      <c r="H2230" s="1" t="s">
        <v>16</v>
      </c>
      <c r="I2230" s="1" t="s">
        <v>20</v>
      </c>
      <c r="J2230" s="1" t="s">
        <v>7389</v>
      </c>
      <c r="K2230" s="1" t="b">
        <v>0</v>
      </c>
      <c r="L2230" s="1" t="s">
        <v>22</v>
      </c>
      <c r="M2230" s="1" t="s">
        <v>16</v>
      </c>
      <c r="N2230" s="1" t="s">
        <v>16</v>
      </c>
      <c r="O2230" s="1" t="s">
        <v>16</v>
      </c>
      <c r="P2230" s="1" t="s">
        <v>16</v>
      </c>
    </row>
    <row r="2231" spans="1:17" ht="12.5" x14ac:dyDescent="0.25">
      <c r="A2231" s="1" t="s">
        <v>16</v>
      </c>
      <c r="B2231" s="1" t="s">
        <v>16</v>
      </c>
      <c r="C2231" s="1" t="s">
        <v>16</v>
      </c>
      <c r="D2231" s="1" t="s">
        <v>16</v>
      </c>
      <c r="E2231" s="1">
        <v>2212</v>
      </c>
      <c r="F2231" s="1" t="s">
        <v>7390</v>
      </c>
      <c r="G2231" s="1" t="s">
        <v>7391</v>
      </c>
      <c r="H2231" s="1" t="s">
        <v>16</v>
      </c>
      <c r="I2231" s="1" t="s">
        <v>20</v>
      </c>
      <c r="J2231" s="1" t="s">
        <v>7392</v>
      </c>
      <c r="K2231" s="1" t="b">
        <v>0</v>
      </c>
      <c r="L2231" s="1" t="s">
        <v>22</v>
      </c>
      <c r="M2231" s="1" t="s">
        <v>16</v>
      </c>
      <c r="N2231" s="1" t="s">
        <v>16</v>
      </c>
      <c r="O2231" s="1" t="s">
        <v>16</v>
      </c>
      <c r="P2231" s="1" t="s">
        <v>16</v>
      </c>
    </row>
    <row r="2232" spans="1:17" ht="12.5" x14ac:dyDescent="0.25">
      <c r="A2232" s="1" t="s">
        <v>16</v>
      </c>
      <c r="B2232" s="1" t="s">
        <v>16</v>
      </c>
      <c r="C2232" s="1" t="s">
        <v>16</v>
      </c>
      <c r="D2232" s="1" t="s">
        <v>16</v>
      </c>
      <c r="E2232" s="1">
        <v>2213</v>
      </c>
      <c r="F2232" s="1" t="s">
        <v>7393</v>
      </c>
      <c r="G2232" s="1" t="s">
        <v>7394</v>
      </c>
      <c r="H2232" s="1" t="s">
        <v>16</v>
      </c>
      <c r="I2232" s="1" t="s">
        <v>20</v>
      </c>
      <c r="J2232" s="1" t="s">
        <v>7395</v>
      </c>
      <c r="K2232" s="1" t="b">
        <v>0</v>
      </c>
      <c r="L2232" s="1" t="s">
        <v>22</v>
      </c>
      <c r="M2232" s="1" t="s">
        <v>16</v>
      </c>
      <c r="N2232" s="1" t="s">
        <v>16</v>
      </c>
      <c r="O2232" s="1" t="s">
        <v>16</v>
      </c>
      <c r="P2232" s="1" t="s">
        <v>16</v>
      </c>
    </row>
    <row r="2233" spans="1:17" ht="12.5" x14ac:dyDescent="0.25">
      <c r="A2233" s="1" t="s">
        <v>16</v>
      </c>
      <c r="B2233" s="1" t="s">
        <v>16</v>
      </c>
      <c r="C2233" s="1" t="s">
        <v>16</v>
      </c>
      <c r="D2233" s="1" t="s">
        <v>16</v>
      </c>
      <c r="E2233" s="1">
        <v>2214</v>
      </c>
      <c r="F2233" s="1" t="s">
        <v>7396</v>
      </c>
      <c r="G2233" s="1" t="s">
        <v>7397</v>
      </c>
      <c r="H2233" s="1" t="s">
        <v>16</v>
      </c>
      <c r="I2233" s="1" t="s">
        <v>20</v>
      </c>
      <c r="J2233" s="1" t="s">
        <v>7398</v>
      </c>
      <c r="K2233" s="1" t="b">
        <v>1</v>
      </c>
      <c r="L2233" s="1" t="s">
        <v>31</v>
      </c>
      <c r="M2233" s="1" t="s">
        <v>16</v>
      </c>
      <c r="N2233" s="1" t="s">
        <v>16</v>
      </c>
      <c r="O2233" s="1" t="s">
        <v>16</v>
      </c>
      <c r="P2233" s="1" t="s">
        <v>16</v>
      </c>
    </row>
    <row r="2234" spans="1:17" ht="12.5" x14ac:dyDescent="0.25">
      <c r="A2234" s="1" t="s">
        <v>16</v>
      </c>
      <c r="B2234" s="1" t="s">
        <v>16</v>
      </c>
      <c r="C2234" s="1" t="s">
        <v>16</v>
      </c>
      <c r="D2234" s="1" t="s">
        <v>16</v>
      </c>
      <c r="E2234" s="1">
        <v>2215</v>
      </c>
      <c r="F2234" s="1" t="s">
        <v>7399</v>
      </c>
      <c r="G2234" s="1" t="s">
        <v>7400</v>
      </c>
      <c r="H2234" s="1" t="s">
        <v>16</v>
      </c>
      <c r="I2234" s="1" t="s">
        <v>20</v>
      </c>
      <c r="J2234" s="1" t="s">
        <v>7401</v>
      </c>
      <c r="K2234" s="1" t="b">
        <v>0</v>
      </c>
      <c r="L2234" s="1" t="s">
        <v>22</v>
      </c>
      <c r="M2234" s="1" t="s">
        <v>16</v>
      </c>
      <c r="N2234" s="1" t="s">
        <v>16</v>
      </c>
      <c r="O2234" s="1" t="s">
        <v>16</v>
      </c>
      <c r="P2234" s="1" t="s">
        <v>16</v>
      </c>
    </row>
    <row r="2235" spans="1:17" ht="12.5" x14ac:dyDescent="0.25">
      <c r="A2235" s="1" t="s">
        <v>16</v>
      </c>
      <c r="B2235" s="1" t="s">
        <v>16</v>
      </c>
      <c r="C2235" s="1" t="s">
        <v>16</v>
      </c>
      <c r="D2235" s="1" t="s">
        <v>16</v>
      </c>
      <c r="E2235" s="1">
        <v>2216</v>
      </c>
      <c r="F2235" s="1" t="s">
        <v>7402</v>
      </c>
      <c r="G2235" s="1" t="s">
        <v>7403</v>
      </c>
      <c r="H2235" s="1" t="s">
        <v>16</v>
      </c>
      <c r="I2235" s="1" t="s">
        <v>20</v>
      </c>
      <c r="J2235" s="1" t="s">
        <v>7404</v>
      </c>
      <c r="K2235" s="1" t="b">
        <v>0</v>
      </c>
      <c r="L2235" s="1" t="s">
        <v>22</v>
      </c>
      <c r="M2235" s="1" t="s">
        <v>16</v>
      </c>
      <c r="N2235" s="1" t="s">
        <v>16</v>
      </c>
      <c r="O2235" s="1" t="s">
        <v>16</v>
      </c>
      <c r="P2235" s="1" t="s">
        <v>16</v>
      </c>
    </row>
    <row r="2236" spans="1:17" ht="12.5" x14ac:dyDescent="0.25">
      <c r="A2236" s="1" t="s">
        <v>16</v>
      </c>
      <c r="B2236" s="1" t="s">
        <v>16</v>
      </c>
      <c r="C2236" s="1" t="s">
        <v>16</v>
      </c>
      <c r="D2236" s="1" t="s">
        <v>16</v>
      </c>
      <c r="E2236" s="1">
        <v>2217</v>
      </c>
      <c r="F2236" s="1" t="s">
        <v>7405</v>
      </c>
      <c r="G2236" s="1" t="s">
        <v>7406</v>
      </c>
      <c r="H2236" s="1" t="s">
        <v>16</v>
      </c>
      <c r="I2236" s="1" t="s">
        <v>20</v>
      </c>
      <c r="J2236" s="1" t="s">
        <v>7407</v>
      </c>
      <c r="K2236" s="1" t="b">
        <v>0</v>
      </c>
      <c r="L2236" s="1" t="s">
        <v>22</v>
      </c>
      <c r="M2236" s="1" t="s">
        <v>16</v>
      </c>
      <c r="N2236" s="1" t="s">
        <v>16</v>
      </c>
      <c r="O2236" s="1" t="s">
        <v>16</v>
      </c>
      <c r="P2236" s="1" t="s">
        <v>16</v>
      </c>
    </row>
    <row r="2237" spans="1:17" ht="12.5" x14ac:dyDescent="0.25">
      <c r="A2237" s="1" t="s">
        <v>16</v>
      </c>
      <c r="B2237" s="1" t="s">
        <v>16</v>
      </c>
      <c r="C2237" s="1" t="s">
        <v>16</v>
      </c>
      <c r="D2237" s="1" t="s">
        <v>16</v>
      </c>
      <c r="E2237" s="1">
        <v>2218</v>
      </c>
      <c r="F2237" s="1" t="s">
        <v>7408</v>
      </c>
      <c r="G2237" s="1" t="s">
        <v>7409</v>
      </c>
      <c r="H2237" s="1" t="s">
        <v>16</v>
      </c>
      <c r="I2237" s="1" t="s">
        <v>20</v>
      </c>
      <c r="J2237" s="1" t="s">
        <v>7410</v>
      </c>
      <c r="K2237" s="1" t="b">
        <v>0</v>
      </c>
      <c r="L2237" s="1" t="s">
        <v>22</v>
      </c>
      <c r="M2237" s="1" t="s">
        <v>16</v>
      </c>
      <c r="N2237" s="1" t="s">
        <v>16</v>
      </c>
      <c r="O2237" s="1" t="s">
        <v>16</v>
      </c>
      <c r="P2237" s="1" t="s">
        <v>16</v>
      </c>
    </row>
    <row r="2238" spans="1:17" ht="12.5" x14ac:dyDescent="0.25">
      <c r="A2238" s="1" t="s">
        <v>16</v>
      </c>
      <c r="B2238" s="1" t="s">
        <v>16</v>
      </c>
      <c r="C2238" s="1" t="s">
        <v>16</v>
      </c>
      <c r="D2238" s="1" t="s">
        <v>16</v>
      </c>
      <c r="E2238" s="1">
        <v>2219</v>
      </c>
      <c r="F2238" s="1" t="s">
        <v>7411</v>
      </c>
      <c r="G2238" s="1" t="s">
        <v>7412</v>
      </c>
      <c r="H2238" s="1" t="s">
        <v>16</v>
      </c>
      <c r="I2238" s="1" t="s">
        <v>20</v>
      </c>
      <c r="J2238" s="1" t="s">
        <v>7413</v>
      </c>
      <c r="K2238" s="1" t="b">
        <v>0</v>
      </c>
      <c r="L2238" s="1" t="s">
        <v>22</v>
      </c>
      <c r="M2238" s="1" t="s">
        <v>16</v>
      </c>
      <c r="N2238" s="1" t="s">
        <v>16</v>
      </c>
      <c r="O2238" s="1" t="s">
        <v>16</v>
      </c>
      <c r="P2238" s="1" t="s">
        <v>16</v>
      </c>
    </row>
    <row r="2239" spans="1:17" ht="12.5" x14ac:dyDescent="0.25">
      <c r="A2239" s="1" t="s">
        <v>16</v>
      </c>
      <c r="B2239" s="1" t="s">
        <v>16</v>
      </c>
      <c r="C2239" s="1" t="s">
        <v>16</v>
      </c>
      <c r="D2239" s="1" t="s">
        <v>16</v>
      </c>
      <c r="E2239" s="1">
        <v>2220</v>
      </c>
      <c r="F2239" s="1" t="s">
        <v>7414</v>
      </c>
      <c r="G2239" s="1" t="s">
        <v>7415</v>
      </c>
      <c r="H2239" s="1" t="s">
        <v>16</v>
      </c>
      <c r="I2239" s="1" t="s">
        <v>20</v>
      </c>
      <c r="J2239" s="1" t="s">
        <v>7416</v>
      </c>
      <c r="K2239" s="1" t="b">
        <v>0</v>
      </c>
      <c r="L2239" s="1" t="s">
        <v>22</v>
      </c>
      <c r="M2239" s="1" t="s">
        <v>16</v>
      </c>
      <c r="N2239" s="1" t="s">
        <v>16</v>
      </c>
      <c r="O2239" s="1" t="s">
        <v>16</v>
      </c>
      <c r="P2239" s="1" t="s">
        <v>16</v>
      </c>
    </row>
    <row r="2240" spans="1:17" ht="12.5" x14ac:dyDescent="0.25">
      <c r="A2240" s="1" t="s">
        <v>16</v>
      </c>
      <c r="B2240" s="1" t="s">
        <v>16</v>
      </c>
      <c r="C2240" s="1" t="s">
        <v>16</v>
      </c>
      <c r="D2240" s="1" t="s">
        <v>16</v>
      </c>
      <c r="E2240" s="1">
        <v>2221</v>
      </c>
      <c r="F2240" s="1" t="s">
        <v>7417</v>
      </c>
      <c r="G2240" s="1" t="s">
        <v>7418</v>
      </c>
      <c r="H2240" s="1" t="s">
        <v>16</v>
      </c>
      <c r="I2240" s="1" t="s">
        <v>20</v>
      </c>
      <c r="J2240" s="1" t="s">
        <v>7419</v>
      </c>
      <c r="K2240" s="1" t="b">
        <v>0</v>
      </c>
      <c r="L2240" s="1" t="s">
        <v>22</v>
      </c>
      <c r="M2240" s="1" t="s">
        <v>16</v>
      </c>
      <c r="N2240" s="1" t="s">
        <v>16</v>
      </c>
      <c r="O2240" s="1" t="s">
        <v>16</v>
      </c>
      <c r="P2240" s="1" t="s">
        <v>16</v>
      </c>
    </row>
    <row r="2241" spans="1:19" ht="12.5" x14ac:dyDescent="0.25">
      <c r="A2241" s="1" t="s">
        <v>16</v>
      </c>
      <c r="B2241" s="1" t="s">
        <v>16</v>
      </c>
      <c r="C2241" s="1" t="s">
        <v>16</v>
      </c>
      <c r="D2241" s="1" t="s">
        <v>16</v>
      </c>
      <c r="E2241" s="1">
        <v>2222</v>
      </c>
      <c r="F2241" s="1" t="s">
        <v>7420</v>
      </c>
      <c r="G2241" s="1" t="s">
        <v>7421</v>
      </c>
      <c r="H2241" s="1" t="s">
        <v>16</v>
      </c>
      <c r="I2241" s="1" t="s">
        <v>20</v>
      </c>
      <c r="J2241" s="1" t="s">
        <v>7422</v>
      </c>
      <c r="K2241" s="1" t="b">
        <v>0</v>
      </c>
      <c r="L2241" s="1" t="s">
        <v>22</v>
      </c>
      <c r="M2241" s="1" t="s">
        <v>16</v>
      </c>
      <c r="N2241" s="1" t="s">
        <v>16</v>
      </c>
      <c r="O2241" s="1" t="s">
        <v>16</v>
      </c>
      <c r="P2241" s="1" t="s">
        <v>16</v>
      </c>
    </row>
    <row r="2242" spans="1:19" ht="12.5" x14ac:dyDescent="0.25">
      <c r="A2242" s="1" t="s">
        <v>16</v>
      </c>
      <c r="B2242" s="1" t="s">
        <v>16</v>
      </c>
      <c r="C2242" s="1" t="s">
        <v>16</v>
      </c>
      <c r="D2242" s="1" t="s">
        <v>16</v>
      </c>
      <c r="E2242" s="1">
        <v>2223</v>
      </c>
      <c r="F2242" s="1" t="s">
        <v>7423</v>
      </c>
      <c r="G2242" s="1" t="s">
        <v>7424</v>
      </c>
      <c r="H2242" s="1" t="s">
        <v>16</v>
      </c>
      <c r="I2242" s="1" t="s">
        <v>20</v>
      </c>
      <c r="J2242" s="1" t="s">
        <v>7425</v>
      </c>
      <c r="K2242" s="1" t="b">
        <v>0</v>
      </c>
      <c r="L2242" s="1" t="s">
        <v>22</v>
      </c>
      <c r="M2242" s="1" t="s">
        <v>16</v>
      </c>
      <c r="N2242" s="1" t="s">
        <v>16</v>
      </c>
      <c r="O2242" s="1" t="s">
        <v>16</v>
      </c>
      <c r="P2242" s="1" t="s">
        <v>16</v>
      </c>
    </row>
    <row r="2243" spans="1:19" ht="12.5" x14ac:dyDescent="0.25">
      <c r="A2243" s="1" t="s">
        <v>16</v>
      </c>
      <c r="B2243" s="1" t="s">
        <v>16</v>
      </c>
      <c r="C2243" s="1" t="s">
        <v>16</v>
      </c>
      <c r="D2243" s="1" t="s">
        <v>16</v>
      </c>
      <c r="E2243" s="1">
        <v>2224</v>
      </c>
      <c r="F2243" s="1" t="s">
        <v>7426</v>
      </c>
      <c r="G2243" s="1" t="s">
        <v>7427</v>
      </c>
      <c r="H2243" s="1" t="s">
        <v>16</v>
      </c>
      <c r="I2243" s="1" t="s">
        <v>20</v>
      </c>
      <c r="J2243" s="1" t="s">
        <v>7428</v>
      </c>
      <c r="K2243" s="1" t="b">
        <v>0</v>
      </c>
      <c r="L2243" s="1" t="s">
        <v>22</v>
      </c>
      <c r="M2243" s="1" t="s">
        <v>16</v>
      </c>
      <c r="N2243" s="1" t="s">
        <v>16</v>
      </c>
      <c r="O2243" s="1" t="s">
        <v>16</v>
      </c>
      <c r="P2243" s="1" t="s">
        <v>16</v>
      </c>
    </row>
    <row r="2244" spans="1:19" ht="12.5" x14ac:dyDescent="0.25">
      <c r="A2244" s="1" t="s">
        <v>16</v>
      </c>
      <c r="B2244" s="1" t="s">
        <v>16</v>
      </c>
      <c r="C2244" s="1" t="s">
        <v>16</v>
      </c>
      <c r="D2244" s="1" t="s">
        <v>16</v>
      </c>
      <c r="E2244" s="1">
        <v>2225</v>
      </c>
      <c r="F2244" s="1" t="s">
        <v>7429</v>
      </c>
      <c r="G2244" s="1" t="s">
        <v>7430</v>
      </c>
      <c r="H2244" s="1" t="s">
        <v>16</v>
      </c>
      <c r="I2244" s="1" t="s">
        <v>20</v>
      </c>
      <c r="J2244" s="1" t="s">
        <v>7431</v>
      </c>
      <c r="K2244" s="1" t="b">
        <v>0</v>
      </c>
      <c r="L2244" s="1" t="s">
        <v>22</v>
      </c>
      <c r="M2244" s="1" t="s">
        <v>16</v>
      </c>
      <c r="N2244" s="1" t="s">
        <v>16</v>
      </c>
      <c r="O2244" s="1" t="s">
        <v>16</v>
      </c>
      <c r="P2244" s="1" t="s">
        <v>16</v>
      </c>
    </row>
    <row r="2245" spans="1:19" ht="12.5" x14ac:dyDescent="0.25">
      <c r="A2245" s="1" t="s">
        <v>16</v>
      </c>
      <c r="B2245" s="1" t="s">
        <v>16</v>
      </c>
      <c r="C2245" s="1" t="s">
        <v>16</v>
      </c>
      <c r="D2245" s="1" t="s">
        <v>16</v>
      </c>
      <c r="E2245" s="1">
        <v>2226</v>
      </c>
      <c r="F2245" s="1" t="s">
        <v>7432</v>
      </c>
      <c r="G2245" s="1" t="s">
        <v>7433</v>
      </c>
      <c r="H2245" s="1" t="s">
        <v>16</v>
      </c>
      <c r="I2245" s="1" t="s">
        <v>20</v>
      </c>
      <c r="J2245" s="1" t="s">
        <v>7434</v>
      </c>
      <c r="K2245" s="1" t="b">
        <v>0</v>
      </c>
      <c r="L2245" s="1" t="s">
        <v>22</v>
      </c>
      <c r="M2245" s="1" t="s">
        <v>16</v>
      </c>
      <c r="N2245" s="1" t="s">
        <v>16</v>
      </c>
      <c r="O2245" s="1" t="s">
        <v>16</v>
      </c>
      <c r="P2245" s="1" t="s">
        <v>16</v>
      </c>
    </row>
    <row r="2246" spans="1:19" ht="12.5" x14ac:dyDescent="0.25">
      <c r="A2246" s="1" t="s">
        <v>16</v>
      </c>
      <c r="B2246" s="1" t="s">
        <v>16</v>
      </c>
      <c r="C2246" s="1" t="s">
        <v>16</v>
      </c>
      <c r="D2246" s="1" t="s">
        <v>16</v>
      </c>
      <c r="E2246" s="1">
        <v>2227</v>
      </c>
      <c r="F2246" s="1" t="s">
        <v>7435</v>
      </c>
      <c r="G2246" s="1" t="s">
        <v>7436</v>
      </c>
      <c r="H2246" s="1" t="s">
        <v>16</v>
      </c>
      <c r="I2246" s="1" t="s">
        <v>20</v>
      </c>
      <c r="J2246" s="1" t="s">
        <v>7437</v>
      </c>
      <c r="K2246" s="1" t="b">
        <v>0</v>
      </c>
      <c r="L2246" s="1" t="s">
        <v>22</v>
      </c>
      <c r="M2246" s="1" t="s">
        <v>16</v>
      </c>
      <c r="N2246" s="1" t="s">
        <v>16</v>
      </c>
      <c r="O2246" s="1" t="s">
        <v>16</v>
      </c>
      <c r="P2246" s="1" t="s">
        <v>16</v>
      </c>
    </row>
    <row r="2247" spans="1:19" ht="12.5" x14ac:dyDescent="0.25">
      <c r="A2247" s="1" t="s">
        <v>16</v>
      </c>
      <c r="B2247" s="1" t="s">
        <v>16</v>
      </c>
      <c r="C2247" s="1" t="s">
        <v>16</v>
      </c>
      <c r="D2247" s="1" t="s">
        <v>16</v>
      </c>
      <c r="E2247" s="1">
        <v>2228</v>
      </c>
      <c r="F2247" s="1" t="s">
        <v>7438</v>
      </c>
      <c r="G2247" s="1" t="s">
        <v>7439</v>
      </c>
      <c r="H2247" s="1" t="s">
        <v>16</v>
      </c>
      <c r="I2247" s="1" t="s">
        <v>20</v>
      </c>
      <c r="J2247" s="1" t="s">
        <v>7440</v>
      </c>
      <c r="K2247" s="1" t="b">
        <v>0</v>
      </c>
      <c r="L2247" s="1" t="s">
        <v>22</v>
      </c>
      <c r="M2247" s="1" t="s">
        <v>16</v>
      </c>
      <c r="N2247" s="1" t="s">
        <v>16</v>
      </c>
      <c r="O2247" s="1" t="s">
        <v>16</v>
      </c>
      <c r="P2247" s="1" t="s">
        <v>16</v>
      </c>
    </row>
    <row r="2248" spans="1:19" ht="12.5" x14ac:dyDescent="0.25">
      <c r="A2248" s="1" t="s">
        <v>16</v>
      </c>
      <c r="B2248" s="1" t="s">
        <v>16</v>
      </c>
      <c r="C2248" s="1" t="s">
        <v>16</v>
      </c>
      <c r="D2248" s="1" t="s">
        <v>16</v>
      </c>
      <c r="E2248" s="1">
        <v>2229</v>
      </c>
      <c r="F2248" s="1" t="s">
        <v>7441</v>
      </c>
      <c r="G2248" s="1" t="s">
        <v>7442</v>
      </c>
      <c r="H2248" s="1" t="s">
        <v>16</v>
      </c>
      <c r="I2248" s="1" t="s">
        <v>20</v>
      </c>
      <c r="J2248" s="1" t="s">
        <v>7443</v>
      </c>
      <c r="K2248" s="1" t="b">
        <v>0</v>
      </c>
      <c r="L2248" s="1" t="s">
        <v>22</v>
      </c>
      <c r="M2248" s="1" t="s">
        <v>16</v>
      </c>
      <c r="N2248" s="1" t="s">
        <v>16</v>
      </c>
      <c r="O2248" s="1" t="s">
        <v>16</v>
      </c>
      <c r="P2248" s="1" t="s">
        <v>16</v>
      </c>
    </row>
    <row r="2249" spans="1:19" ht="12.5" x14ac:dyDescent="0.25">
      <c r="A2249" s="1" t="s">
        <v>16</v>
      </c>
      <c r="B2249" s="1" t="s">
        <v>16</v>
      </c>
      <c r="C2249" s="1" t="s">
        <v>16</v>
      </c>
      <c r="D2249" s="1" t="s">
        <v>16</v>
      </c>
      <c r="E2249" s="1">
        <v>2230</v>
      </c>
      <c r="F2249" s="1" t="s">
        <v>7444</v>
      </c>
      <c r="G2249" s="1" t="s">
        <v>7445</v>
      </c>
      <c r="H2249" s="1" t="s">
        <v>16</v>
      </c>
      <c r="I2249" s="1" t="s">
        <v>20</v>
      </c>
      <c r="J2249" s="1" t="s">
        <v>7446</v>
      </c>
      <c r="K2249" s="1" t="b">
        <v>0</v>
      </c>
      <c r="L2249" s="1" t="s">
        <v>22</v>
      </c>
      <c r="M2249" s="1" t="s">
        <v>16</v>
      </c>
      <c r="N2249" s="1" t="s">
        <v>16</v>
      </c>
      <c r="O2249" s="1" t="s">
        <v>16</v>
      </c>
      <c r="P2249" s="1" t="s">
        <v>16</v>
      </c>
    </row>
    <row r="2250" spans="1:19" ht="12.5" x14ac:dyDescent="0.25">
      <c r="A2250" s="1" t="s">
        <v>16</v>
      </c>
      <c r="B2250" s="1" t="s">
        <v>16</v>
      </c>
      <c r="C2250" s="1" t="s">
        <v>16</v>
      </c>
      <c r="D2250" s="1" t="s">
        <v>16</v>
      </c>
      <c r="E2250" s="1">
        <v>2231</v>
      </c>
      <c r="F2250" s="1" t="s">
        <v>7447</v>
      </c>
      <c r="G2250" s="1" t="s">
        <v>7448</v>
      </c>
      <c r="H2250" s="1" t="s">
        <v>7449</v>
      </c>
      <c r="I2250" s="1" t="s">
        <v>20</v>
      </c>
      <c r="J2250" s="1" t="s">
        <v>7450</v>
      </c>
      <c r="K2250" s="1" t="b">
        <v>0</v>
      </c>
      <c r="L2250" s="1" t="s">
        <v>22</v>
      </c>
      <c r="M2250" s="1">
        <v>2023</v>
      </c>
      <c r="N2250" s="1" t="s">
        <v>32</v>
      </c>
      <c r="O2250" s="1" t="s">
        <v>9956</v>
      </c>
      <c r="P2250" s="1" t="s">
        <v>10082</v>
      </c>
      <c r="R2250" s="1">
        <v>3000000</v>
      </c>
    </row>
    <row r="2251" spans="1:19" ht="12.5" x14ac:dyDescent="0.25">
      <c r="A2251" s="1" t="s">
        <v>16</v>
      </c>
      <c r="B2251" s="1" t="s">
        <v>16</v>
      </c>
      <c r="C2251" s="1" t="s">
        <v>16</v>
      </c>
      <c r="D2251" s="1" t="s">
        <v>16</v>
      </c>
      <c r="E2251" s="1">
        <v>2231</v>
      </c>
      <c r="F2251" s="1" t="s">
        <v>7447</v>
      </c>
      <c r="G2251" s="1" t="s">
        <v>7448</v>
      </c>
      <c r="H2251" s="1" t="s">
        <v>7449</v>
      </c>
      <c r="I2251" s="1" t="s">
        <v>20</v>
      </c>
      <c r="J2251" s="1" t="s">
        <v>7450</v>
      </c>
      <c r="K2251" s="1" t="b">
        <v>0</v>
      </c>
      <c r="L2251" s="1" t="s">
        <v>22</v>
      </c>
      <c r="M2251" s="1">
        <v>2023</v>
      </c>
      <c r="N2251" s="1" t="s">
        <v>16</v>
      </c>
      <c r="O2251" s="1" t="s">
        <v>9935</v>
      </c>
      <c r="P2251" s="1" t="s">
        <v>10083</v>
      </c>
      <c r="R2251" s="1">
        <v>2500000</v>
      </c>
    </row>
    <row r="2252" spans="1:19" ht="12.5" x14ac:dyDescent="0.25">
      <c r="A2252" s="1" t="s">
        <v>16</v>
      </c>
      <c r="B2252" s="1" t="s">
        <v>16</v>
      </c>
      <c r="C2252" s="1" t="s">
        <v>16</v>
      </c>
      <c r="D2252" s="1" t="s">
        <v>16</v>
      </c>
      <c r="E2252" s="1">
        <v>2232</v>
      </c>
      <c r="F2252" s="1" t="s">
        <v>7451</v>
      </c>
      <c r="G2252" s="1" t="s">
        <v>7452</v>
      </c>
      <c r="H2252" s="1" t="s">
        <v>16</v>
      </c>
      <c r="I2252" s="1" t="s">
        <v>20</v>
      </c>
      <c r="J2252" s="1" t="s">
        <v>7453</v>
      </c>
      <c r="K2252" s="1" t="b">
        <v>1</v>
      </c>
      <c r="L2252" s="1" t="s">
        <v>31</v>
      </c>
      <c r="M2252" s="1" t="s">
        <v>16</v>
      </c>
      <c r="N2252" s="1" t="s">
        <v>16</v>
      </c>
      <c r="O2252" s="1" t="s">
        <v>16</v>
      </c>
      <c r="P2252" s="1" t="s">
        <v>16</v>
      </c>
    </row>
    <row r="2253" spans="1:19" ht="12.5" x14ac:dyDescent="0.25">
      <c r="A2253" s="1">
        <v>2235</v>
      </c>
      <c r="B2253" s="1" t="s">
        <v>7454</v>
      </c>
      <c r="C2253" s="1" t="s">
        <v>38</v>
      </c>
      <c r="D2253" s="1" t="s">
        <v>5701</v>
      </c>
      <c r="E2253" s="1">
        <v>2233</v>
      </c>
      <c r="F2253" s="1" t="s">
        <v>7455</v>
      </c>
      <c r="G2253" s="1" t="s">
        <v>7456</v>
      </c>
      <c r="H2253" s="1" t="s">
        <v>7456</v>
      </c>
      <c r="I2253" s="1" t="s">
        <v>29</v>
      </c>
      <c r="J2253" s="1" t="s">
        <v>16</v>
      </c>
      <c r="K2253" s="1" t="b">
        <v>0</v>
      </c>
      <c r="L2253" s="1" t="s">
        <v>22</v>
      </c>
      <c r="M2253" s="1">
        <v>2022</v>
      </c>
      <c r="N2253" s="1" t="s">
        <v>23</v>
      </c>
      <c r="O2253" s="1" t="s">
        <v>9935</v>
      </c>
      <c r="P2253" s="1" t="s">
        <v>16</v>
      </c>
      <c r="Q2253" s="1">
        <v>100</v>
      </c>
      <c r="R2253" s="1">
        <v>15000</v>
      </c>
      <c r="S2253" s="1">
        <v>15000</v>
      </c>
    </row>
    <row r="2254" spans="1:19" ht="12.5" x14ac:dyDescent="0.25">
      <c r="A2254" s="1" t="s">
        <v>16</v>
      </c>
      <c r="B2254" s="1" t="s">
        <v>16</v>
      </c>
      <c r="C2254" s="1" t="s">
        <v>16</v>
      </c>
      <c r="D2254" s="1" t="s">
        <v>16</v>
      </c>
      <c r="E2254" s="1">
        <v>2234</v>
      </c>
      <c r="F2254" s="1" t="s">
        <v>7457</v>
      </c>
      <c r="G2254" s="1" t="s">
        <v>7458</v>
      </c>
      <c r="H2254" s="1" t="s">
        <v>16</v>
      </c>
      <c r="I2254" s="1" t="s">
        <v>20</v>
      </c>
      <c r="J2254" s="1" t="s">
        <v>7459</v>
      </c>
      <c r="K2254" s="1" t="b">
        <v>0</v>
      </c>
      <c r="L2254" s="1" t="s">
        <v>22</v>
      </c>
      <c r="M2254" s="1" t="s">
        <v>16</v>
      </c>
      <c r="N2254" s="1" t="s">
        <v>16</v>
      </c>
      <c r="O2254" s="1" t="s">
        <v>16</v>
      </c>
      <c r="P2254" s="1" t="s">
        <v>16</v>
      </c>
    </row>
    <row r="2255" spans="1:19" ht="12.5" x14ac:dyDescent="0.25">
      <c r="A2255" s="1" t="s">
        <v>16</v>
      </c>
      <c r="B2255" s="1" t="s">
        <v>16</v>
      </c>
      <c r="C2255" s="1" t="s">
        <v>16</v>
      </c>
      <c r="D2255" s="1" t="s">
        <v>16</v>
      </c>
      <c r="E2255" s="1">
        <v>2235</v>
      </c>
      <c r="F2255" s="1" t="s">
        <v>7460</v>
      </c>
      <c r="G2255" s="1" t="s">
        <v>7461</v>
      </c>
      <c r="H2255" s="1" t="s">
        <v>16</v>
      </c>
      <c r="I2255" s="1" t="s">
        <v>20</v>
      </c>
      <c r="J2255" s="1" t="s">
        <v>7462</v>
      </c>
      <c r="K2255" s="1" t="b">
        <v>0</v>
      </c>
      <c r="L2255" s="1" t="s">
        <v>22</v>
      </c>
      <c r="M2255" s="1" t="s">
        <v>16</v>
      </c>
      <c r="N2255" s="1" t="s">
        <v>16</v>
      </c>
      <c r="O2255" s="1" t="s">
        <v>16</v>
      </c>
      <c r="P2255" s="1" t="s">
        <v>16</v>
      </c>
    </row>
    <row r="2256" spans="1:19" ht="12.5" x14ac:dyDescent="0.25">
      <c r="A2256" s="1" t="s">
        <v>16</v>
      </c>
      <c r="B2256" s="1" t="s">
        <v>16</v>
      </c>
      <c r="C2256" s="1" t="s">
        <v>16</v>
      </c>
      <c r="D2256" s="1" t="s">
        <v>16</v>
      </c>
      <c r="E2256" s="1">
        <v>2236</v>
      </c>
      <c r="F2256" s="1" t="s">
        <v>7463</v>
      </c>
      <c r="G2256" s="1" t="s">
        <v>7464</v>
      </c>
      <c r="H2256" s="1" t="s">
        <v>16</v>
      </c>
      <c r="I2256" s="1" t="s">
        <v>20</v>
      </c>
      <c r="J2256" s="1" t="s">
        <v>7465</v>
      </c>
      <c r="K2256" s="1" t="b">
        <v>1</v>
      </c>
      <c r="L2256" s="1" t="s">
        <v>31</v>
      </c>
      <c r="M2256" s="1" t="s">
        <v>16</v>
      </c>
      <c r="N2256" s="1" t="s">
        <v>16</v>
      </c>
      <c r="O2256" s="1" t="s">
        <v>16</v>
      </c>
      <c r="P2256" s="1" t="s">
        <v>16</v>
      </c>
    </row>
    <row r="2257" spans="1:19" ht="12.5" x14ac:dyDescent="0.25">
      <c r="A2257" s="1">
        <v>827</v>
      </c>
      <c r="B2257" s="1" t="s">
        <v>7466</v>
      </c>
      <c r="C2257" s="1" t="s">
        <v>35</v>
      </c>
      <c r="D2257" s="1" t="s">
        <v>36</v>
      </c>
      <c r="E2257" s="1">
        <v>2237</v>
      </c>
      <c r="F2257" s="1" t="s">
        <v>7467</v>
      </c>
      <c r="G2257" s="1" t="s">
        <v>7468</v>
      </c>
      <c r="H2257" s="1" t="s">
        <v>7469</v>
      </c>
      <c r="I2257" s="1" t="s">
        <v>29</v>
      </c>
      <c r="J2257" s="1" t="s">
        <v>7470</v>
      </c>
      <c r="K2257" s="1" t="b">
        <v>1</v>
      </c>
      <c r="L2257" s="1" t="s">
        <v>31</v>
      </c>
      <c r="M2257" s="1">
        <v>2022</v>
      </c>
      <c r="N2257" s="1" t="s">
        <v>52</v>
      </c>
      <c r="O2257" s="1" t="s">
        <v>9935</v>
      </c>
      <c r="P2257" s="1" t="s">
        <v>16</v>
      </c>
      <c r="Q2257" s="1">
        <v>100</v>
      </c>
      <c r="R2257" s="1">
        <v>50000</v>
      </c>
      <c r="S2257" s="1">
        <v>50000</v>
      </c>
    </row>
    <row r="2258" spans="1:19" ht="12.5" x14ac:dyDescent="0.25">
      <c r="A2258" s="1" t="s">
        <v>16</v>
      </c>
      <c r="B2258" s="1" t="s">
        <v>16</v>
      </c>
      <c r="C2258" s="1" t="s">
        <v>16</v>
      </c>
      <c r="D2258" s="1" t="s">
        <v>16</v>
      </c>
      <c r="E2258" s="1">
        <v>2238</v>
      </c>
      <c r="F2258" s="1" t="s">
        <v>7471</v>
      </c>
      <c r="G2258" s="1" t="s">
        <v>7472</v>
      </c>
      <c r="H2258" s="1" t="s">
        <v>16</v>
      </c>
      <c r="I2258" s="1" t="s">
        <v>20</v>
      </c>
      <c r="J2258" s="1" t="s">
        <v>7473</v>
      </c>
      <c r="K2258" s="1" t="b">
        <v>0</v>
      </c>
      <c r="L2258" s="1" t="s">
        <v>22</v>
      </c>
      <c r="M2258" s="1" t="s">
        <v>16</v>
      </c>
      <c r="N2258" s="1" t="s">
        <v>16</v>
      </c>
      <c r="O2258" s="1" t="s">
        <v>16</v>
      </c>
      <c r="P2258" s="1" t="s">
        <v>16</v>
      </c>
    </row>
    <row r="2259" spans="1:19" ht="12.5" x14ac:dyDescent="0.25">
      <c r="A2259" s="1" t="s">
        <v>16</v>
      </c>
      <c r="B2259" s="1" t="s">
        <v>16</v>
      </c>
      <c r="C2259" s="1" t="s">
        <v>16</v>
      </c>
      <c r="D2259" s="1" t="s">
        <v>16</v>
      </c>
      <c r="E2259" s="1">
        <v>2239</v>
      </c>
      <c r="F2259" s="1" t="s">
        <v>7474</v>
      </c>
      <c r="G2259" s="1" t="s">
        <v>7475</v>
      </c>
      <c r="H2259" s="1" t="s">
        <v>16</v>
      </c>
      <c r="I2259" s="1" t="s">
        <v>20</v>
      </c>
      <c r="J2259" s="1" t="s">
        <v>7476</v>
      </c>
      <c r="K2259" s="1" t="b">
        <v>0</v>
      </c>
      <c r="L2259" s="1" t="s">
        <v>22</v>
      </c>
      <c r="M2259" s="1" t="s">
        <v>16</v>
      </c>
      <c r="N2259" s="1" t="s">
        <v>16</v>
      </c>
      <c r="O2259" s="1" t="s">
        <v>16</v>
      </c>
      <c r="P2259" s="1" t="s">
        <v>16</v>
      </c>
    </row>
    <row r="2260" spans="1:19" ht="12.5" x14ac:dyDescent="0.25">
      <c r="A2260" s="1" t="s">
        <v>16</v>
      </c>
      <c r="B2260" s="1" t="s">
        <v>16</v>
      </c>
      <c r="C2260" s="1" t="s">
        <v>16</v>
      </c>
      <c r="D2260" s="1" t="s">
        <v>16</v>
      </c>
      <c r="E2260" s="1">
        <v>2240</v>
      </c>
      <c r="F2260" s="1" t="s">
        <v>7477</v>
      </c>
      <c r="G2260" s="1" t="s">
        <v>7478</v>
      </c>
      <c r="H2260" s="1" t="s">
        <v>16</v>
      </c>
      <c r="I2260" s="1" t="s">
        <v>20</v>
      </c>
      <c r="J2260" s="1" t="s">
        <v>7479</v>
      </c>
      <c r="K2260" s="1" t="b">
        <v>0</v>
      </c>
      <c r="L2260" s="1" t="s">
        <v>22</v>
      </c>
      <c r="M2260" s="1" t="s">
        <v>16</v>
      </c>
      <c r="N2260" s="1" t="s">
        <v>16</v>
      </c>
      <c r="O2260" s="1" t="s">
        <v>16</v>
      </c>
      <c r="P2260" s="1" t="s">
        <v>16</v>
      </c>
    </row>
    <row r="2261" spans="1:19" ht="12.5" x14ac:dyDescent="0.25">
      <c r="A2261" s="1" t="s">
        <v>16</v>
      </c>
      <c r="B2261" s="1" t="s">
        <v>16</v>
      </c>
      <c r="C2261" s="1" t="s">
        <v>16</v>
      </c>
      <c r="D2261" s="1" t="s">
        <v>16</v>
      </c>
      <c r="E2261" s="1">
        <v>2241</v>
      </c>
      <c r="F2261" s="1" t="s">
        <v>7480</v>
      </c>
      <c r="G2261" s="1" t="s">
        <v>7481</v>
      </c>
      <c r="H2261" s="1" t="s">
        <v>16</v>
      </c>
      <c r="I2261" s="1" t="s">
        <v>20</v>
      </c>
      <c r="J2261" s="1" t="s">
        <v>7482</v>
      </c>
      <c r="K2261" s="1" t="b">
        <v>0</v>
      </c>
      <c r="L2261" s="1" t="s">
        <v>22</v>
      </c>
      <c r="M2261" s="1" t="s">
        <v>16</v>
      </c>
      <c r="N2261" s="1" t="s">
        <v>16</v>
      </c>
      <c r="O2261" s="1" t="s">
        <v>16</v>
      </c>
      <c r="P2261" s="1" t="s">
        <v>16</v>
      </c>
    </row>
    <row r="2262" spans="1:19" ht="12.5" x14ac:dyDescent="0.25">
      <c r="A2262" s="1">
        <v>1781</v>
      </c>
      <c r="B2262" s="1" t="s">
        <v>7483</v>
      </c>
      <c r="C2262" s="1" t="s">
        <v>35</v>
      </c>
      <c r="D2262" s="1" t="s">
        <v>5409</v>
      </c>
      <c r="E2262" s="1">
        <v>2242</v>
      </c>
      <c r="F2262" s="1" t="s">
        <v>7484</v>
      </c>
      <c r="G2262" s="1" t="s">
        <v>7485</v>
      </c>
      <c r="H2262" s="1" t="s">
        <v>7486</v>
      </c>
      <c r="I2262" s="1" t="s">
        <v>29</v>
      </c>
      <c r="J2262" s="1" t="s">
        <v>7487</v>
      </c>
      <c r="K2262" s="1" t="b">
        <v>1</v>
      </c>
      <c r="L2262" s="1" t="s">
        <v>31</v>
      </c>
      <c r="M2262" s="1">
        <v>2022</v>
      </c>
      <c r="N2262" s="1" t="s">
        <v>45</v>
      </c>
      <c r="O2262" s="1" t="s">
        <v>9935</v>
      </c>
      <c r="P2262" s="1"/>
      <c r="Q2262" s="1">
        <v>100</v>
      </c>
      <c r="R2262" s="1">
        <v>115000</v>
      </c>
      <c r="S2262" s="1">
        <v>115000</v>
      </c>
    </row>
    <row r="2263" spans="1:19" ht="12.5" x14ac:dyDescent="0.25">
      <c r="A2263" s="1">
        <v>1567</v>
      </c>
      <c r="B2263" s="1" t="s">
        <v>5127</v>
      </c>
      <c r="C2263" s="1" t="s">
        <v>35</v>
      </c>
      <c r="D2263" s="1" t="s">
        <v>152</v>
      </c>
      <c r="E2263" s="1">
        <v>2243</v>
      </c>
      <c r="F2263" s="1" t="s">
        <v>7488</v>
      </c>
      <c r="G2263" s="1" t="s">
        <v>7489</v>
      </c>
      <c r="H2263" s="1" t="s">
        <v>7490</v>
      </c>
      <c r="I2263" s="1" t="s">
        <v>29</v>
      </c>
      <c r="J2263" s="1" t="s">
        <v>7491</v>
      </c>
      <c r="K2263" s="1" t="b">
        <v>0</v>
      </c>
      <c r="L2263" s="1" t="s">
        <v>22</v>
      </c>
      <c r="M2263" s="1">
        <v>2022</v>
      </c>
      <c r="N2263" s="1" t="s">
        <v>45</v>
      </c>
      <c r="O2263" s="1" t="s">
        <v>9956</v>
      </c>
      <c r="P2263" s="1" t="s">
        <v>10084</v>
      </c>
      <c r="Q2263" s="1">
        <v>100</v>
      </c>
      <c r="R2263" s="1">
        <v>33200</v>
      </c>
      <c r="S2263" s="1">
        <v>33200</v>
      </c>
    </row>
    <row r="2264" spans="1:19" ht="12.5" x14ac:dyDescent="0.25">
      <c r="A2264" s="1">
        <v>1778</v>
      </c>
      <c r="B2264" s="1" t="s">
        <v>7492</v>
      </c>
      <c r="C2264" s="1" t="s">
        <v>35</v>
      </c>
      <c r="D2264" s="1" t="s">
        <v>5409</v>
      </c>
      <c r="E2264" s="1">
        <v>2244</v>
      </c>
      <c r="F2264" s="1" t="s">
        <v>7493</v>
      </c>
      <c r="G2264" s="1" t="s">
        <v>7494</v>
      </c>
      <c r="H2264" s="1" t="s">
        <v>7495</v>
      </c>
      <c r="I2264" s="1" t="s">
        <v>29</v>
      </c>
      <c r="J2264" s="1" t="s">
        <v>7496</v>
      </c>
      <c r="K2264" s="1" t="b">
        <v>1</v>
      </c>
      <c r="L2264" s="1" t="s">
        <v>31</v>
      </c>
      <c r="M2264" s="1">
        <v>2022</v>
      </c>
      <c r="N2264" s="1" t="s">
        <v>45</v>
      </c>
      <c r="O2264" s="1" t="s">
        <v>9935</v>
      </c>
      <c r="P2264" s="1" t="s">
        <v>16</v>
      </c>
      <c r="Q2264" s="1">
        <v>100</v>
      </c>
      <c r="R2264" s="1">
        <v>210000</v>
      </c>
      <c r="S2264" s="1">
        <v>210000</v>
      </c>
    </row>
    <row r="2265" spans="1:19" ht="12.5" x14ac:dyDescent="0.25">
      <c r="A2265" s="1">
        <v>2215</v>
      </c>
      <c r="B2265" s="1" t="s">
        <v>7497</v>
      </c>
      <c r="C2265" s="1" t="s">
        <v>35</v>
      </c>
      <c r="D2265" s="1" t="s">
        <v>5409</v>
      </c>
      <c r="E2265" s="1">
        <v>2245</v>
      </c>
      <c r="F2265" s="1" t="s">
        <v>7498</v>
      </c>
      <c r="G2265" s="1" t="s">
        <v>7499</v>
      </c>
      <c r="H2265" s="1" t="s">
        <v>7500</v>
      </c>
      <c r="I2265" s="1" t="s">
        <v>29</v>
      </c>
      <c r="J2265" s="1" t="s">
        <v>7501</v>
      </c>
      <c r="K2265" s="1" t="b">
        <v>1</v>
      </c>
      <c r="L2265" s="1" t="s">
        <v>31</v>
      </c>
      <c r="M2265" s="1">
        <v>2022</v>
      </c>
      <c r="N2265" s="1" t="s">
        <v>45</v>
      </c>
      <c r="O2265" s="1" t="s">
        <v>9935</v>
      </c>
      <c r="P2265" s="1" t="s">
        <v>16</v>
      </c>
      <c r="Q2265" s="1">
        <v>100</v>
      </c>
      <c r="R2265" s="1">
        <v>120000</v>
      </c>
      <c r="S2265" s="1">
        <v>120000</v>
      </c>
    </row>
    <row r="2266" spans="1:19" ht="12.5" x14ac:dyDescent="0.25">
      <c r="A2266" s="1">
        <v>2214</v>
      </c>
      <c r="B2266" s="1" t="s">
        <v>7502</v>
      </c>
      <c r="C2266" s="1" t="s">
        <v>35</v>
      </c>
      <c r="D2266" s="1" t="s">
        <v>5409</v>
      </c>
      <c r="E2266" s="1">
        <v>2246</v>
      </c>
      <c r="F2266" s="1" t="s">
        <v>7503</v>
      </c>
      <c r="G2266" s="1" t="s">
        <v>7504</v>
      </c>
      <c r="H2266" s="1" t="s">
        <v>7505</v>
      </c>
      <c r="I2266" s="1" t="s">
        <v>29</v>
      </c>
      <c r="J2266" s="1" t="s">
        <v>7506</v>
      </c>
      <c r="K2266" s="1" t="b">
        <v>1</v>
      </c>
      <c r="L2266" s="1" t="s">
        <v>31</v>
      </c>
      <c r="M2266" s="1">
        <v>2022</v>
      </c>
      <c r="N2266" s="1" t="s">
        <v>45</v>
      </c>
      <c r="O2266" s="1" t="s">
        <v>9935</v>
      </c>
      <c r="P2266" s="1" t="s">
        <v>16</v>
      </c>
      <c r="Q2266" s="1">
        <v>100</v>
      </c>
      <c r="R2266" s="1">
        <v>200000</v>
      </c>
      <c r="S2266" s="1">
        <v>200000</v>
      </c>
    </row>
    <row r="2267" spans="1:19" ht="12.5" x14ac:dyDescent="0.25">
      <c r="A2267" s="1">
        <v>816</v>
      </c>
      <c r="B2267" s="1" t="s">
        <v>7507</v>
      </c>
      <c r="C2267" s="1" t="s">
        <v>35</v>
      </c>
      <c r="D2267" s="1" t="s">
        <v>36</v>
      </c>
      <c r="E2267" s="1">
        <v>2247</v>
      </c>
      <c r="F2267" s="1" t="s">
        <v>7508</v>
      </c>
      <c r="G2267" s="1" t="s">
        <v>7509</v>
      </c>
      <c r="H2267" s="1" t="s">
        <v>7510</v>
      </c>
      <c r="I2267" s="1" t="s">
        <v>29</v>
      </c>
      <c r="J2267" s="1" t="s">
        <v>16</v>
      </c>
      <c r="K2267" s="1" t="b">
        <v>0</v>
      </c>
      <c r="L2267" s="1" t="s">
        <v>22</v>
      </c>
      <c r="M2267" s="1" t="s">
        <v>16</v>
      </c>
      <c r="N2267" s="1" t="s">
        <v>16</v>
      </c>
      <c r="O2267" s="1" t="s">
        <v>16</v>
      </c>
      <c r="P2267" s="1" t="s">
        <v>16</v>
      </c>
      <c r="Q2267" s="1">
        <v>100</v>
      </c>
    </row>
    <row r="2268" spans="1:19" ht="12.5" x14ac:dyDescent="0.25">
      <c r="A2268" s="1">
        <v>1433</v>
      </c>
      <c r="B2268" s="1" t="s">
        <v>4745</v>
      </c>
      <c r="C2268" s="1" t="s">
        <v>35</v>
      </c>
      <c r="D2268" s="1" t="s">
        <v>152</v>
      </c>
      <c r="E2268" s="1">
        <v>2248</v>
      </c>
      <c r="F2268" s="1" t="s">
        <v>7511</v>
      </c>
      <c r="G2268" s="1" t="s">
        <v>7512</v>
      </c>
      <c r="H2268" s="1" t="s">
        <v>16</v>
      </c>
      <c r="I2268" s="1" t="s">
        <v>29</v>
      </c>
      <c r="J2268" s="1" t="s">
        <v>7513</v>
      </c>
      <c r="K2268" s="1" t="b">
        <v>0</v>
      </c>
      <c r="L2268" s="1" t="s">
        <v>22</v>
      </c>
      <c r="M2268" s="1">
        <v>2022</v>
      </c>
      <c r="N2268" s="1" t="s">
        <v>16</v>
      </c>
      <c r="O2268" s="1" t="s">
        <v>9956</v>
      </c>
      <c r="P2268" s="1" t="s">
        <v>16</v>
      </c>
      <c r="Q2268" s="1">
        <v>100</v>
      </c>
      <c r="R2268" s="1">
        <v>30000</v>
      </c>
      <c r="S2268" s="1">
        <v>30000</v>
      </c>
    </row>
    <row r="2269" spans="1:19" ht="12.5" x14ac:dyDescent="0.25">
      <c r="A2269" s="1">
        <v>1211</v>
      </c>
      <c r="B2269" s="1" t="s">
        <v>7514</v>
      </c>
      <c r="C2269" s="1" t="s">
        <v>35</v>
      </c>
      <c r="D2269" s="1" t="s">
        <v>152</v>
      </c>
      <c r="E2269" s="1">
        <v>2249</v>
      </c>
      <c r="F2269" s="1" t="s">
        <v>7516</v>
      </c>
      <c r="G2269" s="1" t="s">
        <v>7517</v>
      </c>
      <c r="H2269" s="1" t="s">
        <v>7518</v>
      </c>
      <c r="I2269" s="1" t="s">
        <v>29</v>
      </c>
      <c r="J2269" s="1" t="s">
        <v>16</v>
      </c>
      <c r="K2269" s="1" t="b">
        <v>0</v>
      </c>
      <c r="L2269" s="1" t="s">
        <v>22</v>
      </c>
      <c r="M2269" s="1" t="s">
        <v>16</v>
      </c>
      <c r="N2269" s="1" t="s">
        <v>16</v>
      </c>
      <c r="O2269" s="1" t="s">
        <v>16</v>
      </c>
      <c r="P2269" s="1" t="s">
        <v>16</v>
      </c>
      <c r="Q2269" s="1">
        <v>100</v>
      </c>
    </row>
    <row r="2270" spans="1:19" ht="12.5" x14ac:dyDescent="0.25">
      <c r="A2270" s="1" t="s">
        <v>16</v>
      </c>
      <c r="B2270" s="1" t="s">
        <v>16</v>
      </c>
      <c r="C2270" s="1" t="s">
        <v>16</v>
      </c>
      <c r="D2270" s="1" t="s">
        <v>16</v>
      </c>
      <c r="E2270" s="1">
        <v>2250</v>
      </c>
      <c r="F2270" s="1" t="s">
        <v>7519</v>
      </c>
      <c r="G2270" s="1" t="s">
        <v>7520</v>
      </c>
      <c r="H2270" s="1" t="s">
        <v>16</v>
      </c>
      <c r="I2270" s="1" t="s">
        <v>20</v>
      </c>
      <c r="J2270" s="1" t="s">
        <v>7521</v>
      </c>
      <c r="K2270" s="1" t="b">
        <v>0</v>
      </c>
      <c r="L2270" s="1" t="s">
        <v>22</v>
      </c>
      <c r="M2270" s="1" t="s">
        <v>16</v>
      </c>
      <c r="N2270" s="1" t="s">
        <v>16</v>
      </c>
      <c r="O2270" s="1" t="s">
        <v>16</v>
      </c>
      <c r="P2270" s="1" t="s">
        <v>16</v>
      </c>
    </row>
    <row r="2271" spans="1:19" ht="12.5" x14ac:dyDescent="0.25">
      <c r="A2271" s="1" t="s">
        <v>16</v>
      </c>
      <c r="B2271" s="1" t="s">
        <v>16</v>
      </c>
      <c r="C2271" s="1" t="s">
        <v>16</v>
      </c>
      <c r="D2271" s="1" t="s">
        <v>16</v>
      </c>
      <c r="E2271" s="1">
        <v>2251</v>
      </c>
      <c r="F2271" s="1" t="s">
        <v>7522</v>
      </c>
      <c r="G2271" s="1" t="s">
        <v>7523</v>
      </c>
      <c r="H2271" s="1" t="s">
        <v>16</v>
      </c>
      <c r="I2271" s="1" t="s">
        <v>20</v>
      </c>
      <c r="J2271" s="1" t="s">
        <v>7524</v>
      </c>
      <c r="K2271" s="1" t="b">
        <v>0</v>
      </c>
      <c r="L2271" s="1" t="s">
        <v>22</v>
      </c>
      <c r="M2271" s="1" t="s">
        <v>16</v>
      </c>
      <c r="N2271" s="1" t="s">
        <v>16</v>
      </c>
      <c r="O2271" s="1" t="s">
        <v>16</v>
      </c>
      <c r="P2271" s="1" t="s">
        <v>16</v>
      </c>
    </row>
    <row r="2272" spans="1:19" ht="12.5" x14ac:dyDescent="0.25">
      <c r="A2272" s="1" t="s">
        <v>16</v>
      </c>
      <c r="B2272" s="1" t="s">
        <v>16</v>
      </c>
      <c r="C2272" s="1" t="s">
        <v>16</v>
      </c>
      <c r="D2272" s="1" t="s">
        <v>16</v>
      </c>
      <c r="E2272" s="1">
        <v>2252</v>
      </c>
      <c r="F2272" s="1" t="s">
        <v>7525</v>
      </c>
      <c r="G2272" s="1" t="s">
        <v>7526</v>
      </c>
      <c r="H2272" s="1" t="s">
        <v>16</v>
      </c>
      <c r="I2272" s="1" t="s">
        <v>20</v>
      </c>
      <c r="J2272" s="1" t="s">
        <v>7527</v>
      </c>
      <c r="K2272" s="1" t="b">
        <v>0</v>
      </c>
      <c r="L2272" s="1" t="s">
        <v>22</v>
      </c>
      <c r="M2272" s="1" t="s">
        <v>16</v>
      </c>
      <c r="N2272" s="1" t="s">
        <v>16</v>
      </c>
      <c r="O2272" s="1" t="s">
        <v>16</v>
      </c>
      <c r="P2272" s="1" t="s">
        <v>16</v>
      </c>
    </row>
    <row r="2273" spans="1:19" ht="12.5" x14ac:dyDescent="0.25">
      <c r="A2273" s="1" t="s">
        <v>16</v>
      </c>
      <c r="B2273" s="1" t="s">
        <v>16</v>
      </c>
      <c r="C2273" s="1" t="s">
        <v>16</v>
      </c>
      <c r="D2273" s="1" t="s">
        <v>16</v>
      </c>
      <c r="E2273" s="1">
        <v>2253</v>
      </c>
      <c r="F2273" s="1" t="s">
        <v>7528</v>
      </c>
      <c r="G2273" s="1" t="s">
        <v>7529</v>
      </c>
      <c r="H2273" s="1" t="s">
        <v>16</v>
      </c>
      <c r="I2273" s="1" t="s">
        <v>20</v>
      </c>
      <c r="J2273" s="1" t="s">
        <v>7530</v>
      </c>
      <c r="K2273" s="1" t="b">
        <v>0</v>
      </c>
      <c r="L2273" s="1" t="s">
        <v>22</v>
      </c>
      <c r="M2273" s="1" t="s">
        <v>16</v>
      </c>
      <c r="N2273" s="1" t="s">
        <v>16</v>
      </c>
      <c r="O2273" s="1" t="s">
        <v>16</v>
      </c>
      <c r="P2273" s="1" t="s">
        <v>16</v>
      </c>
    </row>
    <row r="2274" spans="1:19" ht="12.5" x14ac:dyDescent="0.25">
      <c r="A2274" s="1" t="s">
        <v>16</v>
      </c>
      <c r="B2274" s="1" t="s">
        <v>16</v>
      </c>
      <c r="C2274" s="1" t="s">
        <v>16</v>
      </c>
      <c r="D2274" s="1" t="s">
        <v>16</v>
      </c>
      <c r="E2274" s="1">
        <v>2254</v>
      </c>
      <c r="F2274" s="1" t="s">
        <v>7531</v>
      </c>
      <c r="G2274" s="1" t="s">
        <v>7532</v>
      </c>
      <c r="H2274" s="1" t="s">
        <v>16</v>
      </c>
      <c r="I2274" s="1" t="s">
        <v>20</v>
      </c>
      <c r="J2274" s="1" t="s">
        <v>7533</v>
      </c>
      <c r="K2274" s="1" t="b">
        <v>0</v>
      </c>
      <c r="L2274" s="1" t="s">
        <v>22</v>
      </c>
      <c r="M2274" s="1" t="s">
        <v>16</v>
      </c>
      <c r="N2274" s="1" t="s">
        <v>16</v>
      </c>
      <c r="O2274" s="1" t="s">
        <v>16</v>
      </c>
      <c r="P2274" s="1" t="s">
        <v>16</v>
      </c>
    </row>
    <row r="2275" spans="1:19" ht="12.5" x14ac:dyDescent="0.25">
      <c r="A2275" s="1" t="s">
        <v>16</v>
      </c>
      <c r="B2275" s="1" t="s">
        <v>16</v>
      </c>
      <c r="C2275" s="1" t="s">
        <v>16</v>
      </c>
      <c r="D2275" s="1" t="s">
        <v>16</v>
      </c>
      <c r="E2275" s="1">
        <v>2255</v>
      </c>
      <c r="F2275" s="1" t="s">
        <v>7534</v>
      </c>
      <c r="G2275" s="1" t="s">
        <v>7535</v>
      </c>
      <c r="H2275" s="1" t="s">
        <v>16</v>
      </c>
      <c r="I2275" s="1" t="s">
        <v>20</v>
      </c>
      <c r="J2275" s="1" t="s">
        <v>7536</v>
      </c>
      <c r="K2275" s="1" t="b">
        <v>0</v>
      </c>
      <c r="L2275" s="1" t="s">
        <v>22</v>
      </c>
      <c r="M2275" s="1" t="s">
        <v>16</v>
      </c>
      <c r="N2275" s="1" t="s">
        <v>16</v>
      </c>
      <c r="O2275" s="1" t="s">
        <v>16</v>
      </c>
      <c r="P2275" s="1" t="s">
        <v>16</v>
      </c>
    </row>
    <row r="2276" spans="1:19" ht="12.5" x14ac:dyDescent="0.25">
      <c r="A2276" s="1">
        <v>1442</v>
      </c>
      <c r="B2276" s="1" t="s">
        <v>4772</v>
      </c>
      <c r="C2276" s="1" t="s">
        <v>35</v>
      </c>
      <c r="D2276" s="1" t="s">
        <v>152</v>
      </c>
      <c r="E2276" s="1">
        <v>2256</v>
      </c>
      <c r="F2276" s="1" t="s">
        <v>7537</v>
      </c>
      <c r="G2276" s="1" t="s">
        <v>7538</v>
      </c>
      <c r="H2276" s="1" t="s">
        <v>7539</v>
      </c>
      <c r="I2276" s="1" t="s">
        <v>29</v>
      </c>
      <c r="J2276" s="1" t="s">
        <v>16</v>
      </c>
      <c r="K2276" s="1" t="b">
        <v>0</v>
      </c>
      <c r="L2276" s="1" t="s">
        <v>22</v>
      </c>
      <c r="M2276" s="1" t="s">
        <v>16</v>
      </c>
      <c r="N2276" s="1" t="s">
        <v>16</v>
      </c>
      <c r="O2276" s="1" t="s">
        <v>16</v>
      </c>
      <c r="P2276" s="1" t="s">
        <v>16</v>
      </c>
      <c r="Q2276" s="1">
        <v>100</v>
      </c>
    </row>
    <row r="2277" spans="1:19" ht="12.5" x14ac:dyDescent="0.25">
      <c r="A2277" s="1">
        <v>1442</v>
      </c>
      <c r="B2277" s="1" t="s">
        <v>4772</v>
      </c>
      <c r="C2277" s="1" t="s">
        <v>35</v>
      </c>
      <c r="D2277" s="1" t="s">
        <v>152</v>
      </c>
      <c r="E2277" s="1">
        <v>2257</v>
      </c>
      <c r="F2277" s="1" t="s">
        <v>7540</v>
      </c>
      <c r="G2277" s="1" t="s">
        <v>7541</v>
      </c>
      <c r="H2277" s="1" t="s">
        <v>16</v>
      </c>
      <c r="I2277" s="1" t="s">
        <v>29</v>
      </c>
      <c r="J2277" s="1" t="s">
        <v>7542</v>
      </c>
      <c r="K2277" s="1" t="b">
        <v>0</v>
      </c>
      <c r="L2277" s="1" t="s">
        <v>22</v>
      </c>
      <c r="M2277" s="1" t="s">
        <v>16</v>
      </c>
      <c r="N2277" s="1" t="s">
        <v>16</v>
      </c>
      <c r="O2277" s="1" t="s">
        <v>9956</v>
      </c>
      <c r="P2277" s="1" t="s">
        <v>16</v>
      </c>
      <c r="Q2277" s="1">
        <v>100</v>
      </c>
      <c r="R2277" s="1">
        <v>75000</v>
      </c>
      <c r="S2277" s="1">
        <v>75000</v>
      </c>
    </row>
    <row r="2278" spans="1:19" ht="12.5" x14ac:dyDescent="0.25">
      <c r="A2278" s="1">
        <v>1431</v>
      </c>
      <c r="B2278" s="1" t="s">
        <v>4734</v>
      </c>
      <c r="C2278" s="1" t="s">
        <v>35</v>
      </c>
      <c r="D2278" s="1" t="s">
        <v>152</v>
      </c>
      <c r="E2278" s="1">
        <v>2258</v>
      </c>
      <c r="F2278" s="1" t="s">
        <v>7543</v>
      </c>
      <c r="G2278" s="1" t="s">
        <v>7544</v>
      </c>
      <c r="H2278" s="1" t="s">
        <v>16</v>
      </c>
      <c r="I2278" s="1" t="s">
        <v>29</v>
      </c>
      <c r="J2278" s="1" t="s">
        <v>7545</v>
      </c>
      <c r="K2278" s="1" t="b">
        <v>0</v>
      </c>
      <c r="L2278" s="1" t="s">
        <v>22</v>
      </c>
      <c r="M2278" s="1" t="s">
        <v>16</v>
      </c>
      <c r="N2278" s="1" t="s">
        <v>16</v>
      </c>
      <c r="O2278" s="1" t="s">
        <v>9940</v>
      </c>
      <c r="P2278" s="1" t="s">
        <v>16</v>
      </c>
      <c r="Q2278" s="1">
        <v>100</v>
      </c>
      <c r="R2278" s="1">
        <v>150000</v>
      </c>
      <c r="S2278" s="1">
        <v>150000</v>
      </c>
    </row>
    <row r="2279" spans="1:19" ht="12.5" x14ac:dyDescent="0.25">
      <c r="A2279" s="1">
        <v>733</v>
      </c>
      <c r="B2279" s="1" t="s">
        <v>5597</v>
      </c>
      <c r="C2279" s="1" t="s">
        <v>35</v>
      </c>
      <c r="D2279" s="1" t="s">
        <v>36</v>
      </c>
      <c r="E2279" s="1">
        <v>2302</v>
      </c>
      <c r="F2279" s="1" t="s">
        <v>7546</v>
      </c>
      <c r="G2279" s="1" t="s">
        <v>7547</v>
      </c>
      <c r="H2279" s="1" t="s">
        <v>16</v>
      </c>
      <c r="I2279" s="1" t="s">
        <v>20</v>
      </c>
      <c r="J2279" s="1" t="s">
        <v>7548</v>
      </c>
      <c r="K2279" s="1" t="b">
        <v>0</v>
      </c>
      <c r="L2279" s="1" t="s">
        <v>22</v>
      </c>
      <c r="M2279" s="1" t="s">
        <v>16</v>
      </c>
      <c r="N2279" s="1" t="s">
        <v>16</v>
      </c>
      <c r="O2279" s="1" t="s">
        <v>16</v>
      </c>
      <c r="P2279" s="1" t="s">
        <v>16</v>
      </c>
      <c r="Q2279" s="1">
        <v>1</v>
      </c>
    </row>
    <row r="2280" spans="1:19" ht="12.5" x14ac:dyDescent="0.25">
      <c r="A2280" s="1">
        <v>735</v>
      </c>
      <c r="B2280" s="1" t="s">
        <v>7549</v>
      </c>
      <c r="C2280" s="1" t="s">
        <v>35</v>
      </c>
      <c r="D2280" s="1" t="s">
        <v>36</v>
      </c>
      <c r="E2280" s="1">
        <v>2302</v>
      </c>
      <c r="F2280" s="1" t="s">
        <v>7546</v>
      </c>
      <c r="G2280" s="1" t="s">
        <v>7547</v>
      </c>
      <c r="H2280" s="1" t="s">
        <v>16</v>
      </c>
      <c r="I2280" s="1" t="s">
        <v>20</v>
      </c>
      <c r="J2280" s="1" t="s">
        <v>7548</v>
      </c>
      <c r="K2280" s="1" t="b">
        <v>0</v>
      </c>
      <c r="L2280" s="1" t="s">
        <v>22</v>
      </c>
      <c r="M2280" s="1" t="s">
        <v>16</v>
      </c>
      <c r="N2280" s="1" t="s">
        <v>16</v>
      </c>
      <c r="O2280" s="1" t="s">
        <v>16</v>
      </c>
      <c r="P2280" s="1" t="s">
        <v>16</v>
      </c>
      <c r="Q2280" s="1">
        <v>1</v>
      </c>
    </row>
    <row r="2281" spans="1:19" ht="12.5" x14ac:dyDescent="0.25">
      <c r="A2281" s="1">
        <v>1463</v>
      </c>
      <c r="B2281" s="1" t="s">
        <v>7550</v>
      </c>
      <c r="C2281" s="1" t="s">
        <v>35</v>
      </c>
      <c r="D2281" s="1" t="s">
        <v>152</v>
      </c>
      <c r="E2281" s="1">
        <v>2302</v>
      </c>
      <c r="F2281" s="1" t="s">
        <v>7546</v>
      </c>
      <c r="G2281" s="1" t="s">
        <v>7547</v>
      </c>
      <c r="H2281" s="1" t="s">
        <v>16</v>
      </c>
      <c r="I2281" s="1" t="s">
        <v>20</v>
      </c>
      <c r="J2281" s="1" t="s">
        <v>7548</v>
      </c>
      <c r="K2281" s="1" t="b">
        <v>0</v>
      </c>
      <c r="L2281" s="1" t="s">
        <v>22</v>
      </c>
      <c r="M2281" s="1" t="s">
        <v>16</v>
      </c>
      <c r="N2281" s="1" t="s">
        <v>16</v>
      </c>
      <c r="O2281" s="1" t="s">
        <v>16</v>
      </c>
      <c r="P2281" s="1" t="s">
        <v>16</v>
      </c>
      <c r="Q2281" s="1">
        <v>1</v>
      </c>
    </row>
    <row r="2282" spans="1:19" ht="12.5" x14ac:dyDescent="0.25">
      <c r="A2282" s="1" t="s">
        <v>16</v>
      </c>
      <c r="B2282" s="1" t="s">
        <v>16</v>
      </c>
      <c r="C2282" s="1" t="s">
        <v>16</v>
      </c>
      <c r="D2282" s="1" t="s">
        <v>16</v>
      </c>
      <c r="E2282" s="1">
        <v>2303</v>
      </c>
      <c r="F2282" s="1" t="s">
        <v>7551</v>
      </c>
      <c r="G2282" s="1" t="s">
        <v>7552</v>
      </c>
      <c r="H2282" s="1" t="s">
        <v>16</v>
      </c>
      <c r="I2282" s="1" t="s">
        <v>20</v>
      </c>
      <c r="J2282" s="1" t="s">
        <v>7553</v>
      </c>
      <c r="K2282" s="1" t="b">
        <v>0</v>
      </c>
      <c r="L2282" s="1" t="s">
        <v>22</v>
      </c>
      <c r="M2282" s="1" t="s">
        <v>16</v>
      </c>
      <c r="N2282" s="1" t="s">
        <v>16</v>
      </c>
      <c r="O2282" s="1" t="s">
        <v>16</v>
      </c>
      <c r="P2282" s="1" t="s">
        <v>16</v>
      </c>
    </row>
    <row r="2283" spans="1:19" ht="12.5" x14ac:dyDescent="0.25">
      <c r="A2283" s="1" t="s">
        <v>16</v>
      </c>
      <c r="B2283" s="1" t="s">
        <v>16</v>
      </c>
      <c r="C2283" s="1" t="s">
        <v>16</v>
      </c>
      <c r="D2283" s="1" t="s">
        <v>16</v>
      </c>
      <c r="E2283" s="1">
        <v>2355</v>
      </c>
      <c r="F2283" s="1" t="s">
        <v>7554</v>
      </c>
      <c r="G2283" s="1" t="s">
        <v>7555</v>
      </c>
      <c r="H2283" s="1" t="s">
        <v>16</v>
      </c>
      <c r="I2283" s="1" t="s">
        <v>20</v>
      </c>
      <c r="J2283" s="1" t="s">
        <v>7556</v>
      </c>
      <c r="K2283" s="1" t="b">
        <v>0</v>
      </c>
      <c r="L2283" s="1" t="s">
        <v>22</v>
      </c>
      <c r="M2283" s="1" t="s">
        <v>16</v>
      </c>
      <c r="N2283" s="1" t="s">
        <v>16</v>
      </c>
      <c r="O2283" s="1" t="s">
        <v>16</v>
      </c>
      <c r="P2283" s="1" t="s">
        <v>16</v>
      </c>
    </row>
    <row r="2284" spans="1:19" ht="12.5" x14ac:dyDescent="0.25">
      <c r="A2284" s="1">
        <v>1449</v>
      </c>
      <c r="B2284" s="1" t="s">
        <v>4793</v>
      </c>
      <c r="C2284" s="1" t="s">
        <v>35</v>
      </c>
      <c r="D2284" s="1" t="s">
        <v>152</v>
      </c>
      <c r="E2284" s="1">
        <v>2356</v>
      </c>
      <c r="F2284" s="1" t="s">
        <v>7557</v>
      </c>
      <c r="G2284" s="1" t="s">
        <v>7558</v>
      </c>
      <c r="H2284" s="1" t="s">
        <v>16</v>
      </c>
      <c r="I2284" s="1" t="s">
        <v>29</v>
      </c>
      <c r="J2284" s="1" t="s">
        <v>16</v>
      </c>
      <c r="K2284" s="1" t="b">
        <v>0</v>
      </c>
      <c r="L2284" s="1" t="s">
        <v>22</v>
      </c>
      <c r="M2284" s="1" t="s">
        <v>16</v>
      </c>
      <c r="N2284" s="1" t="s">
        <v>16</v>
      </c>
      <c r="O2284" s="1" t="s">
        <v>16</v>
      </c>
      <c r="P2284" s="1" t="s">
        <v>16</v>
      </c>
      <c r="Q2284" s="1">
        <v>100</v>
      </c>
    </row>
    <row r="2285" spans="1:19" ht="12.5" x14ac:dyDescent="0.25">
      <c r="A2285" s="1">
        <v>963</v>
      </c>
      <c r="B2285" s="1" t="s">
        <v>3397</v>
      </c>
      <c r="C2285" s="1" t="s">
        <v>35</v>
      </c>
      <c r="D2285" s="1" t="s">
        <v>152</v>
      </c>
      <c r="E2285" s="1">
        <v>2357</v>
      </c>
      <c r="F2285" s="1" t="s">
        <v>7559</v>
      </c>
      <c r="G2285" s="1" t="s">
        <v>7560</v>
      </c>
      <c r="H2285" s="1" t="s">
        <v>7561</v>
      </c>
      <c r="I2285" s="1" t="s">
        <v>29</v>
      </c>
      <c r="J2285" s="1" t="s">
        <v>16</v>
      </c>
      <c r="K2285" s="1" t="b">
        <v>0</v>
      </c>
      <c r="L2285" s="1" t="s">
        <v>22</v>
      </c>
      <c r="M2285" s="1" t="s">
        <v>16</v>
      </c>
      <c r="N2285" s="1" t="s">
        <v>16</v>
      </c>
      <c r="O2285" s="1" t="s">
        <v>16</v>
      </c>
      <c r="P2285" s="1" t="s">
        <v>16</v>
      </c>
      <c r="Q2285" s="1">
        <v>100</v>
      </c>
    </row>
    <row r="2286" spans="1:19" ht="12.5" x14ac:dyDescent="0.25">
      <c r="A2286" s="1">
        <v>963</v>
      </c>
      <c r="B2286" s="1" t="s">
        <v>3397</v>
      </c>
      <c r="C2286" s="1" t="s">
        <v>35</v>
      </c>
      <c r="D2286" s="1" t="s">
        <v>152</v>
      </c>
      <c r="E2286" s="1">
        <v>2358</v>
      </c>
      <c r="F2286" s="1" t="s">
        <v>7562</v>
      </c>
      <c r="G2286" s="1" t="s">
        <v>7563</v>
      </c>
      <c r="H2286" s="1" t="s">
        <v>16</v>
      </c>
      <c r="I2286" s="1" t="s">
        <v>29</v>
      </c>
      <c r="J2286" s="1" t="s">
        <v>16</v>
      </c>
      <c r="K2286" s="1" t="b">
        <v>0</v>
      </c>
      <c r="L2286" s="1" t="s">
        <v>22</v>
      </c>
      <c r="M2286" s="1" t="s">
        <v>16</v>
      </c>
      <c r="N2286" s="1" t="s">
        <v>16</v>
      </c>
      <c r="O2286" s="1" t="s">
        <v>16</v>
      </c>
      <c r="P2286" s="1" t="s">
        <v>16</v>
      </c>
      <c r="Q2286" s="1">
        <v>100</v>
      </c>
    </row>
    <row r="2287" spans="1:19" ht="12.5" x14ac:dyDescent="0.25">
      <c r="A2287" s="1">
        <v>866</v>
      </c>
      <c r="B2287" s="1" t="s">
        <v>7564</v>
      </c>
      <c r="C2287" s="1" t="s">
        <v>35</v>
      </c>
      <c r="D2287" s="1" t="s">
        <v>152</v>
      </c>
      <c r="E2287" s="1">
        <v>2359</v>
      </c>
      <c r="F2287" s="1" t="s">
        <v>7566</v>
      </c>
      <c r="G2287" s="1" t="s">
        <v>7567</v>
      </c>
      <c r="H2287" s="1" t="s">
        <v>7568</v>
      </c>
      <c r="I2287" s="1" t="s">
        <v>29</v>
      </c>
      <c r="J2287" s="1" t="s">
        <v>16</v>
      </c>
      <c r="K2287" s="1" t="b">
        <v>0</v>
      </c>
      <c r="L2287" s="1" t="s">
        <v>22</v>
      </c>
      <c r="M2287" s="1" t="s">
        <v>16</v>
      </c>
      <c r="N2287" s="1" t="s">
        <v>16</v>
      </c>
      <c r="O2287" s="1" t="s">
        <v>9956</v>
      </c>
      <c r="P2287" s="1" t="s">
        <v>16</v>
      </c>
      <c r="Q2287" s="1">
        <v>100</v>
      </c>
      <c r="R2287" s="1">
        <v>221507</v>
      </c>
      <c r="S2287" s="1">
        <v>221507</v>
      </c>
    </row>
    <row r="2288" spans="1:19" ht="12.5" x14ac:dyDescent="0.25">
      <c r="A2288" s="1" t="s">
        <v>16</v>
      </c>
      <c r="B2288" s="1" t="s">
        <v>16</v>
      </c>
      <c r="C2288" s="1" t="s">
        <v>16</v>
      </c>
      <c r="D2288" s="1" t="s">
        <v>16</v>
      </c>
      <c r="E2288" s="1">
        <v>2360</v>
      </c>
      <c r="F2288" s="1" t="s">
        <v>7569</v>
      </c>
      <c r="G2288" s="1" t="s">
        <v>7570</v>
      </c>
      <c r="H2288" s="1" t="s">
        <v>16</v>
      </c>
      <c r="I2288" s="1" t="s">
        <v>20</v>
      </c>
      <c r="J2288" s="1" t="s">
        <v>7571</v>
      </c>
      <c r="K2288" s="1" t="b">
        <v>0</v>
      </c>
      <c r="L2288" s="1" t="s">
        <v>22</v>
      </c>
      <c r="M2288" s="1" t="s">
        <v>16</v>
      </c>
      <c r="N2288" s="1" t="s">
        <v>16</v>
      </c>
      <c r="O2288" s="1" t="s">
        <v>16</v>
      </c>
      <c r="P2288" s="1" t="s">
        <v>16</v>
      </c>
    </row>
    <row r="2289" spans="1:19" ht="12.5" x14ac:dyDescent="0.25">
      <c r="A2289" s="1" t="s">
        <v>16</v>
      </c>
      <c r="B2289" s="1" t="s">
        <v>16</v>
      </c>
      <c r="C2289" s="1" t="s">
        <v>16</v>
      </c>
      <c r="D2289" s="1" t="s">
        <v>16</v>
      </c>
      <c r="E2289" s="1">
        <v>2361</v>
      </c>
      <c r="F2289" s="1" t="s">
        <v>7572</v>
      </c>
      <c r="G2289" s="1" t="s">
        <v>7573</v>
      </c>
      <c r="H2289" s="1" t="s">
        <v>16</v>
      </c>
      <c r="I2289" s="1" t="s">
        <v>20</v>
      </c>
      <c r="J2289" s="1" t="s">
        <v>7574</v>
      </c>
      <c r="K2289" s="1" t="b">
        <v>0</v>
      </c>
      <c r="L2289" s="1" t="s">
        <v>22</v>
      </c>
      <c r="M2289" s="1" t="s">
        <v>16</v>
      </c>
      <c r="N2289" s="1" t="s">
        <v>16</v>
      </c>
      <c r="O2289" s="1" t="s">
        <v>16</v>
      </c>
      <c r="P2289" s="1" t="s">
        <v>16</v>
      </c>
    </row>
    <row r="2290" spans="1:19" ht="12.5" x14ac:dyDescent="0.25">
      <c r="A2290" s="1">
        <v>197</v>
      </c>
      <c r="B2290" s="1" t="s">
        <v>7575</v>
      </c>
      <c r="C2290" s="1" t="s">
        <v>15</v>
      </c>
      <c r="D2290" s="1" t="s">
        <v>15</v>
      </c>
      <c r="E2290" s="1">
        <v>2362</v>
      </c>
      <c r="F2290" s="1" t="s">
        <v>7576</v>
      </c>
      <c r="G2290" s="1" t="s">
        <v>7577</v>
      </c>
      <c r="H2290" s="1" t="s">
        <v>16</v>
      </c>
      <c r="I2290" s="1" t="s">
        <v>20</v>
      </c>
      <c r="J2290" s="1" t="s">
        <v>7578</v>
      </c>
      <c r="K2290" s="1" t="b">
        <v>0</v>
      </c>
      <c r="L2290" s="1" t="s">
        <v>22</v>
      </c>
      <c r="M2290" s="1" t="s">
        <v>16</v>
      </c>
      <c r="N2290" s="1" t="s">
        <v>16</v>
      </c>
      <c r="O2290" s="1" t="s">
        <v>16</v>
      </c>
      <c r="P2290" s="1" t="s">
        <v>16</v>
      </c>
      <c r="Q2290" s="1">
        <v>100</v>
      </c>
    </row>
    <row r="2291" spans="1:19" ht="12.5" x14ac:dyDescent="0.25">
      <c r="A2291" s="1">
        <v>1644</v>
      </c>
      <c r="B2291" s="1" t="s">
        <v>5256</v>
      </c>
      <c r="C2291" s="1" t="s">
        <v>35</v>
      </c>
      <c r="D2291" s="1" t="s">
        <v>152</v>
      </c>
      <c r="E2291" s="1">
        <v>2363</v>
      </c>
      <c r="F2291" s="1" t="s">
        <v>7579</v>
      </c>
      <c r="G2291" s="1" t="s">
        <v>7580</v>
      </c>
      <c r="H2291" s="1" t="s">
        <v>7581</v>
      </c>
      <c r="I2291" s="1" t="s">
        <v>29</v>
      </c>
      <c r="J2291" s="1" t="s">
        <v>7582</v>
      </c>
      <c r="K2291" s="1" t="b">
        <v>1</v>
      </c>
      <c r="L2291" s="1" t="s">
        <v>31</v>
      </c>
      <c r="M2291" s="1">
        <v>2022</v>
      </c>
      <c r="N2291" s="1" t="s">
        <v>45</v>
      </c>
      <c r="O2291" s="1" t="s">
        <v>9935</v>
      </c>
      <c r="P2291" s="1" t="s">
        <v>16</v>
      </c>
      <c r="Q2291" s="1">
        <v>100</v>
      </c>
      <c r="R2291" s="1">
        <v>40200</v>
      </c>
      <c r="S2291" s="1">
        <v>40200</v>
      </c>
    </row>
    <row r="2292" spans="1:19" ht="12.5" x14ac:dyDescent="0.25">
      <c r="A2292" s="1">
        <v>2204</v>
      </c>
      <c r="B2292" s="1" t="s">
        <v>6894</v>
      </c>
      <c r="C2292" s="1" t="s">
        <v>38</v>
      </c>
      <c r="D2292" s="1" t="s">
        <v>5701</v>
      </c>
      <c r="E2292" s="1">
        <v>2364</v>
      </c>
      <c r="F2292" s="1" t="s">
        <v>7583</v>
      </c>
      <c r="G2292" s="1" t="s">
        <v>7584</v>
      </c>
      <c r="H2292" s="1" t="s">
        <v>7585</v>
      </c>
      <c r="I2292" s="1" t="s">
        <v>29</v>
      </c>
      <c r="J2292" s="1" t="s">
        <v>7586</v>
      </c>
      <c r="K2292" s="1" t="b">
        <v>1</v>
      </c>
      <c r="L2292" s="1" t="s">
        <v>31</v>
      </c>
      <c r="M2292" s="1">
        <v>2022</v>
      </c>
      <c r="N2292" s="1" t="s">
        <v>45</v>
      </c>
      <c r="O2292" s="1" t="s">
        <v>9956</v>
      </c>
      <c r="P2292" s="1" t="s">
        <v>16</v>
      </c>
      <c r="Q2292" s="1">
        <v>100</v>
      </c>
      <c r="R2292" s="1">
        <v>22000</v>
      </c>
      <c r="S2292" s="1">
        <v>22000</v>
      </c>
    </row>
    <row r="2293" spans="1:19" ht="12.5" x14ac:dyDescent="0.25">
      <c r="A2293" s="1">
        <v>2307</v>
      </c>
      <c r="B2293" s="1" t="s">
        <v>7587</v>
      </c>
      <c r="C2293" s="1" t="s">
        <v>38</v>
      </c>
      <c r="D2293" s="1" t="s">
        <v>5701</v>
      </c>
      <c r="E2293" s="1">
        <v>2365</v>
      </c>
      <c r="F2293" s="1" t="s">
        <v>7588</v>
      </c>
      <c r="G2293" s="1" t="s">
        <v>7589</v>
      </c>
      <c r="H2293" s="1" t="s">
        <v>7589</v>
      </c>
      <c r="I2293" s="1" t="s">
        <v>29</v>
      </c>
      <c r="J2293" s="1" t="s">
        <v>7590</v>
      </c>
      <c r="K2293" s="1" t="b">
        <v>1</v>
      </c>
      <c r="L2293" s="1" t="s">
        <v>31</v>
      </c>
      <c r="M2293" s="1">
        <v>2022</v>
      </c>
      <c r="N2293" s="1" t="s">
        <v>45</v>
      </c>
      <c r="O2293" s="1" t="s">
        <v>9956</v>
      </c>
      <c r="P2293" s="1" t="s">
        <v>16</v>
      </c>
      <c r="Q2293" s="1">
        <v>100</v>
      </c>
      <c r="R2293" s="1">
        <v>12000</v>
      </c>
      <c r="S2293" s="1">
        <v>12000</v>
      </c>
    </row>
    <row r="2294" spans="1:19" ht="12.5" x14ac:dyDescent="0.25">
      <c r="A2294" s="1">
        <v>2307</v>
      </c>
      <c r="B2294" s="1" t="s">
        <v>7587</v>
      </c>
      <c r="C2294" s="1" t="s">
        <v>38</v>
      </c>
      <c r="D2294" s="1" t="s">
        <v>5701</v>
      </c>
      <c r="E2294" s="1">
        <v>2366</v>
      </c>
      <c r="F2294" s="1" t="s">
        <v>7591</v>
      </c>
      <c r="G2294" s="1" t="s">
        <v>7592</v>
      </c>
      <c r="H2294" s="1" t="s">
        <v>7593</v>
      </c>
      <c r="I2294" s="1" t="s">
        <v>29</v>
      </c>
      <c r="J2294" s="1" t="s">
        <v>7594</v>
      </c>
      <c r="K2294" s="1" t="b">
        <v>1</v>
      </c>
      <c r="L2294" s="1" t="s">
        <v>31</v>
      </c>
      <c r="M2294" s="1">
        <v>2022</v>
      </c>
      <c r="N2294" s="1" t="s">
        <v>45</v>
      </c>
      <c r="O2294" s="1" t="s">
        <v>9956</v>
      </c>
      <c r="P2294" s="1" t="s">
        <v>16</v>
      </c>
      <c r="Q2294" s="1">
        <v>100</v>
      </c>
      <c r="R2294" s="1">
        <v>19000</v>
      </c>
      <c r="S2294" s="1">
        <v>19000</v>
      </c>
    </row>
    <row r="2295" spans="1:19" ht="12.5" x14ac:dyDescent="0.25">
      <c r="A2295" s="1">
        <v>2309</v>
      </c>
      <c r="B2295" s="1" t="s">
        <v>7595</v>
      </c>
      <c r="C2295" s="1" t="s">
        <v>38</v>
      </c>
      <c r="D2295" s="1" t="s">
        <v>5701</v>
      </c>
      <c r="E2295" s="1">
        <v>2367</v>
      </c>
      <c r="F2295" s="1" t="s">
        <v>7597</v>
      </c>
      <c r="G2295" s="1" t="s">
        <v>7598</v>
      </c>
      <c r="H2295" s="1" t="s">
        <v>7596</v>
      </c>
      <c r="I2295" s="1" t="s">
        <v>29</v>
      </c>
      <c r="J2295" s="1" t="s">
        <v>7599</v>
      </c>
      <c r="K2295" s="1" t="b">
        <v>1</v>
      </c>
      <c r="L2295" s="1" t="s">
        <v>31</v>
      </c>
      <c r="M2295" s="1">
        <v>2022</v>
      </c>
      <c r="N2295" s="1" t="s">
        <v>23</v>
      </c>
      <c r="O2295" s="1" t="s">
        <v>9956</v>
      </c>
      <c r="P2295" s="1" t="s">
        <v>16</v>
      </c>
      <c r="Q2295" s="1">
        <v>100</v>
      </c>
      <c r="R2295" s="1">
        <v>12200</v>
      </c>
      <c r="S2295" s="1">
        <v>12200</v>
      </c>
    </row>
    <row r="2296" spans="1:19" ht="12.5" x14ac:dyDescent="0.25">
      <c r="A2296" s="1">
        <v>2309</v>
      </c>
      <c r="B2296" s="1" t="s">
        <v>7595</v>
      </c>
      <c r="C2296" s="1" t="s">
        <v>38</v>
      </c>
      <c r="D2296" s="1" t="s">
        <v>5701</v>
      </c>
      <c r="E2296" s="1">
        <v>2368</v>
      </c>
      <c r="F2296" s="1" t="s">
        <v>7600</v>
      </c>
      <c r="G2296" s="1" t="s">
        <v>7601</v>
      </c>
      <c r="H2296" s="1" t="s">
        <v>7602</v>
      </c>
      <c r="I2296" s="1" t="s">
        <v>29</v>
      </c>
      <c r="J2296" s="1" t="s">
        <v>7603</v>
      </c>
      <c r="K2296" s="1" t="b">
        <v>1</v>
      </c>
      <c r="L2296" s="1" t="s">
        <v>31</v>
      </c>
      <c r="M2296" s="1">
        <v>2022</v>
      </c>
      <c r="N2296" s="1" t="s">
        <v>23</v>
      </c>
      <c r="O2296" s="1" t="s">
        <v>9956</v>
      </c>
      <c r="P2296" s="1" t="s">
        <v>16</v>
      </c>
      <c r="Q2296" s="1">
        <v>100</v>
      </c>
      <c r="R2296" s="1">
        <v>12600</v>
      </c>
      <c r="S2296" s="1">
        <v>12600</v>
      </c>
    </row>
    <row r="2297" spans="1:19" ht="12.5" x14ac:dyDescent="0.25">
      <c r="A2297" s="1" t="s">
        <v>16</v>
      </c>
      <c r="B2297" s="1" t="s">
        <v>16</v>
      </c>
      <c r="C2297" s="1" t="s">
        <v>16</v>
      </c>
      <c r="D2297" s="1" t="s">
        <v>16</v>
      </c>
      <c r="E2297" s="1">
        <v>2369</v>
      </c>
      <c r="F2297" s="1" t="s">
        <v>7604</v>
      </c>
      <c r="G2297" s="1" t="s">
        <v>7605</v>
      </c>
      <c r="H2297" s="1" t="s">
        <v>16</v>
      </c>
      <c r="I2297" s="1" t="s">
        <v>20</v>
      </c>
      <c r="J2297" s="1" t="s">
        <v>7606</v>
      </c>
      <c r="K2297" s="1" t="b">
        <v>0</v>
      </c>
      <c r="L2297" s="1" t="s">
        <v>22</v>
      </c>
      <c r="M2297" s="1" t="s">
        <v>16</v>
      </c>
      <c r="N2297" s="1" t="s">
        <v>16</v>
      </c>
      <c r="O2297" s="1" t="s">
        <v>16</v>
      </c>
      <c r="P2297" s="1" t="s">
        <v>16</v>
      </c>
    </row>
    <row r="2298" spans="1:19" ht="12.5" x14ac:dyDescent="0.25">
      <c r="A2298" s="1" t="s">
        <v>16</v>
      </c>
      <c r="B2298" s="1" t="s">
        <v>16</v>
      </c>
      <c r="C2298" s="1" t="s">
        <v>16</v>
      </c>
      <c r="D2298" s="1" t="s">
        <v>16</v>
      </c>
      <c r="E2298" s="1">
        <v>2370</v>
      </c>
      <c r="F2298" s="1" t="s">
        <v>7607</v>
      </c>
      <c r="G2298" s="1" t="s">
        <v>7608</v>
      </c>
      <c r="H2298" s="1" t="s">
        <v>16</v>
      </c>
      <c r="I2298" s="1" t="s">
        <v>20</v>
      </c>
      <c r="J2298" s="1" t="s">
        <v>7609</v>
      </c>
      <c r="K2298" s="1" t="b">
        <v>0</v>
      </c>
      <c r="L2298" s="1" t="s">
        <v>22</v>
      </c>
      <c r="M2298" s="1" t="s">
        <v>16</v>
      </c>
      <c r="N2298" s="1" t="s">
        <v>16</v>
      </c>
      <c r="O2298" s="1" t="s">
        <v>16</v>
      </c>
      <c r="P2298" s="1" t="s">
        <v>16</v>
      </c>
    </row>
    <row r="2299" spans="1:19" ht="12.5" x14ac:dyDescent="0.25">
      <c r="A2299" s="1">
        <v>1686</v>
      </c>
      <c r="B2299" s="1" t="s">
        <v>7610</v>
      </c>
      <c r="C2299" s="1" t="s">
        <v>35</v>
      </c>
      <c r="D2299" s="1" t="s">
        <v>152</v>
      </c>
      <c r="E2299" s="1">
        <v>2371</v>
      </c>
      <c r="F2299" s="1" t="s">
        <v>7611</v>
      </c>
      <c r="G2299" s="1" t="s">
        <v>7612</v>
      </c>
      <c r="H2299" s="1" t="s">
        <v>7613</v>
      </c>
      <c r="I2299" s="1" t="s">
        <v>29</v>
      </c>
      <c r="J2299" s="1" t="s">
        <v>7614</v>
      </c>
      <c r="K2299" s="1" t="b">
        <v>1</v>
      </c>
      <c r="L2299" s="1" t="s">
        <v>31</v>
      </c>
      <c r="M2299" s="1">
        <v>2022</v>
      </c>
      <c r="N2299" s="1" t="s">
        <v>45</v>
      </c>
      <c r="O2299" s="1" t="s">
        <v>9956</v>
      </c>
      <c r="P2299" s="1" t="s">
        <v>16</v>
      </c>
      <c r="Q2299" s="1">
        <v>100</v>
      </c>
      <c r="R2299" s="1">
        <v>1600</v>
      </c>
      <c r="S2299" s="1">
        <v>1600</v>
      </c>
    </row>
    <row r="2300" spans="1:19" ht="12.5" x14ac:dyDescent="0.25">
      <c r="A2300" s="1">
        <v>1589</v>
      </c>
      <c r="B2300" s="1" t="s">
        <v>7615</v>
      </c>
      <c r="C2300" s="1" t="s">
        <v>35</v>
      </c>
      <c r="D2300" s="1" t="s">
        <v>152</v>
      </c>
      <c r="E2300" s="1">
        <v>2372</v>
      </c>
      <c r="F2300" s="1" t="s">
        <v>7616</v>
      </c>
      <c r="G2300" s="1" t="s">
        <v>7617</v>
      </c>
      <c r="H2300" s="1" t="s">
        <v>7618</v>
      </c>
      <c r="I2300" s="1" t="s">
        <v>29</v>
      </c>
      <c r="J2300" s="1" t="s">
        <v>7619</v>
      </c>
      <c r="K2300" s="1" t="b">
        <v>1</v>
      </c>
      <c r="L2300" s="1" t="s">
        <v>31</v>
      </c>
      <c r="M2300" s="1">
        <v>2022</v>
      </c>
      <c r="N2300" s="1" t="s">
        <v>45</v>
      </c>
      <c r="O2300" s="1" t="s">
        <v>9935</v>
      </c>
      <c r="P2300" s="1" t="s">
        <v>16</v>
      </c>
      <c r="Q2300" s="1">
        <v>100</v>
      </c>
      <c r="R2300" s="1">
        <v>5000</v>
      </c>
      <c r="S2300" s="1">
        <v>5000</v>
      </c>
    </row>
    <row r="2301" spans="1:19" ht="12.5" x14ac:dyDescent="0.25">
      <c r="A2301" s="1" t="s">
        <v>16</v>
      </c>
      <c r="B2301" s="1" t="s">
        <v>16</v>
      </c>
      <c r="C2301" s="1" t="s">
        <v>16</v>
      </c>
      <c r="D2301" s="1" t="s">
        <v>16</v>
      </c>
      <c r="E2301" s="1">
        <v>2373</v>
      </c>
      <c r="F2301" s="1" t="s">
        <v>7620</v>
      </c>
      <c r="G2301" s="1" t="s">
        <v>7621</v>
      </c>
      <c r="H2301" s="1" t="s">
        <v>16</v>
      </c>
      <c r="I2301" s="1" t="s">
        <v>20</v>
      </c>
      <c r="J2301" s="1" t="s">
        <v>7622</v>
      </c>
      <c r="K2301" s="1" t="b">
        <v>0</v>
      </c>
      <c r="L2301" s="1" t="s">
        <v>22</v>
      </c>
      <c r="M2301" s="1" t="s">
        <v>16</v>
      </c>
      <c r="N2301" s="1" t="s">
        <v>16</v>
      </c>
      <c r="O2301" s="1" t="s">
        <v>16</v>
      </c>
      <c r="P2301" s="1" t="s">
        <v>16</v>
      </c>
    </row>
    <row r="2302" spans="1:19" ht="12.5" x14ac:dyDescent="0.25">
      <c r="A2302" s="1" t="s">
        <v>16</v>
      </c>
      <c r="B2302" s="1" t="s">
        <v>16</v>
      </c>
      <c r="C2302" s="1" t="s">
        <v>16</v>
      </c>
      <c r="D2302" s="1" t="s">
        <v>16</v>
      </c>
      <c r="E2302" s="1">
        <v>2374</v>
      </c>
      <c r="F2302" s="1" t="s">
        <v>7623</v>
      </c>
      <c r="G2302" s="1" t="s">
        <v>7624</v>
      </c>
      <c r="H2302" s="1" t="s">
        <v>16</v>
      </c>
      <c r="I2302" s="1" t="s">
        <v>20</v>
      </c>
      <c r="J2302" s="1" t="s">
        <v>7625</v>
      </c>
      <c r="K2302" s="1" t="b">
        <v>0</v>
      </c>
      <c r="L2302" s="1" t="s">
        <v>22</v>
      </c>
      <c r="M2302" s="1" t="s">
        <v>16</v>
      </c>
      <c r="N2302" s="1" t="s">
        <v>16</v>
      </c>
      <c r="O2302" s="1" t="s">
        <v>16</v>
      </c>
      <c r="P2302" s="1" t="s">
        <v>16</v>
      </c>
    </row>
    <row r="2303" spans="1:19" ht="12.5" x14ac:dyDescent="0.25">
      <c r="A2303" s="1" t="s">
        <v>16</v>
      </c>
      <c r="B2303" s="1" t="s">
        <v>16</v>
      </c>
      <c r="C2303" s="1" t="s">
        <v>16</v>
      </c>
      <c r="D2303" s="1" t="s">
        <v>16</v>
      </c>
      <c r="E2303" s="1">
        <v>2375</v>
      </c>
      <c r="F2303" s="1" t="s">
        <v>7626</v>
      </c>
      <c r="G2303" s="1" t="s">
        <v>7627</v>
      </c>
      <c r="H2303" s="1" t="s">
        <v>16</v>
      </c>
      <c r="I2303" s="1" t="s">
        <v>20</v>
      </c>
      <c r="J2303" s="1" t="s">
        <v>7628</v>
      </c>
      <c r="K2303" s="1" t="b">
        <v>0</v>
      </c>
      <c r="L2303" s="1" t="s">
        <v>22</v>
      </c>
      <c r="M2303" s="1" t="s">
        <v>16</v>
      </c>
      <c r="N2303" s="1" t="s">
        <v>16</v>
      </c>
      <c r="O2303" s="1" t="s">
        <v>16</v>
      </c>
      <c r="P2303" s="1" t="s">
        <v>16</v>
      </c>
    </row>
    <row r="2304" spans="1:19" ht="12.5" x14ac:dyDescent="0.25">
      <c r="A2304" s="1">
        <v>74</v>
      </c>
      <c r="B2304" s="1" t="s">
        <v>383</v>
      </c>
      <c r="C2304" s="1" t="s">
        <v>15</v>
      </c>
      <c r="D2304" s="1" t="s">
        <v>15</v>
      </c>
      <c r="E2304" s="1">
        <v>2376</v>
      </c>
      <c r="F2304" s="1" t="s">
        <v>7629</v>
      </c>
      <c r="G2304" s="1" t="s">
        <v>7630</v>
      </c>
      <c r="H2304" s="1" t="s">
        <v>16</v>
      </c>
      <c r="I2304" s="1" t="s">
        <v>20</v>
      </c>
      <c r="J2304" s="1" t="s">
        <v>7631</v>
      </c>
      <c r="K2304" s="1" t="b">
        <v>0</v>
      </c>
      <c r="L2304" s="1" t="s">
        <v>22</v>
      </c>
      <c r="M2304" s="1" t="s">
        <v>16</v>
      </c>
      <c r="N2304" s="1" t="s">
        <v>16</v>
      </c>
      <c r="O2304" s="1" t="s">
        <v>16</v>
      </c>
      <c r="P2304" s="1" t="s">
        <v>16</v>
      </c>
      <c r="Q2304" s="1">
        <v>100</v>
      </c>
    </row>
    <row r="2305" spans="1:19" ht="12.5" x14ac:dyDescent="0.25">
      <c r="A2305" s="1" t="s">
        <v>16</v>
      </c>
      <c r="B2305" s="1" t="s">
        <v>16</v>
      </c>
      <c r="C2305" s="1" t="s">
        <v>16</v>
      </c>
      <c r="D2305" s="1" t="s">
        <v>16</v>
      </c>
      <c r="E2305" s="1">
        <v>2377</v>
      </c>
      <c r="F2305" s="1" t="s">
        <v>7632</v>
      </c>
      <c r="G2305" s="1" t="s">
        <v>7633</v>
      </c>
      <c r="H2305" s="1" t="s">
        <v>16</v>
      </c>
      <c r="I2305" s="1" t="s">
        <v>20</v>
      </c>
      <c r="J2305" s="1" t="s">
        <v>7634</v>
      </c>
      <c r="K2305" s="1" t="b">
        <v>0</v>
      </c>
      <c r="L2305" s="1" t="s">
        <v>22</v>
      </c>
      <c r="M2305" s="1" t="s">
        <v>16</v>
      </c>
      <c r="N2305" s="1" t="s">
        <v>16</v>
      </c>
      <c r="O2305" s="1" t="s">
        <v>16</v>
      </c>
      <c r="P2305" s="1" t="s">
        <v>16</v>
      </c>
    </row>
    <row r="2306" spans="1:19" ht="12.5" x14ac:dyDescent="0.25">
      <c r="A2306" s="1" t="s">
        <v>16</v>
      </c>
      <c r="B2306" s="1" t="s">
        <v>16</v>
      </c>
      <c r="C2306" s="1" t="s">
        <v>16</v>
      </c>
      <c r="D2306" s="1" t="s">
        <v>16</v>
      </c>
      <c r="E2306" s="1">
        <v>2378</v>
      </c>
      <c r="F2306" s="1" t="s">
        <v>7635</v>
      </c>
      <c r="G2306" s="1" t="s">
        <v>7636</v>
      </c>
      <c r="H2306" s="1" t="s">
        <v>16</v>
      </c>
      <c r="I2306" s="1" t="s">
        <v>20</v>
      </c>
      <c r="J2306" s="1" t="s">
        <v>7637</v>
      </c>
      <c r="K2306" s="1" t="b">
        <v>0</v>
      </c>
      <c r="L2306" s="1" t="s">
        <v>22</v>
      </c>
      <c r="M2306" s="1" t="s">
        <v>16</v>
      </c>
      <c r="N2306" s="1" t="s">
        <v>16</v>
      </c>
      <c r="O2306" s="1" t="s">
        <v>16</v>
      </c>
      <c r="P2306" s="1" t="s">
        <v>16</v>
      </c>
    </row>
    <row r="2307" spans="1:19" ht="12.5" x14ac:dyDescent="0.25">
      <c r="A2307" s="1" t="s">
        <v>16</v>
      </c>
      <c r="B2307" s="1" t="s">
        <v>16</v>
      </c>
      <c r="C2307" s="1" t="s">
        <v>16</v>
      </c>
      <c r="D2307" s="1" t="s">
        <v>16</v>
      </c>
      <c r="E2307" s="1">
        <v>2379</v>
      </c>
      <c r="F2307" s="1" t="s">
        <v>7638</v>
      </c>
      <c r="G2307" s="1" t="s">
        <v>7639</v>
      </c>
      <c r="H2307" s="1" t="s">
        <v>16</v>
      </c>
      <c r="I2307" s="1" t="s">
        <v>20</v>
      </c>
      <c r="J2307" s="1" t="s">
        <v>7640</v>
      </c>
      <c r="K2307" s="1" t="b">
        <v>0</v>
      </c>
      <c r="L2307" s="1" t="s">
        <v>22</v>
      </c>
      <c r="M2307" s="1" t="s">
        <v>16</v>
      </c>
      <c r="N2307" s="1" t="s">
        <v>16</v>
      </c>
      <c r="O2307" s="1" t="s">
        <v>16</v>
      </c>
      <c r="P2307" s="1" t="s">
        <v>16</v>
      </c>
    </row>
    <row r="2308" spans="1:19" ht="12.5" x14ac:dyDescent="0.25">
      <c r="A2308" s="1" t="s">
        <v>16</v>
      </c>
      <c r="B2308" s="1" t="s">
        <v>16</v>
      </c>
      <c r="C2308" s="1" t="s">
        <v>16</v>
      </c>
      <c r="D2308" s="1" t="s">
        <v>16</v>
      </c>
      <c r="E2308" s="1">
        <v>2380</v>
      </c>
      <c r="F2308" s="1" t="s">
        <v>7641</v>
      </c>
      <c r="G2308" s="1" t="s">
        <v>7642</v>
      </c>
      <c r="H2308" s="1" t="s">
        <v>16</v>
      </c>
      <c r="I2308" s="1" t="s">
        <v>20</v>
      </c>
      <c r="J2308" s="1" t="s">
        <v>7643</v>
      </c>
      <c r="K2308" s="1" t="b">
        <v>0</v>
      </c>
      <c r="L2308" s="1" t="s">
        <v>22</v>
      </c>
      <c r="M2308" s="1" t="s">
        <v>16</v>
      </c>
      <c r="N2308" s="1" t="s">
        <v>16</v>
      </c>
      <c r="O2308" s="1" t="s">
        <v>16</v>
      </c>
      <c r="P2308" s="1" t="s">
        <v>16</v>
      </c>
    </row>
    <row r="2309" spans="1:19" ht="12.5" x14ac:dyDescent="0.25">
      <c r="A2309" s="1" t="s">
        <v>16</v>
      </c>
      <c r="B2309" s="1" t="s">
        <v>16</v>
      </c>
      <c r="C2309" s="1" t="s">
        <v>16</v>
      </c>
      <c r="D2309" s="1" t="s">
        <v>16</v>
      </c>
      <c r="E2309" s="1">
        <v>2381</v>
      </c>
      <c r="F2309" s="1" t="s">
        <v>7644</v>
      </c>
      <c r="G2309" s="1" t="s">
        <v>7645</v>
      </c>
      <c r="H2309" s="1" t="s">
        <v>16</v>
      </c>
      <c r="I2309" s="1" t="s">
        <v>20</v>
      </c>
      <c r="J2309" s="1" t="s">
        <v>7646</v>
      </c>
      <c r="K2309" s="1" t="b">
        <v>0</v>
      </c>
      <c r="L2309" s="1" t="s">
        <v>22</v>
      </c>
      <c r="M2309" s="1" t="s">
        <v>16</v>
      </c>
      <c r="N2309" s="1" t="s">
        <v>16</v>
      </c>
      <c r="O2309" s="1" t="s">
        <v>16</v>
      </c>
      <c r="P2309" s="1" t="s">
        <v>16</v>
      </c>
    </row>
    <row r="2310" spans="1:19" ht="12.5" x14ac:dyDescent="0.25">
      <c r="A2310" s="1" t="s">
        <v>16</v>
      </c>
      <c r="B2310" s="1" t="s">
        <v>16</v>
      </c>
      <c r="C2310" s="1" t="s">
        <v>16</v>
      </c>
      <c r="D2310" s="1" t="s">
        <v>16</v>
      </c>
      <c r="E2310" s="1">
        <v>2382</v>
      </c>
      <c r="F2310" s="1" t="s">
        <v>7647</v>
      </c>
      <c r="G2310" s="1" t="s">
        <v>7648</v>
      </c>
      <c r="H2310" s="1" t="s">
        <v>16</v>
      </c>
      <c r="I2310" s="1" t="s">
        <v>20</v>
      </c>
      <c r="J2310" s="1" t="s">
        <v>7649</v>
      </c>
      <c r="K2310" s="1" t="b">
        <v>0</v>
      </c>
      <c r="L2310" s="1" t="s">
        <v>22</v>
      </c>
      <c r="M2310" s="1" t="s">
        <v>16</v>
      </c>
      <c r="N2310" s="1" t="s">
        <v>16</v>
      </c>
      <c r="O2310" s="1" t="s">
        <v>16</v>
      </c>
      <c r="P2310" s="1" t="s">
        <v>16</v>
      </c>
    </row>
    <row r="2311" spans="1:19" ht="12.5" x14ac:dyDescent="0.25">
      <c r="A2311" s="1" t="s">
        <v>16</v>
      </c>
      <c r="B2311" s="1" t="s">
        <v>16</v>
      </c>
      <c r="C2311" s="1" t="s">
        <v>16</v>
      </c>
      <c r="D2311" s="1" t="s">
        <v>16</v>
      </c>
      <c r="E2311" s="1">
        <v>2383</v>
      </c>
      <c r="F2311" s="1" t="s">
        <v>7650</v>
      </c>
      <c r="G2311" s="1" t="s">
        <v>7651</v>
      </c>
      <c r="H2311" s="1" t="s">
        <v>16</v>
      </c>
      <c r="I2311" s="1" t="s">
        <v>20</v>
      </c>
      <c r="J2311" s="1" t="s">
        <v>7652</v>
      </c>
      <c r="K2311" s="1" t="b">
        <v>0</v>
      </c>
      <c r="L2311" s="1" t="s">
        <v>22</v>
      </c>
      <c r="M2311" s="1">
        <v>2023</v>
      </c>
      <c r="N2311" s="1" t="s">
        <v>16</v>
      </c>
      <c r="O2311" s="1" t="s">
        <v>9956</v>
      </c>
      <c r="P2311" s="1" t="s">
        <v>16</v>
      </c>
      <c r="R2311" s="1">
        <v>1200000</v>
      </c>
    </row>
    <row r="2312" spans="1:19" ht="12.5" x14ac:dyDescent="0.25">
      <c r="A2312" s="1">
        <v>752</v>
      </c>
      <c r="B2312" s="1" t="s">
        <v>7653</v>
      </c>
      <c r="C2312" s="1" t="s">
        <v>35</v>
      </c>
      <c r="D2312" s="1" t="s">
        <v>36</v>
      </c>
      <c r="E2312" s="1">
        <v>2384</v>
      </c>
      <c r="F2312" s="1" t="s">
        <v>7654</v>
      </c>
      <c r="G2312" s="1" t="s">
        <v>7655</v>
      </c>
      <c r="H2312" s="1" t="s">
        <v>7656</v>
      </c>
      <c r="I2312" s="1" t="s">
        <v>29</v>
      </c>
      <c r="J2312" s="1" t="s">
        <v>7657</v>
      </c>
      <c r="K2312" s="1" t="b">
        <v>1</v>
      </c>
      <c r="L2312" s="1" t="s">
        <v>31</v>
      </c>
      <c r="M2312" s="1">
        <v>2022</v>
      </c>
      <c r="N2312" s="1" t="s">
        <v>45</v>
      </c>
      <c r="O2312" s="1" t="s">
        <v>9935</v>
      </c>
      <c r="P2312" s="1" t="s">
        <v>16</v>
      </c>
      <c r="Q2312" s="1">
        <v>100</v>
      </c>
      <c r="R2312" s="1">
        <v>80000</v>
      </c>
      <c r="S2312" s="1">
        <v>80000</v>
      </c>
    </row>
    <row r="2313" spans="1:19" ht="12.5" x14ac:dyDescent="0.25">
      <c r="A2313" s="1">
        <v>345</v>
      </c>
      <c r="B2313" s="1" t="s">
        <v>7658</v>
      </c>
      <c r="C2313" s="1" t="s">
        <v>35</v>
      </c>
      <c r="D2313" s="1" t="s">
        <v>36</v>
      </c>
      <c r="E2313" s="1">
        <v>2385</v>
      </c>
      <c r="F2313" s="1" t="s">
        <v>7659</v>
      </c>
      <c r="G2313" s="1" t="s">
        <v>7660</v>
      </c>
      <c r="H2313" s="1" t="s">
        <v>7661</v>
      </c>
      <c r="I2313" s="1" t="s">
        <v>29</v>
      </c>
      <c r="J2313" s="1" t="s">
        <v>16</v>
      </c>
      <c r="K2313" s="1" t="b">
        <v>0</v>
      </c>
      <c r="L2313" s="1" t="s">
        <v>22</v>
      </c>
      <c r="M2313" s="1" t="s">
        <v>16</v>
      </c>
      <c r="N2313" s="1" t="s">
        <v>16</v>
      </c>
      <c r="O2313" s="1" t="s">
        <v>16</v>
      </c>
      <c r="P2313" s="1" t="s">
        <v>16</v>
      </c>
      <c r="Q2313" s="1">
        <v>100</v>
      </c>
    </row>
    <row r="2314" spans="1:19" ht="12.5" x14ac:dyDescent="0.25">
      <c r="A2314" s="1">
        <v>1338</v>
      </c>
      <c r="B2314" s="1" t="s">
        <v>7662</v>
      </c>
      <c r="C2314" s="1" t="s">
        <v>35</v>
      </c>
      <c r="D2314" s="1" t="s">
        <v>152</v>
      </c>
      <c r="E2314" s="1">
        <v>2386</v>
      </c>
      <c r="F2314" s="1" t="s">
        <v>7664</v>
      </c>
      <c r="G2314" s="1" t="s">
        <v>7665</v>
      </c>
      <c r="H2314" s="1" t="s">
        <v>7666</v>
      </c>
      <c r="I2314" s="1" t="s">
        <v>29</v>
      </c>
      <c r="J2314" s="1" t="s">
        <v>16</v>
      </c>
      <c r="K2314" s="1" t="b">
        <v>0</v>
      </c>
      <c r="L2314" s="1" t="s">
        <v>22</v>
      </c>
      <c r="M2314" s="1">
        <v>2023</v>
      </c>
      <c r="N2314" s="1" t="s">
        <v>52</v>
      </c>
      <c r="O2314" s="1" t="s">
        <v>9942</v>
      </c>
      <c r="P2314" s="1" t="s">
        <v>16</v>
      </c>
      <c r="Q2314" s="1">
        <v>100</v>
      </c>
      <c r="R2314" s="1">
        <v>250000</v>
      </c>
      <c r="S2314" s="1">
        <v>250000</v>
      </c>
    </row>
    <row r="2315" spans="1:19" ht="12.5" x14ac:dyDescent="0.25">
      <c r="A2315" s="1">
        <v>1430</v>
      </c>
      <c r="B2315" s="1" t="s">
        <v>5396</v>
      </c>
      <c r="C2315" s="1" t="s">
        <v>35</v>
      </c>
      <c r="D2315" s="1" t="s">
        <v>152</v>
      </c>
      <c r="E2315" s="1">
        <v>2387</v>
      </c>
      <c r="F2315" s="1" t="s">
        <v>7667</v>
      </c>
      <c r="G2315" s="1" t="s">
        <v>7668</v>
      </c>
      <c r="H2315" s="1" t="s">
        <v>7669</v>
      </c>
      <c r="I2315" s="1" t="s">
        <v>29</v>
      </c>
      <c r="J2315" s="1" t="s">
        <v>16</v>
      </c>
      <c r="K2315" s="1" t="b">
        <v>0</v>
      </c>
      <c r="L2315" s="1" t="s">
        <v>22</v>
      </c>
      <c r="M2315" s="1" t="s">
        <v>16</v>
      </c>
      <c r="N2315" s="1" t="s">
        <v>16</v>
      </c>
      <c r="O2315" s="1" t="s">
        <v>16</v>
      </c>
      <c r="P2315" s="1" t="s">
        <v>16</v>
      </c>
      <c r="Q2315" s="1">
        <v>100</v>
      </c>
    </row>
    <row r="2316" spans="1:19" ht="12.5" x14ac:dyDescent="0.25">
      <c r="A2316" s="1">
        <v>2311</v>
      </c>
      <c r="B2316" s="1" t="s">
        <v>7670</v>
      </c>
      <c r="C2316" s="1" t="s">
        <v>35</v>
      </c>
      <c r="D2316" s="1" t="s">
        <v>152</v>
      </c>
      <c r="E2316" s="1">
        <v>2388</v>
      </c>
      <c r="F2316" s="1" t="s">
        <v>7672</v>
      </c>
      <c r="G2316" s="1" t="s">
        <v>7673</v>
      </c>
      <c r="H2316" s="1" t="s">
        <v>16</v>
      </c>
      <c r="I2316" s="1" t="s">
        <v>29</v>
      </c>
      <c r="J2316" s="1" t="s">
        <v>7674</v>
      </c>
      <c r="K2316" s="1" t="b">
        <v>1</v>
      </c>
      <c r="L2316" s="1" t="s">
        <v>31</v>
      </c>
      <c r="M2316" s="1">
        <v>2022</v>
      </c>
      <c r="N2316" s="1" t="s">
        <v>23</v>
      </c>
      <c r="O2316" s="1" t="s">
        <v>9935</v>
      </c>
      <c r="P2316" s="1" t="s">
        <v>16</v>
      </c>
      <c r="Q2316" s="1">
        <v>100</v>
      </c>
      <c r="R2316" s="1">
        <v>1000</v>
      </c>
      <c r="S2316" s="1">
        <v>1000</v>
      </c>
    </row>
    <row r="2317" spans="1:19" ht="12.5" x14ac:dyDescent="0.25">
      <c r="A2317" s="1">
        <v>2311</v>
      </c>
      <c r="B2317" s="1" t="s">
        <v>7670</v>
      </c>
      <c r="C2317" s="1" t="s">
        <v>35</v>
      </c>
      <c r="D2317" s="1" t="s">
        <v>152</v>
      </c>
      <c r="E2317" s="1">
        <v>2389</v>
      </c>
      <c r="F2317" s="1" t="s">
        <v>7675</v>
      </c>
      <c r="G2317" s="1" t="s">
        <v>7676</v>
      </c>
      <c r="H2317" s="1" t="s">
        <v>7677</v>
      </c>
      <c r="I2317" s="1" t="s">
        <v>29</v>
      </c>
      <c r="J2317" s="1" t="s">
        <v>7678</v>
      </c>
      <c r="K2317" s="1" t="b">
        <v>1</v>
      </c>
      <c r="L2317" s="1" t="s">
        <v>31</v>
      </c>
      <c r="M2317" s="1">
        <v>2022</v>
      </c>
      <c r="N2317" s="1" t="s">
        <v>23</v>
      </c>
      <c r="O2317" s="1" t="s">
        <v>9935</v>
      </c>
      <c r="P2317" s="1" t="s">
        <v>16</v>
      </c>
      <c r="Q2317" s="1">
        <v>100</v>
      </c>
      <c r="R2317" s="1">
        <v>1250</v>
      </c>
      <c r="S2317" s="1">
        <v>1250</v>
      </c>
    </row>
    <row r="2318" spans="1:19" ht="12.5" x14ac:dyDescent="0.25">
      <c r="A2318" s="1">
        <v>2311</v>
      </c>
      <c r="B2318" s="1" t="s">
        <v>7670</v>
      </c>
      <c r="C2318" s="1" t="s">
        <v>35</v>
      </c>
      <c r="D2318" s="1" t="s">
        <v>152</v>
      </c>
      <c r="E2318" s="1">
        <v>2390</v>
      </c>
      <c r="F2318" s="1" t="s">
        <v>7679</v>
      </c>
      <c r="G2318" s="1" t="s">
        <v>7680</v>
      </c>
      <c r="H2318" s="1" t="s">
        <v>16</v>
      </c>
      <c r="I2318" s="1" t="s">
        <v>29</v>
      </c>
      <c r="J2318" s="1" t="s">
        <v>16</v>
      </c>
      <c r="K2318" s="1" t="b">
        <v>0</v>
      </c>
      <c r="L2318" s="1" t="s">
        <v>22</v>
      </c>
      <c r="M2318" s="1" t="s">
        <v>16</v>
      </c>
      <c r="N2318" s="1" t="s">
        <v>16</v>
      </c>
      <c r="O2318" s="1" t="s">
        <v>9940</v>
      </c>
      <c r="P2318" s="1" t="s">
        <v>16</v>
      </c>
      <c r="Q2318" s="1">
        <v>100</v>
      </c>
      <c r="R2318" s="1">
        <v>75000</v>
      </c>
      <c r="S2318" s="1">
        <v>75000</v>
      </c>
    </row>
    <row r="2319" spans="1:19" ht="12.5" x14ac:dyDescent="0.25">
      <c r="A2319" s="1">
        <v>2311</v>
      </c>
      <c r="B2319" s="1" t="s">
        <v>7670</v>
      </c>
      <c r="C2319" s="1" t="s">
        <v>35</v>
      </c>
      <c r="D2319" s="1" t="s">
        <v>152</v>
      </c>
      <c r="E2319" s="1">
        <v>2391</v>
      </c>
      <c r="F2319" s="1" t="s">
        <v>7681</v>
      </c>
      <c r="G2319" s="1" t="s">
        <v>7682</v>
      </c>
      <c r="H2319" s="1" t="s">
        <v>16</v>
      </c>
      <c r="I2319" s="1" t="s">
        <v>29</v>
      </c>
      <c r="J2319" s="1" t="s">
        <v>7683</v>
      </c>
      <c r="K2319" s="1" t="b">
        <v>1</v>
      </c>
      <c r="L2319" s="1" t="s">
        <v>31</v>
      </c>
      <c r="M2319" s="1">
        <v>2022</v>
      </c>
      <c r="N2319" s="1" t="s">
        <v>23</v>
      </c>
      <c r="O2319" s="1" t="s">
        <v>9935</v>
      </c>
      <c r="P2319" s="1" t="s">
        <v>16</v>
      </c>
      <c r="Q2319" s="1">
        <v>100</v>
      </c>
      <c r="R2319" s="1">
        <v>25000</v>
      </c>
      <c r="S2319" s="1">
        <v>25000</v>
      </c>
    </row>
    <row r="2320" spans="1:19" ht="12.5" x14ac:dyDescent="0.25">
      <c r="A2320" s="1">
        <v>2311</v>
      </c>
      <c r="B2320" s="1" t="s">
        <v>7670</v>
      </c>
      <c r="C2320" s="1" t="s">
        <v>35</v>
      </c>
      <c r="D2320" s="1" t="s">
        <v>152</v>
      </c>
      <c r="E2320" s="1">
        <v>2392</v>
      </c>
      <c r="F2320" s="1" t="s">
        <v>7684</v>
      </c>
      <c r="G2320" s="1" t="s">
        <v>7685</v>
      </c>
      <c r="H2320" s="1" t="s">
        <v>16</v>
      </c>
      <c r="I2320" s="1" t="s">
        <v>29</v>
      </c>
      <c r="J2320" s="1" t="s">
        <v>16</v>
      </c>
      <c r="K2320" s="1" t="b">
        <v>0</v>
      </c>
      <c r="L2320" s="1" t="s">
        <v>22</v>
      </c>
      <c r="M2320" s="1" t="s">
        <v>16</v>
      </c>
      <c r="N2320" s="1" t="s">
        <v>16</v>
      </c>
      <c r="O2320" s="1" t="s">
        <v>16</v>
      </c>
      <c r="P2320" s="1" t="s">
        <v>16</v>
      </c>
      <c r="Q2320" s="1">
        <v>100</v>
      </c>
    </row>
    <row r="2321" spans="1:19" ht="12.5" x14ac:dyDescent="0.25">
      <c r="A2321" s="1">
        <v>2311</v>
      </c>
      <c r="B2321" s="1" t="s">
        <v>7670</v>
      </c>
      <c r="C2321" s="1" t="s">
        <v>35</v>
      </c>
      <c r="D2321" s="1" t="s">
        <v>152</v>
      </c>
      <c r="E2321" s="1">
        <v>2393</v>
      </c>
      <c r="F2321" s="1" t="s">
        <v>7686</v>
      </c>
      <c r="G2321" s="1" t="s">
        <v>7687</v>
      </c>
      <c r="H2321" s="1" t="s">
        <v>16</v>
      </c>
      <c r="I2321" s="1" t="s">
        <v>29</v>
      </c>
      <c r="J2321" s="1" t="s">
        <v>16</v>
      </c>
      <c r="K2321" s="1" t="b">
        <v>0</v>
      </c>
      <c r="L2321" s="1" t="s">
        <v>22</v>
      </c>
      <c r="M2321" s="1" t="s">
        <v>16</v>
      </c>
      <c r="N2321" s="1" t="s">
        <v>16</v>
      </c>
      <c r="O2321" s="1" t="s">
        <v>16</v>
      </c>
      <c r="P2321" s="1" t="s">
        <v>16</v>
      </c>
      <c r="Q2321" s="1">
        <v>100</v>
      </c>
    </row>
    <row r="2322" spans="1:19" ht="12.5" x14ac:dyDescent="0.25">
      <c r="A2322" s="1">
        <v>2311</v>
      </c>
      <c r="B2322" s="1" t="s">
        <v>7670</v>
      </c>
      <c r="C2322" s="1" t="s">
        <v>35</v>
      </c>
      <c r="D2322" s="1" t="s">
        <v>152</v>
      </c>
      <c r="E2322" s="1">
        <v>2394</v>
      </c>
      <c r="F2322" s="1" t="s">
        <v>7688</v>
      </c>
      <c r="G2322" s="1" t="s">
        <v>7689</v>
      </c>
      <c r="H2322" s="1" t="s">
        <v>16</v>
      </c>
      <c r="I2322" s="1" t="s">
        <v>29</v>
      </c>
      <c r="J2322" s="1" t="s">
        <v>7690</v>
      </c>
      <c r="K2322" s="1" t="b">
        <v>1</v>
      </c>
      <c r="L2322" s="1" t="s">
        <v>31</v>
      </c>
      <c r="M2322" s="1">
        <v>2022</v>
      </c>
      <c r="N2322" s="1" t="s">
        <v>23</v>
      </c>
      <c r="O2322" s="1" t="s">
        <v>9935</v>
      </c>
      <c r="P2322" s="1" t="s">
        <v>16</v>
      </c>
      <c r="Q2322" s="1">
        <v>100</v>
      </c>
      <c r="R2322" s="1">
        <v>110000</v>
      </c>
      <c r="S2322" s="1">
        <v>110000</v>
      </c>
    </row>
    <row r="2323" spans="1:19" ht="12.5" x14ac:dyDescent="0.25">
      <c r="A2323" s="1">
        <v>2311</v>
      </c>
      <c r="B2323" s="1" t="s">
        <v>7670</v>
      </c>
      <c r="C2323" s="1" t="s">
        <v>35</v>
      </c>
      <c r="D2323" s="1" t="s">
        <v>152</v>
      </c>
      <c r="E2323" s="1">
        <v>2395</v>
      </c>
      <c r="F2323" s="1" t="s">
        <v>7691</v>
      </c>
      <c r="G2323" s="1" t="s">
        <v>7692</v>
      </c>
      <c r="H2323" s="1" t="s">
        <v>7693</v>
      </c>
      <c r="I2323" s="1" t="s">
        <v>29</v>
      </c>
      <c r="J2323" s="1" t="s">
        <v>16</v>
      </c>
      <c r="K2323" s="1" t="b">
        <v>0</v>
      </c>
      <c r="L2323" s="1" t="s">
        <v>22</v>
      </c>
      <c r="M2323" s="1" t="s">
        <v>16</v>
      </c>
      <c r="N2323" s="1" t="s">
        <v>16</v>
      </c>
      <c r="O2323" s="1" t="s">
        <v>16</v>
      </c>
      <c r="P2323" s="1" t="s">
        <v>16</v>
      </c>
      <c r="Q2323" s="1">
        <v>100</v>
      </c>
    </row>
    <row r="2324" spans="1:19" ht="12.5" x14ac:dyDescent="0.25">
      <c r="A2324" s="1">
        <v>2312</v>
      </c>
      <c r="B2324" s="1" t="s">
        <v>7694</v>
      </c>
      <c r="C2324" s="1" t="s">
        <v>15</v>
      </c>
      <c r="D2324" s="1" t="s">
        <v>15</v>
      </c>
      <c r="E2324" s="1">
        <v>2396</v>
      </c>
      <c r="F2324" s="1" t="s">
        <v>7695</v>
      </c>
      <c r="G2324" s="1" t="s">
        <v>7696</v>
      </c>
      <c r="H2324" s="1" t="s">
        <v>7697</v>
      </c>
      <c r="I2324" s="1" t="s">
        <v>29</v>
      </c>
      <c r="J2324" s="1" t="s">
        <v>7698</v>
      </c>
      <c r="K2324" s="1" t="b">
        <v>0</v>
      </c>
      <c r="L2324" s="1" t="s">
        <v>22</v>
      </c>
      <c r="M2324" s="1">
        <v>2022</v>
      </c>
      <c r="N2324" s="1" t="s">
        <v>52</v>
      </c>
      <c r="O2324" s="1" t="s">
        <v>9940</v>
      </c>
      <c r="P2324" s="1" t="s">
        <v>16</v>
      </c>
      <c r="Q2324" s="1">
        <v>100</v>
      </c>
      <c r="R2324" s="1">
        <v>45000</v>
      </c>
      <c r="S2324" s="1">
        <v>45000</v>
      </c>
    </row>
    <row r="2325" spans="1:19" ht="12.5" x14ac:dyDescent="0.25">
      <c r="A2325" s="1">
        <v>2313</v>
      </c>
      <c r="B2325" s="1" t="s">
        <v>7699</v>
      </c>
      <c r="C2325" s="1" t="s">
        <v>35</v>
      </c>
      <c r="D2325" s="1" t="s">
        <v>5669</v>
      </c>
      <c r="E2325" s="1">
        <v>2397</v>
      </c>
      <c r="F2325" s="1" t="s">
        <v>7701</v>
      </c>
      <c r="G2325" s="1" t="s">
        <v>7700</v>
      </c>
      <c r="H2325" s="1" t="s">
        <v>7700</v>
      </c>
      <c r="I2325" s="1" t="s">
        <v>29</v>
      </c>
      <c r="J2325" s="1" t="s">
        <v>7702</v>
      </c>
      <c r="K2325" s="1" t="b">
        <v>1</v>
      </c>
      <c r="L2325" s="1" t="s">
        <v>31</v>
      </c>
      <c r="M2325" s="1">
        <v>2022</v>
      </c>
      <c r="N2325" s="1" t="s">
        <v>45</v>
      </c>
      <c r="O2325" s="1" t="s">
        <v>9956</v>
      </c>
      <c r="P2325" s="1" t="s">
        <v>16</v>
      </c>
      <c r="Q2325" s="1">
        <v>100</v>
      </c>
      <c r="R2325" s="1">
        <v>1100</v>
      </c>
      <c r="S2325" s="1">
        <v>1100</v>
      </c>
    </row>
    <row r="2326" spans="1:19" ht="12.5" x14ac:dyDescent="0.25">
      <c r="A2326" s="1">
        <v>2315</v>
      </c>
      <c r="B2326" s="1" t="s">
        <v>7703</v>
      </c>
      <c r="C2326" s="1" t="s">
        <v>38</v>
      </c>
      <c r="D2326" s="1" t="s">
        <v>5701</v>
      </c>
      <c r="E2326" s="1">
        <v>2398</v>
      </c>
      <c r="F2326" s="1" t="s">
        <v>7704</v>
      </c>
      <c r="G2326" s="1" t="s">
        <v>7705</v>
      </c>
      <c r="H2326" s="1" t="s">
        <v>7706</v>
      </c>
      <c r="I2326" s="1" t="s">
        <v>29</v>
      </c>
      <c r="J2326" s="1" t="s">
        <v>7707</v>
      </c>
      <c r="K2326" s="1" t="b">
        <v>1</v>
      </c>
      <c r="L2326" s="1" t="s">
        <v>31</v>
      </c>
      <c r="M2326" s="1">
        <v>2022</v>
      </c>
      <c r="N2326" s="1" t="s">
        <v>23</v>
      </c>
      <c r="O2326" s="1" t="s">
        <v>9956</v>
      </c>
      <c r="P2326" s="1" t="s">
        <v>16</v>
      </c>
      <c r="Q2326" s="1">
        <v>100</v>
      </c>
      <c r="R2326" s="1">
        <v>37500</v>
      </c>
      <c r="S2326" s="1">
        <v>37500</v>
      </c>
    </row>
    <row r="2327" spans="1:19" ht="12.5" x14ac:dyDescent="0.25">
      <c r="A2327" s="1">
        <v>2315</v>
      </c>
      <c r="B2327" s="1" t="s">
        <v>7703</v>
      </c>
      <c r="C2327" s="1" t="s">
        <v>38</v>
      </c>
      <c r="D2327" s="1" t="s">
        <v>5701</v>
      </c>
      <c r="E2327" s="1">
        <v>2399</v>
      </c>
      <c r="F2327" s="1" t="s">
        <v>7708</v>
      </c>
      <c r="G2327" s="1" t="s">
        <v>7709</v>
      </c>
      <c r="H2327" s="1" t="s">
        <v>7710</v>
      </c>
      <c r="I2327" s="1" t="s">
        <v>29</v>
      </c>
      <c r="J2327" s="1" t="s">
        <v>7711</v>
      </c>
      <c r="K2327" s="1" t="b">
        <v>1</v>
      </c>
      <c r="L2327" s="1" t="s">
        <v>31</v>
      </c>
      <c r="M2327" s="1">
        <v>2022</v>
      </c>
      <c r="N2327" s="1" t="s">
        <v>23</v>
      </c>
      <c r="O2327" s="1" t="s">
        <v>9956</v>
      </c>
      <c r="P2327" s="1" t="s">
        <v>16</v>
      </c>
      <c r="Q2327" s="1">
        <v>100</v>
      </c>
      <c r="R2327" s="1">
        <v>48400</v>
      </c>
      <c r="S2327" s="1">
        <v>48400</v>
      </c>
    </row>
    <row r="2328" spans="1:19" ht="12.5" x14ac:dyDescent="0.25">
      <c r="A2328" s="1">
        <v>2316</v>
      </c>
      <c r="B2328" s="1" t="s">
        <v>7712</v>
      </c>
      <c r="C2328" s="1" t="s">
        <v>38</v>
      </c>
      <c r="D2328" s="1" t="s">
        <v>5701</v>
      </c>
      <c r="E2328" s="1">
        <v>2400</v>
      </c>
      <c r="F2328" s="1" t="s">
        <v>7713</v>
      </c>
      <c r="G2328" s="1" t="s">
        <v>7714</v>
      </c>
      <c r="H2328" s="1" t="s">
        <v>7714</v>
      </c>
      <c r="I2328" s="1" t="s">
        <v>29</v>
      </c>
      <c r="J2328" s="1" t="s">
        <v>7715</v>
      </c>
      <c r="K2328" s="1" t="b">
        <v>1</v>
      </c>
      <c r="L2328" s="1" t="s">
        <v>31</v>
      </c>
      <c r="M2328" s="1">
        <v>2022</v>
      </c>
      <c r="N2328" s="1" t="s">
        <v>23</v>
      </c>
      <c r="O2328" s="1" t="s">
        <v>9940</v>
      </c>
      <c r="P2328" s="1" t="s">
        <v>16</v>
      </c>
      <c r="Q2328" s="1">
        <v>100</v>
      </c>
      <c r="R2328" s="1">
        <v>10000</v>
      </c>
      <c r="S2328" s="1">
        <v>10000</v>
      </c>
    </row>
    <row r="2329" spans="1:19" ht="12.5" x14ac:dyDescent="0.25">
      <c r="A2329" s="1">
        <v>2316</v>
      </c>
      <c r="B2329" s="1" t="s">
        <v>7712</v>
      </c>
      <c r="C2329" s="1" t="s">
        <v>38</v>
      </c>
      <c r="D2329" s="1" t="s">
        <v>5701</v>
      </c>
      <c r="E2329" s="1">
        <v>2401</v>
      </c>
      <c r="F2329" s="1" t="s">
        <v>7716</v>
      </c>
      <c r="G2329" s="1" t="s">
        <v>7717</v>
      </c>
      <c r="H2329" s="1" t="s">
        <v>7717</v>
      </c>
      <c r="I2329" s="1" t="s">
        <v>29</v>
      </c>
      <c r="J2329" s="1" t="s">
        <v>7718</v>
      </c>
      <c r="K2329" s="1" t="b">
        <v>1</v>
      </c>
      <c r="L2329" s="1" t="s">
        <v>31</v>
      </c>
      <c r="M2329" s="1">
        <v>2022</v>
      </c>
      <c r="N2329" s="1" t="s">
        <v>23</v>
      </c>
      <c r="O2329" s="1" t="s">
        <v>9940</v>
      </c>
      <c r="P2329" s="1" t="s">
        <v>16</v>
      </c>
      <c r="Q2329" s="1">
        <v>100</v>
      </c>
      <c r="R2329" s="1">
        <v>7000</v>
      </c>
      <c r="S2329" s="1">
        <v>7000</v>
      </c>
    </row>
    <row r="2330" spans="1:19" ht="12.5" x14ac:dyDescent="0.25">
      <c r="A2330" s="1">
        <v>2235</v>
      </c>
      <c r="B2330" s="1" t="s">
        <v>7454</v>
      </c>
      <c r="C2330" s="1" t="s">
        <v>38</v>
      </c>
      <c r="D2330" s="1" t="s">
        <v>5701</v>
      </c>
      <c r="E2330" s="1">
        <v>2402</v>
      </c>
      <c r="F2330" s="1" t="s">
        <v>7719</v>
      </c>
      <c r="G2330" s="1" t="s">
        <v>7720</v>
      </c>
      <c r="H2330" s="1" t="s">
        <v>7720</v>
      </c>
      <c r="I2330" s="1" t="s">
        <v>29</v>
      </c>
      <c r="J2330" s="1" t="s">
        <v>7721</v>
      </c>
      <c r="K2330" s="1" t="b">
        <v>1</v>
      </c>
      <c r="L2330" s="1" t="s">
        <v>31</v>
      </c>
      <c r="M2330" s="1">
        <v>2022</v>
      </c>
      <c r="N2330" s="1" t="s">
        <v>23</v>
      </c>
      <c r="O2330" s="1" t="s">
        <v>9956</v>
      </c>
      <c r="P2330" s="1" t="s">
        <v>16</v>
      </c>
      <c r="Q2330" s="1">
        <v>100</v>
      </c>
      <c r="R2330" s="1">
        <v>30000</v>
      </c>
      <c r="S2330" s="1">
        <v>30000</v>
      </c>
    </row>
    <row r="2331" spans="1:19" ht="12.5" x14ac:dyDescent="0.25">
      <c r="A2331" s="1" t="s">
        <v>16</v>
      </c>
      <c r="B2331" s="1" t="s">
        <v>16</v>
      </c>
      <c r="C2331" s="1" t="s">
        <v>16</v>
      </c>
      <c r="D2331" s="1" t="s">
        <v>16</v>
      </c>
      <c r="E2331" s="1">
        <v>2403</v>
      </c>
      <c r="F2331" s="1" t="s">
        <v>7722</v>
      </c>
      <c r="G2331" s="1" t="s">
        <v>7723</v>
      </c>
      <c r="H2331" s="1" t="s">
        <v>7724</v>
      </c>
      <c r="I2331" s="1" t="s">
        <v>29</v>
      </c>
      <c r="J2331" s="1" t="s">
        <v>16</v>
      </c>
      <c r="K2331" s="1" t="b">
        <v>0</v>
      </c>
      <c r="L2331" s="1" t="s">
        <v>22</v>
      </c>
      <c r="M2331" s="1" t="s">
        <v>16</v>
      </c>
      <c r="N2331" s="1" t="s">
        <v>16</v>
      </c>
      <c r="O2331" s="1" t="s">
        <v>9935</v>
      </c>
      <c r="P2331" s="1" t="s">
        <v>16</v>
      </c>
      <c r="R2331" s="1">
        <v>600000</v>
      </c>
    </row>
    <row r="2332" spans="1:19" ht="12.5" x14ac:dyDescent="0.25">
      <c r="A2332" s="1" t="s">
        <v>16</v>
      </c>
      <c r="B2332" s="1" t="s">
        <v>16</v>
      </c>
      <c r="C2332" s="1" t="s">
        <v>16</v>
      </c>
      <c r="D2332" s="1" t="s">
        <v>16</v>
      </c>
      <c r="E2332" s="1">
        <v>2404</v>
      </c>
      <c r="F2332" s="1" t="s">
        <v>7725</v>
      </c>
      <c r="G2332" s="1" t="s">
        <v>7726</v>
      </c>
      <c r="H2332" s="1" t="s">
        <v>16</v>
      </c>
      <c r="I2332" s="1" t="s">
        <v>20</v>
      </c>
      <c r="J2332" s="1" t="s">
        <v>7727</v>
      </c>
      <c r="K2332" s="1" t="b">
        <v>0</v>
      </c>
      <c r="L2332" s="1" t="s">
        <v>22</v>
      </c>
      <c r="M2332" s="1" t="s">
        <v>16</v>
      </c>
      <c r="N2332" s="1" t="s">
        <v>16</v>
      </c>
      <c r="O2332" s="1" t="s">
        <v>16</v>
      </c>
      <c r="P2332" s="1" t="s">
        <v>16</v>
      </c>
    </row>
    <row r="2333" spans="1:19" ht="12.5" x14ac:dyDescent="0.25">
      <c r="A2333" s="1" t="s">
        <v>16</v>
      </c>
      <c r="B2333" s="1" t="s">
        <v>16</v>
      </c>
      <c r="C2333" s="1" t="s">
        <v>16</v>
      </c>
      <c r="D2333" s="1" t="s">
        <v>16</v>
      </c>
      <c r="E2333" s="1">
        <v>2405</v>
      </c>
      <c r="F2333" s="1" t="s">
        <v>7728</v>
      </c>
      <c r="G2333" s="1" t="s">
        <v>7729</v>
      </c>
      <c r="H2333" s="1" t="s">
        <v>16</v>
      </c>
      <c r="I2333" s="1" t="s">
        <v>20</v>
      </c>
      <c r="J2333" s="1" t="s">
        <v>7730</v>
      </c>
      <c r="K2333" s="1" t="b">
        <v>0</v>
      </c>
      <c r="L2333" s="1" t="s">
        <v>22</v>
      </c>
      <c r="M2333" s="1" t="s">
        <v>16</v>
      </c>
      <c r="N2333" s="1" t="s">
        <v>16</v>
      </c>
      <c r="O2333" s="1" t="s">
        <v>16</v>
      </c>
      <c r="P2333" s="1" t="s">
        <v>16</v>
      </c>
    </row>
    <row r="2334" spans="1:19" ht="12.5" x14ac:dyDescent="0.25">
      <c r="A2334" s="1" t="s">
        <v>16</v>
      </c>
      <c r="B2334" s="1" t="s">
        <v>16</v>
      </c>
      <c r="C2334" s="1" t="s">
        <v>16</v>
      </c>
      <c r="D2334" s="1" t="s">
        <v>16</v>
      </c>
      <c r="E2334" s="1">
        <v>2406</v>
      </c>
      <c r="F2334" s="1" t="s">
        <v>7731</v>
      </c>
      <c r="G2334" s="1" t="s">
        <v>7732</v>
      </c>
      <c r="H2334" s="1" t="s">
        <v>16</v>
      </c>
      <c r="I2334" s="1" t="s">
        <v>20</v>
      </c>
      <c r="J2334" s="1" t="s">
        <v>7733</v>
      </c>
      <c r="K2334" s="1" t="b">
        <v>0</v>
      </c>
      <c r="L2334" s="1" t="s">
        <v>22</v>
      </c>
      <c r="M2334" s="1" t="s">
        <v>16</v>
      </c>
      <c r="N2334" s="1" t="s">
        <v>16</v>
      </c>
      <c r="O2334" s="1" t="s">
        <v>16</v>
      </c>
      <c r="P2334" s="1" t="s">
        <v>16</v>
      </c>
    </row>
    <row r="2335" spans="1:19" ht="12.5" x14ac:dyDescent="0.25">
      <c r="A2335" s="1">
        <v>1134</v>
      </c>
      <c r="B2335" s="1" t="s">
        <v>7734</v>
      </c>
      <c r="C2335" s="1" t="s">
        <v>35</v>
      </c>
      <c r="D2335" s="1" t="s">
        <v>152</v>
      </c>
      <c r="E2335" s="1">
        <v>2452</v>
      </c>
      <c r="F2335" s="1" t="s">
        <v>7736</v>
      </c>
      <c r="G2335" s="1" t="s">
        <v>7737</v>
      </c>
      <c r="H2335" s="1" t="s">
        <v>7738</v>
      </c>
      <c r="I2335" s="1" t="s">
        <v>29</v>
      </c>
      <c r="J2335" s="1" t="s">
        <v>7739</v>
      </c>
      <c r="K2335" s="1" t="b">
        <v>0</v>
      </c>
      <c r="L2335" s="1" t="s">
        <v>22</v>
      </c>
      <c r="M2335" s="1">
        <v>2022</v>
      </c>
      <c r="N2335" s="1" t="s">
        <v>52</v>
      </c>
      <c r="O2335" s="1" t="s">
        <v>9956</v>
      </c>
      <c r="P2335" s="1" t="s">
        <v>10085</v>
      </c>
      <c r="Q2335" s="1">
        <v>100</v>
      </c>
      <c r="R2335" s="1">
        <v>2500</v>
      </c>
      <c r="S2335" s="1">
        <v>2500</v>
      </c>
    </row>
    <row r="2336" spans="1:19" ht="12.5" x14ac:dyDescent="0.25">
      <c r="A2336" s="1">
        <v>2216</v>
      </c>
      <c r="B2336" s="1" t="s">
        <v>7740</v>
      </c>
      <c r="C2336" s="1" t="s">
        <v>35</v>
      </c>
      <c r="D2336" s="1" t="s">
        <v>5409</v>
      </c>
      <c r="E2336" s="1">
        <v>2453</v>
      </c>
      <c r="F2336" s="1" t="s">
        <v>7741</v>
      </c>
      <c r="G2336" s="1" t="s">
        <v>7742</v>
      </c>
      <c r="H2336" s="1" t="s">
        <v>7743</v>
      </c>
      <c r="I2336" s="1" t="s">
        <v>29</v>
      </c>
      <c r="J2336" s="1" t="s">
        <v>7744</v>
      </c>
      <c r="K2336" s="1" t="b">
        <v>1</v>
      </c>
      <c r="L2336" s="1" t="s">
        <v>31</v>
      </c>
      <c r="M2336" s="1">
        <v>2022</v>
      </c>
      <c r="N2336" s="1" t="s">
        <v>45</v>
      </c>
      <c r="O2336" s="1" t="s">
        <v>9935</v>
      </c>
      <c r="P2336" s="1" t="s">
        <v>16</v>
      </c>
      <c r="Q2336" s="1">
        <v>100</v>
      </c>
      <c r="R2336" s="1">
        <v>150000</v>
      </c>
      <c r="S2336" s="1">
        <v>150000</v>
      </c>
    </row>
    <row r="2337" spans="1:19" ht="12.5" x14ac:dyDescent="0.25">
      <c r="A2337" s="1">
        <v>2209</v>
      </c>
      <c r="B2337" s="1" t="s">
        <v>7745</v>
      </c>
      <c r="C2337" s="1" t="s">
        <v>35</v>
      </c>
      <c r="D2337" s="1" t="s">
        <v>5409</v>
      </c>
      <c r="E2337" s="1">
        <v>2502</v>
      </c>
      <c r="F2337" s="1" t="s">
        <v>7746</v>
      </c>
      <c r="G2337" s="1" t="s">
        <v>7747</v>
      </c>
      <c r="H2337" s="1" t="s">
        <v>7748</v>
      </c>
      <c r="I2337" s="1" t="s">
        <v>29</v>
      </c>
      <c r="J2337" s="1" t="s">
        <v>7749</v>
      </c>
      <c r="K2337" s="1" t="b">
        <v>1</v>
      </c>
      <c r="L2337" s="1" t="s">
        <v>31</v>
      </c>
      <c r="M2337" s="1">
        <v>2022</v>
      </c>
      <c r="N2337" s="1" t="s">
        <v>45</v>
      </c>
      <c r="O2337" s="1" t="s">
        <v>9935</v>
      </c>
      <c r="P2337" s="1" t="s">
        <v>16</v>
      </c>
      <c r="Q2337" s="1">
        <v>100</v>
      </c>
      <c r="R2337" s="1">
        <v>30000</v>
      </c>
      <c r="S2337" s="1">
        <v>30000</v>
      </c>
    </row>
    <row r="2338" spans="1:19" ht="12.5" x14ac:dyDescent="0.25">
      <c r="A2338" s="1" t="s">
        <v>16</v>
      </c>
      <c r="B2338" s="1" t="s">
        <v>16</v>
      </c>
      <c r="C2338" s="1" t="s">
        <v>16</v>
      </c>
      <c r="D2338" s="1" t="s">
        <v>16</v>
      </c>
      <c r="E2338" s="1">
        <v>2503</v>
      </c>
      <c r="F2338" s="1" t="s">
        <v>7750</v>
      </c>
      <c r="G2338" s="1" t="s">
        <v>7751</v>
      </c>
      <c r="H2338" s="1" t="s">
        <v>16</v>
      </c>
      <c r="I2338" s="1" t="s">
        <v>20</v>
      </c>
      <c r="J2338" s="1" t="s">
        <v>7752</v>
      </c>
      <c r="K2338" s="1" t="b">
        <v>0</v>
      </c>
      <c r="L2338" s="1" t="s">
        <v>22</v>
      </c>
      <c r="M2338" s="1" t="s">
        <v>16</v>
      </c>
      <c r="N2338" s="1" t="s">
        <v>16</v>
      </c>
      <c r="O2338" s="1" t="s">
        <v>16</v>
      </c>
      <c r="P2338" s="1" t="s">
        <v>16</v>
      </c>
    </row>
    <row r="2339" spans="1:19" ht="12.5" x14ac:dyDescent="0.25">
      <c r="A2339" s="1" t="s">
        <v>16</v>
      </c>
      <c r="B2339" s="1" t="s">
        <v>16</v>
      </c>
      <c r="C2339" s="1" t="s">
        <v>16</v>
      </c>
      <c r="D2339" s="1" t="s">
        <v>16</v>
      </c>
      <c r="E2339" s="1">
        <v>2504</v>
      </c>
      <c r="F2339" s="1" t="s">
        <v>7753</v>
      </c>
      <c r="G2339" s="1" t="s">
        <v>10086</v>
      </c>
      <c r="H2339" s="1" t="s">
        <v>16</v>
      </c>
      <c r="I2339" s="1" t="s">
        <v>20</v>
      </c>
      <c r="J2339" s="1" t="s">
        <v>7754</v>
      </c>
      <c r="K2339" s="1" t="b">
        <v>0</v>
      </c>
      <c r="L2339" s="1" t="s">
        <v>22</v>
      </c>
      <c r="M2339" s="1" t="s">
        <v>16</v>
      </c>
      <c r="N2339" s="1" t="s">
        <v>16</v>
      </c>
      <c r="O2339" s="1" t="s">
        <v>16</v>
      </c>
      <c r="P2339" s="1" t="s">
        <v>16</v>
      </c>
    </row>
    <row r="2340" spans="1:19" ht="12.5" x14ac:dyDescent="0.25">
      <c r="A2340" s="1" t="s">
        <v>16</v>
      </c>
      <c r="B2340" s="1" t="s">
        <v>16</v>
      </c>
      <c r="C2340" s="1" t="s">
        <v>16</v>
      </c>
      <c r="D2340" s="1" t="s">
        <v>16</v>
      </c>
      <c r="E2340" s="1">
        <v>2505</v>
      </c>
      <c r="F2340" s="1" t="s">
        <v>7755</v>
      </c>
      <c r="G2340" s="1" t="s">
        <v>7756</v>
      </c>
      <c r="H2340" s="1" t="s">
        <v>16</v>
      </c>
      <c r="I2340" s="1" t="s">
        <v>20</v>
      </c>
      <c r="J2340" s="1" t="s">
        <v>7757</v>
      </c>
      <c r="K2340" s="1" t="b">
        <v>0</v>
      </c>
      <c r="L2340" s="1" t="s">
        <v>22</v>
      </c>
      <c r="M2340" s="1" t="s">
        <v>16</v>
      </c>
      <c r="N2340" s="1" t="s">
        <v>16</v>
      </c>
      <c r="O2340" s="1" t="s">
        <v>16</v>
      </c>
      <c r="P2340" s="1" t="s">
        <v>16</v>
      </c>
    </row>
    <row r="2341" spans="1:19" ht="12.5" x14ac:dyDescent="0.25">
      <c r="A2341" s="1">
        <v>973</v>
      </c>
      <c r="B2341" s="1" t="s">
        <v>3424</v>
      </c>
      <c r="C2341" s="1" t="s">
        <v>35</v>
      </c>
      <c r="D2341" s="1" t="s">
        <v>152</v>
      </c>
      <c r="E2341" s="1">
        <v>2506</v>
      </c>
      <c r="F2341" s="1" t="s">
        <v>7758</v>
      </c>
      <c r="G2341" s="1" t="s">
        <v>7759</v>
      </c>
      <c r="H2341" s="1" t="s">
        <v>7760</v>
      </c>
      <c r="I2341" s="1" t="s">
        <v>29</v>
      </c>
      <c r="J2341" s="1" t="s">
        <v>7761</v>
      </c>
      <c r="K2341" s="1" t="b">
        <v>1</v>
      </c>
      <c r="L2341" s="1" t="s">
        <v>31</v>
      </c>
      <c r="M2341" s="1">
        <v>2022</v>
      </c>
      <c r="N2341" s="1" t="s">
        <v>16</v>
      </c>
      <c r="O2341" s="1" t="s">
        <v>9935</v>
      </c>
      <c r="P2341" s="1" t="s">
        <v>16</v>
      </c>
      <c r="Q2341" s="1">
        <v>100</v>
      </c>
      <c r="R2341" s="1">
        <v>20000</v>
      </c>
      <c r="S2341" s="1">
        <v>20000</v>
      </c>
    </row>
    <row r="2342" spans="1:19" ht="12.5" x14ac:dyDescent="0.25">
      <c r="A2342" s="1" t="s">
        <v>16</v>
      </c>
      <c r="B2342" s="1" t="s">
        <v>16</v>
      </c>
      <c r="C2342" s="1" t="s">
        <v>16</v>
      </c>
      <c r="D2342" s="1" t="s">
        <v>16</v>
      </c>
      <c r="E2342" s="1">
        <v>2507</v>
      </c>
      <c r="F2342" s="1" t="s">
        <v>7762</v>
      </c>
      <c r="G2342" s="1" t="s">
        <v>7763</v>
      </c>
      <c r="H2342" s="1" t="s">
        <v>16</v>
      </c>
      <c r="I2342" s="1" t="s">
        <v>20</v>
      </c>
      <c r="J2342" s="1" t="s">
        <v>16</v>
      </c>
      <c r="K2342" s="1" t="b">
        <v>0</v>
      </c>
      <c r="L2342" s="1" t="s">
        <v>22</v>
      </c>
      <c r="M2342" s="1">
        <v>2024</v>
      </c>
      <c r="N2342" s="1" t="s">
        <v>32</v>
      </c>
      <c r="O2342" s="1" t="s">
        <v>9956</v>
      </c>
      <c r="P2342" s="1" t="s">
        <v>16</v>
      </c>
      <c r="R2342" s="1">
        <v>400000</v>
      </c>
    </row>
    <row r="2343" spans="1:19" ht="12.5" x14ac:dyDescent="0.25">
      <c r="A2343" s="1" t="s">
        <v>16</v>
      </c>
      <c r="B2343" s="1" t="s">
        <v>16</v>
      </c>
      <c r="C2343" s="1" t="s">
        <v>16</v>
      </c>
      <c r="D2343" s="1" t="s">
        <v>16</v>
      </c>
      <c r="E2343" s="1">
        <v>2508</v>
      </c>
      <c r="F2343" s="1" t="s">
        <v>7764</v>
      </c>
      <c r="G2343" s="1" t="s">
        <v>7765</v>
      </c>
      <c r="H2343" s="1" t="s">
        <v>16</v>
      </c>
      <c r="I2343" s="1" t="s">
        <v>20</v>
      </c>
      <c r="J2343" s="1" t="s">
        <v>7766</v>
      </c>
      <c r="K2343" s="1" t="b">
        <v>0</v>
      </c>
      <c r="L2343" s="1" t="s">
        <v>22</v>
      </c>
      <c r="M2343" s="1">
        <v>2024</v>
      </c>
      <c r="N2343" s="1" t="s">
        <v>16</v>
      </c>
      <c r="O2343" s="1" t="s">
        <v>9956</v>
      </c>
      <c r="P2343" s="1" t="s">
        <v>16</v>
      </c>
      <c r="R2343" s="1">
        <v>3000000</v>
      </c>
    </row>
    <row r="2344" spans="1:19" ht="12.5" x14ac:dyDescent="0.25">
      <c r="A2344" s="1" t="s">
        <v>16</v>
      </c>
      <c r="B2344" s="1" t="s">
        <v>16</v>
      </c>
      <c r="C2344" s="1" t="s">
        <v>16</v>
      </c>
      <c r="D2344" s="1" t="s">
        <v>16</v>
      </c>
      <c r="E2344" s="1">
        <v>2509</v>
      </c>
      <c r="F2344" s="1" t="s">
        <v>7767</v>
      </c>
      <c r="G2344" s="1" t="s">
        <v>7768</v>
      </c>
      <c r="H2344" s="1" t="s">
        <v>16</v>
      </c>
      <c r="I2344" s="1" t="s">
        <v>20</v>
      </c>
      <c r="J2344" s="1" t="s">
        <v>7769</v>
      </c>
      <c r="K2344" s="1" t="b">
        <v>0</v>
      </c>
      <c r="L2344" s="1" t="s">
        <v>22</v>
      </c>
      <c r="M2344" s="1">
        <v>2022</v>
      </c>
      <c r="N2344" s="1" t="s">
        <v>16</v>
      </c>
      <c r="O2344" s="1" t="s">
        <v>9956</v>
      </c>
      <c r="P2344" s="1" t="s">
        <v>16</v>
      </c>
      <c r="R2344" s="1">
        <v>150000</v>
      </c>
    </row>
    <row r="2345" spans="1:19" ht="12.5" x14ac:dyDescent="0.25">
      <c r="A2345" s="1">
        <v>2305</v>
      </c>
      <c r="B2345" s="1" t="s">
        <v>7770</v>
      </c>
      <c r="C2345" s="1" t="s">
        <v>35</v>
      </c>
      <c r="D2345" s="1" t="s">
        <v>5669</v>
      </c>
      <c r="E2345" s="1">
        <v>2510</v>
      </c>
      <c r="F2345" s="1" t="s">
        <v>7772</v>
      </c>
      <c r="G2345" s="1" t="s">
        <v>7771</v>
      </c>
      <c r="H2345" s="1" t="s">
        <v>16</v>
      </c>
      <c r="I2345" s="1" t="s">
        <v>29</v>
      </c>
      <c r="J2345" s="1" t="s">
        <v>7773</v>
      </c>
      <c r="K2345" s="1" t="b">
        <v>1</v>
      </c>
      <c r="L2345" s="1" t="s">
        <v>31</v>
      </c>
      <c r="M2345" s="1">
        <v>2022</v>
      </c>
      <c r="N2345" s="1" t="s">
        <v>45</v>
      </c>
      <c r="O2345" s="1" t="s">
        <v>9935</v>
      </c>
      <c r="P2345" s="1" t="s">
        <v>16</v>
      </c>
      <c r="Q2345" s="1">
        <v>100</v>
      </c>
      <c r="R2345" s="1">
        <v>35000</v>
      </c>
      <c r="S2345" s="1">
        <v>35000</v>
      </c>
    </row>
    <row r="2346" spans="1:19" ht="12.5" x14ac:dyDescent="0.25">
      <c r="A2346" s="1">
        <v>4302</v>
      </c>
      <c r="B2346" s="1" t="s">
        <v>7774</v>
      </c>
      <c r="C2346" s="1" t="s">
        <v>35</v>
      </c>
      <c r="D2346" s="1" t="s">
        <v>5669</v>
      </c>
      <c r="E2346" s="1">
        <v>2511</v>
      </c>
      <c r="F2346" s="1" t="s">
        <v>7775</v>
      </c>
      <c r="G2346" s="1" t="s">
        <v>7776</v>
      </c>
      <c r="H2346" s="1" t="s">
        <v>7777</v>
      </c>
      <c r="I2346" s="1" t="s">
        <v>29</v>
      </c>
      <c r="J2346" s="1" t="s">
        <v>7778</v>
      </c>
      <c r="K2346" s="1" t="b">
        <v>1</v>
      </c>
      <c r="L2346" s="1" t="s">
        <v>31</v>
      </c>
      <c r="M2346" s="1">
        <v>2023</v>
      </c>
      <c r="N2346" s="1" t="s">
        <v>32</v>
      </c>
      <c r="O2346" s="1" t="s">
        <v>9956</v>
      </c>
      <c r="P2346" s="1" t="s">
        <v>10087</v>
      </c>
      <c r="Q2346" s="1">
        <v>100</v>
      </c>
      <c r="R2346" s="1">
        <v>250000</v>
      </c>
      <c r="S2346" s="1">
        <v>250000</v>
      </c>
    </row>
    <row r="2347" spans="1:19" ht="12.5" x14ac:dyDescent="0.25">
      <c r="A2347" s="1">
        <v>2304</v>
      </c>
      <c r="B2347" s="1" t="s">
        <v>7779</v>
      </c>
      <c r="C2347" s="1" t="s">
        <v>35</v>
      </c>
      <c r="D2347" s="1" t="s">
        <v>5669</v>
      </c>
      <c r="E2347" s="1">
        <v>2512</v>
      </c>
      <c r="F2347" s="1" t="s">
        <v>7780</v>
      </c>
      <c r="G2347" s="1" t="s">
        <v>7781</v>
      </c>
      <c r="H2347" s="1" t="s">
        <v>7782</v>
      </c>
      <c r="I2347" s="1" t="s">
        <v>29</v>
      </c>
      <c r="J2347" s="1" t="s">
        <v>7783</v>
      </c>
      <c r="K2347" s="1" t="b">
        <v>0</v>
      </c>
      <c r="L2347" s="1" t="s">
        <v>22</v>
      </c>
      <c r="M2347" s="1" t="s">
        <v>16</v>
      </c>
      <c r="N2347" s="1" t="s">
        <v>16</v>
      </c>
      <c r="O2347" s="1" t="s">
        <v>9935</v>
      </c>
      <c r="P2347" s="1" t="s">
        <v>16</v>
      </c>
      <c r="Q2347" s="1">
        <v>100</v>
      </c>
      <c r="R2347" s="1">
        <v>750000</v>
      </c>
      <c r="S2347" s="1">
        <v>750000</v>
      </c>
    </row>
    <row r="2348" spans="1:19" ht="12.5" x14ac:dyDescent="0.25">
      <c r="A2348" s="1">
        <v>2303</v>
      </c>
      <c r="B2348" s="1" t="s">
        <v>7784</v>
      </c>
      <c r="C2348" s="1" t="s">
        <v>35</v>
      </c>
      <c r="D2348" s="1" t="s">
        <v>5669</v>
      </c>
      <c r="E2348" s="1">
        <v>2513</v>
      </c>
      <c r="F2348" s="1" t="s">
        <v>7786</v>
      </c>
      <c r="G2348" s="1" t="s">
        <v>7785</v>
      </c>
      <c r="H2348" s="1" t="s">
        <v>16</v>
      </c>
      <c r="I2348" s="1" t="s">
        <v>29</v>
      </c>
      <c r="J2348" s="1" t="s">
        <v>7787</v>
      </c>
      <c r="K2348" s="1" t="b">
        <v>0</v>
      </c>
      <c r="L2348" s="1" t="s">
        <v>22</v>
      </c>
      <c r="M2348" s="1">
        <v>2022</v>
      </c>
      <c r="N2348" s="1" t="s">
        <v>52</v>
      </c>
      <c r="O2348" s="1" t="s">
        <v>9935</v>
      </c>
      <c r="P2348" s="1" t="s">
        <v>16</v>
      </c>
      <c r="Q2348" s="1">
        <v>100</v>
      </c>
      <c r="R2348" s="1">
        <v>33000</v>
      </c>
      <c r="S2348" s="1">
        <v>33000</v>
      </c>
    </row>
    <row r="2349" spans="1:19" ht="12.5" x14ac:dyDescent="0.25">
      <c r="A2349" s="1">
        <v>2302</v>
      </c>
      <c r="B2349" s="1" t="s">
        <v>7788</v>
      </c>
      <c r="C2349" s="1" t="s">
        <v>35</v>
      </c>
      <c r="D2349" s="1" t="s">
        <v>5669</v>
      </c>
      <c r="E2349" s="1">
        <v>2514</v>
      </c>
      <c r="F2349" s="1" t="s">
        <v>7790</v>
      </c>
      <c r="G2349" s="1" t="s">
        <v>7789</v>
      </c>
      <c r="H2349" s="1" t="s">
        <v>16</v>
      </c>
      <c r="I2349" s="1" t="s">
        <v>29</v>
      </c>
      <c r="J2349" s="1" t="s">
        <v>7791</v>
      </c>
      <c r="K2349" s="1" t="b">
        <v>0</v>
      </c>
      <c r="L2349" s="1" t="s">
        <v>22</v>
      </c>
      <c r="M2349" s="1">
        <v>2022</v>
      </c>
      <c r="N2349" s="1" t="s">
        <v>52</v>
      </c>
      <c r="O2349" s="1" t="s">
        <v>9935</v>
      </c>
      <c r="P2349" s="1" t="s">
        <v>16</v>
      </c>
      <c r="Q2349" s="1">
        <v>100</v>
      </c>
      <c r="R2349" s="1">
        <v>70000</v>
      </c>
      <c r="S2349" s="1">
        <v>70000</v>
      </c>
    </row>
    <row r="2350" spans="1:19" ht="12.5" x14ac:dyDescent="0.25">
      <c r="A2350" s="1">
        <v>1782</v>
      </c>
      <c r="B2350" s="1" t="s">
        <v>7792</v>
      </c>
      <c r="C2350" s="1" t="s">
        <v>35</v>
      </c>
      <c r="D2350" s="1" t="s">
        <v>5409</v>
      </c>
      <c r="E2350" s="1">
        <v>2515</v>
      </c>
      <c r="F2350" s="1" t="s">
        <v>7793</v>
      </c>
      <c r="G2350" s="1" t="s">
        <v>7794</v>
      </c>
      <c r="H2350" s="1" t="s">
        <v>16</v>
      </c>
      <c r="I2350" s="1" t="s">
        <v>29</v>
      </c>
      <c r="J2350" s="1" t="s">
        <v>7795</v>
      </c>
      <c r="K2350" s="1" t="b">
        <v>1</v>
      </c>
      <c r="L2350" s="1" t="s">
        <v>31</v>
      </c>
      <c r="M2350" s="1">
        <v>2022</v>
      </c>
      <c r="N2350" s="1" t="s">
        <v>52</v>
      </c>
      <c r="O2350" s="1" t="s">
        <v>9935</v>
      </c>
      <c r="P2350" s="1" t="s">
        <v>16</v>
      </c>
      <c r="Q2350" s="1">
        <v>100</v>
      </c>
      <c r="R2350" s="1">
        <v>120000</v>
      </c>
      <c r="S2350" s="1">
        <v>120000</v>
      </c>
    </row>
    <row r="2351" spans="1:19" ht="12.5" x14ac:dyDescent="0.25">
      <c r="A2351" s="1">
        <v>1621</v>
      </c>
      <c r="B2351" s="1" t="s">
        <v>5221</v>
      </c>
      <c r="C2351" s="1" t="s">
        <v>35</v>
      </c>
      <c r="D2351" s="1" t="s">
        <v>152</v>
      </c>
      <c r="E2351" s="1">
        <v>2516</v>
      </c>
      <c r="F2351" s="1" t="s">
        <v>7796</v>
      </c>
      <c r="G2351" s="1" t="s">
        <v>7797</v>
      </c>
      <c r="H2351" s="1" t="s">
        <v>7798</v>
      </c>
      <c r="I2351" s="1" t="s">
        <v>29</v>
      </c>
      <c r="J2351" s="1" t="s">
        <v>7799</v>
      </c>
      <c r="K2351" s="1" t="b">
        <v>1</v>
      </c>
      <c r="L2351" s="1" t="s">
        <v>31</v>
      </c>
      <c r="M2351" s="1">
        <v>2022</v>
      </c>
      <c r="N2351" s="1" t="s">
        <v>23</v>
      </c>
      <c r="O2351" s="1" t="s">
        <v>9956</v>
      </c>
      <c r="P2351" s="1" t="s">
        <v>16</v>
      </c>
      <c r="Q2351" s="1">
        <v>100</v>
      </c>
      <c r="R2351" s="1">
        <v>1300</v>
      </c>
      <c r="S2351" s="1">
        <v>1300</v>
      </c>
    </row>
    <row r="2352" spans="1:19" ht="12.5" x14ac:dyDescent="0.25">
      <c r="A2352" s="1" t="s">
        <v>16</v>
      </c>
      <c r="B2352" s="1" t="s">
        <v>16</v>
      </c>
      <c r="C2352" s="1" t="s">
        <v>16</v>
      </c>
      <c r="D2352" s="1" t="s">
        <v>16</v>
      </c>
      <c r="E2352" s="1">
        <v>2517</v>
      </c>
      <c r="F2352" s="1" t="s">
        <v>7800</v>
      </c>
      <c r="G2352" s="1" t="s">
        <v>7801</v>
      </c>
      <c r="H2352" s="1" t="s">
        <v>16</v>
      </c>
      <c r="I2352" s="1" t="s">
        <v>20</v>
      </c>
      <c r="J2352" s="1" t="s">
        <v>7802</v>
      </c>
      <c r="K2352" s="1" t="b">
        <v>0</v>
      </c>
      <c r="L2352" s="1" t="s">
        <v>22</v>
      </c>
      <c r="M2352" s="1" t="s">
        <v>16</v>
      </c>
      <c r="N2352" s="1" t="s">
        <v>16</v>
      </c>
      <c r="O2352" s="1" t="s">
        <v>16</v>
      </c>
      <c r="P2352" s="1" t="s">
        <v>16</v>
      </c>
    </row>
    <row r="2353" spans="1:19" ht="12.5" x14ac:dyDescent="0.25">
      <c r="A2353" s="1" t="s">
        <v>16</v>
      </c>
      <c r="B2353" s="1" t="s">
        <v>16</v>
      </c>
      <c r="C2353" s="1" t="s">
        <v>16</v>
      </c>
      <c r="D2353" s="1" t="s">
        <v>16</v>
      </c>
      <c r="E2353" s="1">
        <v>2518</v>
      </c>
      <c r="F2353" s="1" t="s">
        <v>7803</v>
      </c>
      <c r="G2353" s="1" t="s">
        <v>7804</v>
      </c>
      <c r="H2353" s="1" t="s">
        <v>16</v>
      </c>
      <c r="I2353" s="1" t="s">
        <v>20</v>
      </c>
      <c r="J2353" s="1" t="s">
        <v>7805</v>
      </c>
      <c r="K2353" s="1" t="b">
        <v>0</v>
      </c>
      <c r="L2353" s="1" t="s">
        <v>22</v>
      </c>
      <c r="M2353" s="1" t="s">
        <v>16</v>
      </c>
      <c r="N2353" s="1" t="s">
        <v>16</v>
      </c>
      <c r="O2353" s="1" t="s">
        <v>16</v>
      </c>
      <c r="P2353" s="1" t="s">
        <v>16</v>
      </c>
    </row>
    <row r="2354" spans="1:19" ht="12.5" x14ac:dyDescent="0.25">
      <c r="A2354" s="1">
        <v>920</v>
      </c>
      <c r="B2354" s="1" t="s">
        <v>3257</v>
      </c>
      <c r="C2354" s="1" t="s">
        <v>35</v>
      </c>
      <c r="D2354" s="1" t="s">
        <v>152</v>
      </c>
      <c r="E2354" s="1">
        <v>2519</v>
      </c>
      <c r="F2354" s="1" t="s">
        <v>7806</v>
      </c>
      <c r="G2354" s="1" t="s">
        <v>7807</v>
      </c>
      <c r="H2354" s="1" t="s">
        <v>16</v>
      </c>
      <c r="I2354" s="1" t="s">
        <v>20</v>
      </c>
      <c r="J2354" s="1" t="s">
        <v>7808</v>
      </c>
      <c r="K2354" s="1" t="b">
        <v>0</v>
      </c>
      <c r="L2354" s="1" t="s">
        <v>22</v>
      </c>
      <c r="M2354" s="1" t="s">
        <v>16</v>
      </c>
      <c r="N2354" s="1" t="s">
        <v>16</v>
      </c>
      <c r="O2354" s="1" t="s">
        <v>16</v>
      </c>
      <c r="P2354" s="1" t="s">
        <v>16</v>
      </c>
      <c r="Q2354" s="1">
        <v>50</v>
      </c>
    </row>
    <row r="2355" spans="1:19" ht="12.5" x14ac:dyDescent="0.25">
      <c r="A2355" s="1">
        <v>1395</v>
      </c>
      <c r="B2355" s="1" t="s">
        <v>4637</v>
      </c>
      <c r="C2355" s="1" t="s">
        <v>35</v>
      </c>
      <c r="D2355" s="1" t="s">
        <v>152</v>
      </c>
      <c r="E2355" s="1">
        <v>2519</v>
      </c>
      <c r="F2355" s="1" t="s">
        <v>7806</v>
      </c>
      <c r="G2355" s="1" t="s">
        <v>7807</v>
      </c>
      <c r="H2355" s="1" t="s">
        <v>16</v>
      </c>
      <c r="I2355" s="1" t="s">
        <v>20</v>
      </c>
      <c r="J2355" s="1" t="s">
        <v>7808</v>
      </c>
      <c r="K2355" s="1" t="b">
        <v>0</v>
      </c>
      <c r="L2355" s="1" t="s">
        <v>22</v>
      </c>
      <c r="M2355" s="1" t="s">
        <v>16</v>
      </c>
      <c r="N2355" s="1" t="s">
        <v>16</v>
      </c>
      <c r="O2355" s="1" t="s">
        <v>16</v>
      </c>
      <c r="P2355" s="1" t="s">
        <v>16</v>
      </c>
      <c r="Q2355" s="1">
        <v>50</v>
      </c>
    </row>
    <row r="2356" spans="1:19" ht="12.5" x14ac:dyDescent="0.25">
      <c r="A2356" s="1" t="s">
        <v>16</v>
      </c>
      <c r="B2356" s="1" t="s">
        <v>16</v>
      </c>
      <c r="C2356" s="1" t="s">
        <v>16</v>
      </c>
      <c r="D2356" s="1" t="s">
        <v>16</v>
      </c>
      <c r="E2356" s="1">
        <v>2520</v>
      </c>
      <c r="F2356" s="1" t="s">
        <v>7809</v>
      </c>
      <c r="G2356" s="1" t="s">
        <v>7810</v>
      </c>
      <c r="H2356" s="1" t="s">
        <v>16</v>
      </c>
      <c r="I2356" s="1" t="s">
        <v>20</v>
      </c>
      <c r="J2356" s="1" t="s">
        <v>7811</v>
      </c>
      <c r="K2356" s="1" t="b">
        <v>0</v>
      </c>
      <c r="L2356" s="1" t="s">
        <v>22</v>
      </c>
      <c r="M2356" s="1" t="s">
        <v>16</v>
      </c>
      <c r="N2356" s="1" t="s">
        <v>16</v>
      </c>
      <c r="O2356" s="1" t="s">
        <v>16</v>
      </c>
      <c r="P2356" s="1" t="s">
        <v>16</v>
      </c>
    </row>
    <row r="2357" spans="1:19" ht="12.5" x14ac:dyDescent="0.25">
      <c r="A2357" s="1">
        <v>758</v>
      </c>
      <c r="B2357" s="1" t="s">
        <v>7812</v>
      </c>
      <c r="C2357" s="1" t="s">
        <v>35</v>
      </c>
      <c r="D2357" s="1" t="s">
        <v>36</v>
      </c>
      <c r="E2357" s="1">
        <v>2552</v>
      </c>
      <c r="F2357" s="1" t="s">
        <v>7813</v>
      </c>
      <c r="G2357" s="1" t="s">
        <v>7814</v>
      </c>
      <c r="H2357" s="1" t="s">
        <v>16</v>
      </c>
      <c r="I2357" s="1" t="s">
        <v>29</v>
      </c>
      <c r="J2357" s="1" t="s">
        <v>16</v>
      </c>
      <c r="K2357" s="1" t="b">
        <v>0</v>
      </c>
      <c r="L2357" s="1" t="s">
        <v>22</v>
      </c>
      <c r="M2357" s="1" t="s">
        <v>16</v>
      </c>
      <c r="N2357" s="1" t="s">
        <v>16</v>
      </c>
      <c r="O2357" s="1" t="s">
        <v>16</v>
      </c>
      <c r="P2357" s="1" t="s">
        <v>16</v>
      </c>
      <c r="Q2357" s="1">
        <v>100</v>
      </c>
    </row>
    <row r="2358" spans="1:19" ht="12.5" x14ac:dyDescent="0.25">
      <c r="A2358" s="1" t="s">
        <v>16</v>
      </c>
      <c r="B2358" s="1" t="s">
        <v>16</v>
      </c>
      <c r="C2358" s="1" t="s">
        <v>16</v>
      </c>
      <c r="D2358" s="1" t="s">
        <v>16</v>
      </c>
      <c r="E2358" s="1">
        <v>2553</v>
      </c>
      <c r="F2358" s="1" t="s">
        <v>7815</v>
      </c>
      <c r="G2358" s="1" t="s">
        <v>7816</v>
      </c>
      <c r="H2358" s="1" t="s">
        <v>16</v>
      </c>
      <c r="I2358" s="1" t="s">
        <v>20</v>
      </c>
      <c r="J2358" s="1" t="s">
        <v>7817</v>
      </c>
      <c r="K2358" s="1" t="b">
        <v>0</v>
      </c>
      <c r="L2358" s="1" t="s">
        <v>22</v>
      </c>
      <c r="M2358" s="1" t="s">
        <v>16</v>
      </c>
      <c r="N2358" s="1" t="s">
        <v>16</v>
      </c>
      <c r="O2358" s="1" t="s">
        <v>16</v>
      </c>
      <c r="P2358" s="1" t="s">
        <v>16</v>
      </c>
    </row>
    <row r="2359" spans="1:19" ht="12.5" x14ac:dyDescent="0.25">
      <c r="A2359" s="1" t="s">
        <v>16</v>
      </c>
      <c r="B2359" s="1" t="s">
        <v>16</v>
      </c>
      <c r="C2359" s="1" t="s">
        <v>16</v>
      </c>
      <c r="D2359" s="1" t="s">
        <v>16</v>
      </c>
      <c r="E2359" s="1">
        <v>2554</v>
      </c>
      <c r="F2359" s="1" t="s">
        <v>7818</v>
      </c>
      <c r="G2359" s="1" t="s">
        <v>7819</v>
      </c>
      <c r="H2359" s="1" t="s">
        <v>16</v>
      </c>
      <c r="I2359" s="1" t="s">
        <v>20</v>
      </c>
      <c r="J2359" s="1" t="s">
        <v>7820</v>
      </c>
      <c r="K2359" s="1" t="b">
        <v>0</v>
      </c>
      <c r="L2359" s="1" t="s">
        <v>22</v>
      </c>
      <c r="M2359" s="1" t="s">
        <v>16</v>
      </c>
      <c r="N2359" s="1" t="s">
        <v>16</v>
      </c>
      <c r="O2359" s="1" t="s">
        <v>16</v>
      </c>
      <c r="P2359" s="1" t="s">
        <v>16</v>
      </c>
    </row>
    <row r="2360" spans="1:19" ht="12.5" x14ac:dyDescent="0.25">
      <c r="A2360" s="1" t="s">
        <v>16</v>
      </c>
      <c r="B2360" s="1" t="s">
        <v>16</v>
      </c>
      <c r="C2360" s="1" t="s">
        <v>16</v>
      </c>
      <c r="D2360" s="1" t="s">
        <v>16</v>
      </c>
      <c r="E2360" s="1">
        <v>2602</v>
      </c>
      <c r="F2360" s="1" t="s">
        <v>7821</v>
      </c>
      <c r="G2360" s="1" t="s">
        <v>7822</v>
      </c>
      <c r="H2360" s="1" t="s">
        <v>16</v>
      </c>
      <c r="I2360" s="1" t="s">
        <v>20</v>
      </c>
      <c r="J2360" s="1" t="s">
        <v>7823</v>
      </c>
      <c r="K2360" s="1" t="b">
        <v>0</v>
      </c>
      <c r="L2360" s="1" t="s">
        <v>22</v>
      </c>
      <c r="M2360" s="1" t="s">
        <v>16</v>
      </c>
      <c r="N2360" s="1" t="s">
        <v>16</v>
      </c>
      <c r="O2360" s="1" t="s">
        <v>16</v>
      </c>
      <c r="P2360" s="1" t="s">
        <v>16</v>
      </c>
    </row>
    <row r="2361" spans="1:19" ht="12.5" x14ac:dyDescent="0.25">
      <c r="A2361" s="1" t="s">
        <v>16</v>
      </c>
      <c r="B2361" s="1" t="s">
        <v>16</v>
      </c>
      <c r="C2361" s="1" t="s">
        <v>16</v>
      </c>
      <c r="D2361" s="1" t="s">
        <v>16</v>
      </c>
      <c r="E2361" s="1">
        <v>2603</v>
      </c>
      <c r="F2361" s="1" t="s">
        <v>7824</v>
      </c>
      <c r="G2361" s="1" t="s">
        <v>7825</v>
      </c>
      <c r="H2361" s="1" t="s">
        <v>16</v>
      </c>
      <c r="I2361" s="1" t="s">
        <v>20</v>
      </c>
      <c r="J2361" s="1" t="s">
        <v>7826</v>
      </c>
      <c r="K2361" s="1" t="b">
        <v>1</v>
      </c>
      <c r="L2361" s="1" t="s">
        <v>31</v>
      </c>
      <c r="M2361" s="1" t="s">
        <v>16</v>
      </c>
      <c r="N2361" s="1" t="s">
        <v>16</v>
      </c>
      <c r="O2361" s="1" t="s">
        <v>16</v>
      </c>
      <c r="P2361" s="1" t="s">
        <v>16</v>
      </c>
    </row>
    <row r="2362" spans="1:19" ht="12.5" x14ac:dyDescent="0.25">
      <c r="A2362" s="1" t="s">
        <v>16</v>
      </c>
      <c r="B2362" s="1" t="s">
        <v>16</v>
      </c>
      <c r="C2362" s="1" t="s">
        <v>16</v>
      </c>
      <c r="D2362" s="1" t="s">
        <v>16</v>
      </c>
      <c r="E2362" s="1">
        <v>2604</v>
      </c>
      <c r="F2362" s="1" t="s">
        <v>7827</v>
      </c>
      <c r="G2362" s="1" t="s">
        <v>7828</v>
      </c>
      <c r="H2362" s="1" t="s">
        <v>16</v>
      </c>
      <c r="I2362" s="1" t="s">
        <v>20</v>
      </c>
      <c r="J2362" s="1" t="s">
        <v>7829</v>
      </c>
      <c r="K2362" s="1" t="b">
        <v>0</v>
      </c>
      <c r="L2362" s="1" t="s">
        <v>22</v>
      </c>
      <c r="M2362" s="1" t="s">
        <v>16</v>
      </c>
      <c r="N2362" s="1" t="s">
        <v>16</v>
      </c>
      <c r="O2362" s="1" t="s">
        <v>16</v>
      </c>
      <c r="P2362" s="1" t="s">
        <v>16</v>
      </c>
    </row>
    <row r="2363" spans="1:19" ht="12.5" x14ac:dyDescent="0.25">
      <c r="A2363" s="1" t="s">
        <v>16</v>
      </c>
      <c r="B2363" s="1" t="s">
        <v>16</v>
      </c>
      <c r="C2363" s="1" t="s">
        <v>16</v>
      </c>
      <c r="D2363" s="1" t="s">
        <v>16</v>
      </c>
      <c r="E2363" s="1">
        <v>2605</v>
      </c>
      <c r="F2363" s="1" t="s">
        <v>7830</v>
      </c>
      <c r="G2363" s="1" t="s">
        <v>7831</v>
      </c>
      <c r="H2363" s="1" t="s">
        <v>16</v>
      </c>
      <c r="I2363" s="1" t="s">
        <v>20</v>
      </c>
      <c r="J2363" s="1" t="s">
        <v>7832</v>
      </c>
      <c r="K2363" s="1" t="b">
        <v>0</v>
      </c>
      <c r="L2363" s="1" t="s">
        <v>22</v>
      </c>
      <c r="M2363" s="1" t="s">
        <v>16</v>
      </c>
      <c r="N2363" s="1" t="s">
        <v>16</v>
      </c>
      <c r="O2363" s="1" t="s">
        <v>16</v>
      </c>
      <c r="P2363" s="1" t="s">
        <v>16</v>
      </c>
    </row>
    <row r="2364" spans="1:19" ht="12.5" x14ac:dyDescent="0.25">
      <c r="A2364" s="1" t="s">
        <v>16</v>
      </c>
      <c r="B2364" s="1" t="s">
        <v>16</v>
      </c>
      <c r="C2364" s="1" t="s">
        <v>16</v>
      </c>
      <c r="D2364" s="1" t="s">
        <v>16</v>
      </c>
      <c r="E2364" s="1">
        <v>2606</v>
      </c>
      <c r="F2364" s="1" t="s">
        <v>7833</v>
      </c>
      <c r="G2364" s="1" t="s">
        <v>7834</v>
      </c>
      <c r="H2364" s="1" t="s">
        <v>16</v>
      </c>
      <c r="I2364" s="1" t="s">
        <v>20</v>
      </c>
      <c r="J2364" s="1" t="s">
        <v>7835</v>
      </c>
      <c r="K2364" s="1" t="b">
        <v>0</v>
      </c>
      <c r="L2364" s="1" t="s">
        <v>22</v>
      </c>
      <c r="M2364" s="1" t="s">
        <v>16</v>
      </c>
      <c r="N2364" s="1" t="s">
        <v>16</v>
      </c>
      <c r="O2364" s="1" t="s">
        <v>16</v>
      </c>
      <c r="P2364" s="1" t="s">
        <v>16</v>
      </c>
    </row>
    <row r="2365" spans="1:19" ht="12.5" x14ac:dyDescent="0.25">
      <c r="A2365" s="1">
        <v>180</v>
      </c>
      <c r="B2365" s="1" t="s">
        <v>890</v>
      </c>
      <c r="C2365" s="1" t="s">
        <v>15</v>
      </c>
      <c r="D2365" s="1" t="s">
        <v>15</v>
      </c>
      <c r="E2365" s="1">
        <v>2607</v>
      </c>
      <c r="F2365" s="1" t="s">
        <v>7836</v>
      </c>
      <c r="G2365" s="1" t="s">
        <v>7837</v>
      </c>
      <c r="H2365" s="1" t="s">
        <v>16</v>
      </c>
      <c r="I2365" s="1" t="s">
        <v>20</v>
      </c>
      <c r="J2365" s="1" t="s">
        <v>16</v>
      </c>
      <c r="K2365" s="1" t="b">
        <v>0</v>
      </c>
      <c r="L2365" s="1" t="s">
        <v>22</v>
      </c>
      <c r="M2365" s="1" t="s">
        <v>16</v>
      </c>
      <c r="N2365" s="1" t="s">
        <v>16</v>
      </c>
      <c r="O2365" s="1" t="s">
        <v>16</v>
      </c>
      <c r="P2365" s="1" t="s">
        <v>16</v>
      </c>
      <c r="Q2365" s="1">
        <v>100</v>
      </c>
    </row>
    <row r="2366" spans="1:19" ht="12.5" x14ac:dyDescent="0.25">
      <c r="A2366" s="1">
        <v>84</v>
      </c>
      <c r="B2366" s="1" t="s">
        <v>433</v>
      </c>
      <c r="C2366" s="1" t="s">
        <v>15</v>
      </c>
      <c r="D2366" s="1" t="s">
        <v>15</v>
      </c>
      <c r="E2366" s="1">
        <v>2608</v>
      </c>
      <c r="F2366" s="1" t="s">
        <v>7838</v>
      </c>
      <c r="G2366" s="1" t="s">
        <v>7839</v>
      </c>
      <c r="H2366" s="1" t="s">
        <v>16</v>
      </c>
      <c r="I2366" s="1" t="s">
        <v>20</v>
      </c>
      <c r="J2366" s="1" t="s">
        <v>7840</v>
      </c>
      <c r="K2366" s="1" t="b">
        <v>0</v>
      </c>
      <c r="L2366" s="1" t="s">
        <v>22</v>
      </c>
      <c r="M2366" s="1" t="s">
        <v>16</v>
      </c>
      <c r="N2366" s="1" t="s">
        <v>16</v>
      </c>
      <c r="O2366" s="1" t="s">
        <v>16</v>
      </c>
      <c r="P2366" s="1" t="s">
        <v>16</v>
      </c>
      <c r="Q2366" s="1">
        <v>100</v>
      </c>
    </row>
    <row r="2367" spans="1:19" ht="12.5" x14ac:dyDescent="0.25">
      <c r="A2367" s="1" t="s">
        <v>16</v>
      </c>
      <c r="B2367" s="1" t="s">
        <v>16</v>
      </c>
      <c r="C2367" s="1" t="s">
        <v>16</v>
      </c>
      <c r="D2367" s="1" t="s">
        <v>16</v>
      </c>
      <c r="E2367" s="1">
        <v>2609</v>
      </c>
      <c r="F2367" s="1" t="s">
        <v>7841</v>
      </c>
      <c r="G2367" s="1" t="s">
        <v>7842</v>
      </c>
      <c r="H2367" s="1" t="s">
        <v>16</v>
      </c>
      <c r="I2367" s="1" t="s">
        <v>20</v>
      </c>
      <c r="J2367" s="1" t="s">
        <v>7843</v>
      </c>
      <c r="K2367" s="1" t="b">
        <v>0</v>
      </c>
      <c r="L2367" s="1" t="s">
        <v>22</v>
      </c>
      <c r="M2367" s="1" t="s">
        <v>16</v>
      </c>
      <c r="N2367" s="1" t="s">
        <v>16</v>
      </c>
      <c r="O2367" s="1" t="s">
        <v>16</v>
      </c>
      <c r="P2367" s="1" t="s">
        <v>16</v>
      </c>
    </row>
    <row r="2368" spans="1:19" ht="12.5" x14ac:dyDescent="0.25">
      <c r="A2368" s="1">
        <v>4352</v>
      </c>
      <c r="B2368" s="1" t="s">
        <v>7844</v>
      </c>
      <c r="C2368" s="1" t="s">
        <v>38</v>
      </c>
      <c r="D2368" s="1" t="s">
        <v>5701</v>
      </c>
      <c r="E2368" s="1">
        <v>2610</v>
      </c>
      <c r="F2368" s="1" t="s">
        <v>7845</v>
      </c>
      <c r="G2368" s="1" t="s">
        <v>7846</v>
      </c>
      <c r="H2368" s="1" t="s">
        <v>7847</v>
      </c>
      <c r="I2368" s="1" t="s">
        <v>29</v>
      </c>
      <c r="J2368" s="1" t="s">
        <v>7848</v>
      </c>
      <c r="K2368" s="1" t="b">
        <v>1</v>
      </c>
      <c r="L2368" s="1" t="s">
        <v>31</v>
      </c>
      <c r="M2368" s="1">
        <v>2022</v>
      </c>
      <c r="N2368" s="1" t="s">
        <v>52</v>
      </c>
      <c r="O2368" s="1" t="s">
        <v>9935</v>
      </c>
      <c r="P2368" s="1" t="s">
        <v>16</v>
      </c>
      <c r="Q2368" s="1">
        <v>100</v>
      </c>
      <c r="R2368" s="1">
        <v>21000</v>
      </c>
      <c r="S2368" s="1">
        <v>21000</v>
      </c>
    </row>
    <row r="2369" spans="1:19" ht="12.5" x14ac:dyDescent="0.25">
      <c r="A2369" s="1" t="s">
        <v>16</v>
      </c>
      <c r="B2369" s="1" t="s">
        <v>16</v>
      </c>
      <c r="C2369" s="1" t="s">
        <v>16</v>
      </c>
      <c r="D2369" s="1" t="s">
        <v>16</v>
      </c>
      <c r="E2369" s="1">
        <v>2611</v>
      </c>
      <c r="F2369" s="1" t="s">
        <v>7849</v>
      </c>
      <c r="G2369" s="1" t="s">
        <v>7850</v>
      </c>
      <c r="H2369" s="1" t="s">
        <v>16</v>
      </c>
      <c r="I2369" s="1" t="s">
        <v>20</v>
      </c>
      <c r="J2369" s="1" t="s">
        <v>7851</v>
      </c>
      <c r="K2369" s="1" t="b">
        <v>0</v>
      </c>
      <c r="L2369" s="1" t="s">
        <v>22</v>
      </c>
      <c r="M2369" s="1" t="s">
        <v>16</v>
      </c>
      <c r="N2369" s="1" t="s">
        <v>16</v>
      </c>
      <c r="O2369" s="1" t="s">
        <v>16</v>
      </c>
      <c r="P2369" s="1" t="s">
        <v>16</v>
      </c>
    </row>
    <row r="2370" spans="1:19" ht="12.5" x14ac:dyDescent="0.25">
      <c r="A2370" s="1">
        <v>4353</v>
      </c>
      <c r="B2370" s="1" t="s">
        <v>7852</v>
      </c>
      <c r="C2370" s="1" t="s">
        <v>35</v>
      </c>
      <c r="D2370" s="1" t="s">
        <v>5669</v>
      </c>
      <c r="E2370" s="1">
        <v>2612</v>
      </c>
      <c r="F2370" s="1" t="s">
        <v>7853</v>
      </c>
      <c r="G2370" s="1" t="s">
        <v>7854</v>
      </c>
      <c r="H2370" s="1" t="s">
        <v>16</v>
      </c>
      <c r="I2370" s="1" t="s">
        <v>29</v>
      </c>
      <c r="J2370" s="1" t="s">
        <v>16</v>
      </c>
      <c r="K2370" s="1" t="b">
        <v>0</v>
      </c>
      <c r="L2370" s="1" t="s">
        <v>22</v>
      </c>
      <c r="M2370" s="1" t="s">
        <v>16</v>
      </c>
      <c r="N2370" s="1" t="s">
        <v>16</v>
      </c>
      <c r="O2370" s="1" t="s">
        <v>16</v>
      </c>
      <c r="P2370" s="1" t="s">
        <v>16</v>
      </c>
      <c r="Q2370" s="1">
        <v>100</v>
      </c>
    </row>
    <row r="2371" spans="1:19" ht="12.5" x14ac:dyDescent="0.25">
      <c r="A2371" s="1">
        <v>4354</v>
      </c>
      <c r="B2371" s="1" t="s">
        <v>7855</v>
      </c>
      <c r="C2371" s="1" t="s">
        <v>15</v>
      </c>
      <c r="D2371" s="1" t="s">
        <v>15</v>
      </c>
      <c r="E2371" s="1">
        <v>2613</v>
      </c>
      <c r="F2371" s="1" t="s">
        <v>7856</v>
      </c>
      <c r="G2371" s="1" t="s">
        <v>7857</v>
      </c>
      <c r="H2371" s="1" t="s">
        <v>7858</v>
      </c>
      <c r="I2371" s="1" t="s">
        <v>29</v>
      </c>
      <c r="J2371" s="1" t="s">
        <v>7859</v>
      </c>
      <c r="K2371" s="1" t="b">
        <v>1</v>
      </c>
      <c r="L2371" s="1" t="s">
        <v>31</v>
      </c>
      <c r="M2371" s="1">
        <v>2022</v>
      </c>
      <c r="N2371" s="1" t="s">
        <v>23</v>
      </c>
      <c r="O2371" s="1" t="s">
        <v>9935</v>
      </c>
      <c r="P2371" s="1" t="s">
        <v>16</v>
      </c>
      <c r="Q2371" s="1">
        <v>100</v>
      </c>
      <c r="R2371" s="1">
        <v>100000</v>
      </c>
      <c r="S2371" s="1">
        <v>100000</v>
      </c>
    </row>
    <row r="2372" spans="1:19" ht="12.5" x14ac:dyDescent="0.25">
      <c r="A2372" s="1">
        <v>142</v>
      </c>
      <c r="B2372" s="1" t="s">
        <v>7860</v>
      </c>
      <c r="C2372" s="1" t="s">
        <v>15</v>
      </c>
      <c r="D2372" s="1" t="s">
        <v>15</v>
      </c>
      <c r="E2372" s="1">
        <v>2614</v>
      </c>
      <c r="F2372" s="1" t="s">
        <v>7861</v>
      </c>
      <c r="G2372" s="1" t="s">
        <v>7862</v>
      </c>
      <c r="H2372" s="1" t="s">
        <v>16</v>
      </c>
      <c r="I2372" s="1" t="s">
        <v>20</v>
      </c>
      <c r="J2372" s="1" t="s">
        <v>7863</v>
      </c>
      <c r="K2372" s="1" t="b">
        <v>0</v>
      </c>
      <c r="L2372" s="1" t="s">
        <v>22</v>
      </c>
      <c r="M2372" s="1" t="s">
        <v>16</v>
      </c>
      <c r="N2372" s="1" t="s">
        <v>16</v>
      </c>
      <c r="O2372" s="1" t="s">
        <v>16</v>
      </c>
      <c r="P2372" s="1" t="s">
        <v>16</v>
      </c>
      <c r="Q2372" s="1">
        <v>100</v>
      </c>
    </row>
    <row r="2373" spans="1:19" ht="12.5" x14ac:dyDescent="0.25">
      <c r="A2373" s="1" t="s">
        <v>16</v>
      </c>
      <c r="B2373" s="1" t="s">
        <v>16</v>
      </c>
      <c r="C2373" s="1" t="s">
        <v>16</v>
      </c>
      <c r="D2373" s="1" t="s">
        <v>16</v>
      </c>
      <c r="E2373" s="1">
        <v>2615</v>
      </c>
      <c r="F2373" s="1" t="s">
        <v>7864</v>
      </c>
      <c r="G2373" s="1" t="s">
        <v>7865</v>
      </c>
      <c r="H2373" s="1" t="s">
        <v>16</v>
      </c>
      <c r="I2373" s="1" t="s">
        <v>20</v>
      </c>
      <c r="J2373" s="1" t="s">
        <v>7866</v>
      </c>
      <c r="K2373" s="1" t="b">
        <v>0</v>
      </c>
      <c r="L2373" s="1" t="s">
        <v>22</v>
      </c>
      <c r="M2373" s="1" t="s">
        <v>16</v>
      </c>
      <c r="N2373" s="1" t="s">
        <v>16</v>
      </c>
      <c r="O2373" s="1" t="s">
        <v>16</v>
      </c>
      <c r="P2373" s="1" t="s">
        <v>16</v>
      </c>
    </row>
    <row r="2374" spans="1:19" ht="12.5" x14ac:dyDescent="0.25">
      <c r="A2374" s="1">
        <v>2234</v>
      </c>
      <c r="B2374" s="1" t="s">
        <v>7867</v>
      </c>
      <c r="C2374" s="1" t="s">
        <v>38</v>
      </c>
      <c r="D2374" s="1" t="s">
        <v>5701</v>
      </c>
      <c r="E2374" s="1">
        <v>2616</v>
      </c>
      <c r="F2374" s="1" t="s">
        <v>7868</v>
      </c>
      <c r="G2374" s="1" t="s">
        <v>7869</v>
      </c>
      <c r="H2374" s="1" t="s">
        <v>7870</v>
      </c>
      <c r="I2374" s="1" t="s">
        <v>29</v>
      </c>
      <c r="J2374" s="1" t="s">
        <v>16</v>
      </c>
      <c r="K2374" s="1" t="b">
        <v>0</v>
      </c>
      <c r="L2374" s="1" t="s">
        <v>22</v>
      </c>
      <c r="M2374" s="1">
        <v>2022</v>
      </c>
      <c r="N2374" s="1" t="s">
        <v>52</v>
      </c>
      <c r="O2374" s="1" t="s">
        <v>9935</v>
      </c>
      <c r="P2374" s="1" t="s">
        <v>10088</v>
      </c>
      <c r="Q2374" s="1">
        <v>100</v>
      </c>
      <c r="R2374" s="1">
        <v>50000</v>
      </c>
      <c r="S2374" s="1">
        <v>50000</v>
      </c>
    </row>
    <row r="2375" spans="1:19" ht="12.5" x14ac:dyDescent="0.25">
      <c r="A2375" s="1">
        <v>2241</v>
      </c>
      <c r="B2375" s="1" t="s">
        <v>7871</v>
      </c>
      <c r="C2375" s="1" t="s">
        <v>38</v>
      </c>
      <c r="D2375" s="1" t="s">
        <v>5701</v>
      </c>
      <c r="E2375" s="1">
        <v>2617</v>
      </c>
      <c r="F2375" s="1" t="s">
        <v>7872</v>
      </c>
      <c r="G2375" s="1" t="s">
        <v>7873</v>
      </c>
      <c r="H2375" s="1" t="s">
        <v>7874</v>
      </c>
      <c r="I2375" s="1" t="s">
        <v>29</v>
      </c>
      <c r="J2375" s="1" t="s">
        <v>7875</v>
      </c>
      <c r="K2375" s="1" t="b">
        <v>1</v>
      </c>
      <c r="L2375" s="1" t="s">
        <v>31</v>
      </c>
      <c r="M2375" s="1">
        <v>2022</v>
      </c>
      <c r="N2375" s="1" t="s">
        <v>52</v>
      </c>
      <c r="O2375" s="1" t="s">
        <v>9935</v>
      </c>
      <c r="P2375" s="1" t="s">
        <v>10089</v>
      </c>
      <c r="Q2375" s="1">
        <v>100</v>
      </c>
      <c r="R2375" s="1">
        <v>670</v>
      </c>
      <c r="S2375" s="1">
        <v>670</v>
      </c>
    </row>
    <row r="2376" spans="1:19" ht="12.5" x14ac:dyDescent="0.25">
      <c r="A2376" s="1" t="s">
        <v>16</v>
      </c>
      <c r="B2376" s="1" t="s">
        <v>16</v>
      </c>
      <c r="C2376" s="1" t="s">
        <v>16</v>
      </c>
      <c r="D2376" s="1" t="s">
        <v>16</v>
      </c>
      <c r="E2376" s="1">
        <v>2618</v>
      </c>
      <c r="F2376" s="1" t="s">
        <v>7876</v>
      </c>
      <c r="G2376" s="1" t="s">
        <v>7877</v>
      </c>
      <c r="H2376" s="1" t="s">
        <v>4258</v>
      </c>
      <c r="I2376" s="1" t="s">
        <v>29</v>
      </c>
      <c r="J2376" s="1" t="s">
        <v>16</v>
      </c>
      <c r="K2376" s="1" t="b">
        <v>0</v>
      </c>
      <c r="L2376" s="1" t="s">
        <v>22</v>
      </c>
      <c r="M2376" s="1">
        <v>2023</v>
      </c>
      <c r="N2376" s="1" t="s">
        <v>32</v>
      </c>
      <c r="O2376" s="1" t="s">
        <v>9935</v>
      </c>
      <c r="P2376" s="1" t="s">
        <v>10090</v>
      </c>
      <c r="R2376" s="1">
        <v>25000</v>
      </c>
    </row>
    <row r="2377" spans="1:19" ht="12.5" x14ac:dyDescent="0.25">
      <c r="A2377" s="1" t="s">
        <v>16</v>
      </c>
      <c r="B2377" s="1" t="s">
        <v>16</v>
      </c>
      <c r="C2377" s="1" t="s">
        <v>16</v>
      </c>
      <c r="D2377" s="1" t="s">
        <v>16</v>
      </c>
      <c r="E2377" s="1">
        <v>2619</v>
      </c>
      <c r="F2377" s="1" t="s">
        <v>7878</v>
      </c>
      <c r="G2377" s="1" t="s">
        <v>7879</v>
      </c>
      <c r="H2377" s="1" t="s">
        <v>4247</v>
      </c>
      <c r="I2377" s="1" t="s">
        <v>29</v>
      </c>
      <c r="J2377" s="1" t="s">
        <v>16</v>
      </c>
      <c r="K2377" s="1" t="b">
        <v>0</v>
      </c>
      <c r="L2377" s="1" t="s">
        <v>22</v>
      </c>
      <c r="M2377" s="1">
        <v>2023</v>
      </c>
      <c r="N2377" s="1" t="s">
        <v>32</v>
      </c>
      <c r="O2377" s="1" t="s">
        <v>9935</v>
      </c>
      <c r="P2377" s="1" t="s">
        <v>10091</v>
      </c>
      <c r="R2377" s="1">
        <v>15000</v>
      </c>
    </row>
    <row r="2378" spans="1:19" ht="12.5" x14ac:dyDescent="0.25">
      <c r="A2378" s="1">
        <v>801</v>
      </c>
      <c r="B2378" s="1" t="s">
        <v>7880</v>
      </c>
      <c r="C2378" s="1" t="s">
        <v>35</v>
      </c>
      <c r="D2378" s="1" t="s">
        <v>36</v>
      </c>
      <c r="E2378" s="1">
        <v>2620</v>
      </c>
      <c r="F2378" s="1" t="s">
        <v>7881</v>
      </c>
      <c r="G2378" s="1" t="s">
        <v>7882</v>
      </c>
      <c r="H2378" s="1" t="s">
        <v>7883</v>
      </c>
      <c r="I2378" s="1" t="s">
        <v>29</v>
      </c>
      <c r="J2378" s="1" t="s">
        <v>7884</v>
      </c>
      <c r="K2378" s="1" t="b">
        <v>1</v>
      </c>
      <c r="L2378" s="1" t="s">
        <v>31</v>
      </c>
      <c r="M2378" s="1">
        <v>2022</v>
      </c>
      <c r="N2378" s="1" t="s">
        <v>52</v>
      </c>
      <c r="O2378" s="1" t="s">
        <v>9935</v>
      </c>
      <c r="P2378" s="1" t="s">
        <v>10092</v>
      </c>
      <c r="Q2378" s="1">
        <v>100</v>
      </c>
      <c r="R2378" s="1">
        <v>5000</v>
      </c>
      <c r="S2378" s="1">
        <v>5000</v>
      </c>
    </row>
    <row r="2379" spans="1:19" ht="12.5" x14ac:dyDescent="0.25">
      <c r="A2379" s="1">
        <v>800</v>
      </c>
      <c r="B2379" s="1" t="s">
        <v>7885</v>
      </c>
      <c r="C2379" s="1" t="s">
        <v>35</v>
      </c>
      <c r="D2379" s="1" t="s">
        <v>36</v>
      </c>
      <c r="E2379" s="1">
        <v>2621</v>
      </c>
      <c r="F2379" s="1" t="s">
        <v>7886</v>
      </c>
      <c r="G2379" s="1" t="s">
        <v>7887</v>
      </c>
      <c r="H2379" s="1" t="s">
        <v>7888</v>
      </c>
      <c r="I2379" s="1" t="s">
        <v>29</v>
      </c>
      <c r="J2379" s="1" t="s">
        <v>7889</v>
      </c>
      <c r="K2379" s="1" t="b">
        <v>1</v>
      </c>
      <c r="L2379" s="1" t="s">
        <v>31</v>
      </c>
      <c r="M2379" s="1">
        <v>2022</v>
      </c>
      <c r="N2379" s="1" t="s">
        <v>52</v>
      </c>
      <c r="O2379" s="1" t="s">
        <v>9935</v>
      </c>
      <c r="P2379" s="1" t="s">
        <v>10093</v>
      </c>
      <c r="Q2379" s="1">
        <v>100</v>
      </c>
      <c r="R2379" s="1">
        <v>12000</v>
      </c>
      <c r="S2379" s="1">
        <v>12000</v>
      </c>
    </row>
    <row r="2380" spans="1:19" ht="12.5" x14ac:dyDescent="0.25">
      <c r="A2380" s="1" t="s">
        <v>16</v>
      </c>
      <c r="B2380" s="1" t="s">
        <v>16</v>
      </c>
      <c r="C2380" s="1" t="s">
        <v>16</v>
      </c>
      <c r="D2380" s="1" t="s">
        <v>16</v>
      </c>
      <c r="E2380" s="1">
        <v>2622</v>
      </c>
      <c r="F2380" s="1" t="s">
        <v>7890</v>
      </c>
      <c r="G2380" s="1" t="s">
        <v>7891</v>
      </c>
      <c r="H2380" s="1" t="s">
        <v>16</v>
      </c>
      <c r="I2380" s="1" t="s">
        <v>20</v>
      </c>
      <c r="J2380" s="1" t="s">
        <v>7892</v>
      </c>
      <c r="K2380" s="1" t="b">
        <v>0</v>
      </c>
      <c r="L2380" s="1" t="s">
        <v>22</v>
      </c>
      <c r="M2380" s="1" t="s">
        <v>16</v>
      </c>
      <c r="N2380" s="1" t="s">
        <v>16</v>
      </c>
      <c r="O2380" s="1" t="s">
        <v>16</v>
      </c>
      <c r="P2380" s="1" t="s">
        <v>16</v>
      </c>
    </row>
    <row r="2381" spans="1:19" ht="12.5" x14ac:dyDescent="0.25">
      <c r="A2381" s="1">
        <v>1757</v>
      </c>
      <c r="B2381" s="1" t="s">
        <v>7893</v>
      </c>
      <c r="C2381" s="1" t="s">
        <v>35</v>
      </c>
      <c r="D2381" s="1" t="s">
        <v>5409</v>
      </c>
      <c r="E2381" s="1">
        <v>2623</v>
      </c>
      <c r="F2381" s="1" t="s">
        <v>7894</v>
      </c>
      <c r="G2381" s="1" t="s">
        <v>7895</v>
      </c>
      <c r="H2381" s="1" t="s">
        <v>7896</v>
      </c>
      <c r="I2381" s="1" t="s">
        <v>29</v>
      </c>
      <c r="J2381" s="1" t="s">
        <v>7897</v>
      </c>
      <c r="K2381" s="1" t="b">
        <v>1</v>
      </c>
      <c r="L2381" s="1" t="s">
        <v>31</v>
      </c>
      <c r="M2381" s="1">
        <v>2022</v>
      </c>
      <c r="N2381" s="1" t="s">
        <v>45</v>
      </c>
      <c r="O2381" s="1" t="s">
        <v>9935</v>
      </c>
      <c r="P2381" s="1" t="s">
        <v>16</v>
      </c>
      <c r="Q2381" s="1">
        <v>100</v>
      </c>
      <c r="R2381" s="1">
        <v>180000</v>
      </c>
      <c r="S2381" s="1">
        <v>180000</v>
      </c>
    </row>
    <row r="2382" spans="1:19" ht="12.5" x14ac:dyDescent="0.25">
      <c r="A2382" s="1">
        <v>401</v>
      </c>
      <c r="B2382" s="1" t="s">
        <v>1627</v>
      </c>
      <c r="C2382" s="1" t="s">
        <v>35</v>
      </c>
      <c r="D2382" s="1" t="s">
        <v>36</v>
      </c>
      <c r="E2382" s="1">
        <v>2624</v>
      </c>
      <c r="F2382" s="1" t="s">
        <v>7898</v>
      </c>
      <c r="G2382" s="1" t="s">
        <v>7899</v>
      </c>
      <c r="H2382" s="1" t="s">
        <v>16</v>
      </c>
      <c r="I2382" s="1" t="s">
        <v>20</v>
      </c>
      <c r="J2382" s="1" t="s">
        <v>7900</v>
      </c>
      <c r="K2382" s="1" t="b">
        <v>0</v>
      </c>
      <c r="L2382" s="1" t="s">
        <v>22</v>
      </c>
      <c r="M2382" s="1" t="s">
        <v>16</v>
      </c>
      <c r="N2382" s="1" t="s">
        <v>16</v>
      </c>
      <c r="O2382" s="1" t="s">
        <v>16</v>
      </c>
      <c r="P2382" s="1" t="s">
        <v>16</v>
      </c>
      <c r="Q2382" s="1">
        <v>35</v>
      </c>
    </row>
    <row r="2383" spans="1:19" ht="12.5" x14ac:dyDescent="0.25">
      <c r="A2383" s="1">
        <v>412</v>
      </c>
      <c r="B2383" s="1" t="s">
        <v>1682</v>
      </c>
      <c r="C2383" s="1" t="s">
        <v>35</v>
      </c>
      <c r="D2383" s="1" t="s">
        <v>36</v>
      </c>
      <c r="E2383" s="1">
        <v>2624</v>
      </c>
      <c r="F2383" s="1" t="s">
        <v>7898</v>
      </c>
      <c r="G2383" s="1" t="s">
        <v>7899</v>
      </c>
      <c r="H2383" s="1" t="s">
        <v>16</v>
      </c>
      <c r="I2383" s="1" t="s">
        <v>20</v>
      </c>
      <c r="J2383" s="1" t="s">
        <v>7900</v>
      </c>
      <c r="K2383" s="1" t="b">
        <v>0</v>
      </c>
      <c r="L2383" s="1" t="s">
        <v>22</v>
      </c>
      <c r="M2383" s="1" t="s">
        <v>16</v>
      </c>
      <c r="N2383" s="1" t="s">
        <v>16</v>
      </c>
      <c r="O2383" s="1" t="s">
        <v>16</v>
      </c>
      <c r="P2383" s="1" t="s">
        <v>16</v>
      </c>
      <c r="Q2383" s="1">
        <v>29</v>
      </c>
    </row>
    <row r="2384" spans="1:19" ht="12.5" x14ac:dyDescent="0.25">
      <c r="A2384" s="1">
        <v>765</v>
      </c>
      <c r="B2384" s="1" t="s">
        <v>5680</v>
      </c>
      <c r="C2384" s="1" t="s">
        <v>35</v>
      </c>
      <c r="D2384" s="1" t="s">
        <v>36</v>
      </c>
      <c r="E2384" s="1">
        <v>2624</v>
      </c>
      <c r="F2384" s="1" t="s">
        <v>7898</v>
      </c>
      <c r="G2384" s="1" t="s">
        <v>7899</v>
      </c>
      <c r="H2384" s="1" t="s">
        <v>16</v>
      </c>
      <c r="I2384" s="1" t="s">
        <v>20</v>
      </c>
      <c r="J2384" s="1" t="s">
        <v>7900</v>
      </c>
      <c r="K2384" s="1" t="b">
        <v>0</v>
      </c>
      <c r="L2384" s="1" t="s">
        <v>22</v>
      </c>
      <c r="M2384" s="1" t="s">
        <v>16</v>
      </c>
      <c r="N2384" s="1" t="s">
        <v>16</v>
      </c>
      <c r="O2384" s="1" t="s">
        <v>16</v>
      </c>
      <c r="P2384" s="1" t="s">
        <v>16</v>
      </c>
      <c r="Q2384" s="1">
        <v>35</v>
      </c>
    </row>
    <row r="2385" spans="1:19" ht="12.5" x14ac:dyDescent="0.25">
      <c r="A2385" s="1">
        <v>2701</v>
      </c>
      <c r="B2385" s="1" t="s">
        <v>7901</v>
      </c>
      <c r="C2385" s="1" t="s">
        <v>38</v>
      </c>
      <c r="D2385" s="1" t="s">
        <v>39</v>
      </c>
      <c r="E2385" s="1">
        <v>2624</v>
      </c>
      <c r="F2385" s="1" t="s">
        <v>7898</v>
      </c>
      <c r="G2385" s="1" t="s">
        <v>7899</v>
      </c>
      <c r="H2385" s="1" t="s">
        <v>16</v>
      </c>
      <c r="I2385" s="1" t="s">
        <v>20</v>
      </c>
      <c r="J2385" s="1" t="s">
        <v>7900</v>
      </c>
      <c r="K2385" s="1" t="b">
        <v>0</v>
      </c>
      <c r="L2385" s="1" t="s">
        <v>22</v>
      </c>
      <c r="M2385" s="1" t="s">
        <v>16</v>
      </c>
      <c r="N2385" s="1" t="s">
        <v>16</v>
      </c>
      <c r="O2385" s="1" t="s">
        <v>16</v>
      </c>
      <c r="P2385" s="1" t="s">
        <v>16</v>
      </c>
      <c r="Q2385" s="1">
        <v>1</v>
      </c>
    </row>
    <row r="2386" spans="1:19" ht="12.5" x14ac:dyDescent="0.25">
      <c r="A2386" s="1">
        <v>949</v>
      </c>
      <c r="B2386" s="1" t="s">
        <v>3349</v>
      </c>
      <c r="C2386" s="1" t="s">
        <v>35</v>
      </c>
      <c r="D2386" s="1" t="s">
        <v>152</v>
      </c>
      <c r="E2386" s="1">
        <v>2625</v>
      </c>
      <c r="F2386" s="1" t="s">
        <v>7902</v>
      </c>
      <c r="G2386" s="1" t="s">
        <v>7903</v>
      </c>
      <c r="H2386" s="1" t="s">
        <v>16</v>
      </c>
      <c r="I2386" s="1" t="s">
        <v>20</v>
      </c>
      <c r="J2386" s="1" t="s">
        <v>7904</v>
      </c>
      <c r="K2386" s="1" t="b">
        <v>0</v>
      </c>
      <c r="L2386" s="1" t="s">
        <v>22</v>
      </c>
      <c r="M2386" s="1" t="s">
        <v>16</v>
      </c>
      <c r="N2386" s="1" t="s">
        <v>16</v>
      </c>
      <c r="O2386" s="1" t="s">
        <v>16</v>
      </c>
      <c r="P2386" s="1" t="s">
        <v>16</v>
      </c>
      <c r="Q2386" s="1">
        <v>30</v>
      </c>
    </row>
    <row r="2387" spans="1:19" ht="12.5" x14ac:dyDescent="0.25">
      <c r="A2387" s="1" t="s">
        <v>16</v>
      </c>
      <c r="B2387" s="1" t="s">
        <v>16</v>
      </c>
      <c r="C2387" s="1" t="s">
        <v>16</v>
      </c>
      <c r="D2387" s="1" t="s">
        <v>16</v>
      </c>
      <c r="E2387" s="1">
        <v>2626</v>
      </c>
      <c r="F2387" s="1" t="s">
        <v>7905</v>
      </c>
      <c r="G2387" s="1" t="s">
        <v>7906</v>
      </c>
      <c r="H2387" s="1" t="s">
        <v>16</v>
      </c>
      <c r="I2387" s="1" t="s">
        <v>20</v>
      </c>
      <c r="J2387" s="1" t="s">
        <v>7907</v>
      </c>
      <c r="K2387" s="1" t="b">
        <v>1</v>
      </c>
      <c r="L2387" s="1" t="s">
        <v>31</v>
      </c>
      <c r="M2387" s="1" t="s">
        <v>16</v>
      </c>
      <c r="N2387" s="1" t="s">
        <v>16</v>
      </c>
      <c r="O2387" s="1" t="s">
        <v>16</v>
      </c>
      <c r="P2387" s="1" t="s">
        <v>16</v>
      </c>
    </row>
    <row r="2388" spans="1:19" ht="12.5" x14ac:dyDescent="0.25">
      <c r="A2388" s="1" t="s">
        <v>16</v>
      </c>
      <c r="B2388" s="1" t="s">
        <v>16</v>
      </c>
      <c r="C2388" s="1" t="s">
        <v>16</v>
      </c>
      <c r="D2388" s="1" t="s">
        <v>16</v>
      </c>
      <c r="E2388" s="1">
        <v>2627</v>
      </c>
      <c r="F2388" s="1" t="s">
        <v>7908</v>
      </c>
      <c r="G2388" s="1" t="s">
        <v>7909</v>
      </c>
      <c r="H2388" s="1" t="s">
        <v>16</v>
      </c>
      <c r="I2388" s="1" t="s">
        <v>20</v>
      </c>
      <c r="J2388" s="1" t="s">
        <v>7910</v>
      </c>
      <c r="K2388" s="1" t="b">
        <v>0</v>
      </c>
      <c r="L2388" s="1" t="s">
        <v>22</v>
      </c>
      <c r="M2388" s="1" t="s">
        <v>16</v>
      </c>
      <c r="N2388" s="1" t="s">
        <v>16</v>
      </c>
      <c r="O2388" s="1" t="s">
        <v>16</v>
      </c>
      <c r="P2388" s="1" t="s">
        <v>16</v>
      </c>
    </row>
    <row r="2389" spans="1:19" ht="12.5" x14ac:dyDescent="0.25">
      <c r="A2389" s="1" t="s">
        <v>16</v>
      </c>
      <c r="B2389" s="1" t="s">
        <v>16</v>
      </c>
      <c r="C2389" s="1" t="s">
        <v>16</v>
      </c>
      <c r="D2389" s="1" t="s">
        <v>16</v>
      </c>
      <c r="E2389" s="1">
        <v>2628</v>
      </c>
      <c r="F2389" s="1" t="s">
        <v>7911</v>
      </c>
      <c r="G2389" s="1" t="s">
        <v>7912</v>
      </c>
      <c r="H2389" s="1" t="s">
        <v>16</v>
      </c>
      <c r="I2389" s="1" t="s">
        <v>20</v>
      </c>
      <c r="J2389" s="1" t="s">
        <v>7913</v>
      </c>
      <c r="K2389" s="1" t="b">
        <v>0</v>
      </c>
      <c r="L2389" s="1" t="s">
        <v>22</v>
      </c>
      <c r="M2389" s="1" t="s">
        <v>16</v>
      </c>
      <c r="N2389" s="1" t="s">
        <v>16</v>
      </c>
      <c r="O2389" s="1" t="s">
        <v>16</v>
      </c>
      <c r="P2389" s="1" t="s">
        <v>16</v>
      </c>
    </row>
    <row r="2390" spans="1:19" ht="12.5" x14ac:dyDescent="0.25">
      <c r="A2390" s="1">
        <v>861</v>
      </c>
      <c r="B2390" s="1" t="s">
        <v>7914</v>
      </c>
      <c r="C2390" s="1" t="s">
        <v>35</v>
      </c>
      <c r="D2390" s="1" t="s">
        <v>152</v>
      </c>
      <c r="E2390" s="1">
        <v>2629</v>
      </c>
      <c r="F2390" s="1" t="s">
        <v>7916</v>
      </c>
      <c r="G2390" s="1" t="s">
        <v>7917</v>
      </c>
      <c r="H2390" s="1" t="s">
        <v>16</v>
      </c>
      <c r="I2390" s="1" t="s">
        <v>29</v>
      </c>
      <c r="J2390" s="1" t="s">
        <v>16</v>
      </c>
      <c r="K2390" s="1" t="b">
        <v>0</v>
      </c>
      <c r="L2390" s="1" t="s">
        <v>22</v>
      </c>
      <c r="M2390" s="1">
        <v>2022</v>
      </c>
      <c r="N2390" s="1" t="s">
        <v>45</v>
      </c>
      <c r="O2390" s="1" t="s">
        <v>9935</v>
      </c>
      <c r="P2390" s="1" t="s">
        <v>16</v>
      </c>
      <c r="Q2390" s="1">
        <v>100</v>
      </c>
      <c r="R2390" s="1">
        <v>10000</v>
      </c>
      <c r="S2390" s="1">
        <v>10000</v>
      </c>
    </row>
    <row r="2391" spans="1:19" ht="12.5" x14ac:dyDescent="0.25">
      <c r="A2391" s="1">
        <v>861</v>
      </c>
      <c r="B2391" s="1" t="s">
        <v>7914</v>
      </c>
      <c r="C2391" s="1" t="s">
        <v>35</v>
      </c>
      <c r="D2391" s="1" t="s">
        <v>152</v>
      </c>
      <c r="E2391" s="1">
        <v>2630</v>
      </c>
      <c r="F2391" s="1" t="s">
        <v>7918</v>
      </c>
      <c r="G2391" s="1" t="s">
        <v>7919</v>
      </c>
      <c r="H2391" s="1" t="s">
        <v>16</v>
      </c>
      <c r="I2391" s="1" t="s">
        <v>29</v>
      </c>
      <c r="J2391" s="1" t="s">
        <v>16</v>
      </c>
      <c r="K2391" s="1" t="b">
        <v>0</v>
      </c>
      <c r="L2391" s="1" t="s">
        <v>22</v>
      </c>
      <c r="M2391" s="1">
        <v>2022</v>
      </c>
      <c r="N2391" s="1" t="s">
        <v>23</v>
      </c>
      <c r="O2391" s="1" t="s">
        <v>9935</v>
      </c>
      <c r="P2391" s="1" t="s">
        <v>16</v>
      </c>
      <c r="Q2391" s="1">
        <v>100</v>
      </c>
      <c r="R2391" s="1">
        <v>300000</v>
      </c>
      <c r="S2391" s="1">
        <v>300000</v>
      </c>
    </row>
    <row r="2392" spans="1:19" ht="12.5" x14ac:dyDescent="0.25">
      <c r="A2392" s="1">
        <v>2878</v>
      </c>
      <c r="B2392" s="1" t="s">
        <v>7920</v>
      </c>
      <c r="C2392" s="1" t="s">
        <v>38</v>
      </c>
      <c r="D2392" s="1" t="s">
        <v>39</v>
      </c>
      <c r="E2392" s="1">
        <v>2631</v>
      </c>
      <c r="F2392" s="1" t="s">
        <v>7921</v>
      </c>
      <c r="G2392" s="1" t="s">
        <v>7922</v>
      </c>
      <c r="H2392" s="1" t="s">
        <v>16</v>
      </c>
      <c r="I2392" s="1" t="s">
        <v>29</v>
      </c>
      <c r="J2392" s="1" t="s">
        <v>7923</v>
      </c>
      <c r="K2392" s="1" t="b">
        <v>0</v>
      </c>
      <c r="L2392" s="1" t="s">
        <v>22</v>
      </c>
      <c r="M2392" s="1">
        <v>2022</v>
      </c>
      <c r="N2392" s="1" t="s">
        <v>23</v>
      </c>
      <c r="O2392" s="1" t="s">
        <v>9952</v>
      </c>
      <c r="P2392" s="1" t="s">
        <v>16</v>
      </c>
      <c r="Q2392" s="1">
        <v>100</v>
      </c>
      <c r="R2392" s="1">
        <v>5000</v>
      </c>
      <c r="S2392" s="1">
        <v>5000</v>
      </c>
    </row>
    <row r="2393" spans="1:19" ht="12.5" x14ac:dyDescent="0.25">
      <c r="A2393" s="1">
        <v>2878</v>
      </c>
      <c r="B2393" s="1" t="s">
        <v>7920</v>
      </c>
      <c r="C2393" s="1" t="s">
        <v>38</v>
      </c>
      <c r="D2393" s="1" t="s">
        <v>39</v>
      </c>
      <c r="E2393" s="1">
        <v>2632</v>
      </c>
      <c r="F2393" s="1" t="s">
        <v>7924</v>
      </c>
      <c r="G2393" s="1" t="s">
        <v>7925</v>
      </c>
      <c r="H2393" s="1" t="s">
        <v>16</v>
      </c>
      <c r="I2393" s="1" t="s">
        <v>29</v>
      </c>
      <c r="J2393" s="1" t="s">
        <v>16</v>
      </c>
      <c r="K2393" s="1" t="b">
        <v>0</v>
      </c>
      <c r="L2393" s="1" t="s">
        <v>22</v>
      </c>
      <c r="M2393" s="1" t="s">
        <v>16</v>
      </c>
      <c r="N2393" s="1" t="s">
        <v>16</v>
      </c>
      <c r="O2393" s="1" t="s">
        <v>16</v>
      </c>
      <c r="P2393" s="1" t="s">
        <v>16</v>
      </c>
      <c r="Q2393" s="1">
        <v>100</v>
      </c>
    </row>
    <row r="2394" spans="1:19" ht="12.5" x14ac:dyDescent="0.25">
      <c r="A2394" s="1">
        <v>2872</v>
      </c>
      <c r="B2394" s="1" t="s">
        <v>7926</v>
      </c>
      <c r="C2394" s="1" t="s">
        <v>38</v>
      </c>
      <c r="D2394" s="1" t="s">
        <v>39</v>
      </c>
      <c r="E2394" s="1">
        <v>2633</v>
      </c>
      <c r="F2394" s="1" t="s">
        <v>7927</v>
      </c>
      <c r="G2394" s="1" t="s">
        <v>7922</v>
      </c>
      <c r="H2394" s="1" t="s">
        <v>16</v>
      </c>
      <c r="I2394" s="1" t="s">
        <v>29</v>
      </c>
      <c r="J2394" s="1" t="s">
        <v>7928</v>
      </c>
      <c r="K2394" s="1" t="b">
        <v>0</v>
      </c>
      <c r="L2394" s="1" t="s">
        <v>22</v>
      </c>
      <c r="M2394" s="1">
        <v>2022</v>
      </c>
      <c r="N2394" s="1" t="s">
        <v>23</v>
      </c>
      <c r="O2394" s="1" t="s">
        <v>9952</v>
      </c>
      <c r="P2394" s="1" t="s">
        <v>16</v>
      </c>
      <c r="Q2394" s="1">
        <v>100</v>
      </c>
      <c r="R2394" s="1">
        <v>5000</v>
      </c>
      <c r="S2394" s="1">
        <v>5000</v>
      </c>
    </row>
    <row r="2395" spans="1:19" ht="12.5" x14ac:dyDescent="0.25">
      <c r="A2395" s="1">
        <v>2870</v>
      </c>
      <c r="B2395" s="1" t="s">
        <v>7929</v>
      </c>
      <c r="C2395" s="1" t="s">
        <v>38</v>
      </c>
      <c r="D2395" s="1" t="s">
        <v>39</v>
      </c>
      <c r="E2395" s="1">
        <v>2634</v>
      </c>
      <c r="F2395" s="1" t="s">
        <v>7930</v>
      </c>
      <c r="G2395" s="1" t="s">
        <v>7931</v>
      </c>
      <c r="H2395" s="1" t="s">
        <v>16</v>
      </c>
      <c r="I2395" s="1" t="s">
        <v>29</v>
      </c>
      <c r="J2395" s="1" t="s">
        <v>7932</v>
      </c>
      <c r="K2395" s="1" t="b">
        <v>0</v>
      </c>
      <c r="L2395" s="1" t="s">
        <v>22</v>
      </c>
      <c r="M2395" s="1">
        <v>2022</v>
      </c>
      <c r="N2395" s="1" t="s">
        <v>23</v>
      </c>
      <c r="O2395" s="1" t="s">
        <v>9952</v>
      </c>
      <c r="P2395" s="1" t="s">
        <v>16</v>
      </c>
      <c r="Q2395" s="1">
        <v>100</v>
      </c>
      <c r="R2395" s="1">
        <v>5000</v>
      </c>
      <c r="S2395" s="1">
        <v>5000</v>
      </c>
    </row>
    <row r="2396" spans="1:19" ht="12.5" x14ac:dyDescent="0.25">
      <c r="A2396" s="1">
        <v>2867</v>
      </c>
      <c r="B2396" s="1" t="s">
        <v>7933</v>
      </c>
      <c r="C2396" s="1" t="s">
        <v>38</v>
      </c>
      <c r="D2396" s="1" t="s">
        <v>39</v>
      </c>
      <c r="E2396" s="1">
        <v>2635</v>
      </c>
      <c r="F2396" s="1" t="s">
        <v>7934</v>
      </c>
      <c r="G2396" s="1" t="s">
        <v>7935</v>
      </c>
      <c r="H2396" s="1"/>
      <c r="I2396" s="1" t="s">
        <v>29</v>
      </c>
      <c r="J2396" s="1" t="s">
        <v>7936</v>
      </c>
      <c r="K2396" s="1" t="b">
        <v>0</v>
      </c>
      <c r="L2396" s="1" t="s">
        <v>22</v>
      </c>
      <c r="M2396" s="1">
        <v>2022</v>
      </c>
      <c r="N2396" s="1" t="s">
        <v>23</v>
      </c>
      <c r="O2396" s="1" t="s">
        <v>9952</v>
      </c>
      <c r="P2396" s="1" t="s">
        <v>16</v>
      </c>
      <c r="Q2396" s="1">
        <v>100</v>
      </c>
      <c r="R2396" s="1">
        <v>5000</v>
      </c>
      <c r="S2396" s="1">
        <v>5000</v>
      </c>
    </row>
    <row r="2397" spans="1:19" ht="12.5" x14ac:dyDescent="0.25">
      <c r="A2397" s="1">
        <v>2857</v>
      </c>
      <c r="B2397" s="1" t="s">
        <v>7937</v>
      </c>
      <c r="C2397" s="1" t="s">
        <v>38</v>
      </c>
      <c r="D2397" s="1" t="s">
        <v>39</v>
      </c>
      <c r="E2397" s="1">
        <v>2636</v>
      </c>
      <c r="F2397" s="1" t="s">
        <v>7938</v>
      </c>
      <c r="G2397" s="1" t="s">
        <v>7939</v>
      </c>
      <c r="H2397" s="1" t="s">
        <v>16</v>
      </c>
      <c r="I2397" s="1" t="s">
        <v>29</v>
      </c>
      <c r="J2397" s="1" t="s">
        <v>7940</v>
      </c>
      <c r="K2397" s="1" t="b">
        <v>0</v>
      </c>
      <c r="L2397" s="1" t="s">
        <v>22</v>
      </c>
      <c r="M2397" s="1">
        <v>2022</v>
      </c>
      <c r="N2397" s="1" t="s">
        <v>23</v>
      </c>
      <c r="O2397" s="1" t="s">
        <v>9952</v>
      </c>
      <c r="P2397" s="1" t="s">
        <v>16</v>
      </c>
      <c r="Q2397" s="1">
        <v>100</v>
      </c>
      <c r="R2397" s="1">
        <v>5000</v>
      </c>
      <c r="S2397" s="1">
        <v>5000</v>
      </c>
    </row>
    <row r="2398" spans="1:19" ht="12.5" x14ac:dyDescent="0.25">
      <c r="A2398" s="1">
        <v>2835</v>
      </c>
      <c r="B2398" s="1" t="s">
        <v>7941</v>
      </c>
      <c r="C2398" s="1" t="s">
        <v>38</v>
      </c>
      <c r="D2398" s="1" t="s">
        <v>39</v>
      </c>
      <c r="E2398" s="1">
        <v>2637</v>
      </c>
      <c r="F2398" s="1" t="s">
        <v>7942</v>
      </c>
      <c r="G2398" s="1" t="s">
        <v>7925</v>
      </c>
      <c r="H2398" s="1" t="s">
        <v>16</v>
      </c>
      <c r="I2398" s="1" t="s">
        <v>29</v>
      </c>
      <c r="J2398" s="1" t="s">
        <v>7943</v>
      </c>
      <c r="K2398" s="1" t="b">
        <v>1</v>
      </c>
      <c r="L2398" s="1" t="s">
        <v>31</v>
      </c>
      <c r="M2398" s="1">
        <v>2022</v>
      </c>
      <c r="N2398" s="1" t="s">
        <v>52</v>
      </c>
      <c r="O2398" s="1" t="s">
        <v>9935</v>
      </c>
      <c r="P2398" s="1" t="s">
        <v>16</v>
      </c>
      <c r="Q2398" s="1">
        <v>100</v>
      </c>
      <c r="R2398" s="1">
        <v>1</v>
      </c>
      <c r="S2398" s="1">
        <v>1</v>
      </c>
    </row>
    <row r="2399" spans="1:19" ht="12.5" x14ac:dyDescent="0.25">
      <c r="A2399" s="1">
        <v>3827</v>
      </c>
      <c r="B2399" s="1" t="s">
        <v>7944</v>
      </c>
      <c r="C2399" s="1" t="s">
        <v>38</v>
      </c>
      <c r="D2399" s="1" t="s">
        <v>39</v>
      </c>
      <c r="E2399" s="1">
        <v>2638</v>
      </c>
      <c r="F2399" s="1" t="s">
        <v>7945</v>
      </c>
      <c r="G2399" s="1" t="s">
        <v>7946</v>
      </c>
      <c r="H2399" s="1" t="s">
        <v>7947</v>
      </c>
      <c r="I2399" s="1" t="s">
        <v>29</v>
      </c>
      <c r="J2399" s="1" t="s">
        <v>16</v>
      </c>
      <c r="K2399" s="1" t="b">
        <v>0</v>
      </c>
      <c r="L2399" s="1" t="s">
        <v>22</v>
      </c>
      <c r="M2399" s="1">
        <v>2023</v>
      </c>
      <c r="N2399" s="1" t="s">
        <v>45</v>
      </c>
      <c r="O2399" s="1" t="s">
        <v>9952</v>
      </c>
      <c r="P2399" s="1" t="s">
        <v>10094</v>
      </c>
      <c r="Q2399" s="1">
        <v>100</v>
      </c>
      <c r="R2399" s="1">
        <v>20000</v>
      </c>
      <c r="S2399" s="1">
        <v>20000</v>
      </c>
    </row>
    <row r="2400" spans="1:19" ht="12.5" x14ac:dyDescent="0.25">
      <c r="A2400" s="1">
        <v>4359</v>
      </c>
      <c r="B2400" s="1" t="s">
        <v>7948</v>
      </c>
      <c r="C2400" s="1" t="s">
        <v>35</v>
      </c>
      <c r="D2400" s="1" t="s">
        <v>152</v>
      </c>
      <c r="E2400" s="1">
        <v>2639</v>
      </c>
      <c r="F2400" s="1" t="s">
        <v>7950</v>
      </c>
      <c r="G2400" s="1" t="s">
        <v>5923</v>
      </c>
      <c r="H2400" s="1" t="s">
        <v>7951</v>
      </c>
      <c r="I2400" s="1" t="s">
        <v>29</v>
      </c>
      <c r="J2400" s="1" t="s">
        <v>16</v>
      </c>
      <c r="K2400" s="1" t="b">
        <v>0</v>
      </c>
      <c r="L2400" s="1" t="s">
        <v>22</v>
      </c>
      <c r="M2400" s="1">
        <v>2022</v>
      </c>
      <c r="N2400" s="1" t="s">
        <v>45</v>
      </c>
      <c r="O2400" s="1" t="s">
        <v>9956</v>
      </c>
      <c r="P2400" s="1" t="s">
        <v>16</v>
      </c>
      <c r="Q2400" s="1">
        <v>100</v>
      </c>
      <c r="R2400" s="1">
        <v>165000</v>
      </c>
      <c r="S2400" s="1">
        <v>165000</v>
      </c>
    </row>
    <row r="2401" spans="1:19" ht="12.5" x14ac:dyDescent="0.25">
      <c r="A2401" s="1">
        <v>1252</v>
      </c>
      <c r="B2401" s="1" t="s">
        <v>4197</v>
      </c>
      <c r="C2401" s="1" t="s">
        <v>35</v>
      </c>
      <c r="D2401" s="1" t="s">
        <v>152</v>
      </c>
      <c r="E2401" s="1">
        <v>2640</v>
      </c>
      <c r="F2401" s="1" t="s">
        <v>7952</v>
      </c>
      <c r="G2401" s="1" t="s">
        <v>5923</v>
      </c>
      <c r="H2401" s="1" t="s">
        <v>7953</v>
      </c>
      <c r="I2401" s="1" t="s">
        <v>29</v>
      </c>
      <c r="J2401" s="1" t="s">
        <v>16</v>
      </c>
      <c r="K2401" s="1" t="b">
        <v>0</v>
      </c>
      <c r="L2401" s="1" t="s">
        <v>22</v>
      </c>
      <c r="M2401" s="1">
        <v>2022</v>
      </c>
      <c r="N2401" s="1" t="s">
        <v>45</v>
      </c>
      <c r="O2401" s="1" t="s">
        <v>9956</v>
      </c>
      <c r="P2401" s="1" t="s">
        <v>16</v>
      </c>
      <c r="Q2401" s="1">
        <v>100</v>
      </c>
      <c r="R2401" s="1">
        <v>165000</v>
      </c>
      <c r="S2401" s="1">
        <v>165000</v>
      </c>
    </row>
    <row r="2402" spans="1:19" ht="12.5" x14ac:dyDescent="0.25">
      <c r="A2402" s="1">
        <v>1081</v>
      </c>
      <c r="B2402" s="1" t="s">
        <v>3764</v>
      </c>
      <c r="C2402" s="1" t="s">
        <v>35</v>
      </c>
      <c r="D2402" s="1" t="s">
        <v>152</v>
      </c>
      <c r="E2402" s="1">
        <v>2641</v>
      </c>
      <c r="F2402" s="1" t="s">
        <v>7954</v>
      </c>
      <c r="G2402" s="1" t="s">
        <v>5923</v>
      </c>
      <c r="H2402" s="1" t="s">
        <v>7955</v>
      </c>
      <c r="I2402" s="1" t="s">
        <v>29</v>
      </c>
      <c r="J2402" s="1" t="s">
        <v>16</v>
      </c>
      <c r="K2402" s="1" t="b">
        <v>0</v>
      </c>
      <c r="L2402" s="1" t="s">
        <v>22</v>
      </c>
      <c r="M2402" s="1">
        <v>2022</v>
      </c>
      <c r="N2402" s="1" t="s">
        <v>45</v>
      </c>
      <c r="O2402" s="1" t="s">
        <v>9956</v>
      </c>
      <c r="P2402" s="1" t="s">
        <v>16</v>
      </c>
      <c r="Q2402" s="1">
        <v>100</v>
      </c>
      <c r="R2402" s="1">
        <v>165000</v>
      </c>
      <c r="S2402" s="1">
        <v>165000</v>
      </c>
    </row>
    <row r="2403" spans="1:19" ht="12.5" x14ac:dyDescent="0.25">
      <c r="A2403" s="1">
        <v>2849</v>
      </c>
      <c r="B2403" s="1" t="s">
        <v>7956</v>
      </c>
      <c r="C2403" s="1" t="s">
        <v>38</v>
      </c>
      <c r="D2403" s="1" t="s">
        <v>39</v>
      </c>
      <c r="E2403" s="1">
        <v>2652</v>
      </c>
      <c r="F2403" s="1" t="s">
        <v>7957</v>
      </c>
      <c r="G2403" s="1" t="s">
        <v>7925</v>
      </c>
      <c r="H2403" s="1" t="s">
        <v>7958</v>
      </c>
      <c r="I2403" s="1" t="s">
        <v>29</v>
      </c>
      <c r="J2403" s="1" t="s">
        <v>7959</v>
      </c>
      <c r="K2403" s="1" t="b">
        <v>0</v>
      </c>
      <c r="L2403" s="1" t="s">
        <v>22</v>
      </c>
      <c r="M2403" s="1">
        <v>2022</v>
      </c>
      <c r="N2403" s="1" t="s">
        <v>23</v>
      </c>
      <c r="O2403" s="1" t="s">
        <v>9942</v>
      </c>
      <c r="P2403" s="1" t="s">
        <v>16</v>
      </c>
      <c r="Q2403" s="1">
        <v>100</v>
      </c>
      <c r="R2403" s="1">
        <v>50000</v>
      </c>
      <c r="S2403" s="1">
        <v>50000</v>
      </c>
    </row>
    <row r="2404" spans="1:19" ht="12.5" x14ac:dyDescent="0.25">
      <c r="A2404" s="1">
        <v>2845</v>
      </c>
      <c r="B2404" s="1" t="s">
        <v>7960</v>
      </c>
      <c r="C2404" s="1" t="s">
        <v>38</v>
      </c>
      <c r="D2404" s="1" t="s">
        <v>39</v>
      </c>
      <c r="E2404" s="1">
        <v>2653</v>
      </c>
      <c r="F2404" s="1" t="s">
        <v>7961</v>
      </c>
      <c r="G2404" s="1" t="s">
        <v>7962</v>
      </c>
      <c r="H2404" s="1" t="s">
        <v>16</v>
      </c>
      <c r="I2404" s="1" t="s">
        <v>29</v>
      </c>
      <c r="J2404" s="1" t="s">
        <v>7963</v>
      </c>
      <c r="K2404" s="1" t="b">
        <v>0</v>
      </c>
      <c r="L2404" s="1" t="s">
        <v>22</v>
      </c>
      <c r="M2404" s="1">
        <v>2022</v>
      </c>
      <c r="N2404" s="1" t="s">
        <v>23</v>
      </c>
      <c r="O2404" s="1" t="s">
        <v>9952</v>
      </c>
      <c r="P2404" s="1" t="s">
        <v>16</v>
      </c>
      <c r="Q2404" s="1">
        <v>100</v>
      </c>
      <c r="R2404" s="1">
        <v>5000</v>
      </c>
      <c r="S2404" s="1">
        <v>5000</v>
      </c>
    </row>
    <row r="2405" spans="1:19" ht="12.5" x14ac:dyDescent="0.25">
      <c r="A2405" s="1">
        <v>2842</v>
      </c>
      <c r="B2405" s="1" t="s">
        <v>7964</v>
      </c>
      <c r="C2405" s="1" t="s">
        <v>38</v>
      </c>
      <c r="D2405" s="1" t="s">
        <v>39</v>
      </c>
      <c r="E2405" s="1">
        <v>2654</v>
      </c>
      <c r="F2405" s="1" t="s">
        <v>7965</v>
      </c>
      <c r="G2405" s="1" t="s">
        <v>7966</v>
      </c>
      <c r="H2405" s="1" t="s">
        <v>16</v>
      </c>
      <c r="I2405" s="1" t="s">
        <v>29</v>
      </c>
      <c r="J2405" s="1" t="s">
        <v>7967</v>
      </c>
      <c r="K2405" s="1" t="b">
        <v>0</v>
      </c>
      <c r="L2405" s="1" t="s">
        <v>22</v>
      </c>
      <c r="M2405" s="1">
        <v>2022</v>
      </c>
      <c r="N2405" s="1" t="s">
        <v>23</v>
      </c>
      <c r="O2405" s="1" t="s">
        <v>9952</v>
      </c>
      <c r="P2405" s="1" t="s">
        <v>16</v>
      </c>
      <c r="Q2405" s="1">
        <v>100</v>
      </c>
      <c r="R2405" s="1">
        <v>5000</v>
      </c>
      <c r="S2405" s="1">
        <v>5000</v>
      </c>
    </row>
    <row r="2406" spans="1:19" ht="12.5" x14ac:dyDescent="0.25">
      <c r="A2406" s="1">
        <v>2841</v>
      </c>
      <c r="B2406" s="1" t="s">
        <v>7968</v>
      </c>
      <c r="C2406" s="1" t="s">
        <v>38</v>
      </c>
      <c r="D2406" s="1" t="s">
        <v>39</v>
      </c>
      <c r="E2406" s="1">
        <v>2655</v>
      </c>
      <c r="F2406" s="1" t="s">
        <v>7969</v>
      </c>
      <c r="G2406" s="1" t="s">
        <v>7925</v>
      </c>
      <c r="H2406" s="1" t="s">
        <v>7970</v>
      </c>
      <c r="I2406" s="1" t="s">
        <v>29</v>
      </c>
      <c r="J2406" s="1" t="s">
        <v>7971</v>
      </c>
      <c r="K2406" s="1" t="b">
        <v>1</v>
      </c>
      <c r="L2406" s="1" t="s">
        <v>31</v>
      </c>
      <c r="M2406" s="1">
        <v>2022</v>
      </c>
      <c r="N2406" s="1" t="s">
        <v>23</v>
      </c>
      <c r="O2406" s="1" t="s">
        <v>9935</v>
      </c>
      <c r="P2406" s="1" t="s">
        <v>16</v>
      </c>
      <c r="Q2406" s="1">
        <v>100</v>
      </c>
      <c r="R2406" s="1">
        <v>15556.26</v>
      </c>
      <c r="S2406" s="1">
        <v>15556.26</v>
      </c>
    </row>
    <row r="2407" spans="1:19" ht="12.5" x14ac:dyDescent="0.25">
      <c r="A2407" s="1">
        <v>578</v>
      </c>
      <c r="B2407" s="1" t="s">
        <v>7972</v>
      </c>
      <c r="C2407" s="1" t="s">
        <v>35</v>
      </c>
      <c r="D2407" s="1" t="s">
        <v>36</v>
      </c>
      <c r="E2407" s="1">
        <v>2656</v>
      </c>
      <c r="F2407" s="1" t="s">
        <v>7973</v>
      </c>
      <c r="G2407" s="1" t="s">
        <v>7974</v>
      </c>
      <c r="H2407" s="1" t="s">
        <v>16</v>
      </c>
      <c r="I2407" s="1" t="s">
        <v>20</v>
      </c>
      <c r="J2407" s="1" t="s">
        <v>7975</v>
      </c>
      <c r="K2407" s="1" t="b">
        <v>0</v>
      </c>
      <c r="L2407" s="1" t="s">
        <v>22</v>
      </c>
      <c r="M2407" s="1" t="s">
        <v>16</v>
      </c>
      <c r="N2407" s="1" t="s">
        <v>16</v>
      </c>
      <c r="O2407" s="1" t="s">
        <v>16</v>
      </c>
      <c r="P2407" s="1" t="s">
        <v>16</v>
      </c>
      <c r="Q2407" s="1">
        <v>50</v>
      </c>
    </row>
    <row r="2408" spans="1:19" ht="12.5" x14ac:dyDescent="0.25">
      <c r="A2408" s="1">
        <v>798</v>
      </c>
      <c r="B2408" s="1" t="s">
        <v>7976</v>
      </c>
      <c r="C2408" s="1" t="s">
        <v>35</v>
      </c>
      <c r="D2408" s="1" t="s">
        <v>36</v>
      </c>
      <c r="E2408" s="1">
        <v>2657</v>
      </c>
      <c r="F2408" s="1" t="s">
        <v>7977</v>
      </c>
      <c r="G2408" s="1" t="s">
        <v>7978</v>
      </c>
      <c r="H2408" s="1" t="s">
        <v>7979</v>
      </c>
      <c r="I2408" s="1" t="s">
        <v>29</v>
      </c>
      <c r="J2408" s="1" t="s">
        <v>7980</v>
      </c>
      <c r="K2408" s="1" t="b">
        <v>1</v>
      </c>
      <c r="L2408" s="1" t="s">
        <v>31</v>
      </c>
      <c r="M2408" s="1">
        <v>2022</v>
      </c>
      <c r="N2408" s="1" t="s">
        <v>23</v>
      </c>
      <c r="O2408" s="1" t="s">
        <v>9935</v>
      </c>
      <c r="P2408" s="1" t="s">
        <v>16</v>
      </c>
      <c r="Q2408" s="1">
        <v>100</v>
      </c>
      <c r="R2408" s="1">
        <v>5000</v>
      </c>
      <c r="S2408" s="1">
        <v>5000</v>
      </c>
    </row>
    <row r="2409" spans="1:19" ht="12.5" x14ac:dyDescent="0.25">
      <c r="A2409" s="1">
        <v>2846</v>
      </c>
      <c r="B2409" s="1" t="s">
        <v>7981</v>
      </c>
      <c r="C2409" s="1" t="s">
        <v>38</v>
      </c>
      <c r="D2409" s="1" t="s">
        <v>39</v>
      </c>
      <c r="E2409" s="1">
        <v>2658</v>
      </c>
      <c r="F2409" s="1" t="s">
        <v>7982</v>
      </c>
      <c r="G2409" s="1" t="s">
        <v>7983</v>
      </c>
      <c r="H2409" s="1" t="s">
        <v>7984</v>
      </c>
      <c r="I2409" s="1" t="s">
        <v>29</v>
      </c>
      <c r="J2409" s="1" t="s">
        <v>7985</v>
      </c>
      <c r="K2409" s="1" t="b">
        <v>0</v>
      </c>
      <c r="L2409" s="1" t="s">
        <v>22</v>
      </c>
      <c r="M2409" s="1">
        <v>2022</v>
      </c>
      <c r="N2409" s="1" t="s">
        <v>23</v>
      </c>
      <c r="O2409" s="1" t="s">
        <v>9952</v>
      </c>
      <c r="P2409" s="1" t="s">
        <v>16</v>
      </c>
      <c r="Q2409" s="1">
        <v>100</v>
      </c>
      <c r="R2409" s="1">
        <v>5000</v>
      </c>
      <c r="S2409" s="1">
        <v>5000</v>
      </c>
    </row>
    <row r="2410" spans="1:19" ht="12.5" x14ac:dyDescent="0.25">
      <c r="A2410" s="1" t="s">
        <v>16</v>
      </c>
      <c r="B2410" s="1" t="s">
        <v>16</v>
      </c>
      <c r="C2410" s="1" t="s">
        <v>16</v>
      </c>
      <c r="D2410" s="1" t="s">
        <v>16</v>
      </c>
      <c r="E2410" s="1">
        <v>2659</v>
      </c>
      <c r="F2410" s="1" t="s">
        <v>7986</v>
      </c>
      <c r="G2410" s="1" t="s">
        <v>7987</v>
      </c>
      <c r="H2410" s="1" t="s">
        <v>16</v>
      </c>
      <c r="I2410" s="1" t="s">
        <v>20</v>
      </c>
      <c r="J2410" s="1" t="s">
        <v>7988</v>
      </c>
      <c r="K2410" s="1" t="b">
        <v>0</v>
      </c>
      <c r="L2410" s="1" t="s">
        <v>22</v>
      </c>
      <c r="M2410" s="1" t="s">
        <v>16</v>
      </c>
      <c r="N2410" s="1" t="s">
        <v>16</v>
      </c>
      <c r="O2410" s="1" t="s">
        <v>16</v>
      </c>
      <c r="P2410" s="1" t="s">
        <v>16</v>
      </c>
    </row>
    <row r="2411" spans="1:19" ht="12.5" x14ac:dyDescent="0.25">
      <c r="A2411" s="1">
        <v>1705</v>
      </c>
      <c r="B2411" s="1" t="s">
        <v>7989</v>
      </c>
      <c r="C2411" s="1" t="s">
        <v>35</v>
      </c>
      <c r="D2411" s="1" t="s">
        <v>152</v>
      </c>
      <c r="E2411" s="1">
        <v>2660</v>
      </c>
      <c r="F2411" s="1" t="s">
        <v>7990</v>
      </c>
      <c r="G2411" s="1" t="s">
        <v>7991</v>
      </c>
      <c r="H2411" s="1" t="s">
        <v>7992</v>
      </c>
      <c r="I2411" s="1" t="s">
        <v>29</v>
      </c>
      <c r="J2411" s="1" t="s">
        <v>7993</v>
      </c>
      <c r="K2411" s="1" t="b">
        <v>0</v>
      </c>
      <c r="L2411" s="1" t="s">
        <v>22</v>
      </c>
      <c r="M2411" s="1">
        <v>2022</v>
      </c>
      <c r="N2411" s="1" t="s">
        <v>32</v>
      </c>
      <c r="O2411" s="1" t="s">
        <v>9935</v>
      </c>
      <c r="P2411" s="1" t="s">
        <v>16</v>
      </c>
      <c r="Q2411" s="1">
        <v>100</v>
      </c>
      <c r="R2411" s="1">
        <v>250</v>
      </c>
      <c r="S2411" s="1">
        <v>250</v>
      </c>
    </row>
    <row r="2412" spans="1:19" ht="12.5" x14ac:dyDescent="0.25">
      <c r="A2412" s="1">
        <v>1668</v>
      </c>
      <c r="B2412" s="1" t="s">
        <v>7994</v>
      </c>
      <c r="C2412" s="1" t="s">
        <v>35</v>
      </c>
      <c r="D2412" s="1" t="s">
        <v>152</v>
      </c>
      <c r="E2412" s="1">
        <v>2661</v>
      </c>
      <c r="F2412" s="1" t="s">
        <v>7995</v>
      </c>
      <c r="G2412" s="1" t="s">
        <v>7996</v>
      </c>
      <c r="H2412" s="1" t="s">
        <v>16</v>
      </c>
      <c r="I2412" s="1" t="s">
        <v>29</v>
      </c>
      <c r="J2412" s="1" t="s">
        <v>7997</v>
      </c>
      <c r="K2412" s="1" t="b">
        <v>0</v>
      </c>
      <c r="L2412" s="1" t="s">
        <v>22</v>
      </c>
      <c r="M2412" s="1">
        <v>2022</v>
      </c>
      <c r="N2412" s="1" t="s">
        <v>32</v>
      </c>
      <c r="O2412" s="1" t="s">
        <v>9942</v>
      </c>
      <c r="P2412" s="1" t="s">
        <v>16</v>
      </c>
      <c r="Q2412" s="1">
        <v>100</v>
      </c>
      <c r="R2412" s="1">
        <v>200</v>
      </c>
      <c r="S2412" s="1">
        <v>200</v>
      </c>
    </row>
    <row r="2413" spans="1:19" ht="12.5" x14ac:dyDescent="0.25">
      <c r="A2413" s="1">
        <v>1664</v>
      </c>
      <c r="B2413" s="1" t="s">
        <v>7998</v>
      </c>
      <c r="C2413" s="1" t="s">
        <v>35</v>
      </c>
      <c r="D2413" s="1" t="s">
        <v>152</v>
      </c>
      <c r="E2413" s="1">
        <v>2662</v>
      </c>
      <c r="F2413" s="1" t="s">
        <v>7999</v>
      </c>
      <c r="G2413" s="1" t="s">
        <v>8000</v>
      </c>
      <c r="H2413" s="1" t="s">
        <v>16</v>
      </c>
      <c r="I2413" s="1" t="s">
        <v>29</v>
      </c>
      <c r="J2413" s="1" t="s">
        <v>8001</v>
      </c>
      <c r="K2413" s="1" t="b">
        <v>0</v>
      </c>
      <c r="L2413" s="1" t="s">
        <v>22</v>
      </c>
      <c r="M2413" s="1">
        <v>2022</v>
      </c>
      <c r="N2413" s="1" t="s">
        <v>32</v>
      </c>
      <c r="O2413" s="1" t="s">
        <v>9935</v>
      </c>
      <c r="P2413" s="1" t="s">
        <v>16</v>
      </c>
      <c r="Q2413" s="1">
        <v>100</v>
      </c>
      <c r="R2413" s="1">
        <v>700</v>
      </c>
      <c r="S2413" s="1">
        <v>700</v>
      </c>
    </row>
    <row r="2414" spans="1:19" ht="12.5" x14ac:dyDescent="0.25">
      <c r="A2414" s="1">
        <v>1659</v>
      </c>
      <c r="B2414" s="1" t="s">
        <v>8002</v>
      </c>
      <c r="C2414" s="1" t="s">
        <v>35</v>
      </c>
      <c r="D2414" s="1" t="s">
        <v>152</v>
      </c>
      <c r="E2414" s="1">
        <v>2663</v>
      </c>
      <c r="F2414" s="1" t="s">
        <v>8003</v>
      </c>
      <c r="G2414" s="1" t="s">
        <v>8004</v>
      </c>
      <c r="H2414" s="1" t="s">
        <v>16</v>
      </c>
      <c r="I2414" s="1" t="s">
        <v>29</v>
      </c>
      <c r="J2414" s="1" t="s">
        <v>8005</v>
      </c>
      <c r="K2414" s="1" t="b">
        <v>0</v>
      </c>
      <c r="L2414" s="1" t="s">
        <v>22</v>
      </c>
      <c r="M2414" s="1">
        <v>2022</v>
      </c>
      <c r="N2414" s="1" t="s">
        <v>32</v>
      </c>
      <c r="O2414" s="1" t="s">
        <v>9935</v>
      </c>
      <c r="P2414" s="1" t="s">
        <v>16</v>
      </c>
      <c r="Q2414" s="1">
        <v>100</v>
      </c>
      <c r="R2414" s="1">
        <v>900</v>
      </c>
      <c r="S2414" s="1">
        <v>900</v>
      </c>
    </row>
    <row r="2415" spans="1:19" ht="12.5" x14ac:dyDescent="0.25">
      <c r="A2415" s="1">
        <v>1658</v>
      </c>
      <c r="B2415" s="1" t="s">
        <v>8006</v>
      </c>
      <c r="C2415" s="1" t="s">
        <v>35</v>
      </c>
      <c r="D2415" s="1" t="s">
        <v>152</v>
      </c>
      <c r="E2415" s="1">
        <v>2664</v>
      </c>
      <c r="F2415" s="1" t="s">
        <v>8007</v>
      </c>
      <c r="G2415" s="1" t="s">
        <v>8008</v>
      </c>
      <c r="H2415" s="1" t="s">
        <v>8009</v>
      </c>
      <c r="I2415" s="1" t="s">
        <v>29</v>
      </c>
      <c r="J2415" s="1" t="s">
        <v>8010</v>
      </c>
      <c r="K2415" s="1" t="b">
        <v>0</v>
      </c>
      <c r="L2415" s="1" t="s">
        <v>22</v>
      </c>
      <c r="M2415" s="1">
        <v>2022</v>
      </c>
      <c r="N2415" s="1" t="s">
        <v>32</v>
      </c>
      <c r="O2415" s="1" t="s">
        <v>9935</v>
      </c>
      <c r="P2415" s="1" t="s">
        <v>16</v>
      </c>
      <c r="Q2415" s="1">
        <v>100</v>
      </c>
      <c r="R2415" s="1">
        <v>2100</v>
      </c>
      <c r="S2415" s="1">
        <v>2100</v>
      </c>
    </row>
    <row r="2416" spans="1:19" ht="12.5" x14ac:dyDescent="0.25">
      <c r="A2416" s="1">
        <v>1656</v>
      </c>
      <c r="B2416" s="1" t="s">
        <v>8011</v>
      </c>
      <c r="C2416" s="1" t="s">
        <v>35</v>
      </c>
      <c r="D2416" s="1" t="s">
        <v>152</v>
      </c>
      <c r="E2416" s="1">
        <v>2665</v>
      </c>
      <c r="F2416" s="1" t="s">
        <v>8012</v>
      </c>
      <c r="G2416" s="1" t="s">
        <v>8013</v>
      </c>
      <c r="H2416" s="1" t="s">
        <v>16</v>
      </c>
      <c r="I2416" s="1" t="s">
        <v>29</v>
      </c>
      <c r="J2416" s="1" t="s">
        <v>8014</v>
      </c>
      <c r="K2416" s="1" t="b">
        <v>0</v>
      </c>
      <c r="L2416" s="1" t="s">
        <v>22</v>
      </c>
      <c r="M2416" s="1">
        <v>2022</v>
      </c>
      <c r="N2416" s="1" t="s">
        <v>32</v>
      </c>
      <c r="O2416" s="1" t="s">
        <v>9935</v>
      </c>
      <c r="P2416" s="1" t="s">
        <v>16</v>
      </c>
      <c r="Q2416" s="1">
        <v>100</v>
      </c>
      <c r="R2416" s="1">
        <v>1100</v>
      </c>
      <c r="S2416" s="1">
        <v>1100</v>
      </c>
    </row>
    <row r="2417" spans="1:19" ht="12.5" x14ac:dyDescent="0.25">
      <c r="A2417" s="1">
        <v>1655</v>
      </c>
      <c r="B2417" s="1" t="s">
        <v>8015</v>
      </c>
      <c r="C2417" s="1" t="s">
        <v>35</v>
      </c>
      <c r="D2417" s="1" t="s">
        <v>152</v>
      </c>
      <c r="E2417" s="1">
        <v>2666</v>
      </c>
      <c r="F2417" s="1" t="s">
        <v>8017</v>
      </c>
      <c r="G2417" s="1" t="s">
        <v>2119</v>
      </c>
      <c r="H2417" s="1" t="s">
        <v>16</v>
      </c>
      <c r="I2417" s="1" t="s">
        <v>29</v>
      </c>
      <c r="J2417" s="1" t="s">
        <v>8018</v>
      </c>
      <c r="K2417" s="1" t="b">
        <v>0</v>
      </c>
      <c r="L2417" s="1" t="s">
        <v>22</v>
      </c>
      <c r="M2417" s="1">
        <v>2022</v>
      </c>
      <c r="N2417" s="1" t="s">
        <v>32</v>
      </c>
      <c r="O2417" s="1" t="s">
        <v>9935</v>
      </c>
      <c r="P2417" s="1" t="s">
        <v>16</v>
      </c>
      <c r="Q2417" s="1">
        <v>100</v>
      </c>
      <c r="R2417" s="1">
        <v>1</v>
      </c>
      <c r="S2417" s="1">
        <v>1</v>
      </c>
    </row>
    <row r="2418" spans="1:19" ht="12.5" x14ac:dyDescent="0.25">
      <c r="A2418" s="1">
        <v>1642</v>
      </c>
      <c r="B2418" s="1" t="s">
        <v>8019</v>
      </c>
      <c r="C2418" s="1" t="s">
        <v>35</v>
      </c>
      <c r="D2418" s="1" t="s">
        <v>152</v>
      </c>
      <c r="E2418" s="1">
        <v>2667</v>
      </c>
      <c r="F2418" s="1" t="s">
        <v>8020</v>
      </c>
      <c r="G2418" s="1" t="s">
        <v>8021</v>
      </c>
      <c r="H2418" s="1" t="s">
        <v>16</v>
      </c>
      <c r="I2418" s="1" t="s">
        <v>29</v>
      </c>
      <c r="J2418" s="1" t="s">
        <v>8022</v>
      </c>
      <c r="K2418" s="1" t="b">
        <v>0</v>
      </c>
      <c r="L2418" s="1" t="s">
        <v>22</v>
      </c>
      <c r="M2418" s="1">
        <v>2022</v>
      </c>
      <c r="N2418" s="1" t="s">
        <v>32</v>
      </c>
      <c r="O2418" s="1" t="s">
        <v>9935</v>
      </c>
      <c r="P2418" s="1" t="s">
        <v>16</v>
      </c>
      <c r="Q2418" s="1">
        <v>100</v>
      </c>
      <c r="R2418" s="1">
        <v>200</v>
      </c>
      <c r="S2418" s="1">
        <v>200</v>
      </c>
    </row>
    <row r="2419" spans="1:19" ht="12.5" x14ac:dyDescent="0.25">
      <c r="A2419" s="1">
        <v>1640</v>
      </c>
      <c r="B2419" s="1" t="s">
        <v>8023</v>
      </c>
      <c r="C2419" s="1" t="s">
        <v>35</v>
      </c>
      <c r="D2419" s="1" t="s">
        <v>152</v>
      </c>
      <c r="E2419" s="1">
        <v>2668</v>
      </c>
      <c r="F2419" s="1" t="s">
        <v>8024</v>
      </c>
      <c r="G2419" s="1" t="s">
        <v>8025</v>
      </c>
      <c r="H2419" s="1" t="s">
        <v>16</v>
      </c>
      <c r="I2419" s="1" t="s">
        <v>29</v>
      </c>
      <c r="J2419" s="1" t="s">
        <v>8026</v>
      </c>
      <c r="K2419" s="1" t="b">
        <v>0</v>
      </c>
      <c r="L2419" s="1" t="s">
        <v>22</v>
      </c>
      <c r="M2419" s="1">
        <v>2022</v>
      </c>
      <c r="N2419" s="1" t="s">
        <v>32</v>
      </c>
      <c r="O2419" s="1" t="s">
        <v>9935</v>
      </c>
      <c r="P2419" s="1" t="s">
        <v>16</v>
      </c>
      <c r="Q2419" s="1">
        <v>100</v>
      </c>
      <c r="R2419" s="1">
        <v>800</v>
      </c>
      <c r="S2419" s="1">
        <v>800</v>
      </c>
    </row>
    <row r="2420" spans="1:19" ht="12.5" x14ac:dyDescent="0.25">
      <c r="A2420" s="1">
        <v>1639</v>
      </c>
      <c r="B2420" s="1" t="s">
        <v>8027</v>
      </c>
      <c r="C2420" s="1" t="s">
        <v>35</v>
      </c>
      <c r="D2420" s="1" t="s">
        <v>152</v>
      </c>
      <c r="E2420" s="1">
        <v>2669</v>
      </c>
      <c r="F2420" s="1" t="s">
        <v>8028</v>
      </c>
      <c r="G2420" s="1" t="s">
        <v>8029</v>
      </c>
      <c r="H2420" s="1" t="s">
        <v>16</v>
      </c>
      <c r="I2420" s="1" t="s">
        <v>29</v>
      </c>
      <c r="J2420" s="1" t="s">
        <v>8030</v>
      </c>
      <c r="K2420" s="1" t="b">
        <v>0</v>
      </c>
      <c r="L2420" s="1" t="s">
        <v>22</v>
      </c>
      <c r="M2420" s="1">
        <v>2022</v>
      </c>
      <c r="N2420" s="1" t="s">
        <v>32</v>
      </c>
      <c r="O2420" s="1" t="s">
        <v>9935</v>
      </c>
      <c r="P2420" s="1" t="s">
        <v>16</v>
      </c>
      <c r="Q2420" s="1">
        <v>100</v>
      </c>
      <c r="R2420" s="1">
        <v>900</v>
      </c>
      <c r="S2420" s="1">
        <v>900</v>
      </c>
    </row>
    <row r="2421" spans="1:19" ht="12.5" x14ac:dyDescent="0.25">
      <c r="A2421" s="1">
        <v>1634</v>
      </c>
      <c r="B2421" s="1" t="s">
        <v>8031</v>
      </c>
      <c r="C2421" s="1" t="s">
        <v>35</v>
      </c>
      <c r="D2421" s="1" t="s">
        <v>152</v>
      </c>
      <c r="E2421" s="1">
        <v>2670</v>
      </c>
      <c r="F2421" s="1" t="s">
        <v>8032</v>
      </c>
      <c r="G2421" s="1" t="s">
        <v>8033</v>
      </c>
      <c r="H2421" s="1" t="s">
        <v>16</v>
      </c>
      <c r="I2421" s="1" t="s">
        <v>29</v>
      </c>
      <c r="J2421" s="1" t="s">
        <v>8034</v>
      </c>
      <c r="K2421" s="1" t="b">
        <v>0</v>
      </c>
      <c r="L2421" s="1" t="s">
        <v>22</v>
      </c>
      <c r="M2421" s="1">
        <v>2022</v>
      </c>
      <c r="N2421" s="1" t="s">
        <v>32</v>
      </c>
      <c r="O2421" s="1" t="s">
        <v>9935</v>
      </c>
      <c r="P2421" s="1" t="s">
        <v>16</v>
      </c>
      <c r="Q2421" s="1">
        <v>100</v>
      </c>
      <c r="R2421" s="1">
        <v>1300</v>
      </c>
      <c r="S2421" s="1">
        <v>1300</v>
      </c>
    </row>
    <row r="2422" spans="1:19" ht="12.5" x14ac:dyDescent="0.25">
      <c r="A2422" s="1">
        <v>1631</v>
      </c>
      <c r="B2422" s="1" t="s">
        <v>8035</v>
      </c>
      <c r="C2422" s="1" t="s">
        <v>35</v>
      </c>
      <c r="D2422" s="1" t="s">
        <v>152</v>
      </c>
      <c r="E2422" s="1">
        <v>2671</v>
      </c>
      <c r="F2422" s="1" t="s">
        <v>8036</v>
      </c>
      <c r="G2422" s="1" t="s">
        <v>8037</v>
      </c>
      <c r="H2422" s="1" t="s">
        <v>16</v>
      </c>
      <c r="I2422" s="1" t="s">
        <v>29</v>
      </c>
      <c r="J2422" s="1" t="s">
        <v>8038</v>
      </c>
      <c r="K2422" s="1" t="b">
        <v>0</v>
      </c>
      <c r="L2422" s="1" t="s">
        <v>22</v>
      </c>
      <c r="M2422" s="1">
        <v>2022</v>
      </c>
      <c r="N2422" s="1" t="s">
        <v>32</v>
      </c>
      <c r="O2422" s="1" t="s">
        <v>9956</v>
      </c>
      <c r="P2422" s="1" t="s">
        <v>16</v>
      </c>
      <c r="Q2422" s="1">
        <v>100</v>
      </c>
      <c r="R2422" s="1">
        <v>1200</v>
      </c>
      <c r="S2422" s="1">
        <v>1200</v>
      </c>
    </row>
    <row r="2423" spans="1:19" ht="12.5" x14ac:dyDescent="0.25">
      <c r="A2423" s="1">
        <v>1630</v>
      </c>
      <c r="B2423" s="1" t="s">
        <v>8039</v>
      </c>
      <c r="C2423" s="1" t="s">
        <v>35</v>
      </c>
      <c r="D2423" s="1" t="s">
        <v>152</v>
      </c>
      <c r="E2423" s="1">
        <v>2672</v>
      </c>
      <c r="F2423" s="1" t="s">
        <v>8040</v>
      </c>
      <c r="G2423" s="1" t="s">
        <v>8041</v>
      </c>
      <c r="H2423" s="1" t="s">
        <v>16</v>
      </c>
      <c r="I2423" s="1" t="s">
        <v>29</v>
      </c>
      <c r="J2423" s="1" t="s">
        <v>8042</v>
      </c>
      <c r="K2423" s="1" t="b">
        <v>0</v>
      </c>
      <c r="L2423" s="1" t="s">
        <v>22</v>
      </c>
      <c r="M2423" s="1">
        <v>2022</v>
      </c>
      <c r="N2423" s="1" t="s">
        <v>32</v>
      </c>
      <c r="O2423" s="1" t="s">
        <v>9935</v>
      </c>
      <c r="P2423" s="1" t="s">
        <v>16</v>
      </c>
      <c r="Q2423" s="1">
        <v>100</v>
      </c>
      <c r="R2423" s="1">
        <v>500</v>
      </c>
      <c r="S2423" s="1">
        <v>500</v>
      </c>
    </row>
    <row r="2424" spans="1:19" ht="12.5" x14ac:dyDescent="0.25">
      <c r="A2424" s="1">
        <v>1629</v>
      </c>
      <c r="B2424" s="1" t="s">
        <v>8043</v>
      </c>
      <c r="C2424" s="1" t="s">
        <v>35</v>
      </c>
      <c r="D2424" s="1" t="s">
        <v>152</v>
      </c>
      <c r="E2424" s="1">
        <v>2673</v>
      </c>
      <c r="F2424" s="1" t="s">
        <v>8044</v>
      </c>
      <c r="G2424" s="1" t="s">
        <v>8045</v>
      </c>
      <c r="H2424" s="1" t="s">
        <v>16</v>
      </c>
      <c r="I2424" s="1" t="s">
        <v>29</v>
      </c>
      <c r="J2424" s="1" t="s">
        <v>8046</v>
      </c>
      <c r="K2424" s="1" t="b">
        <v>0</v>
      </c>
      <c r="L2424" s="1" t="s">
        <v>22</v>
      </c>
      <c r="M2424" s="1">
        <v>2022</v>
      </c>
      <c r="N2424" s="1" t="s">
        <v>32</v>
      </c>
      <c r="O2424" s="1" t="s">
        <v>9935</v>
      </c>
      <c r="P2424" s="1" t="s">
        <v>16</v>
      </c>
      <c r="Q2424" s="1">
        <v>100</v>
      </c>
      <c r="R2424" s="1">
        <v>1500</v>
      </c>
      <c r="S2424" s="1">
        <v>1500</v>
      </c>
    </row>
    <row r="2425" spans="1:19" ht="12.5" x14ac:dyDescent="0.25">
      <c r="A2425" s="1">
        <v>1611</v>
      </c>
      <c r="B2425" s="1" t="s">
        <v>8047</v>
      </c>
      <c r="C2425" s="1" t="s">
        <v>35</v>
      </c>
      <c r="D2425" s="1" t="s">
        <v>152</v>
      </c>
      <c r="E2425" s="1">
        <v>2674</v>
      </c>
      <c r="F2425" s="1" t="s">
        <v>8048</v>
      </c>
      <c r="G2425" s="1" t="s">
        <v>8049</v>
      </c>
      <c r="H2425" s="1" t="s">
        <v>16</v>
      </c>
      <c r="I2425" s="1" t="s">
        <v>29</v>
      </c>
      <c r="J2425" s="1" t="s">
        <v>8050</v>
      </c>
      <c r="K2425" s="1" t="b">
        <v>0</v>
      </c>
      <c r="L2425" s="1" t="s">
        <v>22</v>
      </c>
      <c r="M2425" s="1">
        <v>2022</v>
      </c>
      <c r="N2425" s="1" t="s">
        <v>32</v>
      </c>
      <c r="O2425" s="1" t="s">
        <v>9956</v>
      </c>
      <c r="P2425" s="1" t="s">
        <v>16</v>
      </c>
      <c r="Q2425" s="1">
        <v>100</v>
      </c>
      <c r="R2425" s="1">
        <v>3000</v>
      </c>
      <c r="S2425" s="1">
        <v>3000</v>
      </c>
    </row>
    <row r="2426" spans="1:19" ht="12.5" x14ac:dyDescent="0.25">
      <c r="A2426" s="1" t="s">
        <v>16</v>
      </c>
      <c r="B2426" s="1" t="s">
        <v>16</v>
      </c>
      <c r="C2426" s="1" t="s">
        <v>16</v>
      </c>
      <c r="D2426" s="1" t="s">
        <v>16</v>
      </c>
      <c r="E2426" s="1">
        <v>2675</v>
      </c>
      <c r="F2426" s="1" t="s">
        <v>8051</v>
      </c>
      <c r="G2426" s="1" t="s">
        <v>8052</v>
      </c>
      <c r="H2426" s="1" t="s">
        <v>16</v>
      </c>
      <c r="I2426" s="1" t="s">
        <v>29</v>
      </c>
      <c r="J2426" s="1" t="s">
        <v>16</v>
      </c>
      <c r="K2426" s="1" t="b">
        <v>0</v>
      </c>
      <c r="L2426" s="1" t="s">
        <v>22</v>
      </c>
      <c r="M2426" s="1">
        <v>2022</v>
      </c>
      <c r="N2426" s="1" t="s">
        <v>32</v>
      </c>
      <c r="O2426" s="1" t="s">
        <v>9956</v>
      </c>
      <c r="P2426" s="1" t="s">
        <v>16</v>
      </c>
      <c r="R2426" s="1">
        <v>1</v>
      </c>
    </row>
    <row r="2427" spans="1:19" ht="12.5" x14ac:dyDescent="0.25">
      <c r="A2427" s="1">
        <v>1582</v>
      </c>
      <c r="B2427" s="1" t="s">
        <v>8053</v>
      </c>
      <c r="C2427" s="1" t="s">
        <v>35</v>
      </c>
      <c r="D2427" s="1" t="s">
        <v>152</v>
      </c>
      <c r="E2427" s="1">
        <v>2676</v>
      </c>
      <c r="F2427" s="1" t="s">
        <v>8054</v>
      </c>
      <c r="G2427" s="1" t="s">
        <v>8055</v>
      </c>
      <c r="H2427" s="1" t="s">
        <v>8056</v>
      </c>
      <c r="I2427" s="1" t="s">
        <v>29</v>
      </c>
      <c r="J2427" s="1" t="s">
        <v>8057</v>
      </c>
      <c r="K2427" s="1" t="b">
        <v>0</v>
      </c>
      <c r="L2427" s="1" t="s">
        <v>22</v>
      </c>
      <c r="M2427" s="1">
        <v>2022</v>
      </c>
      <c r="N2427" s="1" t="s">
        <v>32</v>
      </c>
      <c r="O2427" s="1" t="s">
        <v>9935</v>
      </c>
      <c r="P2427" s="1" t="s">
        <v>16</v>
      </c>
      <c r="Q2427" s="1">
        <v>100</v>
      </c>
      <c r="R2427" s="1">
        <v>5000</v>
      </c>
      <c r="S2427" s="1">
        <v>5000</v>
      </c>
    </row>
    <row r="2428" spans="1:19" ht="12.5" x14ac:dyDescent="0.25">
      <c r="A2428" s="1">
        <v>1487</v>
      </c>
      <c r="B2428" s="1" t="s">
        <v>8058</v>
      </c>
      <c r="C2428" s="1" t="s">
        <v>35</v>
      </c>
      <c r="D2428" s="1" t="s">
        <v>152</v>
      </c>
      <c r="E2428" s="1">
        <v>2677</v>
      </c>
      <c r="F2428" s="1" t="s">
        <v>8060</v>
      </c>
      <c r="G2428" s="1" t="s">
        <v>8061</v>
      </c>
      <c r="H2428" s="1" t="s">
        <v>16</v>
      </c>
      <c r="I2428" s="1" t="s">
        <v>29</v>
      </c>
      <c r="J2428" s="1" t="s">
        <v>8062</v>
      </c>
      <c r="K2428" s="1" t="b">
        <v>0</v>
      </c>
      <c r="L2428" s="1" t="s">
        <v>22</v>
      </c>
      <c r="M2428" s="1">
        <v>2022</v>
      </c>
      <c r="N2428" s="1" t="s">
        <v>32</v>
      </c>
      <c r="O2428" s="1" t="s">
        <v>9956</v>
      </c>
      <c r="P2428" s="1" t="s">
        <v>16</v>
      </c>
      <c r="Q2428" s="1">
        <v>100</v>
      </c>
      <c r="R2428" s="1">
        <v>1</v>
      </c>
      <c r="S2428" s="1">
        <v>1</v>
      </c>
    </row>
    <row r="2429" spans="1:19" ht="12.5" x14ac:dyDescent="0.25">
      <c r="A2429" s="1">
        <v>855</v>
      </c>
      <c r="B2429" s="1" t="s">
        <v>8063</v>
      </c>
      <c r="C2429" s="1" t="s">
        <v>35</v>
      </c>
      <c r="D2429" s="1" t="s">
        <v>152</v>
      </c>
      <c r="E2429" s="1">
        <v>2678</v>
      </c>
      <c r="F2429" s="1" t="s">
        <v>8065</v>
      </c>
      <c r="G2429" s="1" t="s">
        <v>8066</v>
      </c>
      <c r="H2429" s="1" t="s">
        <v>16</v>
      </c>
      <c r="I2429" s="1" t="s">
        <v>29</v>
      </c>
      <c r="J2429" s="1" t="s">
        <v>8067</v>
      </c>
      <c r="K2429" s="1" t="b">
        <v>0</v>
      </c>
      <c r="L2429" s="1" t="s">
        <v>22</v>
      </c>
      <c r="M2429" s="1">
        <v>2022</v>
      </c>
      <c r="N2429" s="1" t="s">
        <v>32</v>
      </c>
      <c r="O2429" s="1" t="s">
        <v>9935</v>
      </c>
      <c r="P2429" s="1" t="s">
        <v>16</v>
      </c>
      <c r="Q2429" s="1">
        <v>100</v>
      </c>
      <c r="R2429" s="1">
        <v>1</v>
      </c>
      <c r="S2429" s="1">
        <v>1</v>
      </c>
    </row>
    <row r="2430" spans="1:19" ht="12.5" x14ac:dyDescent="0.25">
      <c r="A2430" s="1">
        <v>1397</v>
      </c>
      <c r="B2430" s="1" t="s">
        <v>8068</v>
      </c>
      <c r="C2430" s="1" t="s">
        <v>35</v>
      </c>
      <c r="D2430" s="1" t="s">
        <v>152</v>
      </c>
      <c r="E2430" s="1">
        <v>2679</v>
      </c>
      <c r="F2430" s="1" t="s">
        <v>8070</v>
      </c>
      <c r="G2430" s="1" t="s">
        <v>8071</v>
      </c>
      <c r="H2430" s="1" t="s">
        <v>16</v>
      </c>
      <c r="I2430" s="1" t="s">
        <v>29</v>
      </c>
      <c r="J2430" s="1" t="s">
        <v>8072</v>
      </c>
      <c r="K2430" s="1" t="b">
        <v>0</v>
      </c>
      <c r="L2430" s="1" t="s">
        <v>22</v>
      </c>
      <c r="M2430" s="1">
        <v>2022</v>
      </c>
      <c r="N2430" s="1" t="s">
        <v>32</v>
      </c>
      <c r="O2430" s="1" t="s">
        <v>9935</v>
      </c>
      <c r="P2430" s="1" t="s">
        <v>16</v>
      </c>
      <c r="Q2430" s="1">
        <v>100</v>
      </c>
      <c r="R2430" s="1">
        <v>1</v>
      </c>
      <c r="S2430" s="1">
        <v>1</v>
      </c>
    </row>
    <row r="2431" spans="1:19" ht="12.5" x14ac:dyDescent="0.25">
      <c r="A2431" s="1" t="s">
        <v>16</v>
      </c>
      <c r="B2431" s="1" t="s">
        <v>16</v>
      </c>
      <c r="C2431" s="1" t="s">
        <v>16</v>
      </c>
      <c r="D2431" s="1" t="s">
        <v>16</v>
      </c>
      <c r="E2431" s="1">
        <v>2680</v>
      </c>
      <c r="F2431" s="1" t="s">
        <v>8073</v>
      </c>
      <c r="G2431" s="1" t="s">
        <v>10095</v>
      </c>
      <c r="H2431" s="1" t="s">
        <v>16</v>
      </c>
      <c r="I2431" s="1" t="s">
        <v>20</v>
      </c>
      <c r="J2431" s="1" t="s">
        <v>8074</v>
      </c>
      <c r="K2431" s="1" t="b">
        <v>0</v>
      </c>
      <c r="L2431" s="1" t="s">
        <v>22</v>
      </c>
      <c r="M2431" s="1" t="s">
        <v>16</v>
      </c>
      <c r="N2431" s="1" t="s">
        <v>16</v>
      </c>
      <c r="O2431" s="1" t="s">
        <v>16</v>
      </c>
      <c r="P2431" s="1" t="s">
        <v>16</v>
      </c>
    </row>
    <row r="2432" spans="1:19" ht="12.5" x14ac:dyDescent="0.25">
      <c r="A2432" s="1">
        <v>1377</v>
      </c>
      <c r="B2432" s="1" t="s">
        <v>8075</v>
      </c>
      <c r="C2432" s="1" t="s">
        <v>35</v>
      </c>
      <c r="D2432" s="1" t="s">
        <v>152</v>
      </c>
      <c r="E2432" s="1">
        <v>2681</v>
      </c>
      <c r="F2432" s="1" t="s">
        <v>8077</v>
      </c>
      <c r="G2432" s="1" t="s">
        <v>8078</v>
      </c>
      <c r="H2432" s="1" t="s">
        <v>8079</v>
      </c>
      <c r="I2432" s="1" t="s">
        <v>29</v>
      </c>
      <c r="J2432" s="1" t="s">
        <v>8080</v>
      </c>
      <c r="K2432" s="1" t="b">
        <v>0</v>
      </c>
      <c r="L2432" s="1" t="s">
        <v>22</v>
      </c>
      <c r="M2432" s="1">
        <v>2022</v>
      </c>
      <c r="N2432" s="1" t="s">
        <v>45</v>
      </c>
      <c r="O2432" s="1" t="s">
        <v>9935</v>
      </c>
      <c r="P2432" s="1" t="s">
        <v>9990</v>
      </c>
      <c r="Q2432" s="1">
        <v>100</v>
      </c>
      <c r="R2432" s="1">
        <v>1</v>
      </c>
      <c r="S2432" s="1">
        <v>1</v>
      </c>
    </row>
    <row r="2433" spans="1:19" ht="12.5" x14ac:dyDescent="0.25">
      <c r="A2433" s="1">
        <v>1355</v>
      </c>
      <c r="B2433" s="1" t="s">
        <v>8081</v>
      </c>
      <c r="C2433" s="1" t="s">
        <v>35</v>
      </c>
      <c r="D2433" s="1" t="s">
        <v>152</v>
      </c>
      <c r="E2433" s="1">
        <v>2682</v>
      </c>
      <c r="F2433" s="1" t="s">
        <v>8083</v>
      </c>
      <c r="G2433" s="1" t="s">
        <v>8084</v>
      </c>
      <c r="H2433" s="1" t="s">
        <v>16</v>
      </c>
      <c r="I2433" s="1" t="s">
        <v>29</v>
      </c>
      <c r="J2433" s="1" t="s">
        <v>8085</v>
      </c>
      <c r="K2433" s="1" t="b">
        <v>0</v>
      </c>
      <c r="L2433" s="1" t="s">
        <v>22</v>
      </c>
      <c r="M2433" s="1">
        <v>2022</v>
      </c>
      <c r="N2433" s="1" t="s">
        <v>32</v>
      </c>
      <c r="O2433" s="1" t="s">
        <v>9935</v>
      </c>
      <c r="P2433" s="1" t="s">
        <v>10025</v>
      </c>
      <c r="Q2433" s="1">
        <v>100</v>
      </c>
      <c r="R2433" s="1">
        <v>6279.8</v>
      </c>
      <c r="S2433" s="1">
        <v>6279.8</v>
      </c>
    </row>
    <row r="2434" spans="1:19" ht="12.5" x14ac:dyDescent="0.25">
      <c r="A2434" s="1">
        <v>1302</v>
      </c>
      <c r="B2434" s="1" t="s">
        <v>8086</v>
      </c>
      <c r="C2434" s="1" t="s">
        <v>35</v>
      </c>
      <c r="D2434" s="1" t="s">
        <v>152</v>
      </c>
      <c r="E2434" s="1">
        <v>2683</v>
      </c>
      <c r="F2434" s="1" t="s">
        <v>8088</v>
      </c>
      <c r="G2434" s="1" t="s">
        <v>8089</v>
      </c>
      <c r="H2434" s="1" t="s">
        <v>16</v>
      </c>
      <c r="I2434" s="1" t="s">
        <v>29</v>
      </c>
      <c r="J2434" s="1" t="s">
        <v>8090</v>
      </c>
      <c r="K2434" s="1" t="b">
        <v>0</v>
      </c>
      <c r="L2434" s="1" t="s">
        <v>22</v>
      </c>
      <c r="M2434" s="1">
        <v>2022</v>
      </c>
      <c r="N2434" s="1" t="s">
        <v>32</v>
      </c>
      <c r="O2434" s="1" t="s">
        <v>9956</v>
      </c>
      <c r="P2434" s="1" t="s">
        <v>16</v>
      </c>
      <c r="Q2434" s="1">
        <v>100</v>
      </c>
      <c r="R2434" s="1">
        <v>1</v>
      </c>
      <c r="S2434" s="1">
        <v>1</v>
      </c>
    </row>
    <row r="2435" spans="1:19" ht="12.5" x14ac:dyDescent="0.25">
      <c r="A2435" s="1">
        <v>1299</v>
      </c>
      <c r="B2435" s="1" t="s">
        <v>8091</v>
      </c>
      <c r="C2435" s="1" t="s">
        <v>35</v>
      </c>
      <c r="D2435" s="1" t="s">
        <v>152</v>
      </c>
      <c r="E2435" s="1">
        <v>2684</v>
      </c>
      <c r="F2435" s="1" t="s">
        <v>8093</v>
      </c>
      <c r="G2435" s="1" t="s">
        <v>8094</v>
      </c>
      <c r="H2435" s="1" t="s">
        <v>8095</v>
      </c>
      <c r="I2435" s="1" t="s">
        <v>29</v>
      </c>
      <c r="J2435" s="1" t="s">
        <v>8096</v>
      </c>
      <c r="K2435" s="1" t="b">
        <v>0</v>
      </c>
      <c r="L2435" s="1" t="s">
        <v>22</v>
      </c>
      <c r="M2435" s="1">
        <v>2022</v>
      </c>
      <c r="N2435" s="1" t="s">
        <v>32</v>
      </c>
      <c r="O2435" s="1" t="s">
        <v>9956</v>
      </c>
      <c r="P2435" s="1" t="s">
        <v>10096</v>
      </c>
      <c r="Q2435" s="1">
        <v>100</v>
      </c>
      <c r="R2435" s="1">
        <v>1</v>
      </c>
      <c r="S2435" s="1">
        <v>1</v>
      </c>
    </row>
    <row r="2436" spans="1:19" ht="12.5" x14ac:dyDescent="0.25">
      <c r="A2436" s="1">
        <v>1251</v>
      </c>
      <c r="B2436" s="1" t="s">
        <v>8097</v>
      </c>
      <c r="C2436" s="1" t="s">
        <v>35</v>
      </c>
      <c r="D2436" s="1" t="s">
        <v>152</v>
      </c>
      <c r="E2436" s="1">
        <v>2685</v>
      </c>
      <c r="F2436" s="1" t="s">
        <v>8099</v>
      </c>
      <c r="G2436" s="1" t="s">
        <v>8100</v>
      </c>
      <c r="H2436" s="1" t="s">
        <v>8101</v>
      </c>
      <c r="I2436" s="1" t="s">
        <v>29</v>
      </c>
      <c r="J2436" s="1" t="s">
        <v>8102</v>
      </c>
      <c r="K2436" s="1" t="b">
        <v>0</v>
      </c>
      <c r="L2436" s="1" t="s">
        <v>22</v>
      </c>
      <c r="M2436" s="1">
        <v>2022</v>
      </c>
      <c r="N2436" s="1" t="s">
        <v>32</v>
      </c>
      <c r="O2436" s="1" t="s">
        <v>9935</v>
      </c>
      <c r="P2436" s="1" t="s">
        <v>16</v>
      </c>
      <c r="Q2436" s="1">
        <v>100</v>
      </c>
      <c r="R2436" s="1">
        <v>4000</v>
      </c>
      <c r="S2436" s="1">
        <v>4000</v>
      </c>
    </row>
    <row r="2437" spans="1:19" ht="12.5" x14ac:dyDescent="0.25">
      <c r="A2437" s="1">
        <v>1247</v>
      </c>
      <c r="B2437" s="1" t="s">
        <v>8103</v>
      </c>
      <c r="C2437" s="1" t="s">
        <v>35</v>
      </c>
      <c r="D2437" s="1" t="s">
        <v>152</v>
      </c>
      <c r="E2437" s="1">
        <v>2686</v>
      </c>
      <c r="F2437" s="1" t="s">
        <v>8105</v>
      </c>
      <c r="G2437" s="1" t="s">
        <v>8106</v>
      </c>
      <c r="H2437" s="1" t="s">
        <v>16</v>
      </c>
      <c r="I2437" s="1" t="s">
        <v>29</v>
      </c>
      <c r="J2437" s="1" t="s">
        <v>8107</v>
      </c>
      <c r="K2437" s="1" t="b">
        <v>0</v>
      </c>
      <c r="L2437" s="1" t="s">
        <v>22</v>
      </c>
      <c r="M2437" s="1">
        <v>2022</v>
      </c>
      <c r="N2437" s="1" t="s">
        <v>32</v>
      </c>
      <c r="O2437" s="1" t="s">
        <v>9956</v>
      </c>
      <c r="P2437" s="1" t="s">
        <v>16</v>
      </c>
      <c r="Q2437" s="1">
        <v>100</v>
      </c>
      <c r="R2437" s="1">
        <v>1</v>
      </c>
      <c r="S2437" s="1">
        <v>1</v>
      </c>
    </row>
    <row r="2438" spans="1:19" ht="12.5" x14ac:dyDescent="0.25">
      <c r="A2438" s="1">
        <v>1232</v>
      </c>
      <c r="B2438" s="1" t="s">
        <v>8108</v>
      </c>
      <c r="C2438" s="1" t="s">
        <v>35</v>
      </c>
      <c r="D2438" s="1" t="s">
        <v>152</v>
      </c>
      <c r="E2438" s="1">
        <v>2687</v>
      </c>
      <c r="F2438" s="1" t="s">
        <v>8110</v>
      </c>
      <c r="G2438" s="1" t="s">
        <v>8111</v>
      </c>
      <c r="H2438" s="1" t="s">
        <v>16</v>
      </c>
      <c r="I2438" s="1" t="s">
        <v>29</v>
      </c>
      <c r="J2438" s="1" t="s">
        <v>8112</v>
      </c>
      <c r="K2438" s="1" t="b">
        <v>0</v>
      </c>
      <c r="L2438" s="1" t="s">
        <v>22</v>
      </c>
      <c r="M2438" s="1">
        <v>2022</v>
      </c>
      <c r="N2438" s="1" t="s">
        <v>32</v>
      </c>
      <c r="O2438" s="1" t="s">
        <v>9942</v>
      </c>
      <c r="P2438" s="1" t="s">
        <v>16</v>
      </c>
      <c r="Q2438" s="1">
        <v>100</v>
      </c>
      <c r="R2438" s="1">
        <v>1</v>
      </c>
      <c r="S2438" s="1">
        <v>1</v>
      </c>
    </row>
    <row r="2439" spans="1:19" ht="12.5" x14ac:dyDescent="0.25">
      <c r="A2439" s="1">
        <v>1214</v>
      </c>
      <c r="B2439" s="1" t="s">
        <v>8113</v>
      </c>
      <c r="C2439" s="1" t="s">
        <v>35</v>
      </c>
      <c r="D2439" s="1" t="s">
        <v>152</v>
      </c>
      <c r="E2439" s="1">
        <v>2688</v>
      </c>
      <c r="F2439" s="1" t="s">
        <v>8115</v>
      </c>
      <c r="G2439" s="1" t="s">
        <v>8116</v>
      </c>
      <c r="H2439" s="1" t="s">
        <v>16</v>
      </c>
      <c r="I2439" s="1" t="s">
        <v>29</v>
      </c>
      <c r="J2439" s="1" t="s">
        <v>8117</v>
      </c>
      <c r="K2439" s="1" t="b">
        <v>0</v>
      </c>
      <c r="L2439" s="1" t="s">
        <v>22</v>
      </c>
      <c r="M2439" s="1">
        <v>2022</v>
      </c>
      <c r="N2439" s="1" t="s">
        <v>32</v>
      </c>
      <c r="O2439" s="1" t="s">
        <v>9956</v>
      </c>
      <c r="P2439" s="1" t="s">
        <v>16</v>
      </c>
      <c r="Q2439" s="1">
        <v>100</v>
      </c>
      <c r="R2439" s="1">
        <v>1</v>
      </c>
      <c r="S2439" s="1">
        <v>1</v>
      </c>
    </row>
    <row r="2440" spans="1:19" ht="12.5" x14ac:dyDescent="0.25">
      <c r="A2440" s="1">
        <v>1205</v>
      </c>
      <c r="B2440" s="1" t="s">
        <v>8118</v>
      </c>
      <c r="C2440" s="1" t="s">
        <v>35</v>
      </c>
      <c r="D2440" s="1" t="s">
        <v>152</v>
      </c>
      <c r="E2440" s="1">
        <v>2689</v>
      </c>
      <c r="F2440" s="1" t="s">
        <v>8120</v>
      </c>
      <c r="G2440" s="1" t="s">
        <v>8071</v>
      </c>
      <c r="H2440" s="1" t="s">
        <v>8121</v>
      </c>
      <c r="I2440" s="1" t="s">
        <v>29</v>
      </c>
      <c r="J2440" s="1" t="s">
        <v>8122</v>
      </c>
      <c r="K2440" s="1" t="b">
        <v>0</v>
      </c>
      <c r="L2440" s="1" t="s">
        <v>22</v>
      </c>
      <c r="M2440" s="1">
        <v>2022</v>
      </c>
      <c r="N2440" s="1" t="s">
        <v>32</v>
      </c>
      <c r="O2440" s="1" t="s">
        <v>9935</v>
      </c>
      <c r="P2440" s="1" t="s">
        <v>16</v>
      </c>
      <c r="Q2440" s="1">
        <v>100</v>
      </c>
      <c r="R2440" s="1">
        <v>1</v>
      </c>
      <c r="S2440" s="1">
        <v>1</v>
      </c>
    </row>
    <row r="2441" spans="1:19" ht="12.5" x14ac:dyDescent="0.25">
      <c r="A2441" s="1">
        <v>1204</v>
      </c>
      <c r="B2441" s="1" t="s">
        <v>8123</v>
      </c>
      <c r="C2441" s="1" t="s">
        <v>35</v>
      </c>
      <c r="D2441" s="1" t="s">
        <v>152</v>
      </c>
      <c r="E2441" s="1">
        <v>2690</v>
      </c>
      <c r="F2441" s="1" t="s">
        <v>8125</v>
      </c>
      <c r="G2441" s="1" t="s">
        <v>8126</v>
      </c>
      <c r="H2441" s="1" t="s">
        <v>8127</v>
      </c>
      <c r="I2441" s="1" t="s">
        <v>29</v>
      </c>
      <c r="J2441" s="1" t="s">
        <v>8128</v>
      </c>
      <c r="K2441" s="1" t="b">
        <v>0</v>
      </c>
      <c r="L2441" s="1" t="s">
        <v>22</v>
      </c>
      <c r="M2441" s="1">
        <v>2022</v>
      </c>
      <c r="N2441" s="1" t="s">
        <v>32</v>
      </c>
      <c r="O2441" s="1" t="s">
        <v>9935</v>
      </c>
      <c r="P2441" s="1" t="s">
        <v>16</v>
      </c>
      <c r="Q2441" s="1">
        <v>100</v>
      </c>
      <c r="R2441" s="1">
        <v>1</v>
      </c>
      <c r="S2441" s="1">
        <v>1</v>
      </c>
    </row>
    <row r="2442" spans="1:19" ht="12.5" x14ac:dyDescent="0.25">
      <c r="A2442" s="1">
        <v>1159</v>
      </c>
      <c r="B2442" s="1" t="s">
        <v>8129</v>
      </c>
      <c r="C2442" s="1" t="s">
        <v>35</v>
      </c>
      <c r="D2442" s="1" t="s">
        <v>152</v>
      </c>
      <c r="E2442" s="1">
        <v>2691</v>
      </c>
      <c r="F2442" s="1" t="s">
        <v>8131</v>
      </c>
      <c r="G2442" s="1" t="s">
        <v>8132</v>
      </c>
      <c r="H2442" s="1" t="s">
        <v>16</v>
      </c>
      <c r="I2442" s="1" t="s">
        <v>29</v>
      </c>
      <c r="J2442" s="1" t="s">
        <v>8133</v>
      </c>
      <c r="K2442" s="1" t="b">
        <v>0</v>
      </c>
      <c r="L2442" s="1" t="s">
        <v>22</v>
      </c>
      <c r="M2442" s="1">
        <v>2022</v>
      </c>
      <c r="N2442" s="1" t="s">
        <v>45</v>
      </c>
      <c r="O2442" s="1" t="s">
        <v>9942</v>
      </c>
      <c r="P2442" s="1" t="s">
        <v>16</v>
      </c>
      <c r="Q2442" s="1">
        <v>100</v>
      </c>
      <c r="R2442" s="1">
        <v>1</v>
      </c>
      <c r="S2442" s="1">
        <v>1</v>
      </c>
    </row>
    <row r="2443" spans="1:19" ht="12.5" x14ac:dyDescent="0.25">
      <c r="A2443" s="1">
        <v>1140</v>
      </c>
      <c r="B2443" s="1" t="s">
        <v>8134</v>
      </c>
      <c r="C2443" s="1" t="s">
        <v>35</v>
      </c>
      <c r="D2443" s="1" t="s">
        <v>152</v>
      </c>
      <c r="E2443" s="1">
        <v>2692</v>
      </c>
      <c r="F2443" s="1" t="s">
        <v>8136</v>
      </c>
      <c r="G2443" s="1" t="s">
        <v>8137</v>
      </c>
      <c r="H2443" s="1" t="s">
        <v>16</v>
      </c>
      <c r="I2443" s="1" t="s">
        <v>29</v>
      </c>
      <c r="J2443" s="1" t="s">
        <v>8138</v>
      </c>
      <c r="K2443" s="1" t="b">
        <v>0</v>
      </c>
      <c r="L2443" s="1" t="s">
        <v>22</v>
      </c>
      <c r="M2443" s="1">
        <v>2022</v>
      </c>
      <c r="N2443" s="1" t="s">
        <v>32</v>
      </c>
      <c r="O2443" s="1" t="s">
        <v>9956</v>
      </c>
      <c r="P2443" s="1" t="s">
        <v>10097</v>
      </c>
      <c r="Q2443" s="1">
        <v>100</v>
      </c>
      <c r="R2443" s="1">
        <v>1</v>
      </c>
      <c r="S2443" s="1">
        <v>1</v>
      </c>
    </row>
    <row r="2444" spans="1:19" ht="12.5" x14ac:dyDescent="0.25">
      <c r="A2444" s="1">
        <v>1078</v>
      </c>
      <c r="B2444" s="1" t="s">
        <v>8139</v>
      </c>
      <c r="C2444" s="1" t="s">
        <v>35</v>
      </c>
      <c r="D2444" s="1" t="s">
        <v>152</v>
      </c>
      <c r="E2444" s="1">
        <v>2693</v>
      </c>
      <c r="F2444" s="1" t="s">
        <v>8141</v>
      </c>
      <c r="G2444" s="1" t="s">
        <v>8142</v>
      </c>
      <c r="H2444" s="1" t="s">
        <v>16</v>
      </c>
      <c r="I2444" s="1" t="s">
        <v>29</v>
      </c>
      <c r="J2444" s="1" t="s">
        <v>8143</v>
      </c>
      <c r="K2444" s="1" t="b">
        <v>0</v>
      </c>
      <c r="L2444" s="1" t="s">
        <v>22</v>
      </c>
      <c r="M2444" s="1">
        <v>2022</v>
      </c>
      <c r="N2444" s="1" t="s">
        <v>32</v>
      </c>
      <c r="O2444" s="1" t="s">
        <v>9935</v>
      </c>
      <c r="P2444" s="1" t="s">
        <v>16</v>
      </c>
      <c r="Q2444" s="1">
        <v>100</v>
      </c>
      <c r="R2444" s="1">
        <v>1</v>
      </c>
      <c r="S2444" s="1">
        <v>1</v>
      </c>
    </row>
    <row r="2445" spans="1:19" ht="12.5" x14ac:dyDescent="0.25">
      <c r="A2445" s="1">
        <v>1076</v>
      </c>
      <c r="B2445" s="1" t="s">
        <v>8144</v>
      </c>
      <c r="C2445" s="1" t="s">
        <v>35</v>
      </c>
      <c r="D2445" s="1" t="s">
        <v>152</v>
      </c>
      <c r="E2445" s="1">
        <v>2694</v>
      </c>
      <c r="F2445" s="1" t="s">
        <v>8146</v>
      </c>
      <c r="G2445" s="1" t="s">
        <v>8116</v>
      </c>
      <c r="H2445" s="1" t="s">
        <v>16</v>
      </c>
      <c r="I2445" s="1" t="s">
        <v>29</v>
      </c>
      <c r="J2445" s="1" t="s">
        <v>8147</v>
      </c>
      <c r="K2445" s="1" t="b">
        <v>0</v>
      </c>
      <c r="L2445" s="1" t="s">
        <v>22</v>
      </c>
      <c r="M2445" s="1">
        <v>2022</v>
      </c>
      <c r="N2445" s="1" t="s">
        <v>32</v>
      </c>
      <c r="O2445" s="1" t="s">
        <v>9935</v>
      </c>
      <c r="P2445" s="1" t="s">
        <v>16</v>
      </c>
      <c r="Q2445" s="1">
        <v>100</v>
      </c>
      <c r="R2445" s="1">
        <v>1</v>
      </c>
      <c r="S2445" s="1">
        <v>1</v>
      </c>
    </row>
    <row r="2446" spans="1:19" ht="12.5" x14ac:dyDescent="0.25">
      <c r="A2446" s="1">
        <v>1001</v>
      </c>
      <c r="B2446" s="1" t="s">
        <v>8148</v>
      </c>
      <c r="C2446" s="1" t="s">
        <v>35</v>
      </c>
      <c r="D2446" s="1" t="s">
        <v>152</v>
      </c>
      <c r="E2446" s="1">
        <v>2695</v>
      </c>
      <c r="F2446" s="1" t="s">
        <v>8150</v>
      </c>
      <c r="G2446" s="1" t="s">
        <v>8151</v>
      </c>
      <c r="H2446" s="1" t="s">
        <v>16</v>
      </c>
      <c r="I2446" s="1" t="s">
        <v>29</v>
      </c>
      <c r="J2446" s="1" t="s">
        <v>8152</v>
      </c>
      <c r="K2446" s="1" t="b">
        <v>0</v>
      </c>
      <c r="L2446" s="1" t="s">
        <v>22</v>
      </c>
      <c r="M2446" s="1">
        <v>2022</v>
      </c>
      <c r="N2446" s="1" t="s">
        <v>32</v>
      </c>
      <c r="O2446" s="1" t="s">
        <v>9935</v>
      </c>
      <c r="P2446" s="1" t="s">
        <v>16</v>
      </c>
      <c r="Q2446" s="1">
        <v>100</v>
      </c>
      <c r="R2446" s="1">
        <v>1</v>
      </c>
      <c r="S2446" s="1">
        <v>1</v>
      </c>
    </row>
    <row r="2447" spans="1:19" ht="12.5" x14ac:dyDescent="0.25">
      <c r="A2447" s="1">
        <v>993</v>
      </c>
      <c r="B2447" s="1" t="s">
        <v>8153</v>
      </c>
      <c r="C2447" s="1" t="s">
        <v>35</v>
      </c>
      <c r="D2447" s="1" t="s">
        <v>152</v>
      </c>
      <c r="E2447" s="1">
        <v>2696</v>
      </c>
      <c r="F2447" s="1" t="s">
        <v>8155</v>
      </c>
      <c r="G2447" s="1" t="s">
        <v>8156</v>
      </c>
      <c r="H2447" s="1" t="s">
        <v>16</v>
      </c>
      <c r="I2447" s="1" t="s">
        <v>29</v>
      </c>
      <c r="J2447" s="1" t="s">
        <v>8157</v>
      </c>
      <c r="K2447" s="1" t="b">
        <v>0</v>
      </c>
      <c r="L2447" s="1" t="s">
        <v>22</v>
      </c>
      <c r="M2447" s="1">
        <v>2022</v>
      </c>
      <c r="N2447" s="1" t="s">
        <v>32</v>
      </c>
      <c r="O2447" s="1" t="s">
        <v>9942</v>
      </c>
      <c r="P2447" s="1" t="s">
        <v>16</v>
      </c>
      <c r="Q2447" s="1">
        <v>100</v>
      </c>
      <c r="R2447" s="1">
        <v>1</v>
      </c>
      <c r="S2447" s="1">
        <v>1</v>
      </c>
    </row>
    <row r="2448" spans="1:19" ht="12.5" x14ac:dyDescent="0.25">
      <c r="A2448" s="1">
        <v>931</v>
      </c>
      <c r="B2448" s="1" t="s">
        <v>8158</v>
      </c>
      <c r="C2448" s="1" t="s">
        <v>35</v>
      </c>
      <c r="D2448" s="1" t="s">
        <v>152</v>
      </c>
      <c r="E2448" s="1">
        <v>2697</v>
      </c>
      <c r="F2448" s="1" t="s">
        <v>8160</v>
      </c>
      <c r="G2448" s="1" t="s">
        <v>8071</v>
      </c>
      <c r="H2448" s="1" t="s">
        <v>16</v>
      </c>
      <c r="I2448" s="1" t="s">
        <v>29</v>
      </c>
      <c r="J2448" s="1" t="s">
        <v>8161</v>
      </c>
      <c r="K2448" s="1" t="b">
        <v>0</v>
      </c>
      <c r="L2448" s="1" t="s">
        <v>22</v>
      </c>
      <c r="M2448" s="1">
        <v>2022</v>
      </c>
      <c r="N2448" s="1" t="s">
        <v>32</v>
      </c>
      <c r="O2448" s="1" t="s">
        <v>9935</v>
      </c>
      <c r="P2448" s="1" t="s">
        <v>16</v>
      </c>
      <c r="Q2448" s="1">
        <v>100</v>
      </c>
      <c r="R2448" s="1">
        <v>1</v>
      </c>
      <c r="S2448" s="1">
        <v>1</v>
      </c>
    </row>
    <row r="2449" spans="1:19" ht="12.5" x14ac:dyDescent="0.25">
      <c r="A2449" s="1">
        <v>895</v>
      </c>
      <c r="B2449" s="1" t="s">
        <v>8162</v>
      </c>
      <c r="C2449" s="1" t="s">
        <v>35</v>
      </c>
      <c r="D2449" s="1" t="s">
        <v>152</v>
      </c>
      <c r="E2449" s="1">
        <v>2698</v>
      </c>
      <c r="F2449" s="1" t="s">
        <v>8164</v>
      </c>
      <c r="G2449" s="1" t="s">
        <v>8071</v>
      </c>
      <c r="H2449" s="1" t="s">
        <v>8165</v>
      </c>
      <c r="I2449" s="1" t="s">
        <v>29</v>
      </c>
      <c r="J2449" s="1" t="s">
        <v>8166</v>
      </c>
      <c r="K2449" s="1" t="b">
        <v>0</v>
      </c>
      <c r="L2449" s="1" t="s">
        <v>22</v>
      </c>
      <c r="M2449" s="1">
        <v>2022</v>
      </c>
      <c r="N2449" s="1" t="s">
        <v>32</v>
      </c>
      <c r="O2449" s="1" t="s">
        <v>9935</v>
      </c>
      <c r="P2449" s="1" t="s">
        <v>16</v>
      </c>
      <c r="Q2449" s="1">
        <v>100</v>
      </c>
      <c r="R2449" s="1">
        <v>5750.25</v>
      </c>
      <c r="S2449" s="1">
        <v>5750.25</v>
      </c>
    </row>
    <row r="2450" spans="1:19" ht="12.5" x14ac:dyDescent="0.25">
      <c r="A2450" s="1">
        <v>922</v>
      </c>
      <c r="B2450" s="1" t="s">
        <v>8167</v>
      </c>
      <c r="C2450" s="1" t="s">
        <v>35</v>
      </c>
      <c r="D2450" s="1" t="s">
        <v>152</v>
      </c>
      <c r="E2450" s="1">
        <v>2699</v>
      </c>
      <c r="F2450" s="1" t="s">
        <v>8169</v>
      </c>
      <c r="G2450" s="1" t="s">
        <v>8170</v>
      </c>
      <c r="H2450" s="1" t="s">
        <v>8171</v>
      </c>
      <c r="I2450" s="1" t="s">
        <v>29</v>
      </c>
      <c r="J2450" s="1" t="s">
        <v>8172</v>
      </c>
      <c r="K2450" s="1" t="b">
        <v>0</v>
      </c>
      <c r="L2450" s="1" t="s">
        <v>22</v>
      </c>
      <c r="M2450" s="1">
        <v>2022</v>
      </c>
      <c r="N2450" s="1" t="s">
        <v>32</v>
      </c>
      <c r="O2450" s="1" t="s">
        <v>9956</v>
      </c>
      <c r="P2450" s="1" t="s">
        <v>10098</v>
      </c>
      <c r="Q2450" s="1">
        <v>100</v>
      </c>
      <c r="R2450" s="1">
        <v>3500</v>
      </c>
      <c r="S2450" s="1">
        <v>3500</v>
      </c>
    </row>
    <row r="2451" spans="1:19" ht="12.5" x14ac:dyDescent="0.25">
      <c r="A2451" s="1">
        <v>748</v>
      </c>
      <c r="B2451" s="1" t="s">
        <v>8173</v>
      </c>
      <c r="C2451" s="1" t="s">
        <v>35</v>
      </c>
      <c r="D2451" s="1" t="s">
        <v>36</v>
      </c>
      <c r="E2451" s="1">
        <v>2700</v>
      </c>
      <c r="F2451" s="1" t="s">
        <v>8174</v>
      </c>
      <c r="G2451" s="1" t="s">
        <v>8175</v>
      </c>
      <c r="H2451" s="1" t="s">
        <v>8176</v>
      </c>
      <c r="I2451" s="1" t="s">
        <v>29</v>
      </c>
      <c r="J2451" s="1" t="s">
        <v>8177</v>
      </c>
      <c r="K2451" s="1" t="b">
        <v>0</v>
      </c>
      <c r="L2451" s="1" t="s">
        <v>22</v>
      </c>
      <c r="M2451" s="1">
        <v>2022</v>
      </c>
      <c r="N2451" s="1" t="s">
        <v>45</v>
      </c>
      <c r="O2451" s="1" t="s">
        <v>9942</v>
      </c>
      <c r="P2451" s="1" t="s">
        <v>16</v>
      </c>
      <c r="Q2451" s="1">
        <v>100</v>
      </c>
      <c r="R2451" s="1">
        <v>100000</v>
      </c>
      <c r="S2451" s="1">
        <v>100000</v>
      </c>
    </row>
    <row r="2452" spans="1:19" ht="12.5" x14ac:dyDescent="0.25">
      <c r="A2452" s="1" t="s">
        <v>16</v>
      </c>
      <c r="B2452" s="1" t="s">
        <v>16</v>
      </c>
      <c r="C2452" s="1" t="s">
        <v>16</v>
      </c>
      <c r="D2452" s="1" t="s">
        <v>16</v>
      </c>
      <c r="E2452" s="1">
        <v>2701</v>
      </c>
      <c r="F2452" s="1" t="s">
        <v>8178</v>
      </c>
      <c r="G2452" s="1" t="s">
        <v>8179</v>
      </c>
      <c r="H2452" s="1" t="s">
        <v>16</v>
      </c>
      <c r="I2452" s="1" t="s">
        <v>20</v>
      </c>
      <c r="J2452" s="1" t="s">
        <v>8180</v>
      </c>
      <c r="K2452" s="1" t="b">
        <v>0</v>
      </c>
      <c r="L2452" s="1" t="s">
        <v>22</v>
      </c>
      <c r="M2452" s="1" t="s">
        <v>16</v>
      </c>
      <c r="N2452" s="1" t="s">
        <v>16</v>
      </c>
      <c r="O2452" s="1" t="s">
        <v>16</v>
      </c>
      <c r="P2452" s="1" t="s">
        <v>16</v>
      </c>
    </row>
    <row r="2453" spans="1:19" ht="12.5" x14ac:dyDescent="0.25">
      <c r="A2453" s="1">
        <v>814</v>
      </c>
      <c r="B2453" s="1" t="s">
        <v>8181</v>
      </c>
      <c r="C2453" s="1" t="s">
        <v>35</v>
      </c>
      <c r="D2453" s="1" t="s">
        <v>36</v>
      </c>
      <c r="E2453" s="1">
        <v>2702</v>
      </c>
      <c r="F2453" s="1" t="s">
        <v>8182</v>
      </c>
      <c r="G2453" s="1" t="s">
        <v>8183</v>
      </c>
      <c r="H2453" s="1" t="s">
        <v>16</v>
      </c>
      <c r="I2453" s="1" t="s">
        <v>29</v>
      </c>
      <c r="J2453" s="1" t="s">
        <v>8184</v>
      </c>
      <c r="K2453" s="1" t="b">
        <v>0</v>
      </c>
      <c r="L2453" s="1" t="s">
        <v>22</v>
      </c>
      <c r="M2453" s="1">
        <v>2022</v>
      </c>
      <c r="N2453" s="1" t="s">
        <v>32</v>
      </c>
      <c r="O2453" s="1" t="s">
        <v>9942</v>
      </c>
      <c r="P2453" s="1" t="s">
        <v>16</v>
      </c>
      <c r="Q2453" s="1">
        <v>100</v>
      </c>
      <c r="R2453" s="1">
        <v>1</v>
      </c>
      <c r="S2453" s="1">
        <v>1</v>
      </c>
    </row>
    <row r="2454" spans="1:19" ht="12.5" x14ac:dyDescent="0.25">
      <c r="A2454" s="1">
        <v>747</v>
      </c>
      <c r="B2454" s="1" t="s">
        <v>8185</v>
      </c>
      <c r="C2454" s="1" t="s">
        <v>35</v>
      </c>
      <c r="D2454" s="1" t="s">
        <v>36</v>
      </c>
      <c r="E2454" s="1">
        <v>2703</v>
      </c>
      <c r="F2454" s="1" t="s">
        <v>8186</v>
      </c>
      <c r="G2454" s="1" t="s">
        <v>8187</v>
      </c>
      <c r="H2454" s="1" t="s">
        <v>16</v>
      </c>
      <c r="I2454" s="1" t="s">
        <v>29</v>
      </c>
      <c r="J2454" s="1" t="s">
        <v>8188</v>
      </c>
      <c r="K2454" s="1" t="b">
        <v>0</v>
      </c>
      <c r="L2454" s="1" t="s">
        <v>22</v>
      </c>
      <c r="M2454" s="1">
        <v>2022</v>
      </c>
      <c r="N2454" s="1" t="s">
        <v>32</v>
      </c>
      <c r="O2454" s="1" t="s">
        <v>9942</v>
      </c>
      <c r="P2454" s="1" t="s">
        <v>16</v>
      </c>
      <c r="Q2454" s="1">
        <v>100</v>
      </c>
      <c r="R2454" s="1">
        <v>1</v>
      </c>
      <c r="S2454" s="1">
        <v>1</v>
      </c>
    </row>
    <row r="2455" spans="1:19" ht="12.5" x14ac:dyDescent="0.25">
      <c r="A2455" s="1">
        <v>720</v>
      </c>
      <c r="B2455" s="1" t="s">
        <v>8189</v>
      </c>
      <c r="C2455" s="1" t="s">
        <v>35</v>
      </c>
      <c r="D2455" s="1" t="s">
        <v>36</v>
      </c>
      <c r="E2455" s="1">
        <v>2704</v>
      </c>
      <c r="F2455" s="1" t="s">
        <v>8190</v>
      </c>
      <c r="G2455" s="1" t="s">
        <v>8191</v>
      </c>
      <c r="H2455" s="1" t="s">
        <v>16</v>
      </c>
      <c r="I2455" s="1" t="s">
        <v>29</v>
      </c>
      <c r="J2455" s="1" t="s">
        <v>8192</v>
      </c>
      <c r="K2455" s="1" t="b">
        <v>0</v>
      </c>
      <c r="L2455" s="1" t="s">
        <v>22</v>
      </c>
      <c r="M2455" s="1">
        <v>2022</v>
      </c>
      <c r="N2455" s="1" t="s">
        <v>32</v>
      </c>
      <c r="O2455" s="1" t="s">
        <v>9935</v>
      </c>
      <c r="P2455" s="1" t="s">
        <v>16</v>
      </c>
      <c r="Q2455" s="1">
        <v>100</v>
      </c>
      <c r="R2455" s="1">
        <v>1</v>
      </c>
      <c r="S2455" s="1">
        <v>1</v>
      </c>
    </row>
    <row r="2456" spans="1:19" ht="12.5" x14ac:dyDescent="0.25">
      <c r="A2456" s="1">
        <v>718</v>
      </c>
      <c r="B2456" s="1" t="s">
        <v>8193</v>
      </c>
      <c r="C2456" s="1" t="s">
        <v>35</v>
      </c>
      <c r="D2456" s="1" t="s">
        <v>36</v>
      </c>
      <c r="E2456" s="1">
        <v>2705</v>
      </c>
      <c r="F2456" s="1" t="s">
        <v>8194</v>
      </c>
      <c r="G2456" s="1" t="s">
        <v>8195</v>
      </c>
      <c r="H2456" s="1" t="s">
        <v>16</v>
      </c>
      <c r="I2456" s="1" t="s">
        <v>29</v>
      </c>
      <c r="J2456" s="1" t="s">
        <v>8196</v>
      </c>
      <c r="K2456" s="1" t="b">
        <v>0</v>
      </c>
      <c r="L2456" s="1" t="s">
        <v>22</v>
      </c>
      <c r="M2456" s="1">
        <v>2022</v>
      </c>
      <c r="N2456" s="1" t="s">
        <v>32</v>
      </c>
      <c r="O2456" s="1" t="s">
        <v>9935</v>
      </c>
      <c r="P2456" s="1" t="s">
        <v>16</v>
      </c>
      <c r="Q2456" s="1">
        <v>100</v>
      </c>
      <c r="R2456" s="1">
        <v>1</v>
      </c>
      <c r="S2456" s="1">
        <v>1</v>
      </c>
    </row>
    <row r="2457" spans="1:19" ht="12.5" x14ac:dyDescent="0.25">
      <c r="A2457" s="1">
        <v>700</v>
      </c>
      <c r="B2457" s="1" t="s">
        <v>8197</v>
      </c>
      <c r="C2457" s="1" t="s">
        <v>35</v>
      </c>
      <c r="D2457" s="1" t="s">
        <v>36</v>
      </c>
      <c r="E2457" s="1">
        <v>2706</v>
      </c>
      <c r="F2457" s="1" t="s">
        <v>8198</v>
      </c>
      <c r="G2457" s="1" t="s">
        <v>8199</v>
      </c>
      <c r="H2457" s="1" t="s">
        <v>16</v>
      </c>
      <c r="I2457" s="1" t="s">
        <v>29</v>
      </c>
      <c r="J2457" s="1" t="s">
        <v>8200</v>
      </c>
      <c r="K2457" s="1" t="b">
        <v>0</v>
      </c>
      <c r="L2457" s="1" t="s">
        <v>22</v>
      </c>
      <c r="M2457" s="1">
        <v>2022</v>
      </c>
      <c r="N2457" s="1" t="s">
        <v>32</v>
      </c>
      <c r="O2457" s="1" t="s">
        <v>9935</v>
      </c>
      <c r="P2457" s="1" t="s">
        <v>16</v>
      </c>
      <c r="Q2457" s="1">
        <v>100</v>
      </c>
      <c r="R2457" s="1">
        <v>1</v>
      </c>
      <c r="S2457" s="1">
        <v>1</v>
      </c>
    </row>
    <row r="2458" spans="1:19" ht="12.5" x14ac:dyDescent="0.25">
      <c r="A2458" s="1">
        <v>669</v>
      </c>
      <c r="B2458" s="1" t="s">
        <v>8201</v>
      </c>
      <c r="C2458" s="1" t="s">
        <v>35</v>
      </c>
      <c r="D2458" s="1" t="s">
        <v>36</v>
      </c>
      <c r="E2458" s="1">
        <v>2707</v>
      </c>
      <c r="F2458" s="1" t="s">
        <v>8202</v>
      </c>
      <c r="G2458" s="1" t="s">
        <v>8203</v>
      </c>
      <c r="H2458" s="1" t="s">
        <v>16</v>
      </c>
      <c r="I2458" s="1" t="s">
        <v>29</v>
      </c>
      <c r="J2458" s="1" t="s">
        <v>8204</v>
      </c>
      <c r="K2458" s="1" t="b">
        <v>0</v>
      </c>
      <c r="L2458" s="1" t="s">
        <v>22</v>
      </c>
      <c r="M2458" s="1">
        <v>2022</v>
      </c>
      <c r="N2458" s="1" t="s">
        <v>32</v>
      </c>
      <c r="O2458" s="1" t="s">
        <v>9942</v>
      </c>
      <c r="P2458" s="1" t="s">
        <v>16</v>
      </c>
      <c r="Q2458" s="1">
        <v>100</v>
      </c>
      <c r="R2458" s="1">
        <v>1</v>
      </c>
      <c r="S2458" s="1">
        <v>1</v>
      </c>
    </row>
    <row r="2459" spans="1:19" ht="12.5" x14ac:dyDescent="0.25">
      <c r="A2459" s="1">
        <v>638</v>
      </c>
      <c r="B2459" s="1" t="s">
        <v>8205</v>
      </c>
      <c r="C2459" s="1" t="s">
        <v>35</v>
      </c>
      <c r="D2459" s="1" t="s">
        <v>36</v>
      </c>
      <c r="E2459" s="1">
        <v>2708</v>
      </c>
      <c r="F2459" s="1" t="s">
        <v>8206</v>
      </c>
      <c r="G2459" s="1" t="s">
        <v>8207</v>
      </c>
      <c r="H2459" s="1" t="s">
        <v>16</v>
      </c>
      <c r="I2459" s="1" t="s">
        <v>29</v>
      </c>
      <c r="J2459" s="1" t="s">
        <v>8208</v>
      </c>
      <c r="K2459" s="1" t="b">
        <v>0</v>
      </c>
      <c r="L2459" s="1" t="s">
        <v>22</v>
      </c>
      <c r="M2459" s="1">
        <v>2022</v>
      </c>
      <c r="N2459" s="1" t="s">
        <v>32</v>
      </c>
      <c r="O2459" s="1" t="s">
        <v>9942</v>
      </c>
      <c r="P2459" s="1" t="s">
        <v>16</v>
      </c>
      <c r="Q2459" s="1">
        <v>100</v>
      </c>
      <c r="R2459" s="1">
        <v>1</v>
      </c>
      <c r="S2459" s="1">
        <v>1</v>
      </c>
    </row>
    <row r="2460" spans="1:19" ht="12.5" x14ac:dyDescent="0.25">
      <c r="A2460" s="1">
        <v>627</v>
      </c>
      <c r="B2460" s="1" t="s">
        <v>8209</v>
      </c>
      <c r="C2460" s="1" t="s">
        <v>35</v>
      </c>
      <c r="D2460" s="1" t="s">
        <v>36</v>
      </c>
      <c r="E2460" s="1">
        <v>2709</v>
      </c>
      <c r="F2460" s="1" t="s">
        <v>8210</v>
      </c>
      <c r="G2460" s="1" t="s">
        <v>8211</v>
      </c>
      <c r="H2460" s="1" t="s">
        <v>16</v>
      </c>
      <c r="I2460" s="1" t="s">
        <v>29</v>
      </c>
      <c r="J2460" s="1" t="s">
        <v>8212</v>
      </c>
      <c r="K2460" s="1" t="b">
        <v>0</v>
      </c>
      <c r="L2460" s="1" t="s">
        <v>22</v>
      </c>
      <c r="M2460" s="1">
        <v>2022</v>
      </c>
      <c r="N2460" s="1" t="s">
        <v>32</v>
      </c>
      <c r="O2460" s="1" t="s">
        <v>9935</v>
      </c>
      <c r="P2460" s="1" t="s">
        <v>16</v>
      </c>
      <c r="Q2460" s="1">
        <v>100</v>
      </c>
      <c r="R2460" s="1">
        <v>1</v>
      </c>
      <c r="S2460" s="1">
        <v>1</v>
      </c>
    </row>
    <row r="2461" spans="1:19" ht="12.5" x14ac:dyDescent="0.25">
      <c r="A2461" s="1">
        <v>582</v>
      </c>
      <c r="B2461" s="1" t="s">
        <v>8213</v>
      </c>
      <c r="C2461" s="1" t="s">
        <v>35</v>
      </c>
      <c r="D2461" s="1" t="s">
        <v>36</v>
      </c>
      <c r="E2461" s="1">
        <v>2710</v>
      </c>
      <c r="F2461" s="1" t="s">
        <v>8214</v>
      </c>
      <c r="G2461" s="1" t="s">
        <v>8215</v>
      </c>
      <c r="H2461" s="1" t="s">
        <v>16</v>
      </c>
      <c r="I2461" s="1" t="s">
        <v>29</v>
      </c>
      <c r="J2461" s="1" t="s">
        <v>8216</v>
      </c>
      <c r="K2461" s="1" t="b">
        <v>0</v>
      </c>
      <c r="L2461" s="1" t="s">
        <v>22</v>
      </c>
      <c r="M2461" s="1">
        <v>2022</v>
      </c>
      <c r="N2461" s="1" t="s">
        <v>32</v>
      </c>
      <c r="O2461" s="1" t="s">
        <v>9935</v>
      </c>
      <c r="P2461" s="1" t="s">
        <v>16</v>
      </c>
      <c r="Q2461" s="1">
        <v>100</v>
      </c>
      <c r="R2461" s="1">
        <v>1</v>
      </c>
      <c r="S2461" s="1">
        <v>1</v>
      </c>
    </row>
    <row r="2462" spans="1:19" ht="12.5" x14ac:dyDescent="0.25">
      <c r="A2462" s="1">
        <v>571</v>
      </c>
      <c r="B2462" s="1" t="s">
        <v>8217</v>
      </c>
      <c r="C2462" s="1" t="s">
        <v>35</v>
      </c>
      <c r="D2462" s="1" t="s">
        <v>36</v>
      </c>
      <c r="E2462" s="1">
        <v>2711</v>
      </c>
      <c r="F2462" s="1" t="s">
        <v>8218</v>
      </c>
      <c r="G2462" s="1" t="s">
        <v>8219</v>
      </c>
      <c r="H2462" s="1" t="s">
        <v>16</v>
      </c>
      <c r="I2462" s="1" t="s">
        <v>29</v>
      </c>
      <c r="J2462" s="1" t="s">
        <v>8220</v>
      </c>
      <c r="K2462" s="1" t="b">
        <v>0</v>
      </c>
      <c r="L2462" s="1" t="s">
        <v>22</v>
      </c>
      <c r="M2462" s="1">
        <v>2022</v>
      </c>
      <c r="N2462" s="1" t="s">
        <v>32</v>
      </c>
      <c r="O2462" s="1" t="s">
        <v>9935</v>
      </c>
      <c r="P2462" s="1" t="s">
        <v>16</v>
      </c>
      <c r="Q2462" s="1">
        <v>100</v>
      </c>
      <c r="R2462" s="1">
        <v>1</v>
      </c>
      <c r="S2462" s="1">
        <v>1</v>
      </c>
    </row>
    <row r="2463" spans="1:19" ht="12.5" x14ac:dyDescent="0.25">
      <c r="A2463" s="1">
        <v>514</v>
      </c>
      <c r="B2463" s="1" t="s">
        <v>8221</v>
      </c>
      <c r="C2463" s="1" t="s">
        <v>35</v>
      </c>
      <c r="D2463" s="1" t="s">
        <v>36</v>
      </c>
      <c r="E2463" s="1">
        <v>2712</v>
      </c>
      <c r="F2463" s="1" t="s">
        <v>8222</v>
      </c>
      <c r="G2463" s="1" t="s">
        <v>8223</v>
      </c>
      <c r="H2463" s="1" t="s">
        <v>16</v>
      </c>
      <c r="I2463" s="1" t="s">
        <v>29</v>
      </c>
      <c r="J2463" s="1" t="s">
        <v>8224</v>
      </c>
      <c r="K2463" s="1" t="b">
        <v>0</v>
      </c>
      <c r="L2463" s="1" t="s">
        <v>22</v>
      </c>
      <c r="M2463" s="1">
        <v>2022</v>
      </c>
      <c r="N2463" s="1" t="s">
        <v>32</v>
      </c>
      <c r="O2463" s="1" t="s">
        <v>9942</v>
      </c>
      <c r="P2463" s="1" t="s">
        <v>16</v>
      </c>
      <c r="Q2463" s="1">
        <v>100</v>
      </c>
      <c r="R2463" s="1">
        <v>1</v>
      </c>
      <c r="S2463" s="1">
        <v>1</v>
      </c>
    </row>
    <row r="2464" spans="1:19" ht="12.5" x14ac:dyDescent="0.25">
      <c r="A2464" s="1">
        <v>427</v>
      </c>
      <c r="B2464" s="1" t="s">
        <v>8225</v>
      </c>
      <c r="C2464" s="1" t="s">
        <v>35</v>
      </c>
      <c r="D2464" s="1" t="s">
        <v>36</v>
      </c>
      <c r="E2464" s="1">
        <v>2713</v>
      </c>
      <c r="F2464" s="1" t="s">
        <v>8226</v>
      </c>
      <c r="G2464" s="1" t="s">
        <v>8227</v>
      </c>
      <c r="H2464" s="1" t="s">
        <v>16</v>
      </c>
      <c r="I2464" s="1" t="s">
        <v>29</v>
      </c>
      <c r="J2464" s="1" t="s">
        <v>8228</v>
      </c>
      <c r="K2464" s="1" t="b">
        <v>0</v>
      </c>
      <c r="L2464" s="1" t="s">
        <v>22</v>
      </c>
      <c r="M2464" s="1">
        <v>2022</v>
      </c>
      <c r="N2464" s="1" t="s">
        <v>32</v>
      </c>
      <c r="O2464" s="1" t="s">
        <v>9935</v>
      </c>
      <c r="P2464" s="1" t="s">
        <v>16</v>
      </c>
      <c r="Q2464" s="1">
        <v>100</v>
      </c>
      <c r="R2464" s="1">
        <v>1</v>
      </c>
      <c r="S2464" s="1">
        <v>1</v>
      </c>
    </row>
    <row r="2465" spans="1:19" ht="12.5" x14ac:dyDescent="0.25">
      <c r="A2465" s="1">
        <v>413</v>
      </c>
      <c r="B2465" s="1" t="s">
        <v>8229</v>
      </c>
      <c r="C2465" s="1" t="s">
        <v>35</v>
      </c>
      <c r="D2465" s="1" t="s">
        <v>36</v>
      </c>
      <c r="E2465" s="1">
        <v>2714</v>
      </c>
      <c r="F2465" s="1" t="s">
        <v>8230</v>
      </c>
      <c r="G2465" s="1" t="s">
        <v>8231</v>
      </c>
      <c r="H2465" s="1" t="s">
        <v>16</v>
      </c>
      <c r="I2465" s="1" t="s">
        <v>29</v>
      </c>
      <c r="J2465" s="1" t="s">
        <v>8232</v>
      </c>
      <c r="K2465" s="1" t="b">
        <v>0</v>
      </c>
      <c r="L2465" s="1" t="s">
        <v>22</v>
      </c>
      <c r="M2465" s="1">
        <v>2022</v>
      </c>
      <c r="N2465" s="1" t="s">
        <v>32</v>
      </c>
      <c r="O2465" s="1" t="s">
        <v>9935</v>
      </c>
      <c r="P2465" s="1" t="s">
        <v>16</v>
      </c>
      <c r="Q2465" s="1">
        <v>100</v>
      </c>
      <c r="R2465" s="1">
        <v>1</v>
      </c>
      <c r="S2465" s="1">
        <v>1</v>
      </c>
    </row>
    <row r="2466" spans="1:19" ht="12.5" x14ac:dyDescent="0.25">
      <c r="A2466" s="1">
        <v>398</v>
      </c>
      <c r="B2466" s="1" t="s">
        <v>8233</v>
      </c>
      <c r="C2466" s="1" t="s">
        <v>35</v>
      </c>
      <c r="D2466" s="1" t="s">
        <v>36</v>
      </c>
      <c r="E2466" s="1">
        <v>2715</v>
      </c>
      <c r="F2466" s="1" t="s">
        <v>8234</v>
      </c>
      <c r="G2466" s="1" t="s">
        <v>8235</v>
      </c>
      <c r="H2466" s="1" t="s">
        <v>16</v>
      </c>
      <c r="I2466" s="1" t="s">
        <v>29</v>
      </c>
      <c r="J2466" s="1" t="s">
        <v>8236</v>
      </c>
      <c r="K2466" s="1" t="b">
        <v>0</v>
      </c>
      <c r="L2466" s="1" t="s">
        <v>22</v>
      </c>
      <c r="M2466" s="1">
        <v>2022</v>
      </c>
      <c r="N2466" s="1" t="s">
        <v>32</v>
      </c>
      <c r="O2466" s="1" t="s">
        <v>9942</v>
      </c>
      <c r="P2466" s="1" t="s">
        <v>16</v>
      </c>
      <c r="Q2466" s="1">
        <v>100</v>
      </c>
      <c r="R2466" s="1">
        <v>1</v>
      </c>
      <c r="S2466" s="1">
        <v>1</v>
      </c>
    </row>
    <row r="2467" spans="1:19" ht="12.5" x14ac:dyDescent="0.25">
      <c r="A2467" s="1">
        <v>389</v>
      </c>
      <c r="B2467" s="1" t="s">
        <v>8237</v>
      </c>
      <c r="C2467" s="1" t="s">
        <v>35</v>
      </c>
      <c r="D2467" s="1" t="s">
        <v>36</v>
      </c>
      <c r="E2467" s="1">
        <v>2716</v>
      </c>
      <c r="F2467" s="1" t="s">
        <v>8238</v>
      </c>
      <c r="G2467" s="1" t="s">
        <v>8239</v>
      </c>
      <c r="H2467" s="1" t="s">
        <v>16</v>
      </c>
      <c r="I2467" s="1" t="s">
        <v>29</v>
      </c>
      <c r="J2467" s="1" t="s">
        <v>8240</v>
      </c>
      <c r="K2467" s="1" t="b">
        <v>0</v>
      </c>
      <c r="L2467" s="1" t="s">
        <v>22</v>
      </c>
      <c r="M2467" s="1">
        <v>2022</v>
      </c>
      <c r="N2467" s="1" t="s">
        <v>32</v>
      </c>
      <c r="O2467" s="1" t="s">
        <v>9935</v>
      </c>
      <c r="P2467" s="1" t="s">
        <v>16</v>
      </c>
      <c r="Q2467" s="1">
        <v>100</v>
      </c>
      <c r="R2467" s="1">
        <v>1</v>
      </c>
      <c r="S2467" s="1">
        <v>1</v>
      </c>
    </row>
    <row r="2468" spans="1:19" ht="12.5" x14ac:dyDescent="0.25">
      <c r="A2468" s="1">
        <v>341</v>
      </c>
      <c r="B2468" s="1" t="s">
        <v>8241</v>
      </c>
      <c r="C2468" s="1" t="s">
        <v>35</v>
      </c>
      <c r="D2468" s="1" t="s">
        <v>36</v>
      </c>
      <c r="E2468" s="1">
        <v>2717</v>
      </c>
      <c r="F2468" s="1" t="s">
        <v>8242</v>
      </c>
      <c r="G2468" s="1" t="s">
        <v>8243</v>
      </c>
      <c r="H2468" s="1" t="s">
        <v>16</v>
      </c>
      <c r="I2468" s="1" t="s">
        <v>29</v>
      </c>
      <c r="J2468" s="1" t="s">
        <v>8244</v>
      </c>
      <c r="K2468" s="1" t="b">
        <v>0</v>
      </c>
      <c r="L2468" s="1" t="s">
        <v>22</v>
      </c>
      <c r="M2468" s="1">
        <v>2022</v>
      </c>
      <c r="N2468" s="1" t="s">
        <v>32</v>
      </c>
      <c r="O2468" s="1" t="s">
        <v>9942</v>
      </c>
      <c r="P2468" s="1" t="s">
        <v>16</v>
      </c>
      <c r="Q2468" s="1">
        <v>100</v>
      </c>
      <c r="R2468" s="1">
        <v>1</v>
      </c>
      <c r="S2468" s="1">
        <v>1</v>
      </c>
    </row>
    <row r="2469" spans="1:19" ht="12.5" x14ac:dyDescent="0.25">
      <c r="A2469" s="1">
        <v>333</v>
      </c>
      <c r="B2469" s="1" t="s">
        <v>8245</v>
      </c>
      <c r="C2469" s="1" t="s">
        <v>35</v>
      </c>
      <c r="D2469" s="1" t="s">
        <v>36</v>
      </c>
      <c r="E2469" s="1">
        <v>2718</v>
      </c>
      <c r="F2469" s="1" t="s">
        <v>8246</v>
      </c>
      <c r="G2469" s="1" t="s">
        <v>8247</v>
      </c>
      <c r="H2469" s="1" t="s">
        <v>16</v>
      </c>
      <c r="I2469" s="1" t="s">
        <v>29</v>
      </c>
      <c r="J2469" s="1" t="s">
        <v>8248</v>
      </c>
      <c r="K2469" s="1" t="b">
        <v>0</v>
      </c>
      <c r="L2469" s="1" t="s">
        <v>22</v>
      </c>
      <c r="M2469" s="1">
        <v>2022</v>
      </c>
      <c r="N2469" s="1" t="s">
        <v>32</v>
      </c>
      <c r="O2469" s="1" t="s">
        <v>9956</v>
      </c>
      <c r="P2469" s="1" t="s">
        <v>16</v>
      </c>
      <c r="Q2469" s="1">
        <v>100</v>
      </c>
      <c r="R2469" s="1">
        <v>1</v>
      </c>
      <c r="S2469" s="1">
        <v>1</v>
      </c>
    </row>
    <row r="2470" spans="1:19" ht="12.5" x14ac:dyDescent="0.25">
      <c r="A2470" s="1">
        <v>294</v>
      </c>
      <c r="B2470" s="1" t="s">
        <v>8249</v>
      </c>
      <c r="C2470" s="1" t="s">
        <v>35</v>
      </c>
      <c r="D2470" s="1" t="s">
        <v>36</v>
      </c>
      <c r="E2470" s="1">
        <v>2719</v>
      </c>
      <c r="F2470" s="1" t="s">
        <v>8250</v>
      </c>
      <c r="G2470" s="1" t="s">
        <v>8251</v>
      </c>
      <c r="H2470" s="1" t="s">
        <v>16</v>
      </c>
      <c r="I2470" s="1" t="s">
        <v>29</v>
      </c>
      <c r="J2470" s="1" t="s">
        <v>8252</v>
      </c>
      <c r="K2470" s="1" t="b">
        <v>0</v>
      </c>
      <c r="L2470" s="1" t="s">
        <v>22</v>
      </c>
      <c r="M2470" s="1">
        <v>2022</v>
      </c>
      <c r="N2470" s="1" t="s">
        <v>32</v>
      </c>
      <c r="O2470" s="1" t="s">
        <v>9935</v>
      </c>
      <c r="P2470" s="1" t="s">
        <v>16</v>
      </c>
      <c r="Q2470" s="1">
        <v>100</v>
      </c>
      <c r="R2470" s="1">
        <v>1</v>
      </c>
      <c r="S2470" s="1">
        <v>1</v>
      </c>
    </row>
    <row r="2471" spans="1:19" ht="12.5" x14ac:dyDescent="0.25">
      <c r="A2471" s="1">
        <v>254</v>
      </c>
      <c r="B2471" s="1" t="s">
        <v>8253</v>
      </c>
      <c r="C2471" s="1" t="s">
        <v>35</v>
      </c>
      <c r="D2471" s="1" t="s">
        <v>36</v>
      </c>
      <c r="E2471" s="1">
        <v>2720</v>
      </c>
      <c r="F2471" s="1" t="s">
        <v>8254</v>
      </c>
      <c r="G2471" s="1" t="s">
        <v>8255</v>
      </c>
      <c r="H2471" s="1" t="s">
        <v>16</v>
      </c>
      <c r="I2471" s="1" t="s">
        <v>29</v>
      </c>
      <c r="J2471" s="1" t="s">
        <v>8256</v>
      </c>
      <c r="K2471" s="1" t="b">
        <v>0</v>
      </c>
      <c r="L2471" s="1" t="s">
        <v>22</v>
      </c>
      <c r="M2471" s="1">
        <v>2022</v>
      </c>
      <c r="N2471" s="1" t="s">
        <v>32</v>
      </c>
      <c r="O2471" s="1" t="s">
        <v>9956</v>
      </c>
      <c r="P2471" s="1" t="s">
        <v>16</v>
      </c>
      <c r="Q2471" s="1">
        <v>100</v>
      </c>
      <c r="R2471" s="1">
        <v>1</v>
      </c>
      <c r="S2471" s="1">
        <v>1</v>
      </c>
    </row>
    <row r="2472" spans="1:19" ht="12.5" x14ac:dyDescent="0.25">
      <c r="A2472" s="1">
        <v>2106</v>
      </c>
      <c r="B2472" s="1" t="s">
        <v>8257</v>
      </c>
      <c r="C2472" s="1" t="s">
        <v>35</v>
      </c>
      <c r="D2472" s="1" t="s">
        <v>5669</v>
      </c>
      <c r="E2472" s="1">
        <v>2721</v>
      </c>
      <c r="F2472" s="1" t="s">
        <v>8259</v>
      </c>
      <c r="G2472" s="1" t="s">
        <v>8260</v>
      </c>
      <c r="H2472" s="1" t="s">
        <v>8258</v>
      </c>
      <c r="I2472" s="1" t="s">
        <v>29</v>
      </c>
      <c r="J2472" s="1" t="s">
        <v>8261</v>
      </c>
      <c r="K2472" s="1" t="b">
        <v>0</v>
      </c>
      <c r="L2472" s="1" t="s">
        <v>22</v>
      </c>
      <c r="M2472" s="1">
        <v>2022</v>
      </c>
      <c r="N2472" s="1" t="s">
        <v>32</v>
      </c>
      <c r="O2472" s="1" t="s">
        <v>9935</v>
      </c>
      <c r="P2472" s="1" t="s">
        <v>16</v>
      </c>
      <c r="Q2472" s="1">
        <v>100</v>
      </c>
      <c r="R2472" s="1">
        <v>1</v>
      </c>
      <c r="S2472" s="1">
        <v>1</v>
      </c>
    </row>
    <row r="2473" spans="1:19" ht="12.5" x14ac:dyDescent="0.25">
      <c r="A2473" s="1" t="s">
        <v>16</v>
      </c>
      <c r="B2473" s="1" t="s">
        <v>16</v>
      </c>
      <c r="C2473" s="1" t="s">
        <v>16</v>
      </c>
      <c r="D2473" s="1" t="s">
        <v>16</v>
      </c>
      <c r="E2473" s="1">
        <v>2722</v>
      </c>
      <c r="F2473" s="1" t="s">
        <v>8262</v>
      </c>
      <c r="G2473" s="1" t="s">
        <v>8263</v>
      </c>
      <c r="H2473" s="1" t="s">
        <v>16</v>
      </c>
      <c r="I2473" s="1" t="s">
        <v>20</v>
      </c>
      <c r="J2473" s="1" t="s">
        <v>8264</v>
      </c>
      <c r="K2473" s="1" t="b">
        <v>0</v>
      </c>
      <c r="L2473" s="1" t="s">
        <v>22</v>
      </c>
      <c r="M2473" s="1" t="s">
        <v>16</v>
      </c>
      <c r="N2473" s="1" t="s">
        <v>16</v>
      </c>
      <c r="O2473" s="1" t="s">
        <v>16</v>
      </c>
      <c r="P2473" s="1" t="s">
        <v>16</v>
      </c>
    </row>
    <row r="2474" spans="1:19" ht="12.5" x14ac:dyDescent="0.25">
      <c r="A2474" s="1">
        <v>915</v>
      </c>
      <c r="B2474" s="1" t="s">
        <v>8265</v>
      </c>
      <c r="C2474" s="1" t="s">
        <v>35</v>
      </c>
      <c r="D2474" s="1" t="s">
        <v>152</v>
      </c>
      <c r="E2474" s="1">
        <v>2723</v>
      </c>
      <c r="F2474" s="1" t="s">
        <v>8267</v>
      </c>
      <c r="G2474" s="1" t="s">
        <v>8268</v>
      </c>
      <c r="H2474" s="1"/>
      <c r="I2474" s="1" t="s">
        <v>29</v>
      </c>
      <c r="J2474" s="1" t="s">
        <v>8269</v>
      </c>
      <c r="K2474" s="1" t="b">
        <v>1</v>
      </c>
      <c r="L2474" s="1" t="s">
        <v>31</v>
      </c>
      <c r="M2474" s="1">
        <v>2022</v>
      </c>
      <c r="N2474" s="1" t="s">
        <v>23</v>
      </c>
      <c r="O2474" s="1" t="s">
        <v>9935</v>
      </c>
      <c r="P2474" s="1" t="s">
        <v>16</v>
      </c>
      <c r="Q2474" s="1">
        <v>100</v>
      </c>
      <c r="R2474" s="1">
        <v>10000</v>
      </c>
      <c r="S2474" s="1">
        <v>10000</v>
      </c>
    </row>
    <row r="2475" spans="1:19" ht="12.5" x14ac:dyDescent="0.25">
      <c r="A2475" s="1">
        <v>2901</v>
      </c>
      <c r="B2475" s="1" t="s">
        <v>8270</v>
      </c>
      <c r="C2475" s="1" t="s">
        <v>38</v>
      </c>
      <c r="D2475" s="1" t="s">
        <v>39</v>
      </c>
      <c r="E2475" s="1">
        <v>2752</v>
      </c>
      <c r="F2475" s="1" t="s">
        <v>8271</v>
      </c>
      <c r="G2475" s="1" t="s">
        <v>8272</v>
      </c>
      <c r="H2475" s="1" t="s">
        <v>16</v>
      </c>
      <c r="I2475" s="1" t="s">
        <v>29</v>
      </c>
      <c r="J2475" s="1" t="s">
        <v>8273</v>
      </c>
      <c r="K2475" s="1" t="b">
        <v>0</v>
      </c>
      <c r="L2475" s="1" t="s">
        <v>22</v>
      </c>
      <c r="M2475" s="1">
        <v>2022</v>
      </c>
      <c r="N2475" s="1" t="s">
        <v>32</v>
      </c>
      <c r="O2475" s="1" t="s">
        <v>9935</v>
      </c>
      <c r="P2475" s="1" t="s">
        <v>16</v>
      </c>
      <c r="Q2475" s="1">
        <v>100</v>
      </c>
      <c r="R2475" s="1">
        <v>1</v>
      </c>
      <c r="S2475" s="1">
        <v>1</v>
      </c>
    </row>
    <row r="2476" spans="1:19" ht="12.5" x14ac:dyDescent="0.25">
      <c r="A2476" s="1">
        <v>2901</v>
      </c>
      <c r="B2476" s="1" t="s">
        <v>8270</v>
      </c>
      <c r="C2476" s="1" t="s">
        <v>38</v>
      </c>
      <c r="D2476" s="1" t="s">
        <v>39</v>
      </c>
      <c r="E2476" s="1">
        <v>2753</v>
      </c>
      <c r="F2476" s="1" t="s">
        <v>8274</v>
      </c>
      <c r="G2476" s="1" t="s">
        <v>8275</v>
      </c>
      <c r="H2476" s="1" t="s">
        <v>16</v>
      </c>
      <c r="I2476" s="1" t="s">
        <v>29</v>
      </c>
      <c r="J2476" s="1" t="s">
        <v>16</v>
      </c>
      <c r="K2476" s="1" t="b">
        <v>0</v>
      </c>
      <c r="L2476" s="1" t="s">
        <v>22</v>
      </c>
      <c r="M2476" s="1" t="s">
        <v>16</v>
      </c>
      <c r="N2476" s="1" t="s">
        <v>16</v>
      </c>
      <c r="O2476" s="1" t="s">
        <v>16</v>
      </c>
      <c r="P2476" s="1" t="s">
        <v>16</v>
      </c>
      <c r="Q2476" s="1">
        <v>100</v>
      </c>
    </row>
    <row r="2477" spans="1:19" ht="12.5" x14ac:dyDescent="0.25">
      <c r="A2477" s="1">
        <v>2897</v>
      </c>
      <c r="B2477" s="1" t="s">
        <v>8276</v>
      </c>
      <c r="C2477" s="1" t="s">
        <v>38</v>
      </c>
      <c r="D2477" s="1" t="s">
        <v>39</v>
      </c>
      <c r="E2477" s="1">
        <v>2754</v>
      </c>
      <c r="F2477" s="1" t="s">
        <v>8277</v>
      </c>
      <c r="G2477" s="1" t="s">
        <v>8278</v>
      </c>
      <c r="H2477" s="1" t="s">
        <v>16</v>
      </c>
      <c r="I2477" s="1" t="s">
        <v>29</v>
      </c>
      <c r="J2477" s="1" t="s">
        <v>8279</v>
      </c>
      <c r="K2477" s="1" t="b">
        <v>0</v>
      </c>
      <c r="L2477" s="1" t="s">
        <v>22</v>
      </c>
      <c r="M2477" s="1">
        <v>2022</v>
      </c>
      <c r="N2477" s="1" t="s">
        <v>32</v>
      </c>
      <c r="O2477" s="1" t="s">
        <v>9935</v>
      </c>
      <c r="P2477" s="1" t="s">
        <v>16</v>
      </c>
      <c r="Q2477" s="1">
        <v>100</v>
      </c>
      <c r="R2477" s="1">
        <v>1</v>
      </c>
      <c r="S2477" s="1">
        <v>1</v>
      </c>
    </row>
    <row r="2478" spans="1:19" ht="12.5" x14ac:dyDescent="0.25">
      <c r="A2478" s="1">
        <v>2897</v>
      </c>
      <c r="B2478" s="1" t="s">
        <v>8276</v>
      </c>
      <c r="C2478" s="1" t="s">
        <v>38</v>
      </c>
      <c r="D2478" s="1" t="s">
        <v>39</v>
      </c>
      <c r="E2478" s="1">
        <v>2755</v>
      </c>
      <c r="F2478" s="1" t="s">
        <v>8280</v>
      </c>
      <c r="G2478" s="1" t="s">
        <v>8281</v>
      </c>
      <c r="H2478" s="1" t="s">
        <v>16</v>
      </c>
      <c r="I2478" s="1" t="s">
        <v>29</v>
      </c>
      <c r="J2478" s="1" t="s">
        <v>16</v>
      </c>
      <c r="K2478" s="1" t="b">
        <v>0</v>
      </c>
      <c r="L2478" s="1" t="s">
        <v>22</v>
      </c>
      <c r="M2478" s="1" t="s">
        <v>16</v>
      </c>
      <c r="N2478" s="1" t="s">
        <v>16</v>
      </c>
      <c r="O2478" s="1" t="s">
        <v>16</v>
      </c>
      <c r="P2478" s="1" t="s">
        <v>16</v>
      </c>
      <c r="Q2478" s="1">
        <v>100</v>
      </c>
    </row>
    <row r="2479" spans="1:19" ht="12.5" x14ac:dyDescent="0.25">
      <c r="A2479" s="1">
        <v>2893</v>
      </c>
      <c r="B2479" s="1" t="s">
        <v>8282</v>
      </c>
      <c r="C2479" s="1" t="s">
        <v>38</v>
      </c>
      <c r="D2479" s="1" t="s">
        <v>39</v>
      </c>
      <c r="E2479" s="1">
        <v>2756</v>
      </c>
      <c r="F2479" s="1" t="s">
        <v>8283</v>
      </c>
      <c r="G2479" s="1" t="s">
        <v>8284</v>
      </c>
      <c r="H2479" s="1" t="s">
        <v>16</v>
      </c>
      <c r="I2479" s="1" t="s">
        <v>29</v>
      </c>
      <c r="J2479" s="1" t="s">
        <v>8285</v>
      </c>
      <c r="K2479" s="1" t="b">
        <v>0</v>
      </c>
      <c r="L2479" s="1" t="s">
        <v>22</v>
      </c>
      <c r="M2479" s="1">
        <v>2022</v>
      </c>
      <c r="N2479" s="1" t="s">
        <v>32</v>
      </c>
      <c r="O2479" s="1" t="s">
        <v>9935</v>
      </c>
      <c r="P2479" s="1" t="s">
        <v>8101</v>
      </c>
      <c r="Q2479" s="1">
        <v>100</v>
      </c>
      <c r="R2479" s="1">
        <v>1</v>
      </c>
      <c r="S2479" s="1">
        <v>1</v>
      </c>
    </row>
    <row r="2480" spans="1:19" ht="12.5" x14ac:dyDescent="0.25">
      <c r="A2480" s="1">
        <v>2893</v>
      </c>
      <c r="B2480" s="1" t="s">
        <v>8282</v>
      </c>
      <c r="C2480" s="1" t="s">
        <v>38</v>
      </c>
      <c r="D2480" s="1" t="s">
        <v>39</v>
      </c>
      <c r="E2480" s="1">
        <v>2757</v>
      </c>
      <c r="F2480" s="1" t="s">
        <v>8286</v>
      </c>
      <c r="G2480" s="1" t="s">
        <v>8287</v>
      </c>
      <c r="H2480" s="1" t="s">
        <v>16</v>
      </c>
      <c r="I2480" s="1" t="s">
        <v>29</v>
      </c>
      <c r="J2480" s="1" t="s">
        <v>16</v>
      </c>
      <c r="K2480" s="1" t="b">
        <v>0</v>
      </c>
      <c r="L2480" s="1" t="s">
        <v>22</v>
      </c>
      <c r="M2480" s="1" t="s">
        <v>16</v>
      </c>
      <c r="N2480" s="1" t="s">
        <v>16</v>
      </c>
      <c r="O2480" s="1" t="s">
        <v>16</v>
      </c>
      <c r="P2480" s="1" t="s">
        <v>16</v>
      </c>
      <c r="Q2480" s="1">
        <v>100</v>
      </c>
    </row>
    <row r="2481" spans="1:19" ht="12.5" x14ac:dyDescent="0.25">
      <c r="A2481" s="1">
        <v>2889</v>
      </c>
      <c r="B2481" s="1" t="s">
        <v>8288</v>
      </c>
      <c r="C2481" s="1" t="s">
        <v>38</v>
      </c>
      <c r="D2481" s="1" t="s">
        <v>39</v>
      </c>
      <c r="E2481" s="1">
        <v>2758</v>
      </c>
      <c r="F2481" s="1" t="s">
        <v>8289</v>
      </c>
      <c r="G2481" s="1" t="s">
        <v>8290</v>
      </c>
      <c r="H2481" s="1" t="s">
        <v>16</v>
      </c>
      <c r="I2481" s="1" t="s">
        <v>29</v>
      </c>
      <c r="J2481" s="1" t="s">
        <v>8291</v>
      </c>
      <c r="K2481" s="1" t="b">
        <v>0</v>
      </c>
      <c r="L2481" s="1" t="s">
        <v>22</v>
      </c>
      <c r="M2481" s="1">
        <v>2022</v>
      </c>
      <c r="N2481" s="1" t="s">
        <v>32</v>
      </c>
      <c r="O2481" s="1" t="s">
        <v>9935</v>
      </c>
      <c r="P2481" s="1" t="s">
        <v>10099</v>
      </c>
      <c r="Q2481" s="1">
        <v>100</v>
      </c>
      <c r="R2481" s="1">
        <v>1</v>
      </c>
      <c r="S2481" s="1">
        <v>1</v>
      </c>
    </row>
    <row r="2482" spans="1:19" ht="12.5" x14ac:dyDescent="0.25">
      <c r="A2482" s="1">
        <v>2889</v>
      </c>
      <c r="B2482" s="1" t="s">
        <v>8288</v>
      </c>
      <c r="C2482" s="1" t="s">
        <v>38</v>
      </c>
      <c r="D2482" s="1" t="s">
        <v>39</v>
      </c>
      <c r="E2482" s="1">
        <v>2759</v>
      </c>
      <c r="F2482" s="1" t="s">
        <v>8292</v>
      </c>
      <c r="G2482" s="1" t="s">
        <v>8293</v>
      </c>
      <c r="H2482" s="1" t="s">
        <v>16</v>
      </c>
      <c r="I2482" s="1" t="s">
        <v>29</v>
      </c>
      <c r="J2482" s="1" t="s">
        <v>16</v>
      </c>
      <c r="K2482" s="1" t="b">
        <v>0</v>
      </c>
      <c r="L2482" s="1" t="s">
        <v>22</v>
      </c>
      <c r="M2482" s="1" t="s">
        <v>16</v>
      </c>
      <c r="N2482" s="1" t="s">
        <v>16</v>
      </c>
      <c r="O2482" s="1" t="s">
        <v>16</v>
      </c>
      <c r="P2482" s="1" t="s">
        <v>16</v>
      </c>
      <c r="Q2482" s="1">
        <v>100</v>
      </c>
    </row>
    <row r="2483" spans="1:19" ht="12.5" x14ac:dyDescent="0.25">
      <c r="A2483" s="1">
        <v>2869</v>
      </c>
      <c r="B2483" s="1" t="s">
        <v>8294</v>
      </c>
      <c r="C2483" s="1" t="s">
        <v>38</v>
      </c>
      <c r="D2483" s="1" t="s">
        <v>39</v>
      </c>
      <c r="E2483" s="1">
        <v>2760</v>
      </c>
      <c r="F2483" s="1" t="s">
        <v>8295</v>
      </c>
      <c r="G2483" s="1" t="s">
        <v>8296</v>
      </c>
      <c r="H2483" s="1" t="s">
        <v>16</v>
      </c>
      <c r="I2483" s="1" t="s">
        <v>29</v>
      </c>
      <c r="J2483" s="1" t="s">
        <v>8297</v>
      </c>
      <c r="K2483" s="1" t="b">
        <v>0</v>
      </c>
      <c r="L2483" s="1" t="s">
        <v>22</v>
      </c>
      <c r="M2483" s="1">
        <v>2022</v>
      </c>
      <c r="N2483" s="1" t="s">
        <v>32</v>
      </c>
      <c r="O2483" s="1" t="s">
        <v>9935</v>
      </c>
      <c r="P2483" s="1" t="s">
        <v>8101</v>
      </c>
      <c r="Q2483" s="1">
        <v>100</v>
      </c>
      <c r="R2483" s="1">
        <v>1</v>
      </c>
      <c r="S2483" s="1">
        <v>1</v>
      </c>
    </row>
    <row r="2484" spans="1:19" ht="12.5" x14ac:dyDescent="0.25">
      <c r="A2484" s="1">
        <v>2869</v>
      </c>
      <c r="B2484" s="1" t="s">
        <v>8294</v>
      </c>
      <c r="C2484" s="1" t="s">
        <v>38</v>
      </c>
      <c r="D2484" s="1" t="s">
        <v>39</v>
      </c>
      <c r="E2484" s="1">
        <v>2761</v>
      </c>
      <c r="F2484" s="1" t="s">
        <v>8298</v>
      </c>
      <c r="G2484" s="1" t="s">
        <v>8299</v>
      </c>
      <c r="H2484" s="1" t="s">
        <v>16</v>
      </c>
      <c r="I2484" s="1" t="s">
        <v>29</v>
      </c>
      <c r="J2484" s="1" t="s">
        <v>16</v>
      </c>
      <c r="K2484" s="1" t="b">
        <v>0</v>
      </c>
      <c r="L2484" s="1" t="s">
        <v>22</v>
      </c>
      <c r="M2484" s="1" t="s">
        <v>16</v>
      </c>
      <c r="N2484" s="1" t="s">
        <v>16</v>
      </c>
      <c r="O2484" s="1" t="s">
        <v>16</v>
      </c>
      <c r="P2484" s="1" t="s">
        <v>16</v>
      </c>
      <c r="Q2484" s="1">
        <v>100</v>
      </c>
    </row>
    <row r="2485" spans="1:19" ht="12.5" x14ac:dyDescent="0.25">
      <c r="A2485" s="1">
        <v>2863</v>
      </c>
      <c r="B2485" s="1" t="s">
        <v>8300</v>
      </c>
      <c r="C2485" s="1" t="s">
        <v>38</v>
      </c>
      <c r="D2485" s="1" t="s">
        <v>39</v>
      </c>
      <c r="E2485" s="1">
        <v>2762</v>
      </c>
      <c r="F2485" s="1" t="s">
        <v>8301</v>
      </c>
      <c r="G2485" s="1" t="s">
        <v>8302</v>
      </c>
      <c r="H2485" s="1" t="s">
        <v>16</v>
      </c>
      <c r="I2485" s="1" t="s">
        <v>29</v>
      </c>
      <c r="J2485" s="1" t="s">
        <v>8303</v>
      </c>
      <c r="K2485" s="1" t="b">
        <v>0</v>
      </c>
      <c r="L2485" s="1" t="s">
        <v>22</v>
      </c>
      <c r="M2485" s="1">
        <v>2022</v>
      </c>
      <c r="N2485" s="1" t="s">
        <v>32</v>
      </c>
      <c r="O2485" s="1" t="s">
        <v>9935</v>
      </c>
      <c r="P2485" s="1" t="s">
        <v>8101</v>
      </c>
      <c r="Q2485" s="1">
        <v>100</v>
      </c>
      <c r="R2485" s="1">
        <v>1</v>
      </c>
      <c r="S2485" s="1">
        <v>1</v>
      </c>
    </row>
    <row r="2486" spans="1:19" ht="12.5" x14ac:dyDescent="0.25">
      <c r="A2486" s="1">
        <v>2863</v>
      </c>
      <c r="B2486" s="1" t="s">
        <v>8300</v>
      </c>
      <c r="C2486" s="1" t="s">
        <v>38</v>
      </c>
      <c r="D2486" s="1" t="s">
        <v>39</v>
      </c>
      <c r="E2486" s="1">
        <v>2763</v>
      </c>
      <c r="F2486" s="1" t="s">
        <v>8304</v>
      </c>
      <c r="G2486" s="1" t="s">
        <v>8305</v>
      </c>
      <c r="H2486" s="1" t="s">
        <v>16</v>
      </c>
      <c r="I2486" s="1" t="s">
        <v>29</v>
      </c>
      <c r="J2486" s="1" t="s">
        <v>16</v>
      </c>
      <c r="K2486" s="1" t="b">
        <v>0</v>
      </c>
      <c r="L2486" s="1" t="s">
        <v>22</v>
      </c>
      <c r="M2486" s="1" t="s">
        <v>16</v>
      </c>
      <c r="N2486" s="1" t="s">
        <v>16</v>
      </c>
      <c r="O2486" s="1" t="s">
        <v>16</v>
      </c>
      <c r="P2486" s="1" t="s">
        <v>16</v>
      </c>
      <c r="Q2486" s="1">
        <v>100</v>
      </c>
    </row>
    <row r="2487" spans="1:19" ht="12.5" x14ac:dyDescent="0.25">
      <c r="A2487" s="1" t="s">
        <v>16</v>
      </c>
      <c r="B2487" s="1" t="s">
        <v>16</v>
      </c>
      <c r="C2487" s="1" t="s">
        <v>16</v>
      </c>
      <c r="D2487" s="1" t="s">
        <v>16</v>
      </c>
      <c r="E2487" s="1">
        <v>2764</v>
      </c>
      <c r="F2487" s="1" t="s">
        <v>8306</v>
      </c>
      <c r="G2487" s="1" t="s">
        <v>8307</v>
      </c>
      <c r="H2487" s="1" t="s">
        <v>16</v>
      </c>
      <c r="I2487" s="1" t="s">
        <v>20</v>
      </c>
      <c r="J2487" s="1" t="s">
        <v>16</v>
      </c>
      <c r="K2487" s="1" t="b">
        <v>0</v>
      </c>
      <c r="L2487" s="1" t="s">
        <v>22</v>
      </c>
      <c r="M2487" s="1" t="s">
        <v>16</v>
      </c>
      <c r="N2487" s="1" t="s">
        <v>16</v>
      </c>
      <c r="O2487" s="1" t="s">
        <v>16</v>
      </c>
      <c r="P2487" s="1" t="s">
        <v>16</v>
      </c>
    </row>
    <row r="2488" spans="1:19" ht="12.5" x14ac:dyDescent="0.25">
      <c r="A2488" s="1">
        <v>3106</v>
      </c>
      <c r="B2488" s="1" t="s">
        <v>8308</v>
      </c>
      <c r="C2488" s="1" t="s">
        <v>38</v>
      </c>
      <c r="D2488" s="1" t="s">
        <v>39</v>
      </c>
      <c r="E2488" s="1">
        <v>2765</v>
      </c>
      <c r="F2488" s="1" t="s">
        <v>8309</v>
      </c>
      <c r="G2488" s="1" t="s">
        <v>8310</v>
      </c>
      <c r="H2488" s="1" t="s">
        <v>16</v>
      </c>
      <c r="I2488" s="1" t="s">
        <v>20</v>
      </c>
      <c r="J2488" s="1" t="s">
        <v>8311</v>
      </c>
      <c r="K2488" s="1" t="b">
        <v>0</v>
      </c>
      <c r="L2488" s="1" t="s">
        <v>22</v>
      </c>
      <c r="M2488" s="1" t="s">
        <v>16</v>
      </c>
      <c r="N2488" s="1" t="s">
        <v>16</v>
      </c>
      <c r="O2488" s="1" t="s">
        <v>16</v>
      </c>
      <c r="P2488" s="1" t="s">
        <v>16</v>
      </c>
      <c r="Q2488" s="1">
        <v>10</v>
      </c>
    </row>
    <row r="2489" spans="1:19" ht="12.5" x14ac:dyDescent="0.25">
      <c r="A2489" s="1">
        <v>791</v>
      </c>
      <c r="B2489" s="1" t="s">
        <v>8312</v>
      </c>
      <c r="C2489" s="1" t="s">
        <v>35</v>
      </c>
      <c r="D2489" s="1" t="s">
        <v>36</v>
      </c>
      <c r="E2489" s="1">
        <v>2766</v>
      </c>
      <c r="F2489" s="1" t="s">
        <v>8313</v>
      </c>
      <c r="G2489" s="1" t="s">
        <v>8314</v>
      </c>
      <c r="H2489" s="1" t="s">
        <v>16</v>
      </c>
      <c r="I2489" s="1" t="s">
        <v>29</v>
      </c>
      <c r="J2489" s="1" t="s">
        <v>16</v>
      </c>
      <c r="K2489" s="1" t="b">
        <v>0</v>
      </c>
      <c r="L2489" s="1" t="s">
        <v>22</v>
      </c>
      <c r="M2489" s="1" t="s">
        <v>16</v>
      </c>
      <c r="N2489" s="1" t="s">
        <v>16</v>
      </c>
      <c r="O2489" s="1" t="s">
        <v>16</v>
      </c>
      <c r="P2489" s="1" t="s">
        <v>16</v>
      </c>
      <c r="Q2489" s="1">
        <v>100</v>
      </c>
    </row>
    <row r="2490" spans="1:19" ht="12.5" x14ac:dyDescent="0.25">
      <c r="A2490" s="1">
        <v>791</v>
      </c>
      <c r="B2490" s="1" t="s">
        <v>8312</v>
      </c>
      <c r="C2490" s="1" t="s">
        <v>35</v>
      </c>
      <c r="D2490" s="1" t="s">
        <v>36</v>
      </c>
      <c r="E2490" s="1">
        <v>2767</v>
      </c>
      <c r="F2490" s="1" t="s">
        <v>8315</v>
      </c>
      <c r="G2490" s="1" t="s">
        <v>8316</v>
      </c>
      <c r="H2490" s="1" t="s">
        <v>16</v>
      </c>
      <c r="I2490" s="1" t="s">
        <v>29</v>
      </c>
      <c r="J2490" s="1" t="s">
        <v>16</v>
      </c>
      <c r="K2490" s="1" t="b">
        <v>0</v>
      </c>
      <c r="L2490" s="1" t="s">
        <v>22</v>
      </c>
      <c r="M2490" s="1" t="s">
        <v>16</v>
      </c>
      <c r="N2490" s="1" t="s">
        <v>16</v>
      </c>
      <c r="O2490" s="1" t="s">
        <v>16</v>
      </c>
      <c r="P2490" s="1" t="s">
        <v>16</v>
      </c>
      <c r="Q2490" s="1">
        <v>100</v>
      </c>
    </row>
    <row r="2491" spans="1:19" ht="12.5" x14ac:dyDescent="0.25">
      <c r="A2491" s="1">
        <v>791</v>
      </c>
      <c r="B2491" s="1" t="s">
        <v>8312</v>
      </c>
      <c r="C2491" s="1" t="s">
        <v>35</v>
      </c>
      <c r="D2491" s="1" t="s">
        <v>36</v>
      </c>
      <c r="E2491" s="1">
        <v>2768</v>
      </c>
      <c r="F2491" s="1" t="s">
        <v>8317</v>
      </c>
      <c r="G2491" s="1" t="s">
        <v>8318</v>
      </c>
      <c r="H2491" s="1" t="s">
        <v>16</v>
      </c>
      <c r="I2491" s="1" t="s">
        <v>29</v>
      </c>
      <c r="J2491" s="1" t="s">
        <v>16</v>
      </c>
      <c r="K2491" s="1" t="b">
        <v>0</v>
      </c>
      <c r="L2491" s="1" t="s">
        <v>22</v>
      </c>
      <c r="M2491" s="1" t="s">
        <v>16</v>
      </c>
      <c r="N2491" s="1" t="s">
        <v>16</v>
      </c>
      <c r="O2491" s="1" t="s">
        <v>16</v>
      </c>
      <c r="P2491" s="1" t="s">
        <v>16</v>
      </c>
      <c r="Q2491" s="1">
        <v>100</v>
      </c>
    </row>
    <row r="2492" spans="1:19" ht="12.5" x14ac:dyDescent="0.25">
      <c r="A2492" s="1" t="s">
        <v>16</v>
      </c>
      <c r="B2492" s="1" t="s">
        <v>16</v>
      </c>
      <c r="C2492" s="1" t="s">
        <v>16</v>
      </c>
      <c r="D2492" s="1" t="s">
        <v>16</v>
      </c>
      <c r="E2492" s="1">
        <v>2769</v>
      </c>
      <c r="F2492" s="1" t="s">
        <v>8319</v>
      </c>
      <c r="G2492" s="1" t="s">
        <v>8320</v>
      </c>
      <c r="H2492" s="1" t="s">
        <v>16</v>
      </c>
      <c r="I2492" s="1" t="s">
        <v>20</v>
      </c>
      <c r="J2492" s="1" t="s">
        <v>8321</v>
      </c>
      <c r="K2492" s="1" t="b">
        <v>0</v>
      </c>
      <c r="L2492" s="1" t="s">
        <v>22</v>
      </c>
      <c r="M2492" s="1" t="s">
        <v>16</v>
      </c>
      <c r="N2492" s="1" t="s">
        <v>16</v>
      </c>
      <c r="O2492" s="1" t="s">
        <v>16</v>
      </c>
      <c r="P2492" s="1" t="s">
        <v>16</v>
      </c>
    </row>
    <row r="2493" spans="1:19" ht="12.5" x14ac:dyDescent="0.25">
      <c r="A2493" s="1" t="s">
        <v>16</v>
      </c>
      <c r="B2493" s="1" t="s">
        <v>16</v>
      </c>
      <c r="C2493" s="1" t="s">
        <v>16</v>
      </c>
      <c r="D2493" s="1" t="s">
        <v>16</v>
      </c>
      <c r="E2493" s="1">
        <v>2770</v>
      </c>
      <c r="F2493" s="1" t="s">
        <v>8322</v>
      </c>
      <c r="G2493" s="1" t="s">
        <v>8323</v>
      </c>
      <c r="H2493" s="1" t="s">
        <v>8324</v>
      </c>
      <c r="I2493" s="1" t="s">
        <v>20</v>
      </c>
      <c r="J2493" s="1" t="s">
        <v>8325</v>
      </c>
      <c r="K2493" s="1" t="b">
        <v>0</v>
      </c>
      <c r="L2493" s="1" t="s">
        <v>22</v>
      </c>
      <c r="M2493" s="1" t="s">
        <v>16</v>
      </c>
      <c r="N2493" s="1" t="s">
        <v>16</v>
      </c>
      <c r="O2493" s="1" t="s">
        <v>16</v>
      </c>
      <c r="P2493" s="1" t="s">
        <v>16</v>
      </c>
    </row>
    <row r="2494" spans="1:19" ht="12.5" x14ac:dyDescent="0.25">
      <c r="A2494" s="1" t="s">
        <v>16</v>
      </c>
      <c r="B2494" s="1" t="s">
        <v>16</v>
      </c>
      <c r="C2494" s="1" t="s">
        <v>16</v>
      </c>
      <c r="D2494" s="1" t="s">
        <v>16</v>
      </c>
      <c r="E2494" s="1">
        <v>2771</v>
      </c>
      <c r="F2494" s="1" t="s">
        <v>8326</v>
      </c>
      <c r="G2494" s="1" t="s">
        <v>8327</v>
      </c>
      <c r="H2494" s="1" t="s">
        <v>16</v>
      </c>
      <c r="I2494" s="1" t="s">
        <v>20</v>
      </c>
      <c r="J2494" s="1" t="s">
        <v>8328</v>
      </c>
      <c r="K2494" s="1" t="b">
        <v>0</v>
      </c>
      <c r="L2494" s="1" t="s">
        <v>22</v>
      </c>
      <c r="M2494" s="1" t="s">
        <v>16</v>
      </c>
      <c r="N2494" s="1" t="s">
        <v>16</v>
      </c>
      <c r="O2494" s="1" t="s">
        <v>16</v>
      </c>
      <c r="P2494" s="1" t="s">
        <v>16</v>
      </c>
    </row>
    <row r="2495" spans="1:19" ht="12.5" x14ac:dyDescent="0.25">
      <c r="A2495" s="1">
        <v>4534</v>
      </c>
      <c r="B2495" s="1" t="s">
        <v>8329</v>
      </c>
      <c r="C2495" s="1" t="s">
        <v>35</v>
      </c>
      <c r="D2495" s="1" t="s">
        <v>36</v>
      </c>
      <c r="E2495" s="1">
        <v>2772</v>
      </c>
      <c r="F2495" s="1" t="s">
        <v>8330</v>
      </c>
      <c r="G2495" s="1" t="s">
        <v>8331</v>
      </c>
      <c r="H2495" s="1" t="s">
        <v>16</v>
      </c>
      <c r="I2495" s="1" t="s">
        <v>20</v>
      </c>
      <c r="J2495" s="1" t="s">
        <v>8332</v>
      </c>
      <c r="K2495" s="1" t="b">
        <v>0</v>
      </c>
      <c r="L2495" s="1" t="s">
        <v>22</v>
      </c>
      <c r="M2495" s="1" t="s">
        <v>16</v>
      </c>
      <c r="N2495" s="1" t="s">
        <v>16</v>
      </c>
      <c r="O2495" s="1" t="s">
        <v>16</v>
      </c>
      <c r="P2495" s="1" t="s">
        <v>16</v>
      </c>
      <c r="Q2495" s="1">
        <v>10</v>
      </c>
    </row>
    <row r="2496" spans="1:19" ht="12.5" x14ac:dyDescent="0.25">
      <c r="A2496" s="1">
        <v>78</v>
      </c>
      <c r="B2496" s="1" t="s">
        <v>403</v>
      </c>
      <c r="C2496" s="1" t="s">
        <v>15</v>
      </c>
      <c r="D2496" s="1" t="s">
        <v>15</v>
      </c>
      <c r="E2496" s="1">
        <v>2773</v>
      </c>
      <c r="F2496" s="1" t="s">
        <v>8333</v>
      </c>
      <c r="G2496" s="1" t="s">
        <v>8334</v>
      </c>
      <c r="H2496" s="1" t="s">
        <v>16</v>
      </c>
      <c r="I2496" s="1" t="s">
        <v>20</v>
      </c>
      <c r="J2496" s="1" t="s">
        <v>8335</v>
      </c>
      <c r="K2496" s="1" t="b">
        <v>0</v>
      </c>
      <c r="L2496" s="1" t="s">
        <v>22</v>
      </c>
      <c r="M2496" s="1" t="s">
        <v>16</v>
      </c>
      <c r="N2496" s="1" t="s">
        <v>16</v>
      </c>
      <c r="O2496" s="1" t="s">
        <v>16</v>
      </c>
      <c r="P2496" s="1" t="s">
        <v>16</v>
      </c>
      <c r="Q2496" s="1">
        <v>100</v>
      </c>
    </row>
    <row r="2497" spans="1:17" ht="12.5" x14ac:dyDescent="0.25">
      <c r="A2497" s="1">
        <v>1953</v>
      </c>
      <c r="B2497" s="1" t="s">
        <v>8336</v>
      </c>
      <c r="C2497" s="1" t="s">
        <v>35</v>
      </c>
      <c r="D2497" s="1" t="s">
        <v>5669</v>
      </c>
      <c r="E2497" s="1">
        <v>2774</v>
      </c>
      <c r="F2497" s="1" t="s">
        <v>8337</v>
      </c>
      <c r="G2497" s="1" t="s">
        <v>8338</v>
      </c>
      <c r="H2497" s="1" t="s">
        <v>16</v>
      </c>
      <c r="I2497" s="1" t="s">
        <v>20</v>
      </c>
      <c r="J2497" s="1" t="s">
        <v>8339</v>
      </c>
      <c r="K2497" s="1" t="b">
        <v>0</v>
      </c>
      <c r="L2497" s="1" t="s">
        <v>22</v>
      </c>
      <c r="M2497" s="1" t="s">
        <v>16</v>
      </c>
      <c r="N2497" s="1" t="s">
        <v>16</v>
      </c>
      <c r="O2497" s="1" t="s">
        <v>16</v>
      </c>
      <c r="P2497" s="1" t="s">
        <v>16</v>
      </c>
      <c r="Q2497" s="1">
        <v>0</v>
      </c>
    </row>
    <row r="2498" spans="1:17" ht="12.5" x14ac:dyDescent="0.25">
      <c r="A2498" s="1">
        <v>4272</v>
      </c>
      <c r="B2498" s="1" t="s">
        <v>8340</v>
      </c>
      <c r="C2498" s="1" t="s">
        <v>38</v>
      </c>
      <c r="D2498" s="1" t="s">
        <v>39</v>
      </c>
      <c r="E2498" s="1">
        <v>2774</v>
      </c>
      <c r="F2498" s="1" t="s">
        <v>8337</v>
      </c>
      <c r="G2498" s="1" t="s">
        <v>8338</v>
      </c>
      <c r="H2498" s="1" t="s">
        <v>16</v>
      </c>
      <c r="I2498" s="1" t="s">
        <v>20</v>
      </c>
      <c r="J2498" s="1" t="s">
        <v>8339</v>
      </c>
      <c r="K2498" s="1" t="b">
        <v>0</v>
      </c>
      <c r="L2498" s="1" t="s">
        <v>22</v>
      </c>
      <c r="M2498" s="1" t="s">
        <v>16</v>
      </c>
      <c r="N2498" s="1" t="s">
        <v>16</v>
      </c>
      <c r="O2498" s="1" t="s">
        <v>16</v>
      </c>
      <c r="P2498" s="1" t="s">
        <v>16</v>
      </c>
      <c r="Q2498" s="1">
        <v>0</v>
      </c>
    </row>
    <row r="2499" spans="1:17" ht="12.5" x14ac:dyDescent="0.25">
      <c r="A2499" s="1" t="s">
        <v>16</v>
      </c>
      <c r="B2499" s="1" t="s">
        <v>16</v>
      </c>
      <c r="C2499" s="1" t="s">
        <v>16</v>
      </c>
      <c r="D2499" s="1" t="s">
        <v>16</v>
      </c>
      <c r="E2499" s="1">
        <v>2775</v>
      </c>
      <c r="F2499" s="1" t="s">
        <v>8341</v>
      </c>
      <c r="G2499" s="1" t="s">
        <v>8342</v>
      </c>
      <c r="H2499" s="1" t="s">
        <v>16</v>
      </c>
      <c r="I2499" s="1" t="s">
        <v>20</v>
      </c>
      <c r="J2499" s="1" t="s">
        <v>8343</v>
      </c>
      <c r="K2499" s="1" t="b">
        <v>0</v>
      </c>
      <c r="L2499" s="1" t="s">
        <v>22</v>
      </c>
      <c r="M2499" s="1" t="s">
        <v>16</v>
      </c>
      <c r="N2499" s="1" t="s">
        <v>16</v>
      </c>
      <c r="O2499" s="1" t="s">
        <v>16</v>
      </c>
      <c r="P2499" s="1" t="s">
        <v>16</v>
      </c>
    </row>
    <row r="2500" spans="1:17" ht="12.5" x14ac:dyDescent="0.25">
      <c r="A2500" s="1" t="s">
        <v>16</v>
      </c>
      <c r="B2500" s="1" t="s">
        <v>16</v>
      </c>
      <c r="C2500" s="1" t="s">
        <v>16</v>
      </c>
      <c r="D2500" s="1" t="s">
        <v>16</v>
      </c>
      <c r="E2500" s="1">
        <v>2776</v>
      </c>
      <c r="F2500" s="1" t="s">
        <v>8344</v>
      </c>
      <c r="G2500" s="1" t="s">
        <v>8345</v>
      </c>
      <c r="H2500" s="1" t="s">
        <v>16</v>
      </c>
      <c r="I2500" s="1" t="s">
        <v>20</v>
      </c>
      <c r="J2500" s="1" t="s">
        <v>8346</v>
      </c>
      <c r="K2500" s="1" t="b">
        <v>0</v>
      </c>
      <c r="L2500" s="1" t="s">
        <v>22</v>
      </c>
      <c r="M2500" s="1" t="s">
        <v>16</v>
      </c>
      <c r="N2500" s="1" t="s">
        <v>16</v>
      </c>
      <c r="O2500" s="1" t="s">
        <v>16</v>
      </c>
      <c r="P2500" s="1" t="s">
        <v>16</v>
      </c>
    </row>
    <row r="2501" spans="1:17" ht="12.5" x14ac:dyDescent="0.25">
      <c r="A2501" s="1" t="s">
        <v>16</v>
      </c>
      <c r="B2501" s="1" t="s">
        <v>16</v>
      </c>
      <c r="C2501" s="1" t="s">
        <v>16</v>
      </c>
      <c r="D2501" s="1" t="s">
        <v>16</v>
      </c>
      <c r="E2501" s="1">
        <v>2777</v>
      </c>
      <c r="F2501" s="1" t="s">
        <v>8347</v>
      </c>
      <c r="G2501" s="1" t="s">
        <v>8348</v>
      </c>
      <c r="H2501" s="1" t="s">
        <v>16</v>
      </c>
      <c r="I2501" s="1" t="s">
        <v>20</v>
      </c>
      <c r="J2501" s="1" t="s">
        <v>8349</v>
      </c>
      <c r="K2501" s="1" t="b">
        <v>0</v>
      </c>
      <c r="L2501" s="1" t="s">
        <v>22</v>
      </c>
      <c r="M2501" s="1" t="s">
        <v>16</v>
      </c>
      <c r="N2501" s="1" t="s">
        <v>16</v>
      </c>
      <c r="O2501" s="1" t="s">
        <v>16</v>
      </c>
      <c r="P2501" s="1" t="s">
        <v>16</v>
      </c>
    </row>
    <row r="2502" spans="1:17" ht="12.5" x14ac:dyDescent="0.25">
      <c r="A2502" s="1" t="s">
        <v>16</v>
      </c>
      <c r="B2502" s="1" t="s">
        <v>16</v>
      </c>
      <c r="C2502" s="1" t="s">
        <v>16</v>
      </c>
      <c r="D2502" s="1" t="s">
        <v>16</v>
      </c>
      <c r="E2502" s="1">
        <v>2778</v>
      </c>
      <c r="F2502" s="1" t="s">
        <v>8350</v>
      </c>
      <c r="G2502" s="1" t="s">
        <v>8351</v>
      </c>
      <c r="H2502" s="1" t="s">
        <v>16</v>
      </c>
      <c r="I2502" s="1" t="s">
        <v>20</v>
      </c>
      <c r="J2502" s="1" t="s">
        <v>8352</v>
      </c>
      <c r="K2502" s="1" t="b">
        <v>0</v>
      </c>
      <c r="L2502" s="1" t="s">
        <v>22</v>
      </c>
      <c r="M2502" s="1" t="s">
        <v>16</v>
      </c>
      <c r="N2502" s="1" t="s">
        <v>16</v>
      </c>
      <c r="O2502" s="1" t="s">
        <v>16</v>
      </c>
      <c r="P2502" s="1" t="s">
        <v>16</v>
      </c>
    </row>
    <row r="2503" spans="1:17" ht="12.5" x14ac:dyDescent="0.25">
      <c r="A2503" s="1" t="s">
        <v>16</v>
      </c>
      <c r="B2503" s="1" t="s">
        <v>16</v>
      </c>
      <c r="C2503" s="1" t="s">
        <v>16</v>
      </c>
      <c r="D2503" s="1" t="s">
        <v>16</v>
      </c>
      <c r="E2503" s="1">
        <v>2779</v>
      </c>
      <c r="F2503" s="1" t="s">
        <v>8353</v>
      </c>
      <c r="G2503" s="1" t="s">
        <v>8354</v>
      </c>
      <c r="H2503" s="1" t="s">
        <v>16</v>
      </c>
      <c r="I2503" s="1" t="s">
        <v>20</v>
      </c>
      <c r="J2503" s="1" t="s">
        <v>8355</v>
      </c>
      <c r="K2503" s="1" t="b">
        <v>0</v>
      </c>
      <c r="L2503" s="1" t="s">
        <v>22</v>
      </c>
      <c r="M2503" s="1" t="s">
        <v>16</v>
      </c>
      <c r="N2503" s="1" t="s">
        <v>16</v>
      </c>
      <c r="O2503" s="1" t="s">
        <v>16</v>
      </c>
      <c r="P2503" s="1" t="s">
        <v>16</v>
      </c>
    </row>
    <row r="2504" spans="1:17" ht="12.5" x14ac:dyDescent="0.25">
      <c r="A2504" s="1" t="s">
        <v>16</v>
      </c>
      <c r="B2504" s="1" t="s">
        <v>16</v>
      </c>
      <c r="C2504" s="1" t="s">
        <v>16</v>
      </c>
      <c r="D2504" s="1" t="s">
        <v>16</v>
      </c>
      <c r="E2504" s="1">
        <v>2780</v>
      </c>
      <c r="F2504" s="1" t="s">
        <v>8356</v>
      </c>
      <c r="G2504" s="1" t="s">
        <v>8357</v>
      </c>
      <c r="H2504" s="1" t="s">
        <v>16</v>
      </c>
      <c r="I2504" s="1" t="s">
        <v>20</v>
      </c>
      <c r="J2504" s="1" t="s">
        <v>8358</v>
      </c>
      <c r="K2504" s="1" t="b">
        <v>0</v>
      </c>
      <c r="L2504" s="1" t="s">
        <v>22</v>
      </c>
      <c r="M2504" s="1" t="s">
        <v>16</v>
      </c>
      <c r="N2504" s="1" t="s">
        <v>16</v>
      </c>
      <c r="O2504" s="1" t="s">
        <v>16</v>
      </c>
      <c r="P2504" s="1" t="s">
        <v>16</v>
      </c>
    </row>
    <row r="2505" spans="1:17" ht="12.5" x14ac:dyDescent="0.25">
      <c r="A2505" s="1" t="s">
        <v>16</v>
      </c>
      <c r="B2505" s="1" t="s">
        <v>16</v>
      </c>
      <c r="C2505" s="1" t="s">
        <v>16</v>
      </c>
      <c r="D2505" s="1" t="s">
        <v>16</v>
      </c>
      <c r="E2505" s="1">
        <v>2781</v>
      </c>
      <c r="F2505" s="1" t="s">
        <v>8359</v>
      </c>
      <c r="G2505" s="1" t="s">
        <v>8360</v>
      </c>
      <c r="H2505" s="1" t="s">
        <v>16</v>
      </c>
      <c r="I2505" s="1" t="s">
        <v>20</v>
      </c>
      <c r="J2505" s="1" t="s">
        <v>8361</v>
      </c>
      <c r="K2505" s="1" t="b">
        <v>0</v>
      </c>
      <c r="L2505" s="1" t="s">
        <v>22</v>
      </c>
      <c r="M2505" s="1" t="s">
        <v>16</v>
      </c>
      <c r="N2505" s="1" t="s">
        <v>16</v>
      </c>
      <c r="O2505" s="1" t="s">
        <v>16</v>
      </c>
      <c r="P2505" s="1" t="s">
        <v>16</v>
      </c>
    </row>
    <row r="2506" spans="1:17" ht="12.5" x14ac:dyDescent="0.25">
      <c r="A2506" s="1" t="s">
        <v>16</v>
      </c>
      <c r="B2506" s="1" t="s">
        <v>16</v>
      </c>
      <c r="C2506" s="1" t="s">
        <v>16</v>
      </c>
      <c r="D2506" s="1" t="s">
        <v>16</v>
      </c>
      <c r="E2506" s="1">
        <v>2782</v>
      </c>
      <c r="F2506" s="1" t="s">
        <v>8362</v>
      </c>
      <c r="G2506" s="1" t="s">
        <v>8363</v>
      </c>
      <c r="H2506" s="1" t="s">
        <v>16</v>
      </c>
      <c r="I2506" s="1" t="s">
        <v>20</v>
      </c>
      <c r="J2506" s="1" t="s">
        <v>8364</v>
      </c>
      <c r="K2506" s="1" t="b">
        <v>0</v>
      </c>
      <c r="L2506" s="1" t="s">
        <v>22</v>
      </c>
      <c r="M2506" s="1" t="s">
        <v>16</v>
      </c>
      <c r="N2506" s="1" t="s">
        <v>16</v>
      </c>
      <c r="O2506" s="1" t="s">
        <v>16</v>
      </c>
      <c r="P2506" s="1" t="s">
        <v>16</v>
      </c>
    </row>
    <row r="2507" spans="1:17" ht="12.5" x14ac:dyDescent="0.25">
      <c r="A2507" s="1" t="s">
        <v>16</v>
      </c>
      <c r="B2507" s="1" t="s">
        <v>16</v>
      </c>
      <c r="C2507" s="1" t="s">
        <v>16</v>
      </c>
      <c r="D2507" s="1" t="s">
        <v>16</v>
      </c>
      <c r="E2507" s="1">
        <v>2783</v>
      </c>
      <c r="F2507" s="1" t="s">
        <v>8365</v>
      </c>
      <c r="G2507" s="1" t="s">
        <v>8366</v>
      </c>
      <c r="H2507" s="1" t="s">
        <v>16</v>
      </c>
      <c r="I2507" s="1" t="s">
        <v>20</v>
      </c>
      <c r="J2507" s="1" t="s">
        <v>8367</v>
      </c>
      <c r="K2507" s="1" t="b">
        <v>0</v>
      </c>
      <c r="L2507" s="1" t="s">
        <v>22</v>
      </c>
      <c r="M2507" s="1" t="s">
        <v>16</v>
      </c>
      <c r="N2507" s="1" t="s">
        <v>16</v>
      </c>
      <c r="O2507" s="1" t="s">
        <v>16</v>
      </c>
      <c r="P2507" s="1" t="s">
        <v>16</v>
      </c>
    </row>
    <row r="2508" spans="1:17" ht="12.5" x14ac:dyDescent="0.25">
      <c r="A2508" s="1" t="s">
        <v>16</v>
      </c>
      <c r="B2508" s="1" t="s">
        <v>16</v>
      </c>
      <c r="C2508" s="1" t="s">
        <v>16</v>
      </c>
      <c r="D2508" s="1" t="s">
        <v>16</v>
      </c>
      <c r="E2508" s="1">
        <v>2784</v>
      </c>
      <c r="F2508" s="1" t="s">
        <v>8368</v>
      </c>
      <c r="G2508" s="1" t="s">
        <v>8369</v>
      </c>
      <c r="H2508" s="1" t="s">
        <v>16</v>
      </c>
      <c r="I2508" s="1" t="s">
        <v>20</v>
      </c>
      <c r="J2508" s="1" t="s">
        <v>8370</v>
      </c>
      <c r="K2508" s="1" t="b">
        <v>0</v>
      </c>
      <c r="L2508" s="1" t="s">
        <v>22</v>
      </c>
      <c r="M2508" s="1" t="s">
        <v>16</v>
      </c>
      <c r="N2508" s="1" t="s">
        <v>16</v>
      </c>
      <c r="O2508" s="1" t="s">
        <v>16</v>
      </c>
      <c r="P2508" s="1" t="s">
        <v>16</v>
      </c>
    </row>
    <row r="2509" spans="1:17" ht="12.5" x14ac:dyDescent="0.25">
      <c r="A2509" s="1" t="s">
        <v>16</v>
      </c>
      <c r="B2509" s="1" t="s">
        <v>16</v>
      </c>
      <c r="C2509" s="1" t="s">
        <v>16</v>
      </c>
      <c r="D2509" s="1" t="s">
        <v>16</v>
      </c>
      <c r="E2509" s="1">
        <v>2785</v>
      </c>
      <c r="F2509" s="1" t="s">
        <v>8371</v>
      </c>
      <c r="G2509" s="1" t="s">
        <v>8372</v>
      </c>
      <c r="H2509" s="1" t="s">
        <v>16</v>
      </c>
      <c r="I2509" s="1" t="s">
        <v>20</v>
      </c>
      <c r="J2509" s="1" t="s">
        <v>8373</v>
      </c>
      <c r="K2509" s="1" t="b">
        <v>0</v>
      </c>
      <c r="L2509" s="1" t="s">
        <v>22</v>
      </c>
      <c r="M2509" s="1" t="s">
        <v>16</v>
      </c>
      <c r="N2509" s="1" t="s">
        <v>16</v>
      </c>
      <c r="O2509" s="1" t="s">
        <v>16</v>
      </c>
      <c r="P2509" s="1" t="s">
        <v>16</v>
      </c>
    </row>
    <row r="2510" spans="1:17" ht="12.5" x14ac:dyDescent="0.25">
      <c r="A2510" s="1" t="s">
        <v>16</v>
      </c>
      <c r="B2510" s="1" t="s">
        <v>16</v>
      </c>
      <c r="C2510" s="1" t="s">
        <v>16</v>
      </c>
      <c r="D2510" s="1" t="s">
        <v>16</v>
      </c>
      <c r="E2510" s="1">
        <v>2786</v>
      </c>
      <c r="F2510" s="1" t="s">
        <v>8374</v>
      </c>
      <c r="G2510" s="1" t="s">
        <v>8375</v>
      </c>
      <c r="H2510" s="1" t="s">
        <v>16</v>
      </c>
      <c r="I2510" s="1" t="s">
        <v>20</v>
      </c>
      <c r="J2510" s="1" t="s">
        <v>8376</v>
      </c>
      <c r="K2510" s="1" t="b">
        <v>0</v>
      </c>
      <c r="L2510" s="1" t="s">
        <v>22</v>
      </c>
      <c r="M2510" s="1" t="s">
        <v>16</v>
      </c>
      <c r="N2510" s="1" t="s">
        <v>16</v>
      </c>
      <c r="O2510" s="1" t="s">
        <v>16</v>
      </c>
      <c r="P2510" s="1" t="s">
        <v>16</v>
      </c>
    </row>
    <row r="2511" spans="1:17" ht="12.5" x14ac:dyDescent="0.25">
      <c r="A2511" s="1" t="s">
        <v>16</v>
      </c>
      <c r="B2511" s="1" t="s">
        <v>16</v>
      </c>
      <c r="C2511" s="1" t="s">
        <v>16</v>
      </c>
      <c r="D2511" s="1" t="s">
        <v>16</v>
      </c>
      <c r="E2511" s="1">
        <v>2787</v>
      </c>
      <c r="F2511" s="1" t="s">
        <v>8377</v>
      </c>
      <c r="G2511" s="1" t="s">
        <v>8378</v>
      </c>
      <c r="H2511" s="1" t="s">
        <v>16</v>
      </c>
      <c r="I2511" s="1" t="s">
        <v>20</v>
      </c>
      <c r="J2511" s="1" t="s">
        <v>8379</v>
      </c>
      <c r="K2511" s="1" t="b">
        <v>0</v>
      </c>
      <c r="L2511" s="1" t="s">
        <v>22</v>
      </c>
      <c r="M2511" s="1" t="s">
        <v>16</v>
      </c>
      <c r="N2511" s="1" t="s">
        <v>16</v>
      </c>
      <c r="O2511" s="1" t="s">
        <v>16</v>
      </c>
      <c r="P2511" s="1" t="s">
        <v>16</v>
      </c>
    </row>
    <row r="2512" spans="1:17" ht="12.5" x14ac:dyDescent="0.25">
      <c r="A2512" s="1" t="s">
        <v>16</v>
      </c>
      <c r="B2512" s="1" t="s">
        <v>16</v>
      </c>
      <c r="C2512" s="1" t="s">
        <v>16</v>
      </c>
      <c r="D2512" s="1" t="s">
        <v>16</v>
      </c>
      <c r="E2512" s="1">
        <v>2788</v>
      </c>
      <c r="F2512" s="1" t="s">
        <v>8380</v>
      </c>
      <c r="G2512" s="1" t="s">
        <v>8381</v>
      </c>
      <c r="H2512" s="1" t="s">
        <v>16</v>
      </c>
      <c r="I2512" s="1" t="s">
        <v>20</v>
      </c>
      <c r="J2512" s="1" t="s">
        <v>8382</v>
      </c>
      <c r="K2512" s="1" t="b">
        <v>0</v>
      </c>
      <c r="L2512" s="1" t="s">
        <v>22</v>
      </c>
      <c r="M2512" s="1" t="s">
        <v>16</v>
      </c>
      <c r="N2512" s="1" t="s">
        <v>16</v>
      </c>
      <c r="O2512" s="1" t="s">
        <v>16</v>
      </c>
      <c r="P2512" s="1" t="s">
        <v>16</v>
      </c>
    </row>
    <row r="2513" spans="1:17" ht="12.5" x14ac:dyDescent="0.25">
      <c r="A2513" s="1" t="s">
        <v>16</v>
      </c>
      <c r="B2513" s="1" t="s">
        <v>16</v>
      </c>
      <c r="C2513" s="1" t="s">
        <v>16</v>
      </c>
      <c r="D2513" s="1" t="s">
        <v>16</v>
      </c>
      <c r="E2513" s="1">
        <v>2789</v>
      </c>
      <c r="F2513" s="1" t="s">
        <v>8383</v>
      </c>
      <c r="G2513" s="1" t="s">
        <v>8384</v>
      </c>
      <c r="H2513" s="1" t="s">
        <v>16</v>
      </c>
      <c r="I2513" s="1" t="s">
        <v>20</v>
      </c>
      <c r="J2513" s="1" t="s">
        <v>8385</v>
      </c>
      <c r="K2513" s="1" t="b">
        <v>0</v>
      </c>
      <c r="L2513" s="1" t="s">
        <v>22</v>
      </c>
      <c r="M2513" s="1" t="s">
        <v>16</v>
      </c>
      <c r="N2513" s="1" t="s">
        <v>16</v>
      </c>
      <c r="O2513" s="1" t="s">
        <v>16</v>
      </c>
      <c r="P2513" s="1" t="s">
        <v>16</v>
      </c>
    </row>
    <row r="2514" spans="1:17" ht="12.5" x14ac:dyDescent="0.25">
      <c r="A2514" s="1" t="s">
        <v>16</v>
      </c>
      <c r="B2514" s="1" t="s">
        <v>16</v>
      </c>
      <c r="C2514" s="1" t="s">
        <v>16</v>
      </c>
      <c r="D2514" s="1" t="s">
        <v>16</v>
      </c>
      <c r="E2514" s="1">
        <v>2790</v>
      </c>
      <c r="F2514" s="1" t="s">
        <v>8386</v>
      </c>
      <c r="G2514" s="1" t="s">
        <v>8387</v>
      </c>
      <c r="H2514" s="1" t="s">
        <v>16</v>
      </c>
      <c r="I2514" s="1" t="s">
        <v>20</v>
      </c>
      <c r="J2514" s="1" t="s">
        <v>8388</v>
      </c>
      <c r="K2514" s="1" t="b">
        <v>0</v>
      </c>
      <c r="L2514" s="1" t="s">
        <v>22</v>
      </c>
      <c r="M2514" s="1" t="s">
        <v>16</v>
      </c>
      <c r="N2514" s="1" t="s">
        <v>16</v>
      </c>
      <c r="O2514" s="1" t="s">
        <v>16</v>
      </c>
      <c r="P2514" s="1" t="s">
        <v>16</v>
      </c>
    </row>
    <row r="2515" spans="1:17" ht="12.5" x14ac:dyDescent="0.25">
      <c r="A2515" s="1" t="s">
        <v>16</v>
      </c>
      <c r="B2515" s="1" t="s">
        <v>16</v>
      </c>
      <c r="C2515" s="1" t="s">
        <v>16</v>
      </c>
      <c r="D2515" s="1" t="s">
        <v>16</v>
      </c>
      <c r="E2515" s="1">
        <v>2791</v>
      </c>
      <c r="F2515" s="1" t="s">
        <v>8389</v>
      </c>
      <c r="G2515" s="1" t="s">
        <v>8390</v>
      </c>
      <c r="H2515" s="1" t="s">
        <v>16</v>
      </c>
      <c r="I2515" s="1" t="s">
        <v>20</v>
      </c>
      <c r="J2515" s="1" t="s">
        <v>8391</v>
      </c>
      <c r="K2515" s="1" t="b">
        <v>0</v>
      </c>
      <c r="L2515" s="1" t="s">
        <v>22</v>
      </c>
      <c r="M2515" s="1" t="s">
        <v>16</v>
      </c>
      <c r="N2515" s="1" t="s">
        <v>16</v>
      </c>
      <c r="O2515" s="1" t="s">
        <v>16</v>
      </c>
      <c r="P2515" s="1" t="s">
        <v>16</v>
      </c>
    </row>
    <row r="2516" spans="1:17" ht="12.5" x14ac:dyDescent="0.25">
      <c r="A2516" s="1" t="s">
        <v>16</v>
      </c>
      <c r="B2516" s="1" t="s">
        <v>16</v>
      </c>
      <c r="C2516" s="1" t="s">
        <v>16</v>
      </c>
      <c r="D2516" s="1" t="s">
        <v>16</v>
      </c>
      <c r="E2516" s="1">
        <v>2792</v>
      </c>
      <c r="F2516" s="1" t="s">
        <v>8392</v>
      </c>
      <c r="G2516" s="1" t="s">
        <v>8393</v>
      </c>
      <c r="H2516" s="1" t="s">
        <v>16</v>
      </c>
      <c r="I2516" s="1" t="s">
        <v>20</v>
      </c>
      <c r="J2516" s="1" t="s">
        <v>8394</v>
      </c>
      <c r="K2516" s="1" t="b">
        <v>0</v>
      </c>
      <c r="L2516" s="1" t="s">
        <v>22</v>
      </c>
      <c r="M2516" s="1" t="s">
        <v>16</v>
      </c>
      <c r="N2516" s="1" t="s">
        <v>16</v>
      </c>
      <c r="O2516" s="1" t="s">
        <v>16</v>
      </c>
      <c r="P2516" s="1" t="s">
        <v>16</v>
      </c>
    </row>
    <row r="2517" spans="1:17" ht="12.5" x14ac:dyDescent="0.25">
      <c r="A2517" s="1" t="s">
        <v>16</v>
      </c>
      <c r="B2517" s="1" t="s">
        <v>16</v>
      </c>
      <c r="C2517" s="1" t="s">
        <v>16</v>
      </c>
      <c r="D2517" s="1" t="s">
        <v>16</v>
      </c>
      <c r="E2517" s="1">
        <v>2793</v>
      </c>
      <c r="F2517" s="1" t="s">
        <v>8395</v>
      </c>
      <c r="G2517" s="1" t="s">
        <v>8396</v>
      </c>
      <c r="H2517" s="1" t="s">
        <v>16</v>
      </c>
      <c r="I2517" s="1" t="s">
        <v>20</v>
      </c>
      <c r="J2517" s="1" t="s">
        <v>8397</v>
      </c>
      <c r="K2517" s="1" t="b">
        <v>0</v>
      </c>
      <c r="L2517" s="1" t="s">
        <v>22</v>
      </c>
      <c r="M2517" s="1" t="s">
        <v>16</v>
      </c>
      <c r="N2517" s="1" t="s">
        <v>16</v>
      </c>
      <c r="O2517" s="1" t="s">
        <v>16</v>
      </c>
      <c r="P2517" s="1" t="s">
        <v>16</v>
      </c>
    </row>
    <row r="2518" spans="1:17" ht="12.5" x14ac:dyDescent="0.25">
      <c r="A2518" s="1" t="s">
        <v>16</v>
      </c>
      <c r="B2518" s="1" t="s">
        <v>16</v>
      </c>
      <c r="C2518" s="1" t="s">
        <v>16</v>
      </c>
      <c r="D2518" s="1" t="s">
        <v>16</v>
      </c>
      <c r="E2518" s="1">
        <v>2794</v>
      </c>
      <c r="F2518" s="1" t="s">
        <v>8398</v>
      </c>
      <c r="G2518" s="1" t="s">
        <v>8399</v>
      </c>
      <c r="H2518" s="1" t="s">
        <v>8400</v>
      </c>
      <c r="I2518" s="1" t="s">
        <v>20</v>
      </c>
      <c r="J2518" s="1" t="s">
        <v>8401</v>
      </c>
      <c r="K2518" s="1" t="b">
        <v>0</v>
      </c>
      <c r="L2518" s="1" t="s">
        <v>22</v>
      </c>
      <c r="M2518" s="1" t="s">
        <v>16</v>
      </c>
      <c r="N2518" s="1" t="s">
        <v>16</v>
      </c>
      <c r="O2518" s="1" t="s">
        <v>16</v>
      </c>
      <c r="P2518" s="1" t="s">
        <v>16</v>
      </c>
    </row>
    <row r="2519" spans="1:17" ht="12.5" x14ac:dyDescent="0.25">
      <c r="A2519" s="1" t="s">
        <v>16</v>
      </c>
      <c r="B2519" s="1" t="s">
        <v>16</v>
      </c>
      <c r="C2519" s="1" t="s">
        <v>16</v>
      </c>
      <c r="D2519" s="1" t="s">
        <v>16</v>
      </c>
      <c r="E2519" s="1">
        <v>2795</v>
      </c>
      <c r="F2519" s="1" t="s">
        <v>8402</v>
      </c>
      <c r="G2519" s="1" t="s">
        <v>8403</v>
      </c>
      <c r="H2519" s="1" t="s">
        <v>16</v>
      </c>
      <c r="I2519" s="1" t="s">
        <v>20</v>
      </c>
      <c r="J2519" s="1" t="s">
        <v>8404</v>
      </c>
      <c r="K2519" s="1" t="b">
        <v>0</v>
      </c>
      <c r="L2519" s="1" t="s">
        <v>22</v>
      </c>
      <c r="M2519" s="1" t="s">
        <v>16</v>
      </c>
      <c r="N2519" s="1" t="s">
        <v>16</v>
      </c>
      <c r="O2519" s="1" t="s">
        <v>16</v>
      </c>
      <c r="P2519" s="1" t="s">
        <v>16</v>
      </c>
    </row>
    <row r="2520" spans="1:17" ht="12.5" x14ac:dyDescent="0.25">
      <c r="A2520" s="1" t="s">
        <v>16</v>
      </c>
      <c r="B2520" s="1" t="s">
        <v>16</v>
      </c>
      <c r="C2520" s="1" t="s">
        <v>16</v>
      </c>
      <c r="D2520" s="1" t="s">
        <v>16</v>
      </c>
      <c r="E2520" s="1">
        <v>2796</v>
      </c>
      <c r="F2520" s="1" t="s">
        <v>8405</v>
      </c>
      <c r="G2520" s="1" t="s">
        <v>8406</v>
      </c>
      <c r="H2520" s="1" t="s">
        <v>16</v>
      </c>
      <c r="I2520" s="1" t="s">
        <v>20</v>
      </c>
      <c r="J2520" s="1" t="s">
        <v>8407</v>
      </c>
      <c r="K2520" s="1" t="b">
        <v>0</v>
      </c>
      <c r="L2520" s="1" t="s">
        <v>22</v>
      </c>
      <c r="M2520" s="1" t="s">
        <v>16</v>
      </c>
      <c r="N2520" s="1" t="s">
        <v>16</v>
      </c>
      <c r="O2520" s="1" t="s">
        <v>16</v>
      </c>
      <c r="P2520" s="1" t="s">
        <v>16</v>
      </c>
    </row>
    <row r="2521" spans="1:17" ht="12.5" x14ac:dyDescent="0.25">
      <c r="A2521" s="1" t="s">
        <v>16</v>
      </c>
      <c r="B2521" s="1" t="s">
        <v>16</v>
      </c>
      <c r="C2521" s="1" t="s">
        <v>16</v>
      </c>
      <c r="D2521" s="1" t="s">
        <v>16</v>
      </c>
      <c r="E2521" s="1">
        <v>2797</v>
      </c>
      <c r="F2521" s="1" t="s">
        <v>8408</v>
      </c>
      <c r="G2521" s="1" t="s">
        <v>8409</v>
      </c>
      <c r="H2521" s="1" t="s">
        <v>16</v>
      </c>
      <c r="I2521" s="1" t="s">
        <v>20</v>
      </c>
      <c r="J2521" s="1" t="s">
        <v>8410</v>
      </c>
      <c r="K2521" s="1" t="b">
        <v>0</v>
      </c>
      <c r="L2521" s="1" t="s">
        <v>22</v>
      </c>
      <c r="M2521" s="1" t="s">
        <v>16</v>
      </c>
      <c r="N2521" s="1" t="s">
        <v>16</v>
      </c>
      <c r="O2521" s="1" t="s">
        <v>16</v>
      </c>
      <c r="P2521" s="1" t="s">
        <v>16</v>
      </c>
    </row>
    <row r="2522" spans="1:17" ht="12.5" x14ac:dyDescent="0.25">
      <c r="A2522" s="1">
        <v>474</v>
      </c>
      <c r="B2522" s="1" t="s">
        <v>1939</v>
      </c>
      <c r="C2522" s="1" t="s">
        <v>35</v>
      </c>
      <c r="D2522" s="1" t="s">
        <v>36</v>
      </c>
      <c r="E2522" s="1">
        <v>2798</v>
      </c>
      <c r="F2522" s="1" t="s">
        <v>8411</v>
      </c>
      <c r="G2522" s="1" t="s">
        <v>8412</v>
      </c>
      <c r="H2522" s="1" t="s">
        <v>16</v>
      </c>
      <c r="I2522" s="1" t="s">
        <v>20</v>
      </c>
      <c r="J2522" s="1" t="s">
        <v>8413</v>
      </c>
      <c r="K2522" s="1" t="b">
        <v>0</v>
      </c>
      <c r="L2522" s="1" t="s">
        <v>22</v>
      </c>
      <c r="M2522" s="1" t="s">
        <v>16</v>
      </c>
      <c r="N2522" s="1" t="s">
        <v>16</v>
      </c>
      <c r="O2522" s="1" t="s">
        <v>16</v>
      </c>
      <c r="P2522" s="1" t="s">
        <v>16</v>
      </c>
      <c r="Q2522" s="1">
        <v>100</v>
      </c>
    </row>
    <row r="2523" spans="1:17" ht="12.5" x14ac:dyDescent="0.25">
      <c r="A2523" s="1" t="s">
        <v>16</v>
      </c>
      <c r="B2523" s="1" t="s">
        <v>16</v>
      </c>
      <c r="C2523" s="1" t="s">
        <v>16</v>
      </c>
      <c r="D2523" s="1" t="s">
        <v>16</v>
      </c>
      <c r="E2523" s="1">
        <v>2799</v>
      </c>
      <c r="F2523" s="1" t="s">
        <v>8414</v>
      </c>
      <c r="G2523" s="1" t="s">
        <v>8415</v>
      </c>
      <c r="H2523" s="1" t="s">
        <v>16</v>
      </c>
      <c r="I2523" s="1" t="s">
        <v>20</v>
      </c>
      <c r="J2523" s="1" t="s">
        <v>8416</v>
      </c>
      <c r="K2523" s="1" t="b">
        <v>0</v>
      </c>
      <c r="L2523" s="1" t="s">
        <v>22</v>
      </c>
      <c r="M2523" s="1" t="s">
        <v>16</v>
      </c>
      <c r="N2523" s="1" t="s">
        <v>16</v>
      </c>
      <c r="O2523" s="1" t="s">
        <v>16</v>
      </c>
      <c r="P2523" s="1" t="s">
        <v>16</v>
      </c>
    </row>
    <row r="2524" spans="1:17" ht="12.5" x14ac:dyDescent="0.25">
      <c r="A2524" s="1" t="s">
        <v>16</v>
      </c>
      <c r="B2524" s="1" t="s">
        <v>16</v>
      </c>
      <c r="C2524" s="1" t="s">
        <v>16</v>
      </c>
      <c r="D2524" s="1" t="s">
        <v>16</v>
      </c>
      <c r="E2524" s="1">
        <v>2800</v>
      </c>
      <c r="F2524" s="1" t="s">
        <v>8417</v>
      </c>
      <c r="G2524" s="1" t="s">
        <v>8418</v>
      </c>
      <c r="H2524" s="1" t="s">
        <v>16</v>
      </c>
      <c r="I2524" s="1" t="s">
        <v>20</v>
      </c>
      <c r="J2524" s="1" t="s">
        <v>8419</v>
      </c>
      <c r="K2524" s="1" t="b">
        <v>0</v>
      </c>
      <c r="L2524" s="1" t="s">
        <v>22</v>
      </c>
      <c r="M2524" s="1" t="s">
        <v>16</v>
      </c>
      <c r="N2524" s="1" t="s">
        <v>16</v>
      </c>
      <c r="O2524" s="1" t="s">
        <v>16</v>
      </c>
      <c r="P2524" s="1" t="s">
        <v>16</v>
      </c>
    </row>
    <row r="2525" spans="1:17" ht="12.5" x14ac:dyDescent="0.25">
      <c r="A2525" s="1" t="s">
        <v>16</v>
      </c>
      <c r="B2525" s="1" t="s">
        <v>16</v>
      </c>
      <c r="C2525" s="1" t="s">
        <v>16</v>
      </c>
      <c r="D2525" s="1" t="s">
        <v>16</v>
      </c>
      <c r="E2525" s="1">
        <v>2801</v>
      </c>
      <c r="F2525" s="1" t="s">
        <v>8420</v>
      </c>
      <c r="G2525" s="1" t="s">
        <v>8421</v>
      </c>
      <c r="H2525" s="1" t="s">
        <v>16</v>
      </c>
      <c r="I2525" s="1" t="s">
        <v>20</v>
      </c>
      <c r="J2525" s="1" t="s">
        <v>8422</v>
      </c>
      <c r="K2525" s="1" t="b">
        <v>0</v>
      </c>
      <c r="L2525" s="1" t="s">
        <v>22</v>
      </c>
      <c r="M2525" s="1" t="s">
        <v>16</v>
      </c>
      <c r="N2525" s="1" t="s">
        <v>16</v>
      </c>
      <c r="O2525" s="1" t="s">
        <v>16</v>
      </c>
      <c r="P2525" s="1" t="s">
        <v>16</v>
      </c>
    </row>
    <row r="2526" spans="1:17" ht="12.5" x14ac:dyDescent="0.25">
      <c r="A2526" s="1" t="s">
        <v>16</v>
      </c>
      <c r="B2526" s="1" t="s">
        <v>16</v>
      </c>
      <c r="C2526" s="1" t="s">
        <v>16</v>
      </c>
      <c r="D2526" s="1" t="s">
        <v>16</v>
      </c>
      <c r="E2526" s="1">
        <v>2802</v>
      </c>
      <c r="F2526" s="1" t="s">
        <v>8423</v>
      </c>
      <c r="G2526" s="1" t="s">
        <v>8424</v>
      </c>
      <c r="H2526" s="1" t="s">
        <v>16</v>
      </c>
      <c r="I2526" s="1" t="s">
        <v>20</v>
      </c>
      <c r="J2526" s="1" t="s">
        <v>8425</v>
      </c>
      <c r="K2526" s="1" t="b">
        <v>0</v>
      </c>
      <c r="L2526" s="1" t="s">
        <v>22</v>
      </c>
      <c r="M2526" s="1" t="s">
        <v>16</v>
      </c>
      <c r="N2526" s="1" t="s">
        <v>16</v>
      </c>
      <c r="O2526" s="1" t="s">
        <v>16</v>
      </c>
      <c r="P2526" s="1" t="s">
        <v>16</v>
      </c>
    </row>
    <row r="2527" spans="1:17" ht="12.5" x14ac:dyDescent="0.25">
      <c r="A2527" s="1" t="s">
        <v>16</v>
      </c>
      <c r="B2527" s="1" t="s">
        <v>16</v>
      </c>
      <c r="C2527" s="1" t="s">
        <v>16</v>
      </c>
      <c r="D2527" s="1" t="s">
        <v>16</v>
      </c>
      <c r="E2527" s="1">
        <v>2803</v>
      </c>
      <c r="F2527" s="1" t="s">
        <v>8426</v>
      </c>
      <c r="G2527" s="1" t="s">
        <v>8427</v>
      </c>
      <c r="H2527" s="1" t="s">
        <v>16</v>
      </c>
      <c r="I2527" s="1" t="s">
        <v>20</v>
      </c>
      <c r="J2527" s="1" t="s">
        <v>8428</v>
      </c>
      <c r="K2527" s="1" t="b">
        <v>0</v>
      </c>
      <c r="L2527" s="1" t="s">
        <v>22</v>
      </c>
      <c r="M2527" s="1" t="s">
        <v>16</v>
      </c>
      <c r="N2527" s="1" t="s">
        <v>16</v>
      </c>
      <c r="O2527" s="1" t="s">
        <v>16</v>
      </c>
      <c r="P2527" s="1" t="s">
        <v>16</v>
      </c>
    </row>
    <row r="2528" spans="1:17" ht="12.5" x14ac:dyDescent="0.25">
      <c r="A2528" s="1" t="s">
        <v>16</v>
      </c>
      <c r="B2528" s="1" t="s">
        <v>16</v>
      </c>
      <c r="C2528" s="1" t="s">
        <v>16</v>
      </c>
      <c r="D2528" s="1" t="s">
        <v>16</v>
      </c>
      <c r="E2528" s="1">
        <v>2804</v>
      </c>
      <c r="F2528" s="1" t="s">
        <v>8429</v>
      </c>
      <c r="G2528" s="1" t="s">
        <v>8430</v>
      </c>
      <c r="H2528" s="1" t="s">
        <v>16</v>
      </c>
      <c r="I2528" s="1" t="s">
        <v>20</v>
      </c>
      <c r="J2528" s="1" t="s">
        <v>8431</v>
      </c>
      <c r="K2528" s="1" t="b">
        <v>0</v>
      </c>
      <c r="L2528" s="1" t="s">
        <v>22</v>
      </c>
      <c r="M2528" s="1" t="s">
        <v>16</v>
      </c>
      <c r="N2528" s="1" t="s">
        <v>16</v>
      </c>
      <c r="O2528" s="1" t="s">
        <v>16</v>
      </c>
      <c r="P2528" s="1" t="s">
        <v>16</v>
      </c>
    </row>
    <row r="2529" spans="1:17" ht="12.5" x14ac:dyDescent="0.25">
      <c r="A2529" s="1" t="s">
        <v>16</v>
      </c>
      <c r="B2529" s="1" t="s">
        <v>16</v>
      </c>
      <c r="C2529" s="1" t="s">
        <v>16</v>
      </c>
      <c r="D2529" s="1" t="s">
        <v>16</v>
      </c>
      <c r="E2529" s="1">
        <v>2805</v>
      </c>
      <c r="F2529" s="1" t="s">
        <v>8432</v>
      </c>
      <c r="G2529" s="1" t="s">
        <v>8433</v>
      </c>
      <c r="H2529" s="1" t="s">
        <v>16</v>
      </c>
      <c r="I2529" s="1" t="s">
        <v>20</v>
      </c>
      <c r="J2529" s="1" t="s">
        <v>8434</v>
      </c>
      <c r="K2529" s="1" t="b">
        <v>0</v>
      </c>
      <c r="L2529" s="1" t="s">
        <v>22</v>
      </c>
      <c r="M2529" s="1" t="s">
        <v>16</v>
      </c>
      <c r="N2529" s="1" t="s">
        <v>16</v>
      </c>
      <c r="O2529" s="1" t="s">
        <v>16</v>
      </c>
      <c r="P2529" s="1" t="s">
        <v>16</v>
      </c>
    </row>
    <row r="2530" spans="1:17" ht="12.5" x14ac:dyDescent="0.25">
      <c r="A2530" s="1">
        <v>4569</v>
      </c>
      <c r="B2530" s="1" t="s">
        <v>8435</v>
      </c>
      <c r="C2530" s="1" t="s">
        <v>35</v>
      </c>
      <c r="D2530" s="1" t="s">
        <v>36</v>
      </c>
      <c r="E2530" s="1">
        <v>2806</v>
      </c>
      <c r="F2530" s="1" t="s">
        <v>8436</v>
      </c>
      <c r="G2530" s="1" t="s">
        <v>8437</v>
      </c>
      <c r="H2530" s="1" t="s">
        <v>16</v>
      </c>
      <c r="I2530" s="1" t="s">
        <v>20</v>
      </c>
      <c r="J2530" s="1" t="s">
        <v>8438</v>
      </c>
      <c r="K2530" s="1" t="b">
        <v>0</v>
      </c>
      <c r="L2530" s="1" t="s">
        <v>22</v>
      </c>
      <c r="M2530" s="1" t="s">
        <v>16</v>
      </c>
      <c r="N2530" s="1" t="s">
        <v>16</v>
      </c>
      <c r="O2530" s="1" t="s">
        <v>16</v>
      </c>
      <c r="P2530" s="1" t="s">
        <v>16</v>
      </c>
      <c r="Q2530" s="1">
        <v>0</v>
      </c>
    </row>
    <row r="2531" spans="1:17" ht="12.5" x14ac:dyDescent="0.25">
      <c r="A2531" s="1" t="s">
        <v>16</v>
      </c>
      <c r="B2531" s="1" t="s">
        <v>16</v>
      </c>
      <c r="C2531" s="1" t="s">
        <v>16</v>
      </c>
      <c r="D2531" s="1" t="s">
        <v>16</v>
      </c>
      <c r="E2531" s="1">
        <v>2807</v>
      </c>
      <c r="F2531" s="1" t="s">
        <v>8439</v>
      </c>
      <c r="G2531" s="1" t="s">
        <v>8440</v>
      </c>
      <c r="H2531" s="1" t="s">
        <v>16</v>
      </c>
      <c r="I2531" s="1" t="s">
        <v>20</v>
      </c>
      <c r="J2531" s="1" t="s">
        <v>8441</v>
      </c>
      <c r="K2531" s="1" t="b">
        <v>0</v>
      </c>
      <c r="L2531" s="1" t="s">
        <v>22</v>
      </c>
      <c r="M2531" s="1" t="s">
        <v>16</v>
      </c>
      <c r="N2531" s="1" t="s">
        <v>16</v>
      </c>
      <c r="O2531" s="1" t="s">
        <v>16</v>
      </c>
      <c r="P2531" s="1" t="s">
        <v>16</v>
      </c>
    </row>
    <row r="2532" spans="1:17" ht="12.5" x14ac:dyDescent="0.25">
      <c r="A2532" s="1" t="s">
        <v>16</v>
      </c>
      <c r="B2532" s="1" t="s">
        <v>16</v>
      </c>
      <c r="C2532" s="1" t="s">
        <v>16</v>
      </c>
      <c r="D2532" s="1" t="s">
        <v>16</v>
      </c>
      <c r="E2532" s="1">
        <v>2808</v>
      </c>
      <c r="F2532" s="1" t="s">
        <v>8442</v>
      </c>
      <c r="G2532" s="1" t="s">
        <v>8443</v>
      </c>
      <c r="H2532" s="1" t="s">
        <v>16</v>
      </c>
      <c r="I2532" s="1" t="s">
        <v>20</v>
      </c>
      <c r="J2532" s="1" t="s">
        <v>8444</v>
      </c>
      <c r="K2532" s="1" t="b">
        <v>0</v>
      </c>
      <c r="L2532" s="1" t="s">
        <v>22</v>
      </c>
      <c r="M2532" s="1" t="s">
        <v>16</v>
      </c>
      <c r="N2532" s="1" t="s">
        <v>16</v>
      </c>
      <c r="O2532" s="1" t="s">
        <v>16</v>
      </c>
      <c r="P2532" s="1" t="s">
        <v>16</v>
      </c>
    </row>
    <row r="2533" spans="1:17" ht="12.5" x14ac:dyDescent="0.25">
      <c r="A2533" s="1" t="s">
        <v>16</v>
      </c>
      <c r="B2533" s="1" t="s">
        <v>16</v>
      </c>
      <c r="C2533" s="1" t="s">
        <v>16</v>
      </c>
      <c r="D2533" s="1" t="s">
        <v>16</v>
      </c>
      <c r="E2533" s="1">
        <v>2809</v>
      </c>
      <c r="F2533" s="1" t="s">
        <v>8445</v>
      </c>
      <c r="G2533" s="1" t="s">
        <v>8446</v>
      </c>
      <c r="H2533" s="1" t="s">
        <v>16</v>
      </c>
      <c r="I2533" s="1" t="s">
        <v>20</v>
      </c>
      <c r="J2533" s="1" t="s">
        <v>8447</v>
      </c>
      <c r="K2533" s="1" t="b">
        <v>0</v>
      </c>
      <c r="L2533" s="1" t="s">
        <v>22</v>
      </c>
      <c r="M2533" s="1" t="s">
        <v>16</v>
      </c>
      <c r="N2533" s="1" t="s">
        <v>16</v>
      </c>
      <c r="O2533" s="1" t="s">
        <v>16</v>
      </c>
      <c r="P2533" s="1" t="s">
        <v>16</v>
      </c>
    </row>
    <row r="2534" spans="1:17" ht="12.5" x14ac:dyDescent="0.25">
      <c r="A2534" s="1">
        <v>2382</v>
      </c>
      <c r="B2534" s="1" t="s">
        <v>8448</v>
      </c>
      <c r="C2534" s="1" t="s">
        <v>38</v>
      </c>
      <c r="D2534" s="1" t="s">
        <v>39</v>
      </c>
      <c r="E2534" s="1">
        <v>2810</v>
      </c>
      <c r="F2534" s="1" t="s">
        <v>8449</v>
      </c>
      <c r="G2534" s="1" t="s">
        <v>8450</v>
      </c>
      <c r="H2534" s="1" t="s">
        <v>16</v>
      </c>
      <c r="I2534" s="1" t="s">
        <v>20</v>
      </c>
      <c r="J2534" s="1" t="s">
        <v>8451</v>
      </c>
      <c r="K2534" s="1" t="b">
        <v>0</v>
      </c>
      <c r="L2534" s="1" t="s">
        <v>22</v>
      </c>
      <c r="M2534" s="1" t="s">
        <v>16</v>
      </c>
      <c r="N2534" s="1" t="s">
        <v>16</v>
      </c>
      <c r="O2534" s="1" t="s">
        <v>16</v>
      </c>
      <c r="P2534" s="1" t="s">
        <v>16</v>
      </c>
      <c r="Q2534" s="1">
        <v>1</v>
      </c>
    </row>
    <row r="2535" spans="1:17" ht="12.5" x14ac:dyDescent="0.25">
      <c r="A2535" s="1">
        <v>2383</v>
      </c>
      <c r="B2535" s="1" t="s">
        <v>8452</v>
      </c>
      <c r="C2535" s="1" t="s">
        <v>38</v>
      </c>
      <c r="D2535" s="1" t="s">
        <v>39</v>
      </c>
      <c r="E2535" s="1">
        <v>2810</v>
      </c>
      <c r="F2535" s="1" t="s">
        <v>8449</v>
      </c>
      <c r="G2535" s="1" t="s">
        <v>8450</v>
      </c>
      <c r="H2535" s="1" t="s">
        <v>16</v>
      </c>
      <c r="I2535" s="1" t="s">
        <v>20</v>
      </c>
      <c r="J2535" s="1" t="s">
        <v>8451</v>
      </c>
      <c r="K2535" s="1" t="b">
        <v>0</v>
      </c>
      <c r="L2535" s="1" t="s">
        <v>22</v>
      </c>
      <c r="M2535" s="1" t="s">
        <v>16</v>
      </c>
      <c r="N2535" s="1" t="s">
        <v>16</v>
      </c>
      <c r="O2535" s="1" t="s">
        <v>16</v>
      </c>
      <c r="P2535" s="1" t="s">
        <v>16</v>
      </c>
      <c r="Q2535" s="1">
        <v>1</v>
      </c>
    </row>
    <row r="2536" spans="1:17" ht="12.5" x14ac:dyDescent="0.25">
      <c r="A2536" s="1">
        <v>2389</v>
      </c>
      <c r="B2536" s="1" t="s">
        <v>8453</v>
      </c>
      <c r="C2536" s="1" t="s">
        <v>38</v>
      </c>
      <c r="D2536" s="1" t="s">
        <v>39</v>
      </c>
      <c r="E2536" s="1">
        <v>2810</v>
      </c>
      <c r="F2536" s="1" t="s">
        <v>8449</v>
      </c>
      <c r="G2536" s="1" t="s">
        <v>8450</v>
      </c>
      <c r="H2536" s="1" t="s">
        <v>16</v>
      </c>
      <c r="I2536" s="1" t="s">
        <v>20</v>
      </c>
      <c r="J2536" s="1" t="s">
        <v>8451</v>
      </c>
      <c r="K2536" s="1" t="b">
        <v>0</v>
      </c>
      <c r="L2536" s="1" t="s">
        <v>22</v>
      </c>
      <c r="M2536" s="1" t="s">
        <v>16</v>
      </c>
      <c r="N2536" s="1" t="s">
        <v>16</v>
      </c>
      <c r="O2536" s="1" t="s">
        <v>16</v>
      </c>
      <c r="P2536" s="1" t="s">
        <v>16</v>
      </c>
      <c r="Q2536" s="1">
        <v>1</v>
      </c>
    </row>
    <row r="2537" spans="1:17" ht="12.5" x14ac:dyDescent="0.25">
      <c r="A2537" s="1">
        <v>2422</v>
      </c>
      <c r="B2537" s="1" t="s">
        <v>8454</v>
      </c>
      <c r="C2537" s="1" t="s">
        <v>38</v>
      </c>
      <c r="D2537" s="1" t="s">
        <v>39</v>
      </c>
      <c r="E2537" s="1">
        <v>2810</v>
      </c>
      <c r="F2537" s="1" t="s">
        <v>8449</v>
      </c>
      <c r="G2537" s="1" t="s">
        <v>8450</v>
      </c>
      <c r="H2537" s="1" t="s">
        <v>16</v>
      </c>
      <c r="I2537" s="1" t="s">
        <v>20</v>
      </c>
      <c r="J2537" s="1" t="s">
        <v>8451</v>
      </c>
      <c r="K2537" s="1" t="b">
        <v>0</v>
      </c>
      <c r="L2537" s="1" t="s">
        <v>22</v>
      </c>
      <c r="M2537" s="1" t="s">
        <v>16</v>
      </c>
      <c r="N2537" s="1" t="s">
        <v>16</v>
      </c>
      <c r="O2537" s="1" t="s">
        <v>16</v>
      </c>
      <c r="P2537" s="1" t="s">
        <v>16</v>
      </c>
      <c r="Q2537" s="1">
        <v>1</v>
      </c>
    </row>
    <row r="2538" spans="1:17" ht="12.5" x14ac:dyDescent="0.25">
      <c r="A2538" s="1" t="s">
        <v>16</v>
      </c>
      <c r="B2538" s="1" t="s">
        <v>16</v>
      </c>
      <c r="C2538" s="1" t="s">
        <v>16</v>
      </c>
      <c r="D2538" s="1" t="s">
        <v>16</v>
      </c>
      <c r="E2538" s="1">
        <v>2811</v>
      </c>
      <c r="F2538" s="1" t="s">
        <v>8455</v>
      </c>
      <c r="G2538" s="1" t="s">
        <v>8456</v>
      </c>
      <c r="H2538" s="1" t="s">
        <v>16</v>
      </c>
      <c r="I2538" s="1" t="s">
        <v>20</v>
      </c>
      <c r="J2538" s="1" t="s">
        <v>8457</v>
      </c>
      <c r="K2538" s="1" t="b">
        <v>0</v>
      </c>
      <c r="L2538" s="1" t="s">
        <v>22</v>
      </c>
      <c r="M2538" s="1" t="s">
        <v>16</v>
      </c>
      <c r="N2538" s="1" t="s">
        <v>16</v>
      </c>
      <c r="O2538" s="1" t="s">
        <v>16</v>
      </c>
      <c r="P2538" s="1" t="s">
        <v>16</v>
      </c>
    </row>
    <row r="2539" spans="1:17" ht="12.5" x14ac:dyDescent="0.25">
      <c r="A2539" s="1" t="s">
        <v>16</v>
      </c>
      <c r="B2539" s="1" t="s">
        <v>16</v>
      </c>
      <c r="C2539" s="1" t="s">
        <v>16</v>
      </c>
      <c r="D2539" s="1" t="s">
        <v>16</v>
      </c>
      <c r="E2539" s="1">
        <v>2812</v>
      </c>
      <c r="F2539" s="1" t="s">
        <v>8458</v>
      </c>
      <c r="G2539" s="1" t="s">
        <v>8459</v>
      </c>
      <c r="H2539" s="1" t="s">
        <v>16</v>
      </c>
      <c r="I2539" s="1" t="s">
        <v>20</v>
      </c>
      <c r="J2539" s="1" t="s">
        <v>8460</v>
      </c>
      <c r="K2539" s="1" t="b">
        <v>1</v>
      </c>
      <c r="L2539" s="1" t="s">
        <v>31</v>
      </c>
      <c r="M2539" s="1" t="s">
        <v>16</v>
      </c>
      <c r="N2539" s="1" t="s">
        <v>16</v>
      </c>
      <c r="O2539" s="1" t="s">
        <v>16</v>
      </c>
      <c r="P2539" s="1" t="s">
        <v>16</v>
      </c>
    </row>
    <row r="2540" spans="1:17" ht="12.5" x14ac:dyDescent="0.25">
      <c r="A2540" s="1" t="s">
        <v>16</v>
      </c>
      <c r="B2540" s="1" t="s">
        <v>16</v>
      </c>
      <c r="C2540" s="1" t="s">
        <v>16</v>
      </c>
      <c r="D2540" s="1" t="s">
        <v>16</v>
      </c>
      <c r="E2540" s="1">
        <v>2813</v>
      </c>
      <c r="F2540" s="1" t="s">
        <v>8461</v>
      </c>
      <c r="G2540" s="1" t="s">
        <v>8462</v>
      </c>
      <c r="H2540" s="1" t="s">
        <v>16</v>
      </c>
      <c r="I2540" s="1" t="s">
        <v>20</v>
      </c>
      <c r="J2540" s="1" t="s">
        <v>8463</v>
      </c>
      <c r="K2540" s="1" t="b">
        <v>0</v>
      </c>
      <c r="L2540" s="1" t="s">
        <v>22</v>
      </c>
      <c r="M2540" s="1" t="s">
        <v>16</v>
      </c>
      <c r="N2540" s="1" t="s">
        <v>16</v>
      </c>
      <c r="O2540" s="1" t="s">
        <v>16</v>
      </c>
      <c r="P2540" s="1" t="s">
        <v>16</v>
      </c>
    </row>
    <row r="2541" spans="1:17" ht="12.5" x14ac:dyDescent="0.25">
      <c r="A2541" s="1" t="s">
        <v>16</v>
      </c>
      <c r="B2541" s="1" t="s">
        <v>16</v>
      </c>
      <c r="C2541" s="1" t="s">
        <v>16</v>
      </c>
      <c r="D2541" s="1" t="s">
        <v>16</v>
      </c>
      <c r="E2541" s="1">
        <v>2814</v>
      </c>
      <c r="F2541" s="1" t="s">
        <v>8464</v>
      </c>
      <c r="G2541" s="1" t="s">
        <v>8465</v>
      </c>
      <c r="H2541" s="1" t="s">
        <v>16</v>
      </c>
      <c r="I2541" s="1" t="s">
        <v>20</v>
      </c>
      <c r="J2541" s="1" t="s">
        <v>8466</v>
      </c>
      <c r="K2541" s="1" t="b">
        <v>0</v>
      </c>
      <c r="L2541" s="1" t="s">
        <v>22</v>
      </c>
      <c r="M2541" s="1" t="s">
        <v>16</v>
      </c>
      <c r="N2541" s="1" t="s">
        <v>16</v>
      </c>
      <c r="O2541" s="1" t="s">
        <v>16</v>
      </c>
      <c r="P2541" s="1" t="s">
        <v>16</v>
      </c>
    </row>
    <row r="2542" spans="1:17" ht="12.5" x14ac:dyDescent="0.25">
      <c r="A2542" s="1" t="s">
        <v>16</v>
      </c>
      <c r="B2542" s="1" t="s">
        <v>16</v>
      </c>
      <c r="C2542" s="1" t="s">
        <v>16</v>
      </c>
      <c r="D2542" s="1" t="s">
        <v>16</v>
      </c>
      <c r="E2542" s="1">
        <v>2815</v>
      </c>
      <c r="F2542" s="1" t="s">
        <v>8467</v>
      </c>
      <c r="G2542" s="1" t="s">
        <v>8468</v>
      </c>
      <c r="H2542" s="1" t="s">
        <v>16</v>
      </c>
      <c r="I2542" s="1" t="s">
        <v>20</v>
      </c>
      <c r="J2542" s="1" t="s">
        <v>8469</v>
      </c>
      <c r="K2542" s="1" t="b">
        <v>0</v>
      </c>
      <c r="L2542" s="1" t="s">
        <v>22</v>
      </c>
      <c r="M2542" s="1" t="s">
        <v>16</v>
      </c>
      <c r="N2542" s="1" t="s">
        <v>16</v>
      </c>
      <c r="O2542" s="1" t="s">
        <v>16</v>
      </c>
      <c r="P2542" s="1" t="s">
        <v>16</v>
      </c>
    </row>
    <row r="2543" spans="1:17" ht="12.5" x14ac:dyDescent="0.25">
      <c r="A2543" s="1">
        <v>2215</v>
      </c>
      <c r="B2543" s="1" t="s">
        <v>7497</v>
      </c>
      <c r="C2543" s="1" t="s">
        <v>35</v>
      </c>
      <c r="D2543" s="1" t="s">
        <v>5409</v>
      </c>
      <c r="E2543" s="1">
        <v>2816</v>
      </c>
      <c r="F2543" s="1" t="s">
        <v>8470</v>
      </c>
      <c r="G2543" s="1" t="s">
        <v>8471</v>
      </c>
      <c r="H2543" s="1" t="s">
        <v>16</v>
      </c>
      <c r="I2543" s="1" t="s">
        <v>20</v>
      </c>
      <c r="J2543" s="1" t="s">
        <v>8472</v>
      </c>
      <c r="K2543" s="1" t="b">
        <v>0</v>
      </c>
      <c r="L2543" s="1" t="s">
        <v>22</v>
      </c>
      <c r="M2543" s="1" t="s">
        <v>16</v>
      </c>
      <c r="N2543" s="1" t="s">
        <v>16</v>
      </c>
      <c r="O2543" s="1" t="s">
        <v>16</v>
      </c>
      <c r="P2543" s="1" t="s">
        <v>16</v>
      </c>
      <c r="Q2543" s="1">
        <v>1</v>
      </c>
    </row>
    <row r="2544" spans="1:17" ht="12.5" x14ac:dyDescent="0.25">
      <c r="A2544" s="1">
        <v>87</v>
      </c>
      <c r="B2544" s="1" t="s">
        <v>447</v>
      </c>
      <c r="C2544" s="1" t="s">
        <v>15</v>
      </c>
      <c r="D2544" s="1" t="s">
        <v>15</v>
      </c>
      <c r="E2544" s="1">
        <v>2817</v>
      </c>
      <c r="F2544" s="1" t="s">
        <v>8473</v>
      </c>
      <c r="G2544" s="1" t="s">
        <v>8474</v>
      </c>
      <c r="H2544" s="1" t="s">
        <v>16</v>
      </c>
      <c r="I2544" s="1" t="s">
        <v>20</v>
      </c>
      <c r="J2544" s="1" t="s">
        <v>8475</v>
      </c>
      <c r="K2544" s="1" t="b">
        <v>0</v>
      </c>
      <c r="L2544" s="1" t="s">
        <v>22</v>
      </c>
      <c r="M2544" s="1" t="s">
        <v>16</v>
      </c>
      <c r="N2544" s="1" t="s">
        <v>16</v>
      </c>
      <c r="O2544" s="1" t="s">
        <v>16</v>
      </c>
      <c r="P2544" s="1" t="s">
        <v>16</v>
      </c>
      <c r="Q2544" s="1">
        <v>1</v>
      </c>
    </row>
    <row r="2545" spans="1:17" ht="12.5" x14ac:dyDescent="0.25">
      <c r="A2545" s="1">
        <v>3192</v>
      </c>
      <c r="B2545" s="1" t="s">
        <v>8476</v>
      </c>
      <c r="C2545" s="1" t="s">
        <v>38</v>
      </c>
      <c r="D2545" s="1" t="s">
        <v>39</v>
      </c>
      <c r="E2545" s="1">
        <v>2817</v>
      </c>
      <c r="F2545" s="1" t="s">
        <v>8473</v>
      </c>
      <c r="G2545" s="1" t="s">
        <v>8474</v>
      </c>
      <c r="H2545" s="1" t="s">
        <v>16</v>
      </c>
      <c r="I2545" s="1" t="s">
        <v>20</v>
      </c>
      <c r="J2545" s="1" t="s">
        <v>8475</v>
      </c>
      <c r="K2545" s="1" t="b">
        <v>0</v>
      </c>
      <c r="L2545" s="1" t="s">
        <v>22</v>
      </c>
      <c r="M2545" s="1" t="s">
        <v>16</v>
      </c>
      <c r="N2545" s="1" t="s">
        <v>16</v>
      </c>
      <c r="O2545" s="1" t="s">
        <v>16</v>
      </c>
      <c r="P2545" s="1" t="s">
        <v>16</v>
      </c>
      <c r="Q2545" s="1">
        <v>1</v>
      </c>
    </row>
    <row r="2546" spans="1:17" ht="12.5" x14ac:dyDescent="0.25">
      <c r="A2546" s="1" t="s">
        <v>16</v>
      </c>
      <c r="B2546" s="1" t="s">
        <v>16</v>
      </c>
      <c r="C2546" s="1" t="s">
        <v>16</v>
      </c>
      <c r="D2546" s="1" t="s">
        <v>16</v>
      </c>
      <c r="E2546" s="1">
        <v>2818</v>
      </c>
      <c r="F2546" s="1" t="s">
        <v>8477</v>
      </c>
      <c r="G2546" s="1" t="s">
        <v>8478</v>
      </c>
      <c r="H2546" s="1" t="s">
        <v>16</v>
      </c>
      <c r="I2546" s="1" t="s">
        <v>20</v>
      </c>
      <c r="J2546" s="1" t="s">
        <v>8479</v>
      </c>
      <c r="K2546" s="1" t="b">
        <v>0</v>
      </c>
      <c r="L2546" s="1" t="s">
        <v>22</v>
      </c>
      <c r="M2546" s="1" t="s">
        <v>16</v>
      </c>
      <c r="N2546" s="1" t="s">
        <v>16</v>
      </c>
      <c r="O2546" s="1" t="s">
        <v>16</v>
      </c>
      <c r="P2546" s="1" t="s">
        <v>16</v>
      </c>
    </row>
    <row r="2547" spans="1:17" ht="12.5" x14ac:dyDescent="0.25">
      <c r="A2547" s="1" t="s">
        <v>16</v>
      </c>
      <c r="B2547" s="1" t="s">
        <v>16</v>
      </c>
      <c r="C2547" s="1" t="s">
        <v>16</v>
      </c>
      <c r="D2547" s="1" t="s">
        <v>16</v>
      </c>
      <c r="E2547" s="1">
        <v>2819</v>
      </c>
      <c r="F2547" s="1" t="s">
        <v>8480</v>
      </c>
      <c r="G2547" s="1" t="s">
        <v>8481</v>
      </c>
      <c r="H2547" s="1" t="s">
        <v>16</v>
      </c>
      <c r="I2547" s="1" t="s">
        <v>20</v>
      </c>
      <c r="J2547" s="1" t="s">
        <v>8482</v>
      </c>
      <c r="K2547" s="1" t="b">
        <v>0</v>
      </c>
      <c r="L2547" s="1" t="s">
        <v>22</v>
      </c>
      <c r="M2547" s="1" t="s">
        <v>16</v>
      </c>
      <c r="N2547" s="1" t="s">
        <v>16</v>
      </c>
      <c r="O2547" s="1" t="s">
        <v>16</v>
      </c>
      <c r="P2547" s="1" t="s">
        <v>16</v>
      </c>
    </row>
    <row r="2548" spans="1:17" ht="12.5" x14ac:dyDescent="0.25">
      <c r="A2548" s="1" t="s">
        <v>16</v>
      </c>
      <c r="B2548" s="1" t="s">
        <v>16</v>
      </c>
      <c r="C2548" s="1" t="s">
        <v>16</v>
      </c>
      <c r="D2548" s="1" t="s">
        <v>16</v>
      </c>
      <c r="E2548" s="1">
        <v>2820</v>
      </c>
      <c r="F2548" s="1" t="s">
        <v>8483</v>
      </c>
      <c r="G2548" s="1" t="s">
        <v>8484</v>
      </c>
      <c r="H2548" s="1" t="s">
        <v>16</v>
      </c>
      <c r="I2548" s="1" t="s">
        <v>20</v>
      </c>
      <c r="J2548" s="1" t="s">
        <v>8485</v>
      </c>
      <c r="K2548" s="1" t="b">
        <v>0</v>
      </c>
      <c r="L2548" s="1" t="s">
        <v>22</v>
      </c>
      <c r="M2548" s="1" t="s">
        <v>16</v>
      </c>
      <c r="N2548" s="1" t="s">
        <v>16</v>
      </c>
      <c r="O2548" s="1" t="s">
        <v>16</v>
      </c>
      <c r="P2548" s="1" t="s">
        <v>16</v>
      </c>
    </row>
    <row r="2549" spans="1:17" ht="12.5" x14ac:dyDescent="0.25">
      <c r="A2549" s="1" t="s">
        <v>16</v>
      </c>
      <c r="B2549" s="1" t="s">
        <v>16</v>
      </c>
      <c r="C2549" s="1" t="s">
        <v>16</v>
      </c>
      <c r="D2549" s="1" t="s">
        <v>16</v>
      </c>
      <c r="E2549" s="1">
        <v>2821</v>
      </c>
      <c r="F2549" s="1" t="s">
        <v>8486</v>
      </c>
      <c r="G2549" s="1" t="s">
        <v>8487</v>
      </c>
      <c r="H2549" s="1" t="s">
        <v>16</v>
      </c>
      <c r="I2549" s="1" t="s">
        <v>20</v>
      </c>
      <c r="J2549" s="1" t="s">
        <v>8488</v>
      </c>
      <c r="K2549" s="1" t="b">
        <v>0</v>
      </c>
      <c r="L2549" s="1" t="s">
        <v>22</v>
      </c>
      <c r="M2549" s="1" t="s">
        <v>16</v>
      </c>
      <c r="N2549" s="1" t="s">
        <v>16</v>
      </c>
      <c r="O2549" s="1" t="s">
        <v>16</v>
      </c>
      <c r="P2549" s="1" t="s">
        <v>16</v>
      </c>
    </row>
    <row r="2550" spans="1:17" ht="12.5" x14ac:dyDescent="0.25">
      <c r="A2550" s="1" t="s">
        <v>16</v>
      </c>
      <c r="B2550" s="1" t="s">
        <v>16</v>
      </c>
      <c r="C2550" s="1" t="s">
        <v>16</v>
      </c>
      <c r="D2550" s="1" t="s">
        <v>16</v>
      </c>
      <c r="E2550" s="1">
        <v>2822</v>
      </c>
      <c r="F2550" s="1" t="s">
        <v>8489</v>
      </c>
      <c r="G2550" s="1" t="s">
        <v>8490</v>
      </c>
      <c r="H2550" s="1" t="s">
        <v>16</v>
      </c>
      <c r="I2550" s="1" t="s">
        <v>20</v>
      </c>
      <c r="J2550" s="1" t="s">
        <v>8491</v>
      </c>
      <c r="K2550" s="1" t="b">
        <v>0</v>
      </c>
      <c r="L2550" s="1" t="s">
        <v>22</v>
      </c>
      <c r="M2550" s="1" t="s">
        <v>16</v>
      </c>
      <c r="N2550" s="1" t="s">
        <v>16</v>
      </c>
      <c r="O2550" s="1" t="s">
        <v>16</v>
      </c>
      <c r="P2550" s="1" t="s">
        <v>16</v>
      </c>
    </row>
    <row r="2551" spans="1:17" ht="12.5" x14ac:dyDescent="0.25">
      <c r="A2551" s="1">
        <v>82</v>
      </c>
      <c r="B2551" s="1" t="s">
        <v>423</v>
      </c>
      <c r="C2551" s="1" t="s">
        <v>15</v>
      </c>
      <c r="D2551" s="1" t="s">
        <v>15</v>
      </c>
      <c r="E2551" s="1">
        <v>2823</v>
      </c>
      <c r="F2551" s="1" t="s">
        <v>8492</v>
      </c>
      <c r="G2551" s="1" t="s">
        <v>8493</v>
      </c>
      <c r="H2551" s="1" t="s">
        <v>16</v>
      </c>
      <c r="I2551" s="1" t="s">
        <v>20</v>
      </c>
      <c r="J2551" s="1" t="s">
        <v>8494</v>
      </c>
      <c r="K2551" s="1" t="b">
        <v>0</v>
      </c>
      <c r="L2551" s="1" t="s">
        <v>22</v>
      </c>
      <c r="M2551" s="1" t="s">
        <v>16</v>
      </c>
      <c r="N2551" s="1" t="s">
        <v>16</v>
      </c>
      <c r="O2551" s="1" t="s">
        <v>16</v>
      </c>
      <c r="P2551" s="1" t="s">
        <v>16</v>
      </c>
      <c r="Q2551" s="1">
        <v>80</v>
      </c>
    </row>
    <row r="2552" spans="1:17" ht="12.5" x14ac:dyDescent="0.25">
      <c r="A2552" s="1" t="s">
        <v>16</v>
      </c>
      <c r="B2552" s="1" t="s">
        <v>16</v>
      </c>
      <c r="C2552" s="1" t="s">
        <v>16</v>
      </c>
      <c r="D2552" s="1" t="s">
        <v>16</v>
      </c>
      <c r="E2552" s="1">
        <v>2824</v>
      </c>
      <c r="F2552" s="1" t="s">
        <v>8495</v>
      </c>
      <c r="G2552" s="1" t="s">
        <v>8496</v>
      </c>
      <c r="H2552" s="1" t="s">
        <v>16</v>
      </c>
      <c r="I2552" s="1" t="s">
        <v>20</v>
      </c>
      <c r="J2552" s="1" t="s">
        <v>8497</v>
      </c>
      <c r="K2552" s="1" t="b">
        <v>0</v>
      </c>
      <c r="L2552" s="1" t="s">
        <v>22</v>
      </c>
      <c r="M2552" s="1" t="s">
        <v>16</v>
      </c>
      <c r="N2552" s="1" t="s">
        <v>16</v>
      </c>
      <c r="O2552" s="1" t="s">
        <v>16</v>
      </c>
      <c r="P2552" s="1" t="s">
        <v>16</v>
      </c>
    </row>
    <row r="2553" spans="1:17" ht="12.5" x14ac:dyDescent="0.25">
      <c r="A2553" s="1" t="s">
        <v>16</v>
      </c>
      <c r="B2553" s="1" t="s">
        <v>16</v>
      </c>
      <c r="C2553" s="1" t="s">
        <v>16</v>
      </c>
      <c r="D2553" s="1" t="s">
        <v>16</v>
      </c>
      <c r="E2553" s="1">
        <v>2825</v>
      </c>
      <c r="F2553" s="1" t="s">
        <v>8498</v>
      </c>
      <c r="G2553" s="1" t="s">
        <v>8499</v>
      </c>
      <c r="H2553" s="1" t="s">
        <v>8500</v>
      </c>
      <c r="I2553" s="1" t="s">
        <v>20</v>
      </c>
      <c r="J2553" s="1" t="s">
        <v>8501</v>
      </c>
      <c r="K2553" s="1" t="b">
        <v>0</v>
      </c>
      <c r="L2553" s="1" t="s">
        <v>22</v>
      </c>
      <c r="M2553" s="1" t="s">
        <v>16</v>
      </c>
      <c r="N2553" s="1" t="s">
        <v>16</v>
      </c>
      <c r="O2553" s="1" t="s">
        <v>16</v>
      </c>
      <c r="P2553" s="1" t="s">
        <v>16</v>
      </c>
    </row>
    <row r="2554" spans="1:17" ht="12.5" x14ac:dyDescent="0.25">
      <c r="A2554" s="1" t="s">
        <v>16</v>
      </c>
      <c r="B2554" s="1" t="s">
        <v>16</v>
      </c>
      <c r="C2554" s="1" t="s">
        <v>16</v>
      </c>
      <c r="D2554" s="1" t="s">
        <v>16</v>
      </c>
      <c r="E2554" s="1">
        <v>2826</v>
      </c>
      <c r="F2554" s="1" t="s">
        <v>8502</v>
      </c>
      <c r="G2554" s="1" t="s">
        <v>8503</v>
      </c>
      <c r="H2554" s="1" t="s">
        <v>16</v>
      </c>
      <c r="I2554" s="1" t="s">
        <v>20</v>
      </c>
      <c r="J2554" s="1" t="s">
        <v>8504</v>
      </c>
      <c r="K2554" s="1" t="b">
        <v>0</v>
      </c>
      <c r="L2554" s="1" t="s">
        <v>22</v>
      </c>
      <c r="M2554" s="1" t="s">
        <v>16</v>
      </c>
      <c r="N2554" s="1" t="s">
        <v>16</v>
      </c>
      <c r="O2554" s="1" t="s">
        <v>16</v>
      </c>
      <c r="P2554" s="1" t="s">
        <v>16</v>
      </c>
    </row>
    <row r="2555" spans="1:17" ht="12.5" x14ac:dyDescent="0.25">
      <c r="A2555" s="1" t="s">
        <v>16</v>
      </c>
      <c r="B2555" s="1" t="s">
        <v>16</v>
      </c>
      <c r="C2555" s="1" t="s">
        <v>16</v>
      </c>
      <c r="D2555" s="1" t="s">
        <v>16</v>
      </c>
      <c r="E2555" s="1">
        <v>2827</v>
      </c>
      <c r="F2555" s="1" t="s">
        <v>8505</v>
      </c>
      <c r="G2555" s="1" t="s">
        <v>8506</v>
      </c>
      <c r="H2555" s="1" t="s">
        <v>16</v>
      </c>
      <c r="I2555" s="1" t="s">
        <v>20</v>
      </c>
      <c r="J2555" s="1" t="s">
        <v>8507</v>
      </c>
      <c r="K2555" s="1" t="b">
        <v>0</v>
      </c>
      <c r="L2555" s="1" t="s">
        <v>22</v>
      </c>
      <c r="M2555" s="1" t="s">
        <v>16</v>
      </c>
      <c r="N2555" s="1" t="s">
        <v>16</v>
      </c>
      <c r="O2555" s="1" t="s">
        <v>16</v>
      </c>
      <c r="P2555" s="1" t="s">
        <v>16</v>
      </c>
    </row>
    <row r="2556" spans="1:17" ht="12.5" x14ac:dyDescent="0.25">
      <c r="A2556" s="1" t="s">
        <v>16</v>
      </c>
      <c r="B2556" s="1" t="s">
        <v>16</v>
      </c>
      <c r="C2556" s="1" t="s">
        <v>16</v>
      </c>
      <c r="D2556" s="1" t="s">
        <v>16</v>
      </c>
      <c r="E2556" s="1">
        <v>2828</v>
      </c>
      <c r="F2556" s="1" t="s">
        <v>8508</v>
      </c>
      <c r="G2556" s="1" t="s">
        <v>8509</v>
      </c>
      <c r="H2556" s="1" t="s">
        <v>8510</v>
      </c>
      <c r="I2556" s="1" t="s">
        <v>20</v>
      </c>
      <c r="J2556" s="1" t="s">
        <v>8511</v>
      </c>
      <c r="K2556" s="1" t="b">
        <v>0</v>
      </c>
      <c r="L2556" s="1" t="s">
        <v>22</v>
      </c>
      <c r="M2556" s="1" t="s">
        <v>16</v>
      </c>
      <c r="N2556" s="1" t="s">
        <v>16</v>
      </c>
      <c r="O2556" s="1" t="s">
        <v>16</v>
      </c>
      <c r="P2556" s="1" t="s">
        <v>16</v>
      </c>
    </row>
    <row r="2557" spans="1:17" ht="12.5" x14ac:dyDescent="0.25">
      <c r="A2557" s="1" t="s">
        <v>16</v>
      </c>
      <c r="B2557" s="1" t="s">
        <v>16</v>
      </c>
      <c r="C2557" s="1" t="s">
        <v>16</v>
      </c>
      <c r="D2557" s="1" t="s">
        <v>16</v>
      </c>
      <c r="E2557" s="1">
        <v>2829</v>
      </c>
      <c r="F2557" s="1" t="s">
        <v>8512</v>
      </c>
      <c r="G2557" s="1" t="s">
        <v>8513</v>
      </c>
      <c r="H2557" s="1" t="s">
        <v>16</v>
      </c>
      <c r="I2557" s="1" t="s">
        <v>20</v>
      </c>
      <c r="J2557" s="1" t="s">
        <v>8514</v>
      </c>
      <c r="K2557" s="1" t="b">
        <v>0</v>
      </c>
      <c r="L2557" s="1" t="s">
        <v>22</v>
      </c>
      <c r="M2557" s="1" t="s">
        <v>16</v>
      </c>
      <c r="N2557" s="1" t="s">
        <v>16</v>
      </c>
      <c r="O2557" s="1" t="s">
        <v>16</v>
      </c>
      <c r="P2557" s="1" t="s">
        <v>16</v>
      </c>
    </row>
    <row r="2558" spans="1:17" ht="12.5" x14ac:dyDescent="0.25">
      <c r="A2558" s="1" t="s">
        <v>16</v>
      </c>
      <c r="B2558" s="1" t="s">
        <v>16</v>
      </c>
      <c r="C2558" s="1" t="s">
        <v>16</v>
      </c>
      <c r="D2558" s="1" t="s">
        <v>16</v>
      </c>
      <c r="E2558" s="1">
        <v>2830</v>
      </c>
      <c r="F2558" s="1" t="s">
        <v>8515</v>
      </c>
      <c r="G2558" s="1" t="s">
        <v>8516</v>
      </c>
      <c r="H2558" s="1" t="s">
        <v>16</v>
      </c>
      <c r="I2558" s="1" t="s">
        <v>20</v>
      </c>
      <c r="J2558" s="1" t="s">
        <v>8517</v>
      </c>
      <c r="K2558" s="1" t="b">
        <v>0</v>
      </c>
      <c r="L2558" s="1" t="s">
        <v>22</v>
      </c>
      <c r="M2558" s="1" t="s">
        <v>16</v>
      </c>
      <c r="N2558" s="1" t="s">
        <v>16</v>
      </c>
      <c r="O2558" s="1" t="s">
        <v>16</v>
      </c>
      <c r="P2558" s="1" t="s">
        <v>16</v>
      </c>
    </row>
    <row r="2559" spans="1:17" ht="12.5" x14ac:dyDescent="0.25">
      <c r="A2559" s="1" t="s">
        <v>16</v>
      </c>
      <c r="B2559" s="1" t="s">
        <v>16</v>
      </c>
      <c r="C2559" s="1" t="s">
        <v>16</v>
      </c>
      <c r="D2559" s="1" t="s">
        <v>16</v>
      </c>
      <c r="E2559" s="1">
        <v>2831</v>
      </c>
      <c r="F2559" s="1" t="s">
        <v>8518</v>
      </c>
      <c r="G2559" s="1" t="s">
        <v>8519</v>
      </c>
      <c r="H2559" s="1" t="s">
        <v>16</v>
      </c>
      <c r="I2559" s="1" t="s">
        <v>20</v>
      </c>
      <c r="J2559" s="1" t="s">
        <v>8520</v>
      </c>
      <c r="K2559" s="1" t="b">
        <v>0</v>
      </c>
      <c r="L2559" s="1" t="s">
        <v>22</v>
      </c>
      <c r="M2559" s="1" t="s">
        <v>16</v>
      </c>
      <c r="N2559" s="1" t="s">
        <v>16</v>
      </c>
      <c r="O2559" s="1" t="s">
        <v>16</v>
      </c>
      <c r="P2559" s="1" t="s">
        <v>16</v>
      </c>
    </row>
    <row r="2560" spans="1:17" ht="12.5" x14ac:dyDescent="0.25">
      <c r="A2560" s="1" t="s">
        <v>16</v>
      </c>
      <c r="B2560" s="1" t="s">
        <v>16</v>
      </c>
      <c r="C2560" s="1" t="s">
        <v>16</v>
      </c>
      <c r="D2560" s="1" t="s">
        <v>16</v>
      </c>
      <c r="E2560" s="1">
        <v>2832</v>
      </c>
      <c r="F2560" s="1" t="s">
        <v>8521</v>
      </c>
      <c r="G2560" s="1" t="s">
        <v>8522</v>
      </c>
      <c r="H2560" s="1" t="s">
        <v>16</v>
      </c>
      <c r="I2560" s="1" t="s">
        <v>20</v>
      </c>
      <c r="J2560" s="1" t="s">
        <v>8523</v>
      </c>
      <c r="K2560" s="1" t="b">
        <v>0</v>
      </c>
      <c r="L2560" s="1" t="s">
        <v>22</v>
      </c>
      <c r="M2560" s="1" t="s">
        <v>16</v>
      </c>
      <c r="N2560" s="1" t="s">
        <v>16</v>
      </c>
      <c r="O2560" s="1" t="s">
        <v>16</v>
      </c>
      <c r="P2560" s="1" t="s">
        <v>16</v>
      </c>
    </row>
    <row r="2561" spans="1:17" ht="12.5" x14ac:dyDescent="0.25">
      <c r="A2561" s="1" t="s">
        <v>16</v>
      </c>
      <c r="B2561" s="1" t="s">
        <v>16</v>
      </c>
      <c r="C2561" s="1" t="s">
        <v>16</v>
      </c>
      <c r="D2561" s="1" t="s">
        <v>16</v>
      </c>
      <c r="E2561" s="1">
        <v>2833</v>
      </c>
      <c r="F2561" s="1" t="s">
        <v>8524</v>
      </c>
      <c r="G2561" s="1" t="s">
        <v>8525</v>
      </c>
      <c r="H2561" s="1" t="s">
        <v>16</v>
      </c>
      <c r="I2561" s="1" t="s">
        <v>20</v>
      </c>
      <c r="J2561" s="1" t="s">
        <v>8526</v>
      </c>
      <c r="K2561" s="1" t="b">
        <v>0</v>
      </c>
      <c r="L2561" s="1" t="s">
        <v>22</v>
      </c>
      <c r="M2561" s="1" t="s">
        <v>16</v>
      </c>
      <c r="N2561" s="1" t="s">
        <v>16</v>
      </c>
      <c r="O2561" s="1" t="s">
        <v>16</v>
      </c>
      <c r="P2561" s="1" t="s">
        <v>16</v>
      </c>
    </row>
    <row r="2562" spans="1:17" ht="12.5" x14ac:dyDescent="0.25">
      <c r="A2562" s="1" t="s">
        <v>16</v>
      </c>
      <c r="B2562" s="1" t="s">
        <v>16</v>
      </c>
      <c r="C2562" s="1" t="s">
        <v>16</v>
      </c>
      <c r="D2562" s="1" t="s">
        <v>16</v>
      </c>
      <c r="E2562" s="1">
        <v>2834</v>
      </c>
      <c r="F2562" s="1" t="s">
        <v>8527</v>
      </c>
      <c r="G2562" s="1" t="s">
        <v>8528</v>
      </c>
      <c r="H2562" s="1" t="s">
        <v>16</v>
      </c>
      <c r="I2562" s="1" t="s">
        <v>20</v>
      </c>
      <c r="J2562" s="1" t="s">
        <v>8529</v>
      </c>
      <c r="K2562" s="1" t="b">
        <v>0</v>
      </c>
      <c r="L2562" s="1" t="s">
        <v>22</v>
      </c>
      <c r="M2562" s="1" t="s">
        <v>16</v>
      </c>
      <c r="N2562" s="1" t="s">
        <v>16</v>
      </c>
      <c r="O2562" s="1" t="s">
        <v>16</v>
      </c>
      <c r="P2562" s="1" t="s">
        <v>16</v>
      </c>
    </row>
    <row r="2563" spans="1:17" ht="12.5" x14ac:dyDescent="0.25">
      <c r="A2563" s="1" t="s">
        <v>16</v>
      </c>
      <c r="B2563" s="1" t="s">
        <v>16</v>
      </c>
      <c r="C2563" s="1" t="s">
        <v>16</v>
      </c>
      <c r="D2563" s="1" t="s">
        <v>16</v>
      </c>
      <c r="E2563" s="1">
        <v>2835</v>
      </c>
      <c r="F2563" s="1" t="s">
        <v>8530</v>
      </c>
      <c r="G2563" s="1" t="s">
        <v>8531</v>
      </c>
      <c r="H2563" s="1" t="s">
        <v>16</v>
      </c>
      <c r="I2563" s="1" t="s">
        <v>20</v>
      </c>
      <c r="J2563" s="1" t="s">
        <v>8532</v>
      </c>
      <c r="K2563" s="1" t="b">
        <v>0</v>
      </c>
      <c r="L2563" s="1" t="s">
        <v>22</v>
      </c>
      <c r="M2563" s="1" t="s">
        <v>16</v>
      </c>
      <c r="N2563" s="1" t="s">
        <v>16</v>
      </c>
      <c r="O2563" s="1" t="s">
        <v>16</v>
      </c>
      <c r="P2563" s="1" t="s">
        <v>16</v>
      </c>
    </row>
    <row r="2564" spans="1:17" ht="12.5" x14ac:dyDescent="0.25">
      <c r="A2564" s="1" t="s">
        <v>16</v>
      </c>
      <c r="B2564" s="1" t="s">
        <v>16</v>
      </c>
      <c r="C2564" s="1" t="s">
        <v>16</v>
      </c>
      <c r="D2564" s="1" t="s">
        <v>16</v>
      </c>
      <c r="E2564" s="1">
        <v>2836</v>
      </c>
      <c r="F2564" s="1" t="s">
        <v>8533</v>
      </c>
      <c r="G2564" s="1" t="s">
        <v>8534</v>
      </c>
      <c r="H2564" s="1" t="s">
        <v>16</v>
      </c>
      <c r="I2564" s="1" t="s">
        <v>20</v>
      </c>
      <c r="J2564" s="1" t="s">
        <v>8535</v>
      </c>
      <c r="K2564" s="1" t="b">
        <v>0</v>
      </c>
      <c r="L2564" s="1" t="s">
        <v>22</v>
      </c>
      <c r="M2564" s="1" t="s">
        <v>16</v>
      </c>
      <c r="N2564" s="1" t="s">
        <v>16</v>
      </c>
      <c r="O2564" s="1" t="s">
        <v>16</v>
      </c>
      <c r="P2564" s="1" t="s">
        <v>16</v>
      </c>
    </row>
    <row r="2565" spans="1:17" ht="12.5" x14ac:dyDescent="0.25">
      <c r="A2565" s="1" t="s">
        <v>16</v>
      </c>
      <c r="B2565" s="1" t="s">
        <v>16</v>
      </c>
      <c r="C2565" s="1" t="s">
        <v>16</v>
      </c>
      <c r="D2565" s="1" t="s">
        <v>16</v>
      </c>
      <c r="E2565" s="1">
        <v>2837</v>
      </c>
      <c r="F2565" s="1" t="s">
        <v>8536</v>
      </c>
      <c r="G2565" s="1" t="s">
        <v>8537</v>
      </c>
      <c r="H2565" s="1" t="s">
        <v>16</v>
      </c>
      <c r="I2565" s="1" t="s">
        <v>20</v>
      </c>
      <c r="J2565" s="1" t="s">
        <v>8538</v>
      </c>
      <c r="K2565" s="1" t="b">
        <v>0</v>
      </c>
      <c r="L2565" s="1" t="s">
        <v>22</v>
      </c>
      <c r="M2565" s="1" t="s">
        <v>16</v>
      </c>
      <c r="N2565" s="1" t="s">
        <v>16</v>
      </c>
      <c r="O2565" s="1" t="s">
        <v>16</v>
      </c>
      <c r="P2565" s="1" t="s">
        <v>16</v>
      </c>
    </row>
    <row r="2566" spans="1:17" ht="12.5" x14ac:dyDescent="0.25">
      <c r="A2566" s="1">
        <v>4232</v>
      </c>
      <c r="B2566" s="1" t="s">
        <v>8539</v>
      </c>
      <c r="C2566" s="1" t="s">
        <v>38</v>
      </c>
      <c r="D2566" s="1" t="s">
        <v>39</v>
      </c>
      <c r="E2566" s="1">
        <v>2838</v>
      </c>
      <c r="F2566" s="1" t="s">
        <v>8540</v>
      </c>
      <c r="G2566" s="1" t="s">
        <v>8541</v>
      </c>
      <c r="H2566" s="1" t="s">
        <v>16</v>
      </c>
      <c r="I2566" s="1" t="s">
        <v>20</v>
      </c>
      <c r="J2566" s="1" t="s">
        <v>8542</v>
      </c>
      <c r="K2566" s="1" t="b">
        <v>0</v>
      </c>
      <c r="L2566" s="1" t="s">
        <v>22</v>
      </c>
      <c r="M2566" s="1" t="s">
        <v>16</v>
      </c>
      <c r="N2566" s="1" t="s">
        <v>16</v>
      </c>
      <c r="O2566" s="1" t="s">
        <v>16</v>
      </c>
      <c r="P2566" s="1" t="s">
        <v>16</v>
      </c>
      <c r="Q2566" s="1">
        <v>0</v>
      </c>
    </row>
    <row r="2567" spans="1:17" ht="12.5" x14ac:dyDescent="0.25">
      <c r="A2567" s="1" t="s">
        <v>16</v>
      </c>
      <c r="B2567" s="1" t="s">
        <v>16</v>
      </c>
      <c r="C2567" s="1" t="s">
        <v>16</v>
      </c>
      <c r="D2567" s="1" t="s">
        <v>16</v>
      </c>
      <c r="E2567" s="1">
        <v>2839</v>
      </c>
      <c r="F2567" s="1" t="s">
        <v>8543</v>
      </c>
      <c r="G2567" s="1" t="s">
        <v>8544</v>
      </c>
      <c r="H2567" s="1" t="s">
        <v>16</v>
      </c>
      <c r="I2567" s="1" t="s">
        <v>20</v>
      </c>
      <c r="J2567" s="1" t="s">
        <v>8545</v>
      </c>
      <c r="K2567" s="1" t="b">
        <v>0</v>
      </c>
      <c r="L2567" s="1" t="s">
        <v>22</v>
      </c>
      <c r="M2567" s="1" t="s">
        <v>16</v>
      </c>
      <c r="N2567" s="1" t="s">
        <v>16</v>
      </c>
      <c r="O2567" s="1" t="s">
        <v>16</v>
      </c>
      <c r="P2567" s="1" t="s">
        <v>16</v>
      </c>
    </row>
    <row r="2568" spans="1:17" ht="12.5" x14ac:dyDescent="0.25">
      <c r="A2568" s="1">
        <v>1365</v>
      </c>
      <c r="B2568" s="1" t="s">
        <v>4529</v>
      </c>
      <c r="C2568" s="1" t="s">
        <v>35</v>
      </c>
      <c r="D2568" s="1" t="s">
        <v>152</v>
      </c>
      <c r="E2568" s="1">
        <v>2840</v>
      </c>
      <c r="F2568" s="1" t="s">
        <v>8546</v>
      </c>
      <c r="G2568" s="1" t="s">
        <v>8547</v>
      </c>
      <c r="H2568" s="1" t="s">
        <v>16</v>
      </c>
      <c r="I2568" s="1" t="s">
        <v>20</v>
      </c>
      <c r="J2568" s="1" t="s">
        <v>8548</v>
      </c>
      <c r="K2568" s="1" t="b">
        <v>0</v>
      </c>
      <c r="L2568" s="1" t="s">
        <v>22</v>
      </c>
      <c r="M2568" s="1" t="s">
        <v>16</v>
      </c>
      <c r="N2568" s="1" t="s">
        <v>16</v>
      </c>
      <c r="O2568" s="1" t="s">
        <v>16</v>
      </c>
      <c r="P2568" s="1" t="s">
        <v>16</v>
      </c>
      <c r="Q2568" s="1">
        <v>50</v>
      </c>
    </row>
    <row r="2569" spans="1:17" ht="12.5" x14ac:dyDescent="0.25">
      <c r="A2569" s="1" t="s">
        <v>16</v>
      </c>
      <c r="B2569" s="1" t="s">
        <v>16</v>
      </c>
      <c r="C2569" s="1" t="s">
        <v>16</v>
      </c>
      <c r="D2569" s="1" t="s">
        <v>16</v>
      </c>
      <c r="E2569" s="1">
        <v>2841</v>
      </c>
      <c r="F2569" s="1" t="s">
        <v>8549</v>
      </c>
      <c r="G2569" s="1" t="s">
        <v>8550</v>
      </c>
      <c r="H2569" s="1" t="s">
        <v>16</v>
      </c>
      <c r="I2569" s="1" t="s">
        <v>20</v>
      </c>
      <c r="J2569" s="1" t="s">
        <v>8551</v>
      </c>
      <c r="K2569" s="1" t="b">
        <v>0</v>
      </c>
      <c r="L2569" s="1" t="s">
        <v>22</v>
      </c>
      <c r="M2569" s="1" t="s">
        <v>16</v>
      </c>
      <c r="N2569" s="1" t="s">
        <v>16</v>
      </c>
      <c r="O2569" s="1" t="s">
        <v>16</v>
      </c>
      <c r="P2569" s="1" t="s">
        <v>16</v>
      </c>
    </row>
    <row r="2570" spans="1:17" ht="12.5" x14ac:dyDescent="0.25">
      <c r="A2570" s="1">
        <v>4278</v>
      </c>
      <c r="B2570" s="1" t="s">
        <v>8552</v>
      </c>
      <c r="C2570" s="1" t="s">
        <v>38</v>
      </c>
      <c r="D2570" s="1" t="s">
        <v>39</v>
      </c>
      <c r="E2570" s="1">
        <v>2842</v>
      </c>
      <c r="F2570" s="1" t="s">
        <v>8553</v>
      </c>
      <c r="G2570" s="1" t="s">
        <v>8554</v>
      </c>
      <c r="H2570" s="1" t="s">
        <v>16</v>
      </c>
      <c r="I2570" s="1" t="s">
        <v>20</v>
      </c>
      <c r="J2570" s="1" t="s">
        <v>8555</v>
      </c>
      <c r="K2570" s="1" t="b">
        <v>0</v>
      </c>
      <c r="L2570" s="1" t="s">
        <v>22</v>
      </c>
      <c r="M2570" s="1" t="s">
        <v>16</v>
      </c>
      <c r="N2570" s="1" t="s">
        <v>16</v>
      </c>
      <c r="O2570" s="1" t="s">
        <v>16</v>
      </c>
      <c r="P2570" s="1" t="s">
        <v>16</v>
      </c>
      <c r="Q2570" s="1">
        <v>0</v>
      </c>
    </row>
    <row r="2571" spans="1:17" ht="12.5" x14ac:dyDescent="0.25">
      <c r="A2571" s="1" t="s">
        <v>16</v>
      </c>
      <c r="B2571" s="1" t="s">
        <v>16</v>
      </c>
      <c r="C2571" s="1" t="s">
        <v>16</v>
      </c>
      <c r="D2571" s="1" t="s">
        <v>16</v>
      </c>
      <c r="E2571" s="1">
        <v>2843</v>
      </c>
      <c r="F2571" s="1" t="s">
        <v>8556</v>
      </c>
      <c r="G2571" s="1" t="s">
        <v>8557</v>
      </c>
      <c r="H2571" s="1" t="s">
        <v>16</v>
      </c>
      <c r="I2571" s="1" t="s">
        <v>20</v>
      </c>
      <c r="J2571" s="1" t="s">
        <v>8558</v>
      </c>
      <c r="K2571" s="1" t="b">
        <v>0</v>
      </c>
      <c r="L2571" s="1" t="s">
        <v>22</v>
      </c>
      <c r="M2571" s="1" t="s">
        <v>16</v>
      </c>
      <c r="N2571" s="1" t="s">
        <v>16</v>
      </c>
      <c r="O2571" s="1" t="s">
        <v>16</v>
      </c>
      <c r="P2571" s="1" t="s">
        <v>16</v>
      </c>
    </row>
    <row r="2572" spans="1:17" ht="12.5" x14ac:dyDescent="0.25">
      <c r="A2572" s="1" t="s">
        <v>16</v>
      </c>
      <c r="B2572" s="1" t="s">
        <v>16</v>
      </c>
      <c r="C2572" s="1" t="s">
        <v>16</v>
      </c>
      <c r="D2572" s="1" t="s">
        <v>16</v>
      </c>
      <c r="E2572" s="1">
        <v>2844</v>
      </c>
      <c r="F2572" s="1" t="s">
        <v>8559</v>
      </c>
      <c r="G2572" s="1" t="s">
        <v>8560</v>
      </c>
      <c r="H2572" s="1" t="s">
        <v>16</v>
      </c>
      <c r="I2572" s="1" t="s">
        <v>20</v>
      </c>
      <c r="J2572" s="1" t="s">
        <v>8561</v>
      </c>
      <c r="K2572" s="1" t="b">
        <v>0</v>
      </c>
      <c r="L2572" s="1" t="s">
        <v>22</v>
      </c>
      <c r="M2572" s="1" t="s">
        <v>16</v>
      </c>
      <c r="N2572" s="1" t="s">
        <v>16</v>
      </c>
      <c r="O2572" s="1" t="s">
        <v>16</v>
      </c>
      <c r="P2572" s="1" t="s">
        <v>16</v>
      </c>
    </row>
    <row r="2573" spans="1:17" ht="12.5" x14ac:dyDescent="0.25">
      <c r="A2573" s="1">
        <v>2616</v>
      </c>
      <c r="B2573" s="1" t="s">
        <v>8562</v>
      </c>
      <c r="C2573" s="1" t="s">
        <v>38</v>
      </c>
      <c r="D2573" s="1" t="s">
        <v>39</v>
      </c>
      <c r="E2573" s="1">
        <v>2845</v>
      </c>
      <c r="F2573" s="1" t="s">
        <v>8563</v>
      </c>
      <c r="G2573" s="1" t="s">
        <v>8564</v>
      </c>
      <c r="H2573" s="1" t="s">
        <v>16</v>
      </c>
      <c r="I2573" s="1" t="s">
        <v>20</v>
      </c>
      <c r="J2573" s="1" t="s">
        <v>8565</v>
      </c>
      <c r="K2573" s="1" t="b">
        <v>0</v>
      </c>
      <c r="L2573" s="1" t="s">
        <v>22</v>
      </c>
      <c r="M2573" s="1" t="s">
        <v>16</v>
      </c>
      <c r="N2573" s="1" t="s">
        <v>16</v>
      </c>
      <c r="O2573" s="1" t="s">
        <v>16</v>
      </c>
      <c r="P2573" s="1" t="s">
        <v>16</v>
      </c>
      <c r="Q2573" s="1">
        <v>0</v>
      </c>
    </row>
    <row r="2574" spans="1:17" ht="12.5" x14ac:dyDescent="0.25">
      <c r="A2574" s="1">
        <v>75</v>
      </c>
      <c r="B2574" s="1" t="s">
        <v>388</v>
      </c>
      <c r="C2574" s="1" t="s">
        <v>15</v>
      </c>
      <c r="D2574" s="1" t="s">
        <v>15</v>
      </c>
      <c r="E2574" s="1">
        <v>2846</v>
      </c>
      <c r="F2574" s="1" t="s">
        <v>8566</v>
      </c>
      <c r="G2574" s="1" t="s">
        <v>8567</v>
      </c>
      <c r="H2574" s="1" t="s">
        <v>16</v>
      </c>
      <c r="I2574" s="1" t="s">
        <v>20</v>
      </c>
      <c r="J2574" s="1" t="s">
        <v>8568</v>
      </c>
      <c r="K2574" s="1" t="b">
        <v>0</v>
      </c>
      <c r="L2574" s="1" t="s">
        <v>22</v>
      </c>
      <c r="M2574" s="1" t="s">
        <v>16</v>
      </c>
      <c r="N2574" s="1" t="s">
        <v>16</v>
      </c>
      <c r="O2574" s="1" t="s">
        <v>16</v>
      </c>
      <c r="P2574" s="1" t="s">
        <v>16</v>
      </c>
      <c r="Q2574" s="1">
        <v>25</v>
      </c>
    </row>
    <row r="2575" spans="1:17" ht="12.5" x14ac:dyDescent="0.25">
      <c r="A2575" s="1">
        <v>76</v>
      </c>
      <c r="B2575" s="1" t="s">
        <v>393</v>
      </c>
      <c r="C2575" s="1" t="s">
        <v>15</v>
      </c>
      <c r="D2575" s="1" t="s">
        <v>15</v>
      </c>
      <c r="E2575" s="1">
        <v>2846</v>
      </c>
      <c r="F2575" s="1" t="s">
        <v>8566</v>
      </c>
      <c r="G2575" s="1" t="s">
        <v>8567</v>
      </c>
      <c r="H2575" s="1" t="s">
        <v>16</v>
      </c>
      <c r="I2575" s="1" t="s">
        <v>20</v>
      </c>
      <c r="J2575" s="1" t="s">
        <v>8568</v>
      </c>
      <c r="K2575" s="1" t="b">
        <v>0</v>
      </c>
      <c r="L2575" s="1" t="s">
        <v>22</v>
      </c>
      <c r="M2575" s="1" t="s">
        <v>16</v>
      </c>
      <c r="N2575" s="1" t="s">
        <v>16</v>
      </c>
      <c r="O2575" s="1" t="s">
        <v>16</v>
      </c>
      <c r="P2575" s="1" t="s">
        <v>16</v>
      </c>
      <c r="Q2575" s="1">
        <v>25</v>
      </c>
    </row>
    <row r="2576" spans="1:17" ht="12.5" x14ac:dyDescent="0.25">
      <c r="A2576" s="1">
        <v>200</v>
      </c>
      <c r="B2576" s="1" t="s">
        <v>978</v>
      </c>
      <c r="C2576" s="1" t="s">
        <v>15</v>
      </c>
      <c r="D2576" s="1" t="s">
        <v>15</v>
      </c>
      <c r="E2576" s="1">
        <v>2846</v>
      </c>
      <c r="F2576" s="1" t="s">
        <v>8566</v>
      </c>
      <c r="G2576" s="1" t="s">
        <v>8567</v>
      </c>
      <c r="H2576" s="1" t="s">
        <v>16</v>
      </c>
      <c r="I2576" s="1" t="s">
        <v>20</v>
      </c>
      <c r="J2576" s="1" t="s">
        <v>8568</v>
      </c>
      <c r="K2576" s="1" t="b">
        <v>0</v>
      </c>
      <c r="L2576" s="1" t="s">
        <v>22</v>
      </c>
      <c r="M2576" s="1" t="s">
        <v>16</v>
      </c>
      <c r="N2576" s="1" t="s">
        <v>16</v>
      </c>
      <c r="O2576" s="1" t="s">
        <v>16</v>
      </c>
      <c r="P2576" s="1" t="s">
        <v>16</v>
      </c>
      <c r="Q2576" s="1">
        <v>25</v>
      </c>
    </row>
    <row r="2577" spans="1:19" ht="12.5" x14ac:dyDescent="0.25">
      <c r="A2577" s="1">
        <v>213</v>
      </c>
      <c r="B2577" s="1" t="s">
        <v>8569</v>
      </c>
      <c r="C2577" s="1" t="s">
        <v>15</v>
      </c>
      <c r="D2577" s="1" t="s">
        <v>15</v>
      </c>
      <c r="E2577" s="1">
        <v>2846</v>
      </c>
      <c r="F2577" s="1" t="s">
        <v>8566</v>
      </c>
      <c r="G2577" s="1" t="s">
        <v>8567</v>
      </c>
      <c r="H2577" s="1" t="s">
        <v>16</v>
      </c>
      <c r="I2577" s="1" t="s">
        <v>20</v>
      </c>
      <c r="J2577" s="1" t="s">
        <v>8568</v>
      </c>
      <c r="K2577" s="1" t="b">
        <v>0</v>
      </c>
      <c r="L2577" s="1" t="s">
        <v>22</v>
      </c>
      <c r="M2577" s="1" t="s">
        <v>16</v>
      </c>
      <c r="N2577" s="1" t="s">
        <v>16</v>
      </c>
      <c r="O2577" s="1" t="s">
        <v>16</v>
      </c>
      <c r="P2577" s="1" t="s">
        <v>16</v>
      </c>
      <c r="Q2577" s="1">
        <v>25</v>
      </c>
    </row>
    <row r="2578" spans="1:19" ht="12.5" x14ac:dyDescent="0.25">
      <c r="A2578" s="1">
        <v>4402</v>
      </c>
      <c r="B2578" s="1" t="s">
        <v>8570</v>
      </c>
      <c r="C2578" s="1" t="s">
        <v>38</v>
      </c>
      <c r="D2578" s="1" t="s">
        <v>5701</v>
      </c>
      <c r="E2578" s="1">
        <v>2847</v>
      </c>
      <c r="F2578" s="1" t="s">
        <v>8571</v>
      </c>
      <c r="G2578" s="1" t="s">
        <v>8572</v>
      </c>
      <c r="H2578" s="1" t="s">
        <v>8572</v>
      </c>
      <c r="I2578" s="1" t="s">
        <v>29</v>
      </c>
      <c r="J2578" s="1" t="s">
        <v>16</v>
      </c>
      <c r="K2578" s="1" t="b">
        <v>0</v>
      </c>
      <c r="L2578" s="1" t="s">
        <v>22</v>
      </c>
      <c r="M2578" s="1">
        <v>2022</v>
      </c>
      <c r="N2578" s="1" t="s">
        <v>45</v>
      </c>
      <c r="O2578" s="1" t="s">
        <v>9935</v>
      </c>
      <c r="P2578" s="1" t="s">
        <v>16</v>
      </c>
      <c r="Q2578" s="1">
        <v>100</v>
      </c>
      <c r="R2578" s="1">
        <v>40000</v>
      </c>
      <c r="S2578" s="1">
        <v>40000</v>
      </c>
    </row>
    <row r="2579" spans="1:19" ht="12.5" x14ac:dyDescent="0.25">
      <c r="A2579" s="1">
        <v>3136</v>
      </c>
      <c r="B2579" s="1" t="s">
        <v>8573</v>
      </c>
      <c r="C2579" s="1" t="s">
        <v>38</v>
      </c>
      <c r="D2579" s="1" t="s">
        <v>39</v>
      </c>
      <c r="E2579" s="1">
        <v>2848</v>
      </c>
      <c r="F2579" s="1" t="s">
        <v>8574</v>
      </c>
      <c r="G2579" s="1" t="s">
        <v>8575</v>
      </c>
      <c r="H2579" s="1" t="s">
        <v>16</v>
      </c>
      <c r="I2579" s="1" t="s">
        <v>20</v>
      </c>
      <c r="J2579" s="1" t="s">
        <v>8576</v>
      </c>
      <c r="K2579" s="1" t="b">
        <v>0</v>
      </c>
      <c r="L2579" s="1" t="s">
        <v>22</v>
      </c>
      <c r="M2579" s="1" t="s">
        <v>16</v>
      </c>
      <c r="N2579" s="1" t="s">
        <v>16</v>
      </c>
      <c r="O2579" s="1" t="s">
        <v>16</v>
      </c>
      <c r="P2579" s="1" t="s">
        <v>16</v>
      </c>
      <c r="Q2579" s="1">
        <v>50</v>
      </c>
    </row>
    <row r="2580" spans="1:19" ht="12.5" x14ac:dyDescent="0.25">
      <c r="A2580" s="1">
        <v>3137</v>
      </c>
      <c r="B2580" s="1" t="s">
        <v>8577</v>
      </c>
      <c r="C2580" s="1" t="s">
        <v>38</v>
      </c>
      <c r="D2580" s="1" t="s">
        <v>39</v>
      </c>
      <c r="E2580" s="1">
        <v>2848</v>
      </c>
      <c r="F2580" s="1" t="s">
        <v>8574</v>
      </c>
      <c r="G2580" s="1" t="s">
        <v>8575</v>
      </c>
      <c r="H2580" s="1" t="s">
        <v>16</v>
      </c>
      <c r="I2580" s="1" t="s">
        <v>20</v>
      </c>
      <c r="J2580" s="1" t="s">
        <v>8576</v>
      </c>
      <c r="K2580" s="1" t="b">
        <v>0</v>
      </c>
      <c r="L2580" s="1" t="s">
        <v>22</v>
      </c>
      <c r="M2580" s="1" t="s">
        <v>16</v>
      </c>
      <c r="N2580" s="1" t="s">
        <v>16</v>
      </c>
      <c r="O2580" s="1" t="s">
        <v>16</v>
      </c>
      <c r="P2580" s="1" t="s">
        <v>16</v>
      </c>
      <c r="Q2580" s="1">
        <v>50</v>
      </c>
    </row>
    <row r="2581" spans="1:19" ht="12.5" x14ac:dyDescent="0.25">
      <c r="A2581" s="1">
        <v>4402</v>
      </c>
      <c r="B2581" s="1" t="s">
        <v>8570</v>
      </c>
      <c r="C2581" s="1" t="s">
        <v>38</v>
      </c>
      <c r="D2581" s="1" t="s">
        <v>5701</v>
      </c>
      <c r="E2581" s="1">
        <v>2849</v>
      </c>
      <c r="F2581" s="1" t="s">
        <v>8578</v>
      </c>
      <c r="G2581" s="1" t="s">
        <v>8579</v>
      </c>
      <c r="H2581" s="1" t="s">
        <v>8580</v>
      </c>
      <c r="I2581" s="1" t="s">
        <v>29</v>
      </c>
      <c r="J2581" s="1" t="s">
        <v>8581</v>
      </c>
      <c r="K2581" s="1" t="b">
        <v>1</v>
      </c>
      <c r="L2581" s="1" t="s">
        <v>31</v>
      </c>
      <c r="M2581" s="1">
        <v>2022</v>
      </c>
      <c r="N2581" s="1" t="s">
        <v>45</v>
      </c>
      <c r="O2581" s="1" t="s">
        <v>9956</v>
      </c>
      <c r="P2581" s="1" t="s">
        <v>16</v>
      </c>
      <c r="Q2581" s="1">
        <v>100</v>
      </c>
      <c r="R2581" s="1">
        <v>40000</v>
      </c>
      <c r="S2581" s="1">
        <v>40000</v>
      </c>
    </row>
    <row r="2582" spans="1:19" ht="12.5" x14ac:dyDescent="0.25">
      <c r="A2582" s="1">
        <v>1080</v>
      </c>
      <c r="B2582" s="1" t="s">
        <v>3759</v>
      </c>
      <c r="C2582" s="1" t="s">
        <v>35</v>
      </c>
      <c r="D2582" s="1" t="s">
        <v>152</v>
      </c>
      <c r="E2582" s="1">
        <v>2850</v>
      </c>
      <c r="F2582" s="1" t="s">
        <v>8582</v>
      </c>
      <c r="G2582" s="1" t="s">
        <v>8583</v>
      </c>
      <c r="H2582" s="1" t="s">
        <v>16</v>
      </c>
      <c r="I2582" s="1" t="s">
        <v>20</v>
      </c>
      <c r="J2582" s="1" t="s">
        <v>8584</v>
      </c>
      <c r="K2582" s="1" t="b">
        <v>0</v>
      </c>
      <c r="L2582" s="1" t="s">
        <v>22</v>
      </c>
      <c r="M2582" s="1" t="s">
        <v>16</v>
      </c>
      <c r="N2582" s="1" t="s">
        <v>16</v>
      </c>
      <c r="O2582" s="1" t="s">
        <v>16</v>
      </c>
      <c r="P2582" s="1" t="s">
        <v>16</v>
      </c>
      <c r="Q2582" s="1">
        <v>100</v>
      </c>
    </row>
    <row r="2583" spans="1:19" ht="12.5" x14ac:dyDescent="0.25">
      <c r="A2583" s="1" t="s">
        <v>16</v>
      </c>
      <c r="B2583" s="1" t="s">
        <v>16</v>
      </c>
      <c r="C2583" s="1" t="s">
        <v>16</v>
      </c>
      <c r="D2583" s="1" t="s">
        <v>16</v>
      </c>
      <c r="E2583" s="1">
        <v>2851</v>
      </c>
      <c r="F2583" s="1" t="s">
        <v>8585</v>
      </c>
      <c r="G2583" s="1" t="s">
        <v>8586</v>
      </c>
      <c r="H2583" s="1" t="s">
        <v>16</v>
      </c>
      <c r="I2583" s="1" t="s">
        <v>20</v>
      </c>
      <c r="J2583" s="1" t="s">
        <v>8587</v>
      </c>
      <c r="K2583" s="1" t="b">
        <v>0</v>
      </c>
      <c r="L2583" s="1" t="s">
        <v>22</v>
      </c>
      <c r="M2583" s="1" t="s">
        <v>16</v>
      </c>
      <c r="N2583" s="1" t="s">
        <v>16</v>
      </c>
      <c r="O2583" s="1" t="s">
        <v>16</v>
      </c>
      <c r="P2583" s="1" t="s">
        <v>16</v>
      </c>
    </row>
    <row r="2584" spans="1:19" ht="12.5" x14ac:dyDescent="0.25">
      <c r="A2584" s="1" t="s">
        <v>16</v>
      </c>
      <c r="B2584" s="1" t="s">
        <v>16</v>
      </c>
      <c r="C2584" s="1" t="s">
        <v>16</v>
      </c>
      <c r="D2584" s="1" t="s">
        <v>16</v>
      </c>
      <c r="E2584" s="1">
        <v>2852</v>
      </c>
      <c r="F2584" s="1" t="s">
        <v>8588</v>
      </c>
      <c r="G2584" s="1" t="s">
        <v>8589</v>
      </c>
      <c r="H2584" s="1" t="s">
        <v>16</v>
      </c>
      <c r="I2584" s="1" t="s">
        <v>20</v>
      </c>
      <c r="J2584" s="1" t="s">
        <v>8590</v>
      </c>
      <c r="K2584" s="1" t="b">
        <v>0</v>
      </c>
      <c r="L2584" s="1" t="s">
        <v>22</v>
      </c>
      <c r="M2584" s="1" t="s">
        <v>16</v>
      </c>
      <c r="N2584" s="1" t="s">
        <v>16</v>
      </c>
      <c r="O2584" s="1" t="s">
        <v>16</v>
      </c>
      <c r="P2584" s="1" t="s">
        <v>16</v>
      </c>
    </row>
    <row r="2585" spans="1:19" ht="12.5" x14ac:dyDescent="0.25">
      <c r="A2585" s="1">
        <v>1372</v>
      </c>
      <c r="B2585" s="1" t="s">
        <v>4561</v>
      </c>
      <c r="C2585" s="1" t="s">
        <v>35</v>
      </c>
      <c r="D2585" s="1" t="s">
        <v>152</v>
      </c>
      <c r="E2585" s="1">
        <v>2853</v>
      </c>
      <c r="F2585" s="1" t="s">
        <v>8591</v>
      </c>
      <c r="G2585" s="1" t="s">
        <v>8592</v>
      </c>
      <c r="H2585" s="1" t="s">
        <v>8593</v>
      </c>
      <c r="I2585" s="1" t="s">
        <v>29</v>
      </c>
      <c r="J2585" s="1" t="s">
        <v>8594</v>
      </c>
      <c r="K2585" s="1" t="b">
        <v>0</v>
      </c>
      <c r="L2585" s="1" t="s">
        <v>22</v>
      </c>
      <c r="M2585" s="1">
        <v>2022</v>
      </c>
      <c r="N2585" s="1" t="s">
        <v>23</v>
      </c>
      <c r="O2585" s="1" t="s">
        <v>9940</v>
      </c>
      <c r="P2585" s="1" t="s">
        <v>16</v>
      </c>
      <c r="Q2585" s="1">
        <v>100</v>
      </c>
      <c r="R2585" s="1">
        <v>5000</v>
      </c>
      <c r="S2585" s="1">
        <v>5000</v>
      </c>
    </row>
    <row r="2586" spans="1:19" ht="12.5" x14ac:dyDescent="0.25">
      <c r="A2586" s="1">
        <v>1372</v>
      </c>
      <c r="B2586" s="1" t="s">
        <v>4561</v>
      </c>
      <c r="C2586" s="1" t="s">
        <v>35</v>
      </c>
      <c r="D2586" s="1" t="s">
        <v>152</v>
      </c>
      <c r="E2586" s="1">
        <v>2853</v>
      </c>
      <c r="F2586" s="1" t="s">
        <v>8591</v>
      </c>
      <c r="G2586" s="1" t="s">
        <v>8592</v>
      </c>
      <c r="H2586" s="1" t="s">
        <v>8593</v>
      </c>
      <c r="I2586" s="1" t="s">
        <v>29</v>
      </c>
      <c r="J2586" s="1" t="s">
        <v>8594</v>
      </c>
      <c r="K2586" s="1" t="b">
        <v>0</v>
      </c>
      <c r="L2586" s="1" t="s">
        <v>22</v>
      </c>
      <c r="M2586" s="1">
        <v>2022</v>
      </c>
      <c r="N2586" s="1" t="s">
        <v>23</v>
      </c>
      <c r="O2586" s="1" t="s">
        <v>9942</v>
      </c>
      <c r="P2586" s="1" t="s">
        <v>16</v>
      </c>
      <c r="Q2586" s="1">
        <v>100</v>
      </c>
      <c r="R2586" s="1">
        <v>75000</v>
      </c>
      <c r="S2586" s="1">
        <v>75000</v>
      </c>
    </row>
    <row r="2587" spans="1:19" ht="12.5" x14ac:dyDescent="0.25">
      <c r="A2587" s="1">
        <v>1372</v>
      </c>
      <c r="B2587" s="1" t="s">
        <v>4561</v>
      </c>
      <c r="C2587" s="1" t="s">
        <v>35</v>
      </c>
      <c r="D2587" s="1" t="s">
        <v>152</v>
      </c>
      <c r="E2587" s="1">
        <v>2853</v>
      </c>
      <c r="F2587" s="1" t="s">
        <v>8591</v>
      </c>
      <c r="G2587" s="1" t="s">
        <v>8592</v>
      </c>
      <c r="H2587" s="1" t="s">
        <v>8593</v>
      </c>
      <c r="I2587" s="1" t="s">
        <v>29</v>
      </c>
      <c r="J2587" s="1" t="s">
        <v>8594</v>
      </c>
      <c r="K2587" s="1" t="b">
        <v>0</v>
      </c>
      <c r="L2587" s="1" t="s">
        <v>22</v>
      </c>
      <c r="M2587" s="1">
        <v>2022</v>
      </c>
      <c r="N2587" s="1" t="s">
        <v>23</v>
      </c>
      <c r="O2587" s="1" t="s">
        <v>9935</v>
      </c>
      <c r="P2587" s="1" t="s">
        <v>16</v>
      </c>
      <c r="Q2587" s="1">
        <v>100</v>
      </c>
      <c r="R2587" s="1">
        <v>15000</v>
      </c>
      <c r="S2587" s="1">
        <v>15000</v>
      </c>
    </row>
    <row r="2588" spans="1:19" ht="12.5" x14ac:dyDescent="0.25">
      <c r="A2588" s="1" t="s">
        <v>16</v>
      </c>
      <c r="B2588" s="1" t="s">
        <v>16</v>
      </c>
      <c r="C2588" s="1" t="s">
        <v>16</v>
      </c>
      <c r="D2588" s="1" t="s">
        <v>16</v>
      </c>
      <c r="E2588" s="1">
        <v>2854</v>
      </c>
      <c r="F2588" s="1" t="s">
        <v>8595</v>
      </c>
      <c r="G2588" s="1" t="s">
        <v>8596</v>
      </c>
      <c r="H2588" s="1" t="s">
        <v>16</v>
      </c>
      <c r="I2588" s="1" t="s">
        <v>20</v>
      </c>
      <c r="J2588" s="1" t="s">
        <v>8597</v>
      </c>
      <c r="K2588" s="1" t="b">
        <v>0</v>
      </c>
      <c r="L2588" s="1" t="s">
        <v>22</v>
      </c>
      <c r="M2588" s="1" t="s">
        <v>16</v>
      </c>
      <c r="N2588" s="1" t="s">
        <v>16</v>
      </c>
      <c r="O2588" s="1" t="s">
        <v>16</v>
      </c>
      <c r="P2588" s="1" t="s">
        <v>16</v>
      </c>
    </row>
    <row r="2589" spans="1:19" ht="12.5" x14ac:dyDescent="0.25">
      <c r="A2589" s="1" t="s">
        <v>16</v>
      </c>
      <c r="B2589" s="1" t="s">
        <v>16</v>
      </c>
      <c r="C2589" s="1" t="s">
        <v>16</v>
      </c>
      <c r="D2589" s="1" t="s">
        <v>16</v>
      </c>
      <c r="E2589" s="1">
        <v>2855</v>
      </c>
      <c r="F2589" s="1" t="s">
        <v>8598</v>
      </c>
      <c r="G2589" s="1" t="s">
        <v>8599</v>
      </c>
      <c r="H2589" s="1" t="s">
        <v>16</v>
      </c>
      <c r="I2589" s="1" t="s">
        <v>20</v>
      </c>
      <c r="J2589" s="1" t="s">
        <v>8600</v>
      </c>
      <c r="K2589" s="1" t="b">
        <v>0</v>
      </c>
      <c r="L2589" s="1" t="s">
        <v>22</v>
      </c>
      <c r="M2589" s="1" t="s">
        <v>16</v>
      </c>
      <c r="N2589" s="1" t="s">
        <v>16</v>
      </c>
      <c r="O2589" s="1" t="s">
        <v>16</v>
      </c>
      <c r="P2589" s="1" t="s">
        <v>16</v>
      </c>
    </row>
    <row r="2590" spans="1:19" ht="12.5" x14ac:dyDescent="0.25">
      <c r="A2590" s="1">
        <v>1025</v>
      </c>
      <c r="B2590" s="1" t="s">
        <v>8601</v>
      </c>
      <c r="C2590" s="1" t="s">
        <v>35</v>
      </c>
      <c r="D2590" s="1" t="s">
        <v>152</v>
      </c>
      <c r="E2590" s="1">
        <v>2856</v>
      </c>
      <c r="F2590" s="1" t="s">
        <v>8602</v>
      </c>
      <c r="G2590" s="1" t="s">
        <v>8603</v>
      </c>
      <c r="H2590" s="1" t="s">
        <v>16</v>
      </c>
      <c r="I2590" s="1" t="s">
        <v>29</v>
      </c>
      <c r="J2590" s="1" t="s">
        <v>8604</v>
      </c>
      <c r="K2590" s="1" t="b">
        <v>0</v>
      </c>
      <c r="L2590" s="1" t="s">
        <v>22</v>
      </c>
      <c r="M2590" s="1">
        <v>2022</v>
      </c>
      <c r="N2590" s="1" t="s">
        <v>52</v>
      </c>
      <c r="O2590" s="1" t="s">
        <v>9935</v>
      </c>
      <c r="P2590" s="1" t="s">
        <v>16</v>
      </c>
      <c r="Q2590" s="1">
        <v>100</v>
      </c>
      <c r="R2590" s="1">
        <v>3500</v>
      </c>
      <c r="S2590" s="1">
        <v>3500</v>
      </c>
    </row>
    <row r="2591" spans="1:19" ht="12.5" x14ac:dyDescent="0.25">
      <c r="A2591" s="1">
        <v>879</v>
      </c>
      <c r="B2591" s="1" t="s">
        <v>3124</v>
      </c>
      <c r="C2591" s="1" t="s">
        <v>35</v>
      </c>
      <c r="D2591" s="1" t="s">
        <v>152</v>
      </c>
      <c r="E2591" s="1">
        <v>2857</v>
      </c>
      <c r="F2591" s="1" t="s">
        <v>8605</v>
      </c>
      <c r="G2591" s="1" t="s">
        <v>8606</v>
      </c>
      <c r="H2591" s="1" t="s">
        <v>16</v>
      </c>
      <c r="I2591" s="1" t="s">
        <v>20</v>
      </c>
      <c r="J2591" s="1" t="s">
        <v>8607</v>
      </c>
      <c r="K2591" s="1" t="b">
        <v>0</v>
      </c>
      <c r="L2591" s="1" t="s">
        <v>22</v>
      </c>
      <c r="M2591" s="1" t="s">
        <v>16</v>
      </c>
      <c r="N2591" s="1" t="s">
        <v>16</v>
      </c>
      <c r="O2591" s="1" t="s">
        <v>16</v>
      </c>
      <c r="P2591" s="1" t="s">
        <v>16</v>
      </c>
      <c r="Q2591" s="1">
        <v>2</v>
      </c>
    </row>
    <row r="2592" spans="1:19" ht="12.5" x14ac:dyDescent="0.25">
      <c r="A2592" s="1">
        <v>4007</v>
      </c>
      <c r="B2592" s="1" t="s">
        <v>8608</v>
      </c>
      <c r="C2592" s="1" t="s">
        <v>38</v>
      </c>
      <c r="D2592" s="1" t="s">
        <v>39</v>
      </c>
      <c r="E2592" s="1">
        <v>2857</v>
      </c>
      <c r="F2592" s="1" t="s">
        <v>8605</v>
      </c>
      <c r="G2592" s="1" t="s">
        <v>8606</v>
      </c>
      <c r="H2592" s="1" t="s">
        <v>16</v>
      </c>
      <c r="I2592" s="1" t="s">
        <v>20</v>
      </c>
      <c r="J2592" s="1" t="s">
        <v>8607</v>
      </c>
      <c r="K2592" s="1" t="b">
        <v>0</v>
      </c>
      <c r="L2592" s="1" t="s">
        <v>22</v>
      </c>
      <c r="M2592" s="1" t="s">
        <v>16</v>
      </c>
      <c r="N2592" s="1" t="s">
        <v>16</v>
      </c>
      <c r="O2592" s="1" t="s">
        <v>16</v>
      </c>
      <c r="P2592" s="1" t="s">
        <v>16</v>
      </c>
      <c r="Q2592" s="1">
        <v>2</v>
      </c>
    </row>
    <row r="2593" spans="1:19" ht="12.5" x14ac:dyDescent="0.25">
      <c r="A2593" s="1" t="s">
        <v>16</v>
      </c>
      <c r="B2593" s="1" t="s">
        <v>16</v>
      </c>
      <c r="C2593" s="1" t="s">
        <v>16</v>
      </c>
      <c r="D2593" s="1" t="s">
        <v>16</v>
      </c>
      <c r="E2593" s="1">
        <v>2858</v>
      </c>
      <c r="F2593" s="1" t="s">
        <v>8609</v>
      </c>
      <c r="G2593" s="1" t="s">
        <v>8610</v>
      </c>
      <c r="H2593" s="1" t="s">
        <v>16</v>
      </c>
      <c r="I2593" s="1" t="s">
        <v>20</v>
      </c>
      <c r="J2593" s="1" t="s">
        <v>8611</v>
      </c>
      <c r="K2593" s="1" t="b">
        <v>0</v>
      </c>
      <c r="L2593" s="1" t="s">
        <v>22</v>
      </c>
      <c r="M2593" s="1" t="s">
        <v>16</v>
      </c>
      <c r="N2593" s="1" t="s">
        <v>16</v>
      </c>
      <c r="O2593" s="1" t="s">
        <v>16</v>
      </c>
      <c r="P2593" s="1" t="s">
        <v>16</v>
      </c>
    </row>
    <row r="2594" spans="1:19" ht="12.5" x14ac:dyDescent="0.25">
      <c r="A2594" s="1" t="s">
        <v>16</v>
      </c>
      <c r="B2594" s="1" t="s">
        <v>16</v>
      </c>
      <c r="C2594" s="1" t="s">
        <v>16</v>
      </c>
      <c r="D2594" s="1" t="s">
        <v>16</v>
      </c>
      <c r="E2594" s="1">
        <v>2859</v>
      </c>
      <c r="F2594" s="1" t="s">
        <v>8612</v>
      </c>
      <c r="G2594" s="1" t="s">
        <v>8613</v>
      </c>
      <c r="H2594" s="1" t="s">
        <v>16</v>
      </c>
      <c r="I2594" s="1" t="s">
        <v>20</v>
      </c>
      <c r="J2594" s="1" t="s">
        <v>8614</v>
      </c>
      <c r="K2594" s="1" t="b">
        <v>0</v>
      </c>
      <c r="L2594" s="1" t="s">
        <v>22</v>
      </c>
      <c r="M2594" s="1" t="s">
        <v>16</v>
      </c>
      <c r="N2594" s="1" t="s">
        <v>16</v>
      </c>
      <c r="O2594" s="1" t="s">
        <v>16</v>
      </c>
      <c r="P2594" s="1" t="s">
        <v>16</v>
      </c>
    </row>
    <row r="2595" spans="1:19" ht="12.5" x14ac:dyDescent="0.25">
      <c r="A2595" s="1" t="s">
        <v>16</v>
      </c>
      <c r="B2595" s="1" t="s">
        <v>16</v>
      </c>
      <c r="C2595" s="1" t="s">
        <v>16</v>
      </c>
      <c r="D2595" s="1" t="s">
        <v>16</v>
      </c>
      <c r="E2595" s="1">
        <v>2860</v>
      </c>
      <c r="F2595" s="1" t="s">
        <v>8615</v>
      </c>
      <c r="G2595" s="1" t="s">
        <v>8616</v>
      </c>
      <c r="H2595" s="1" t="s">
        <v>16</v>
      </c>
      <c r="I2595" s="1" t="s">
        <v>20</v>
      </c>
      <c r="J2595" s="1" t="s">
        <v>8617</v>
      </c>
      <c r="K2595" s="1" t="b">
        <v>0</v>
      </c>
      <c r="L2595" s="1" t="s">
        <v>22</v>
      </c>
      <c r="M2595" s="1" t="s">
        <v>16</v>
      </c>
      <c r="N2595" s="1" t="s">
        <v>16</v>
      </c>
      <c r="O2595" s="1" t="s">
        <v>16</v>
      </c>
      <c r="P2595" s="1" t="s">
        <v>16</v>
      </c>
    </row>
    <row r="2596" spans="1:19" ht="12.5" x14ac:dyDescent="0.25">
      <c r="A2596" s="1">
        <v>334</v>
      </c>
      <c r="B2596" s="1" t="s">
        <v>1373</v>
      </c>
      <c r="C2596" s="1" t="s">
        <v>35</v>
      </c>
      <c r="D2596" s="1" t="s">
        <v>36</v>
      </c>
      <c r="E2596" s="1">
        <v>2861</v>
      </c>
      <c r="F2596" s="1" t="s">
        <v>8618</v>
      </c>
      <c r="G2596" s="1" t="s">
        <v>8619</v>
      </c>
      <c r="H2596" s="1" t="s">
        <v>8620</v>
      </c>
      <c r="I2596" s="1" t="s">
        <v>29</v>
      </c>
      <c r="J2596" s="1" t="s">
        <v>8621</v>
      </c>
      <c r="K2596" s="1" t="b">
        <v>0</v>
      </c>
      <c r="L2596" s="1" t="s">
        <v>22</v>
      </c>
      <c r="M2596" s="1">
        <v>2022</v>
      </c>
      <c r="N2596" s="1" t="s">
        <v>45</v>
      </c>
      <c r="O2596" s="1" t="s">
        <v>9935</v>
      </c>
      <c r="P2596" s="1" t="s">
        <v>16</v>
      </c>
      <c r="Q2596" s="1">
        <v>50</v>
      </c>
      <c r="R2596" s="1">
        <v>5000</v>
      </c>
      <c r="S2596" s="1">
        <v>2500</v>
      </c>
    </row>
    <row r="2597" spans="1:19" ht="12.5" x14ac:dyDescent="0.25">
      <c r="A2597" s="1">
        <v>742</v>
      </c>
      <c r="B2597" s="1" t="s">
        <v>5924</v>
      </c>
      <c r="C2597" s="1" t="s">
        <v>35</v>
      </c>
      <c r="D2597" s="1" t="s">
        <v>36</v>
      </c>
      <c r="E2597" s="1">
        <v>2861</v>
      </c>
      <c r="F2597" s="1" t="s">
        <v>8618</v>
      </c>
      <c r="G2597" s="1" t="s">
        <v>8619</v>
      </c>
      <c r="H2597" s="1" t="s">
        <v>8620</v>
      </c>
      <c r="I2597" s="1" t="s">
        <v>29</v>
      </c>
      <c r="J2597" s="1" t="s">
        <v>8621</v>
      </c>
      <c r="K2597" s="1" t="b">
        <v>0</v>
      </c>
      <c r="L2597" s="1" t="s">
        <v>22</v>
      </c>
      <c r="M2597" s="1">
        <v>2022</v>
      </c>
      <c r="N2597" s="1" t="s">
        <v>45</v>
      </c>
      <c r="O2597" s="1" t="s">
        <v>9935</v>
      </c>
      <c r="P2597" s="1" t="s">
        <v>16</v>
      </c>
      <c r="Q2597" s="1">
        <v>50</v>
      </c>
      <c r="R2597" s="1">
        <v>5000</v>
      </c>
      <c r="S2597" s="1">
        <v>2500</v>
      </c>
    </row>
    <row r="2598" spans="1:19" ht="12.5" x14ac:dyDescent="0.25">
      <c r="A2598" s="1">
        <v>797</v>
      </c>
      <c r="B2598" s="1" t="s">
        <v>6539</v>
      </c>
      <c r="C2598" s="1" t="s">
        <v>35</v>
      </c>
      <c r="D2598" s="1" t="s">
        <v>36</v>
      </c>
      <c r="E2598" s="1">
        <v>2862</v>
      </c>
      <c r="F2598" s="1" t="s">
        <v>8622</v>
      </c>
      <c r="G2598" s="1" t="s">
        <v>8623</v>
      </c>
      <c r="H2598" s="1" t="s">
        <v>16</v>
      </c>
      <c r="I2598" s="1" t="s">
        <v>29</v>
      </c>
      <c r="J2598" s="1" t="s">
        <v>16</v>
      </c>
      <c r="K2598" s="1" t="b">
        <v>0</v>
      </c>
      <c r="L2598" s="1" t="s">
        <v>22</v>
      </c>
      <c r="M2598" s="1" t="s">
        <v>16</v>
      </c>
      <c r="N2598" s="1" t="s">
        <v>16</v>
      </c>
      <c r="O2598" s="1" t="s">
        <v>16</v>
      </c>
      <c r="P2598" s="1" t="s">
        <v>16</v>
      </c>
      <c r="Q2598" s="1">
        <v>100</v>
      </c>
    </row>
    <row r="2599" spans="1:19" ht="12.5" x14ac:dyDescent="0.25">
      <c r="A2599" s="1">
        <v>4404</v>
      </c>
      <c r="B2599" s="1" t="s">
        <v>8624</v>
      </c>
      <c r="C2599" s="1" t="s">
        <v>38</v>
      </c>
      <c r="D2599" s="1" t="s">
        <v>5701</v>
      </c>
      <c r="E2599" s="1">
        <v>2863</v>
      </c>
      <c r="F2599" s="1" t="s">
        <v>8625</v>
      </c>
      <c r="G2599" s="1" t="s">
        <v>8626</v>
      </c>
      <c r="H2599" s="1" t="s">
        <v>8627</v>
      </c>
      <c r="I2599" s="1" t="s">
        <v>29</v>
      </c>
      <c r="J2599" s="1" t="s">
        <v>8628</v>
      </c>
      <c r="K2599" s="1" t="b">
        <v>1</v>
      </c>
      <c r="L2599" s="1" t="s">
        <v>31</v>
      </c>
      <c r="M2599" s="1">
        <v>2022</v>
      </c>
      <c r="N2599" s="1" t="s">
        <v>45</v>
      </c>
      <c r="O2599" s="1" t="s">
        <v>9935</v>
      </c>
      <c r="P2599" s="1" t="s">
        <v>16</v>
      </c>
      <c r="Q2599" s="1">
        <v>100</v>
      </c>
      <c r="R2599" s="1">
        <v>42000</v>
      </c>
      <c r="S2599" s="1">
        <v>42000</v>
      </c>
    </row>
    <row r="2600" spans="1:19" ht="12.5" x14ac:dyDescent="0.25">
      <c r="A2600" s="1">
        <v>762</v>
      </c>
      <c r="B2600" s="1" t="s">
        <v>8629</v>
      </c>
      <c r="C2600" s="1" t="s">
        <v>35</v>
      </c>
      <c r="D2600" s="1" t="s">
        <v>36</v>
      </c>
      <c r="E2600" s="1">
        <v>2864</v>
      </c>
      <c r="F2600" s="1" t="s">
        <v>8630</v>
      </c>
      <c r="G2600" s="1" t="s">
        <v>8631</v>
      </c>
      <c r="H2600" s="1" t="s">
        <v>3132</v>
      </c>
      <c r="I2600" s="1" t="s">
        <v>29</v>
      </c>
      <c r="J2600" s="1" t="s">
        <v>16</v>
      </c>
      <c r="K2600" s="1" t="b">
        <v>0</v>
      </c>
      <c r="L2600" s="1" t="s">
        <v>22</v>
      </c>
      <c r="M2600" s="1">
        <v>2022</v>
      </c>
      <c r="N2600" s="1" t="s">
        <v>52</v>
      </c>
      <c r="O2600" s="1" t="s">
        <v>9942</v>
      </c>
      <c r="P2600" s="1" t="s">
        <v>16</v>
      </c>
      <c r="Q2600" s="1">
        <v>80</v>
      </c>
      <c r="R2600" s="1">
        <v>100000</v>
      </c>
      <c r="S2600" s="1">
        <v>80000</v>
      </c>
    </row>
    <row r="2601" spans="1:19" ht="12.5" x14ac:dyDescent="0.25">
      <c r="A2601" s="1">
        <v>2497</v>
      </c>
      <c r="B2601" s="1" t="s">
        <v>8632</v>
      </c>
      <c r="C2601" s="1" t="s">
        <v>38</v>
      </c>
      <c r="D2601" s="1" t="s">
        <v>39</v>
      </c>
      <c r="E2601" s="1">
        <v>2864</v>
      </c>
      <c r="F2601" s="1" t="s">
        <v>8630</v>
      </c>
      <c r="G2601" s="1" t="s">
        <v>8631</v>
      </c>
      <c r="H2601" s="1" t="s">
        <v>3132</v>
      </c>
      <c r="I2601" s="1" t="s">
        <v>29</v>
      </c>
      <c r="J2601" s="1" t="s">
        <v>16</v>
      </c>
      <c r="K2601" s="1" t="b">
        <v>0</v>
      </c>
      <c r="L2601" s="1" t="s">
        <v>22</v>
      </c>
      <c r="M2601" s="1">
        <v>2022</v>
      </c>
      <c r="N2601" s="1" t="s">
        <v>52</v>
      </c>
      <c r="O2601" s="1" t="s">
        <v>9942</v>
      </c>
      <c r="P2601" s="1" t="s">
        <v>16</v>
      </c>
      <c r="Q2601" s="1">
        <v>20</v>
      </c>
      <c r="R2601" s="1">
        <v>100000</v>
      </c>
      <c r="S2601" s="1">
        <v>20000</v>
      </c>
    </row>
    <row r="2602" spans="1:19" ht="12.5" x14ac:dyDescent="0.25">
      <c r="A2602" s="1">
        <v>1435</v>
      </c>
      <c r="B2602" s="1" t="s">
        <v>8633</v>
      </c>
      <c r="C2602" s="1" t="s">
        <v>35</v>
      </c>
      <c r="D2602" s="1" t="s">
        <v>152</v>
      </c>
      <c r="E2602" s="1">
        <v>2865</v>
      </c>
      <c r="F2602" s="1" t="s">
        <v>8635</v>
      </c>
      <c r="G2602" s="1" t="s">
        <v>8636</v>
      </c>
      <c r="H2602" s="1" t="s">
        <v>16</v>
      </c>
      <c r="I2602" s="1" t="s">
        <v>29</v>
      </c>
      <c r="J2602" s="1" t="s">
        <v>16</v>
      </c>
      <c r="K2602" s="1" t="b">
        <v>0</v>
      </c>
      <c r="L2602" s="1" t="s">
        <v>22</v>
      </c>
      <c r="M2602" s="1" t="s">
        <v>16</v>
      </c>
      <c r="N2602" s="1" t="s">
        <v>16</v>
      </c>
      <c r="O2602" s="1" t="s">
        <v>16</v>
      </c>
      <c r="P2602" s="1" t="s">
        <v>16</v>
      </c>
      <c r="Q2602" s="1">
        <v>100</v>
      </c>
    </row>
    <row r="2603" spans="1:19" ht="12.5" x14ac:dyDescent="0.25">
      <c r="A2603" s="1">
        <v>1200</v>
      </c>
      <c r="B2603" s="1" t="s">
        <v>8637</v>
      </c>
      <c r="C2603" s="1" t="s">
        <v>35</v>
      </c>
      <c r="D2603" s="1" t="s">
        <v>152</v>
      </c>
      <c r="E2603" s="1">
        <v>2866</v>
      </c>
      <c r="F2603" s="1" t="s">
        <v>8639</v>
      </c>
      <c r="G2603" s="1" t="s">
        <v>8640</v>
      </c>
      <c r="H2603" s="1" t="s">
        <v>16</v>
      </c>
      <c r="I2603" s="1" t="s">
        <v>29</v>
      </c>
      <c r="J2603" s="1" t="s">
        <v>8641</v>
      </c>
      <c r="K2603" s="1" t="b">
        <v>1</v>
      </c>
      <c r="L2603" s="1" t="s">
        <v>31</v>
      </c>
      <c r="M2603" s="1">
        <v>2022</v>
      </c>
      <c r="N2603" s="1" t="s">
        <v>52</v>
      </c>
      <c r="O2603" s="1" t="s">
        <v>9956</v>
      </c>
      <c r="P2603" s="1" t="s">
        <v>3094</v>
      </c>
      <c r="Q2603" s="1">
        <v>100</v>
      </c>
      <c r="R2603" s="1">
        <v>100000</v>
      </c>
      <c r="S2603" s="1">
        <v>100000</v>
      </c>
    </row>
    <row r="2604" spans="1:19" ht="12.5" x14ac:dyDescent="0.25">
      <c r="A2604" s="1">
        <v>1200</v>
      </c>
      <c r="B2604" s="1" t="s">
        <v>8637</v>
      </c>
      <c r="C2604" s="1" t="s">
        <v>35</v>
      </c>
      <c r="D2604" s="1" t="s">
        <v>152</v>
      </c>
      <c r="E2604" s="1">
        <v>2866</v>
      </c>
      <c r="F2604" s="1" t="s">
        <v>8639</v>
      </c>
      <c r="G2604" s="1" t="s">
        <v>8640</v>
      </c>
      <c r="H2604" s="1" t="s">
        <v>16</v>
      </c>
      <c r="I2604" s="1" t="s">
        <v>29</v>
      </c>
      <c r="J2604" s="1" t="s">
        <v>8641</v>
      </c>
      <c r="K2604" s="1" t="b">
        <v>1</v>
      </c>
      <c r="L2604" s="1" t="s">
        <v>31</v>
      </c>
      <c r="M2604" s="1">
        <v>2022</v>
      </c>
      <c r="N2604" s="1" t="s">
        <v>52</v>
      </c>
      <c r="O2604" s="1" t="s">
        <v>9935</v>
      </c>
      <c r="P2604" s="1" t="s">
        <v>16</v>
      </c>
      <c r="Q2604" s="1">
        <v>100</v>
      </c>
      <c r="R2604" s="1">
        <v>150000</v>
      </c>
      <c r="S2604" s="1">
        <v>150000</v>
      </c>
    </row>
    <row r="2605" spans="1:19" ht="12.5" x14ac:dyDescent="0.25">
      <c r="A2605" s="1" t="s">
        <v>16</v>
      </c>
      <c r="B2605" s="1" t="s">
        <v>16</v>
      </c>
      <c r="C2605" s="1" t="s">
        <v>16</v>
      </c>
      <c r="D2605" s="1" t="s">
        <v>16</v>
      </c>
      <c r="E2605" s="1">
        <v>2867</v>
      </c>
      <c r="F2605" s="1" t="s">
        <v>8642</v>
      </c>
      <c r="G2605" s="1" t="s">
        <v>8643</v>
      </c>
      <c r="H2605" s="1" t="s">
        <v>16</v>
      </c>
      <c r="I2605" s="1" t="s">
        <v>20</v>
      </c>
      <c r="J2605" s="1" t="s">
        <v>8644</v>
      </c>
      <c r="K2605" s="1" t="b">
        <v>0</v>
      </c>
      <c r="L2605" s="1" t="s">
        <v>22</v>
      </c>
      <c r="M2605" s="1" t="s">
        <v>16</v>
      </c>
      <c r="N2605" s="1" t="s">
        <v>16</v>
      </c>
      <c r="O2605" s="1" t="s">
        <v>16</v>
      </c>
      <c r="P2605" s="1" t="s">
        <v>16</v>
      </c>
    </row>
    <row r="2606" spans="1:19" ht="12.5" x14ac:dyDescent="0.25">
      <c r="A2606" s="1" t="s">
        <v>16</v>
      </c>
      <c r="B2606" s="1" t="s">
        <v>16</v>
      </c>
      <c r="C2606" s="1" t="s">
        <v>16</v>
      </c>
      <c r="D2606" s="1" t="s">
        <v>16</v>
      </c>
      <c r="E2606" s="1">
        <v>2868</v>
      </c>
      <c r="F2606" s="1" t="s">
        <v>8645</v>
      </c>
      <c r="G2606" s="1" t="s">
        <v>8646</v>
      </c>
      <c r="H2606" s="1" t="s">
        <v>16</v>
      </c>
      <c r="I2606" s="1" t="s">
        <v>20</v>
      </c>
      <c r="J2606" s="1" t="s">
        <v>8647</v>
      </c>
      <c r="K2606" s="1" t="b">
        <v>0</v>
      </c>
      <c r="L2606" s="1" t="s">
        <v>22</v>
      </c>
      <c r="M2606" s="1" t="s">
        <v>16</v>
      </c>
      <c r="N2606" s="1" t="s">
        <v>16</v>
      </c>
      <c r="O2606" s="1" t="s">
        <v>16</v>
      </c>
      <c r="P2606" s="1" t="s">
        <v>16</v>
      </c>
    </row>
    <row r="2607" spans="1:19" ht="12.5" x14ac:dyDescent="0.25">
      <c r="A2607" s="1" t="s">
        <v>16</v>
      </c>
      <c r="B2607" s="1" t="s">
        <v>16</v>
      </c>
      <c r="C2607" s="1" t="s">
        <v>16</v>
      </c>
      <c r="D2607" s="1" t="s">
        <v>16</v>
      </c>
      <c r="E2607" s="1">
        <v>2869</v>
      </c>
      <c r="F2607" s="1" t="s">
        <v>8648</v>
      </c>
      <c r="G2607" s="1" t="s">
        <v>8649</v>
      </c>
      <c r="H2607" s="1" t="s">
        <v>16</v>
      </c>
      <c r="I2607" s="1" t="s">
        <v>20</v>
      </c>
      <c r="J2607" s="1" t="s">
        <v>8650</v>
      </c>
      <c r="K2607" s="1" t="b">
        <v>0</v>
      </c>
      <c r="L2607" s="1" t="s">
        <v>22</v>
      </c>
      <c r="M2607" s="1" t="s">
        <v>16</v>
      </c>
      <c r="N2607" s="1" t="s">
        <v>16</v>
      </c>
      <c r="O2607" s="1" t="s">
        <v>16</v>
      </c>
      <c r="P2607" s="1" t="s">
        <v>16</v>
      </c>
    </row>
    <row r="2608" spans="1:19" ht="12.5" x14ac:dyDescent="0.25">
      <c r="A2608" s="1" t="s">
        <v>16</v>
      </c>
      <c r="B2608" s="1" t="s">
        <v>16</v>
      </c>
      <c r="C2608" s="1" t="s">
        <v>16</v>
      </c>
      <c r="D2608" s="1" t="s">
        <v>16</v>
      </c>
      <c r="E2608" s="1">
        <v>2870</v>
      </c>
      <c r="F2608" s="1" t="s">
        <v>8651</v>
      </c>
      <c r="G2608" s="1" t="s">
        <v>8652</v>
      </c>
      <c r="H2608" s="1" t="s">
        <v>16</v>
      </c>
      <c r="I2608" s="1" t="s">
        <v>20</v>
      </c>
      <c r="J2608" s="1" t="s">
        <v>8653</v>
      </c>
      <c r="K2608" s="1" t="b">
        <v>0</v>
      </c>
      <c r="L2608" s="1" t="s">
        <v>22</v>
      </c>
      <c r="M2608" s="1" t="s">
        <v>16</v>
      </c>
      <c r="N2608" s="1" t="s">
        <v>16</v>
      </c>
      <c r="O2608" s="1" t="s">
        <v>16</v>
      </c>
      <c r="P2608" s="1" t="s">
        <v>16</v>
      </c>
    </row>
    <row r="2609" spans="1:19" ht="12.5" x14ac:dyDescent="0.25">
      <c r="A2609" s="1" t="s">
        <v>16</v>
      </c>
      <c r="B2609" s="1" t="s">
        <v>16</v>
      </c>
      <c r="C2609" s="1" t="s">
        <v>16</v>
      </c>
      <c r="D2609" s="1" t="s">
        <v>16</v>
      </c>
      <c r="E2609" s="1">
        <v>2871</v>
      </c>
      <c r="F2609" s="1" t="s">
        <v>8654</v>
      </c>
      <c r="G2609" s="1" t="s">
        <v>8655</v>
      </c>
      <c r="H2609" s="1" t="s">
        <v>16</v>
      </c>
      <c r="I2609" s="1" t="s">
        <v>20</v>
      </c>
      <c r="J2609" s="1" t="s">
        <v>8656</v>
      </c>
      <c r="K2609" s="1" t="b">
        <v>0</v>
      </c>
      <c r="L2609" s="1" t="s">
        <v>22</v>
      </c>
      <c r="M2609" s="1" t="s">
        <v>16</v>
      </c>
      <c r="N2609" s="1" t="s">
        <v>16</v>
      </c>
      <c r="O2609" s="1" t="s">
        <v>16</v>
      </c>
      <c r="P2609" s="1" t="s">
        <v>16</v>
      </c>
    </row>
    <row r="2610" spans="1:19" ht="12.5" x14ac:dyDescent="0.25">
      <c r="A2610" s="1">
        <v>1533</v>
      </c>
      <c r="B2610" s="1" t="s">
        <v>8657</v>
      </c>
      <c r="C2610" s="1" t="s">
        <v>35</v>
      </c>
      <c r="D2610" s="1" t="s">
        <v>152</v>
      </c>
      <c r="E2610" s="1">
        <v>2872</v>
      </c>
      <c r="F2610" s="1" t="s">
        <v>8658</v>
      </c>
      <c r="G2610" s="1" t="s">
        <v>8659</v>
      </c>
      <c r="H2610" s="1" t="s">
        <v>8659</v>
      </c>
      <c r="I2610" s="1" t="s">
        <v>29</v>
      </c>
      <c r="J2610" s="1" t="s">
        <v>8660</v>
      </c>
      <c r="K2610" s="1" t="b">
        <v>0</v>
      </c>
      <c r="L2610" s="1" t="s">
        <v>22</v>
      </c>
      <c r="M2610" s="1">
        <v>2022</v>
      </c>
      <c r="N2610" s="1" t="s">
        <v>45</v>
      </c>
      <c r="O2610" s="1" t="s">
        <v>9935</v>
      </c>
      <c r="P2610" s="1" t="s">
        <v>16</v>
      </c>
      <c r="Q2610" s="1">
        <v>100</v>
      </c>
      <c r="R2610" s="1">
        <v>35000</v>
      </c>
      <c r="S2610" s="1">
        <v>35000</v>
      </c>
    </row>
    <row r="2611" spans="1:19" ht="12.5" x14ac:dyDescent="0.25">
      <c r="A2611" s="1">
        <v>911</v>
      </c>
      <c r="B2611" s="1" t="s">
        <v>6108</v>
      </c>
      <c r="C2611" s="1" t="s">
        <v>35</v>
      </c>
      <c r="D2611" s="1" t="s">
        <v>152</v>
      </c>
      <c r="E2611" s="1">
        <v>2902</v>
      </c>
      <c r="F2611" s="1" t="s">
        <v>8661</v>
      </c>
      <c r="G2611" s="1" t="s">
        <v>8662</v>
      </c>
      <c r="H2611" s="1" t="s">
        <v>16</v>
      </c>
      <c r="I2611" s="1" t="s">
        <v>29</v>
      </c>
      <c r="J2611" s="1" t="s">
        <v>16</v>
      </c>
      <c r="K2611" s="1" t="b">
        <v>0</v>
      </c>
      <c r="L2611" s="1" t="s">
        <v>22</v>
      </c>
      <c r="M2611" s="1" t="s">
        <v>16</v>
      </c>
      <c r="N2611" s="1" t="s">
        <v>16</v>
      </c>
      <c r="O2611" s="1" t="s">
        <v>16</v>
      </c>
      <c r="P2611" s="1" t="s">
        <v>16</v>
      </c>
      <c r="Q2611" s="1">
        <v>100</v>
      </c>
    </row>
    <row r="2612" spans="1:19" ht="12.5" x14ac:dyDescent="0.25">
      <c r="A2612" s="1" t="s">
        <v>16</v>
      </c>
      <c r="B2612" s="1" t="s">
        <v>16</v>
      </c>
      <c r="C2612" s="1" t="s">
        <v>16</v>
      </c>
      <c r="D2612" s="1" t="s">
        <v>16</v>
      </c>
      <c r="E2612" s="1">
        <v>2903</v>
      </c>
      <c r="F2612" s="1" t="s">
        <v>8663</v>
      </c>
      <c r="G2612" s="1" t="s">
        <v>8664</v>
      </c>
      <c r="H2612" s="1" t="s">
        <v>16</v>
      </c>
      <c r="I2612" s="1" t="s">
        <v>29</v>
      </c>
      <c r="J2612" s="1" t="s">
        <v>8665</v>
      </c>
      <c r="K2612" s="1" t="b">
        <v>1</v>
      </c>
      <c r="L2612" s="1" t="s">
        <v>31</v>
      </c>
      <c r="M2612" s="1">
        <v>2022</v>
      </c>
      <c r="N2612" s="1" t="s">
        <v>32</v>
      </c>
      <c r="O2612" s="1" t="s">
        <v>9935</v>
      </c>
      <c r="P2612" s="1" t="s">
        <v>16</v>
      </c>
      <c r="R2612" s="1">
        <v>237501.17</v>
      </c>
    </row>
    <row r="2613" spans="1:19" ht="12.5" x14ac:dyDescent="0.25">
      <c r="A2613" s="1" t="s">
        <v>16</v>
      </c>
      <c r="B2613" s="1" t="s">
        <v>16</v>
      </c>
      <c r="C2613" s="1" t="s">
        <v>16</v>
      </c>
      <c r="D2613" s="1" t="s">
        <v>16</v>
      </c>
      <c r="E2613" s="1">
        <v>2904</v>
      </c>
      <c r="F2613" s="1" t="s">
        <v>8666</v>
      </c>
      <c r="G2613" s="1" t="s">
        <v>8667</v>
      </c>
      <c r="H2613" s="1" t="s">
        <v>16</v>
      </c>
      <c r="I2613" s="1" t="s">
        <v>29</v>
      </c>
      <c r="J2613" s="1" t="s">
        <v>8668</v>
      </c>
      <c r="K2613" s="1" t="b">
        <v>1</v>
      </c>
      <c r="L2613" s="1" t="s">
        <v>31</v>
      </c>
      <c r="M2613" s="1">
        <v>2022</v>
      </c>
      <c r="N2613" s="1" t="s">
        <v>32</v>
      </c>
      <c r="O2613" s="1" t="s">
        <v>9935</v>
      </c>
      <c r="P2613" s="1" t="s">
        <v>16</v>
      </c>
      <c r="R2613" s="1">
        <v>380397.09</v>
      </c>
    </row>
    <row r="2614" spans="1:19" ht="12.5" x14ac:dyDescent="0.25">
      <c r="A2614" s="1">
        <v>825</v>
      </c>
      <c r="B2614" s="1" t="s">
        <v>8669</v>
      </c>
      <c r="C2614" s="1" t="s">
        <v>35</v>
      </c>
      <c r="D2614" s="1" t="s">
        <v>36</v>
      </c>
      <c r="E2614" s="1">
        <v>2905</v>
      </c>
      <c r="F2614" s="1" t="s">
        <v>8670</v>
      </c>
      <c r="G2614" s="1" t="s">
        <v>8671</v>
      </c>
      <c r="H2614" s="1" t="s">
        <v>8672</v>
      </c>
      <c r="I2614" s="1" t="s">
        <v>29</v>
      </c>
      <c r="J2614" s="1" t="s">
        <v>8673</v>
      </c>
      <c r="K2614" s="1" t="b">
        <v>0</v>
      </c>
      <c r="L2614" s="1" t="s">
        <v>22</v>
      </c>
      <c r="M2614" s="1">
        <v>2022</v>
      </c>
      <c r="N2614" s="1" t="s">
        <v>23</v>
      </c>
      <c r="O2614" s="1" t="s">
        <v>9935</v>
      </c>
      <c r="P2614" s="1" t="s">
        <v>16</v>
      </c>
      <c r="Q2614" s="1">
        <v>100</v>
      </c>
      <c r="R2614" s="1">
        <v>15000</v>
      </c>
      <c r="S2614" s="1">
        <v>15000</v>
      </c>
    </row>
    <row r="2615" spans="1:19" ht="12.5" x14ac:dyDescent="0.25">
      <c r="A2615" s="1">
        <v>770</v>
      </c>
      <c r="B2615" s="1" t="s">
        <v>8674</v>
      </c>
      <c r="C2615" s="1" t="s">
        <v>35</v>
      </c>
      <c r="D2615" s="1" t="s">
        <v>36</v>
      </c>
      <c r="E2615" s="1">
        <v>2906</v>
      </c>
      <c r="F2615" s="1" t="s">
        <v>8675</v>
      </c>
      <c r="G2615" s="1" t="s">
        <v>8676</v>
      </c>
      <c r="H2615" s="1" t="s">
        <v>8677</v>
      </c>
      <c r="I2615" s="1" t="s">
        <v>29</v>
      </c>
      <c r="J2615" s="1" t="s">
        <v>16</v>
      </c>
      <c r="K2615" s="1" t="b">
        <v>0</v>
      </c>
      <c r="L2615" s="1" t="s">
        <v>22</v>
      </c>
      <c r="M2615" s="1">
        <v>2022</v>
      </c>
      <c r="N2615" s="1" t="s">
        <v>23</v>
      </c>
      <c r="O2615" s="1" t="s">
        <v>9956</v>
      </c>
      <c r="P2615" s="1" t="s">
        <v>10100</v>
      </c>
      <c r="Q2615" s="1">
        <v>100</v>
      </c>
      <c r="R2615" s="1">
        <v>10000</v>
      </c>
      <c r="S2615" s="1">
        <v>10000</v>
      </c>
    </row>
    <row r="2616" spans="1:19" ht="12.5" x14ac:dyDescent="0.25">
      <c r="A2616" s="1">
        <v>1548</v>
      </c>
      <c r="B2616" s="1" t="s">
        <v>5063</v>
      </c>
      <c r="C2616" s="1" t="s">
        <v>35</v>
      </c>
      <c r="D2616" s="1" t="s">
        <v>152</v>
      </c>
      <c r="E2616" s="1">
        <v>2907</v>
      </c>
      <c r="F2616" s="1" t="s">
        <v>8678</v>
      </c>
      <c r="G2616" s="1" t="s">
        <v>8679</v>
      </c>
      <c r="H2616" s="1" t="s">
        <v>8680</v>
      </c>
      <c r="I2616" s="1" t="s">
        <v>29</v>
      </c>
      <c r="J2616" s="1" t="s">
        <v>8681</v>
      </c>
      <c r="K2616" s="1" t="b">
        <v>1</v>
      </c>
      <c r="L2616" s="1" t="s">
        <v>31</v>
      </c>
      <c r="M2616" s="1">
        <v>2022</v>
      </c>
      <c r="N2616" s="1" t="s">
        <v>23</v>
      </c>
      <c r="O2616" s="1" t="s">
        <v>9956</v>
      </c>
      <c r="P2616" s="1" t="s">
        <v>16</v>
      </c>
      <c r="Q2616" s="1">
        <v>100</v>
      </c>
      <c r="R2616" s="1">
        <v>3300</v>
      </c>
      <c r="S2616" s="1">
        <v>3300</v>
      </c>
    </row>
    <row r="2617" spans="1:19" ht="12.5" x14ac:dyDescent="0.25">
      <c r="A2617" s="1">
        <v>1569</v>
      </c>
      <c r="B2617" s="1" t="s">
        <v>5135</v>
      </c>
      <c r="C2617" s="1" t="s">
        <v>35</v>
      </c>
      <c r="D2617" s="1" t="s">
        <v>152</v>
      </c>
      <c r="E2617" s="1">
        <v>2908</v>
      </c>
      <c r="F2617" s="1" t="s">
        <v>8682</v>
      </c>
      <c r="G2617" s="1" t="s">
        <v>8683</v>
      </c>
      <c r="H2617" s="1" t="s">
        <v>8684</v>
      </c>
      <c r="I2617" s="1" t="s">
        <v>29</v>
      </c>
      <c r="J2617" s="1" t="s">
        <v>8685</v>
      </c>
      <c r="K2617" s="1" t="b">
        <v>0</v>
      </c>
      <c r="L2617" s="1" t="s">
        <v>22</v>
      </c>
      <c r="M2617" s="1">
        <v>2022</v>
      </c>
      <c r="N2617" s="1" t="s">
        <v>45</v>
      </c>
      <c r="O2617" s="1" t="s">
        <v>9956</v>
      </c>
      <c r="P2617" s="1" t="s">
        <v>16</v>
      </c>
      <c r="Q2617" s="1">
        <v>100</v>
      </c>
      <c r="R2617" s="1">
        <v>2000</v>
      </c>
      <c r="S2617" s="1">
        <v>2000</v>
      </c>
    </row>
    <row r="2618" spans="1:19" ht="12.5" x14ac:dyDescent="0.25">
      <c r="A2618" s="1">
        <v>4455</v>
      </c>
      <c r="B2618" s="1" t="s">
        <v>8686</v>
      </c>
      <c r="C2618" s="1" t="s">
        <v>15</v>
      </c>
      <c r="D2618" s="1" t="s">
        <v>15</v>
      </c>
      <c r="E2618" s="1">
        <v>2909</v>
      </c>
      <c r="F2618" s="1" t="s">
        <v>8687</v>
      </c>
      <c r="G2618" s="1" t="s">
        <v>8688</v>
      </c>
      <c r="H2618" s="1" t="s">
        <v>16</v>
      </c>
      <c r="I2618" s="1" t="s">
        <v>29</v>
      </c>
      <c r="J2618" s="1" t="s">
        <v>8689</v>
      </c>
      <c r="K2618" s="1" t="b">
        <v>0</v>
      </c>
      <c r="L2618" s="1" t="s">
        <v>22</v>
      </c>
      <c r="M2618" s="1">
        <v>2023</v>
      </c>
      <c r="N2618" s="1" t="s">
        <v>32</v>
      </c>
      <c r="O2618" s="1" t="s">
        <v>9935</v>
      </c>
      <c r="P2618" s="1" t="s">
        <v>16</v>
      </c>
      <c r="Q2618" s="1">
        <v>100</v>
      </c>
      <c r="R2618" s="1">
        <v>450000</v>
      </c>
      <c r="S2618" s="1">
        <v>450000</v>
      </c>
    </row>
    <row r="2619" spans="1:19" ht="12.5" x14ac:dyDescent="0.25">
      <c r="A2619" s="1">
        <v>4456</v>
      </c>
      <c r="B2619" s="1" t="s">
        <v>8690</v>
      </c>
      <c r="C2619" s="1" t="s">
        <v>15</v>
      </c>
      <c r="D2619" s="1" t="s">
        <v>15</v>
      </c>
      <c r="E2619" s="1">
        <v>2910</v>
      </c>
      <c r="F2619" s="1" t="s">
        <v>8691</v>
      </c>
      <c r="G2619" s="1" t="s">
        <v>8692</v>
      </c>
      <c r="H2619" s="1" t="s">
        <v>16</v>
      </c>
      <c r="I2619" s="1" t="s">
        <v>29</v>
      </c>
      <c r="J2619" s="1" t="s">
        <v>8693</v>
      </c>
      <c r="K2619" s="1" t="b">
        <v>0</v>
      </c>
      <c r="L2619" s="1" t="s">
        <v>22</v>
      </c>
      <c r="M2619" s="1">
        <v>2023</v>
      </c>
      <c r="N2619" s="1" t="s">
        <v>32</v>
      </c>
      <c r="O2619" s="1" t="s">
        <v>9935</v>
      </c>
      <c r="P2619" s="1" t="s">
        <v>16</v>
      </c>
      <c r="Q2619" s="1">
        <v>100</v>
      </c>
      <c r="R2619" s="1">
        <v>500000</v>
      </c>
      <c r="S2619" s="1">
        <v>500000</v>
      </c>
    </row>
    <row r="2620" spans="1:19" ht="12.5" x14ac:dyDescent="0.25">
      <c r="A2620" s="1">
        <v>4457</v>
      </c>
      <c r="B2620" s="1" t="s">
        <v>8694</v>
      </c>
      <c r="C2620" s="1" t="s">
        <v>15</v>
      </c>
      <c r="D2620" s="1" t="s">
        <v>15</v>
      </c>
      <c r="E2620" s="1">
        <v>2911</v>
      </c>
      <c r="F2620" s="1" t="s">
        <v>8695</v>
      </c>
      <c r="G2620" s="1" t="s">
        <v>8696</v>
      </c>
      <c r="H2620" s="1" t="s">
        <v>16</v>
      </c>
      <c r="I2620" s="1" t="s">
        <v>29</v>
      </c>
      <c r="J2620" s="1" t="s">
        <v>8697</v>
      </c>
      <c r="K2620" s="1" t="b">
        <v>0</v>
      </c>
      <c r="L2620" s="1" t="s">
        <v>22</v>
      </c>
      <c r="M2620" s="1">
        <v>2023</v>
      </c>
      <c r="N2620" s="1" t="s">
        <v>32</v>
      </c>
      <c r="O2620" s="1" t="s">
        <v>9935</v>
      </c>
      <c r="P2620" s="1" t="s">
        <v>16</v>
      </c>
      <c r="Q2620" s="1">
        <v>100</v>
      </c>
      <c r="R2620" s="1">
        <v>200000</v>
      </c>
      <c r="S2620" s="1">
        <v>200000</v>
      </c>
    </row>
    <row r="2621" spans="1:19" ht="12.5" x14ac:dyDescent="0.25">
      <c r="A2621" s="1">
        <v>4458</v>
      </c>
      <c r="B2621" s="1" t="s">
        <v>8698</v>
      </c>
      <c r="C2621" s="1" t="s">
        <v>15</v>
      </c>
      <c r="D2621" s="1" t="s">
        <v>15</v>
      </c>
      <c r="E2621" s="1">
        <v>2912</v>
      </c>
      <c r="F2621" s="1" t="s">
        <v>8699</v>
      </c>
      <c r="G2621" s="1" t="s">
        <v>8700</v>
      </c>
      <c r="H2621" s="1" t="s">
        <v>16</v>
      </c>
      <c r="I2621" s="1" t="s">
        <v>29</v>
      </c>
      <c r="J2621" s="1" t="s">
        <v>8701</v>
      </c>
      <c r="K2621" s="1" t="b">
        <v>0</v>
      </c>
      <c r="L2621" s="1" t="s">
        <v>22</v>
      </c>
      <c r="M2621" s="1">
        <v>2023</v>
      </c>
      <c r="N2621" s="1" t="s">
        <v>32</v>
      </c>
      <c r="O2621" s="1" t="s">
        <v>9935</v>
      </c>
      <c r="P2621" s="1" t="s">
        <v>16</v>
      </c>
      <c r="Q2621" s="1">
        <v>100</v>
      </c>
      <c r="R2621" s="1">
        <v>200000</v>
      </c>
      <c r="S2621" s="1">
        <v>200000</v>
      </c>
    </row>
    <row r="2622" spans="1:19" ht="12.5" x14ac:dyDescent="0.25">
      <c r="A2622" s="1">
        <v>4459</v>
      </c>
      <c r="B2622" s="1" t="s">
        <v>8702</v>
      </c>
      <c r="C2622" s="1" t="s">
        <v>15</v>
      </c>
      <c r="D2622" s="1" t="s">
        <v>15</v>
      </c>
      <c r="E2622" s="1">
        <v>2913</v>
      </c>
      <c r="F2622" s="1" t="s">
        <v>8703</v>
      </c>
      <c r="G2622" s="1" t="s">
        <v>8704</v>
      </c>
      <c r="H2622" s="1" t="s">
        <v>16</v>
      </c>
      <c r="I2622" s="1" t="s">
        <v>29</v>
      </c>
      <c r="J2622" s="1" t="s">
        <v>8705</v>
      </c>
      <c r="K2622" s="1" t="b">
        <v>0</v>
      </c>
      <c r="L2622" s="1" t="s">
        <v>22</v>
      </c>
      <c r="M2622" s="1">
        <v>2023</v>
      </c>
      <c r="N2622" s="1" t="s">
        <v>32</v>
      </c>
      <c r="O2622" s="1" t="s">
        <v>9935</v>
      </c>
      <c r="P2622" s="1" t="s">
        <v>16</v>
      </c>
      <c r="Q2622" s="1">
        <v>100</v>
      </c>
      <c r="R2622" s="1">
        <v>150000</v>
      </c>
      <c r="S2622" s="1">
        <v>150000</v>
      </c>
    </row>
    <row r="2623" spans="1:19" ht="12.5" x14ac:dyDescent="0.25">
      <c r="A2623" s="1">
        <v>4460</v>
      </c>
      <c r="B2623" s="1" t="s">
        <v>8706</v>
      </c>
      <c r="C2623" s="1" t="s">
        <v>15</v>
      </c>
      <c r="D2623" s="1" t="s">
        <v>15</v>
      </c>
      <c r="E2623" s="1">
        <v>2914</v>
      </c>
      <c r="F2623" s="1" t="s">
        <v>8707</v>
      </c>
      <c r="G2623" s="1" t="s">
        <v>8708</v>
      </c>
      <c r="H2623" s="1" t="s">
        <v>16</v>
      </c>
      <c r="I2623" s="1" t="s">
        <v>29</v>
      </c>
      <c r="J2623" s="1" t="s">
        <v>8709</v>
      </c>
      <c r="K2623" s="1" t="b">
        <v>0</v>
      </c>
      <c r="L2623" s="1" t="s">
        <v>22</v>
      </c>
      <c r="M2623" s="1">
        <v>2023</v>
      </c>
      <c r="N2623" s="1" t="s">
        <v>32</v>
      </c>
      <c r="O2623" s="1" t="s">
        <v>9935</v>
      </c>
      <c r="P2623" s="1" t="s">
        <v>16</v>
      </c>
      <c r="Q2623" s="1">
        <v>100</v>
      </c>
      <c r="R2623" s="1">
        <v>800000</v>
      </c>
      <c r="S2623" s="1">
        <v>800000</v>
      </c>
    </row>
    <row r="2624" spans="1:19" ht="12.5" x14ac:dyDescent="0.25">
      <c r="A2624" s="1">
        <v>4461</v>
      </c>
      <c r="B2624" s="1" t="s">
        <v>8710</v>
      </c>
      <c r="C2624" s="1" t="s">
        <v>15</v>
      </c>
      <c r="D2624" s="1" t="s">
        <v>15</v>
      </c>
      <c r="E2624" s="1">
        <v>2915</v>
      </c>
      <c r="F2624" s="1" t="s">
        <v>8711</v>
      </c>
      <c r="G2624" s="1" t="s">
        <v>8712</v>
      </c>
      <c r="H2624" s="1" t="s">
        <v>16</v>
      </c>
      <c r="I2624" s="1" t="s">
        <v>29</v>
      </c>
      <c r="J2624" s="1" t="s">
        <v>8713</v>
      </c>
      <c r="K2624" s="1" t="b">
        <v>0</v>
      </c>
      <c r="L2624" s="1" t="s">
        <v>22</v>
      </c>
      <c r="M2624" s="1">
        <v>2023</v>
      </c>
      <c r="N2624" s="1" t="s">
        <v>32</v>
      </c>
      <c r="O2624" s="1" t="s">
        <v>9935</v>
      </c>
      <c r="P2624" s="1" t="s">
        <v>16</v>
      </c>
      <c r="Q2624" s="1">
        <v>100</v>
      </c>
      <c r="R2624" s="1">
        <v>200000</v>
      </c>
      <c r="S2624" s="1">
        <v>200000</v>
      </c>
    </row>
    <row r="2625" spans="1:19" ht="12.5" x14ac:dyDescent="0.25">
      <c r="A2625" s="1">
        <v>4462</v>
      </c>
      <c r="B2625" s="1" t="s">
        <v>8714</v>
      </c>
      <c r="C2625" s="1" t="s">
        <v>15</v>
      </c>
      <c r="D2625" s="1" t="s">
        <v>15</v>
      </c>
      <c r="E2625" s="1">
        <v>2916</v>
      </c>
      <c r="F2625" s="1" t="s">
        <v>8715</v>
      </c>
      <c r="G2625" s="1" t="s">
        <v>8716</v>
      </c>
      <c r="H2625" s="1" t="s">
        <v>16</v>
      </c>
      <c r="I2625" s="1" t="s">
        <v>29</v>
      </c>
      <c r="J2625" s="1" t="s">
        <v>8717</v>
      </c>
      <c r="K2625" s="1" t="b">
        <v>0</v>
      </c>
      <c r="L2625" s="1" t="s">
        <v>22</v>
      </c>
      <c r="M2625" s="1">
        <v>2023</v>
      </c>
      <c r="N2625" s="1" t="s">
        <v>32</v>
      </c>
      <c r="O2625" s="1" t="s">
        <v>9935</v>
      </c>
      <c r="P2625" s="1" t="s">
        <v>16</v>
      </c>
      <c r="Q2625" s="1">
        <v>100</v>
      </c>
      <c r="R2625" s="1">
        <v>480000</v>
      </c>
      <c r="S2625" s="1">
        <v>480000</v>
      </c>
    </row>
    <row r="2626" spans="1:19" ht="12.5" x14ac:dyDescent="0.25">
      <c r="A2626" s="1">
        <v>4463</v>
      </c>
      <c r="B2626" s="1" t="s">
        <v>8718</v>
      </c>
      <c r="C2626" s="1" t="s">
        <v>15</v>
      </c>
      <c r="D2626" s="1" t="s">
        <v>15</v>
      </c>
      <c r="E2626" s="1">
        <v>2917</v>
      </c>
      <c r="F2626" s="1" t="s">
        <v>8719</v>
      </c>
      <c r="G2626" s="1" t="s">
        <v>8720</v>
      </c>
      <c r="H2626" s="1" t="s">
        <v>16</v>
      </c>
      <c r="I2626" s="1" t="s">
        <v>29</v>
      </c>
      <c r="J2626" s="1" t="s">
        <v>8721</v>
      </c>
      <c r="K2626" s="1" t="b">
        <v>0</v>
      </c>
      <c r="L2626" s="1" t="s">
        <v>22</v>
      </c>
      <c r="M2626" s="1">
        <v>2023</v>
      </c>
      <c r="N2626" s="1" t="s">
        <v>32</v>
      </c>
      <c r="O2626" s="1" t="s">
        <v>9935</v>
      </c>
      <c r="P2626" s="1" t="s">
        <v>16</v>
      </c>
      <c r="Q2626" s="1">
        <v>100</v>
      </c>
      <c r="R2626" s="1">
        <v>200000</v>
      </c>
      <c r="S2626" s="1">
        <v>200000</v>
      </c>
    </row>
    <row r="2627" spans="1:19" ht="12.5" x14ac:dyDescent="0.25">
      <c r="A2627" s="1">
        <v>4464</v>
      </c>
      <c r="B2627" s="1" t="s">
        <v>8722</v>
      </c>
      <c r="C2627" s="1" t="s">
        <v>15</v>
      </c>
      <c r="D2627" s="1" t="s">
        <v>15</v>
      </c>
      <c r="E2627" s="1">
        <v>2918</v>
      </c>
      <c r="F2627" s="1" t="s">
        <v>8723</v>
      </c>
      <c r="G2627" s="1" t="s">
        <v>8724</v>
      </c>
      <c r="H2627" s="1" t="s">
        <v>16</v>
      </c>
      <c r="I2627" s="1" t="s">
        <v>29</v>
      </c>
      <c r="J2627" s="1" t="s">
        <v>8725</v>
      </c>
      <c r="K2627" s="1" t="b">
        <v>0</v>
      </c>
      <c r="L2627" s="1" t="s">
        <v>22</v>
      </c>
      <c r="M2627" s="1">
        <v>2023</v>
      </c>
      <c r="N2627" s="1" t="s">
        <v>32</v>
      </c>
      <c r="O2627" s="1" t="s">
        <v>9935</v>
      </c>
      <c r="P2627" s="1" t="s">
        <v>16</v>
      </c>
      <c r="Q2627" s="1">
        <v>100</v>
      </c>
      <c r="R2627" s="1">
        <v>250000</v>
      </c>
      <c r="S2627" s="1">
        <v>250000</v>
      </c>
    </row>
    <row r="2628" spans="1:19" ht="12.5" x14ac:dyDescent="0.25">
      <c r="A2628" s="1">
        <v>4465</v>
      </c>
      <c r="B2628" s="1" t="s">
        <v>8726</v>
      </c>
      <c r="C2628" s="1" t="s">
        <v>15</v>
      </c>
      <c r="D2628" s="1" t="s">
        <v>15</v>
      </c>
      <c r="E2628" s="1">
        <v>2919</v>
      </c>
      <c r="F2628" s="1" t="s">
        <v>8727</v>
      </c>
      <c r="G2628" s="1" t="s">
        <v>8728</v>
      </c>
      <c r="H2628" s="1" t="s">
        <v>16</v>
      </c>
      <c r="I2628" s="1" t="s">
        <v>29</v>
      </c>
      <c r="J2628" s="1" t="s">
        <v>8729</v>
      </c>
      <c r="K2628" s="1" t="b">
        <v>0</v>
      </c>
      <c r="L2628" s="1" t="s">
        <v>22</v>
      </c>
      <c r="M2628" s="1">
        <v>2023</v>
      </c>
      <c r="N2628" s="1" t="s">
        <v>32</v>
      </c>
      <c r="O2628" s="1" t="s">
        <v>9935</v>
      </c>
      <c r="P2628" s="1" t="s">
        <v>16</v>
      </c>
      <c r="Q2628" s="1">
        <v>100</v>
      </c>
      <c r="R2628" s="1">
        <v>500000</v>
      </c>
      <c r="S2628" s="1">
        <v>500000</v>
      </c>
    </row>
    <row r="2629" spans="1:19" ht="12.5" x14ac:dyDescent="0.25">
      <c r="A2629" s="1">
        <v>4466</v>
      </c>
      <c r="B2629" s="1" t="s">
        <v>8730</v>
      </c>
      <c r="C2629" s="1" t="s">
        <v>15</v>
      </c>
      <c r="D2629" s="1" t="s">
        <v>15</v>
      </c>
      <c r="E2629" s="1">
        <v>2920</v>
      </c>
      <c r="F2629" s="1" t="s">
        <v>8731</v>
      </c>
      <c r="G2629" s="1" t="s">
        <v>8732</v>
      </c>
      <c r="H2629" s="1" t="s">
        <v>16</v>
      </c>
      <c r="I2629" s="1" t="s">
        <v>29</v>
      </c>
      <c r="J2629" s="1" t="s">
        <v>8733</v>
      </c>
      <c r="K2629" s="1" t="b">
        <v>0</v>
      </c>
      <c r="L2629" s="1" t="s">
        <v>22</v>
      </c>
      <c r="M2629" s="1">
        <v>2023</v>
      </c>
      <c r="N2629" s="1" t="s">
        <v>45</v>
      </c>
      <c r="O2629" s="1" t="s">
        <v>9935</v>
      </c>
      <c r="P2629" s="1" t="s">
        <v>16</v>
      </c>
      <c r="Q2629" s="1">
        <v>100</v>
      </c>
      <c r="R2629" s="1">
        <v>450000</v>
      </c>
      <c r="S2629" s="1">
        <v>450000</v>
      </c>
    </row>
    <row r="2630" spans="1:19" ht="12.5" x14ac:dyDescent="0.25">
      <c r="A2630" s="1">
        <v>4467</v>
      </c>
      <c r="B2630" s="1" t="s">
        <v>8734</v>
      </c>
      <c r="C2630" s="1" t="s">
        <v>15</v>
      </c>
      <c r="D2630" s="1" t="s">
        <v>15</v>
      </c>
      <c r="E2630" s="1">
        <v>2921</v>
      </c>
      <c r="F2630" s="1" t="s">
        <v>8735</v>
      </c>
      <c r="G2630" s="1" t="s">
        <v>8736</v>
      </c>
      <c r="H2630" s="1" t="s">
        <v>16</v>
      </c>
      <c r="I2630" s="1" t="s">
        <v>29</v>
      </c>
      <c r="J2630" s="1" t="s">
        <v>8737</v>
      </c>
      <c r="K2630" s="1" t="b">
        <v>0</v>
      </c>
      <c r="L2630" s="1" t="s">
        <v>22</v>
      </c>
      <c r="M2630" s="1">
        <v>2023</v>
      </c>
      <c r="N2630" s="1" t="s">
        <v>45</v>
      </c>
      <c r="O2630" s="1" t="s">
        <v>9935</v>
      </c>
      <c r="P2630" s="1" t="s">
        <v>16</v>
      </c>
      <c r="Q2630" s="1">
        <v>100</v>
      </c>
      <c r="R2630" s="1">
        <v>150000</v>
      </c>
      <c r="S2630" s="1">
        <v>150000</v>
      </c>
    </row>
    <row r="2631" spans="1:19" ht="12.5" x14ac:dyDescent="0.25">
      <c r="A2631" s="1">
        <v>4468</v>
      </c>
      <c r="B2631" s="1" t="s">
        <v>8738</v>
      </c>
      <c r="C2631" s="1" t="s">
        <v>15</v>
      </c>
      <c r="D2631" s="1" t="s">
        <v>15</v>
      </c>
      <c r="E2631" s="1">
        <v>2922</v>
      </c>
      <c r="F2631" s="1" t="s">
        <v>8739</v>
      </c>
      <c r="G2631" s="1" t="s">
        <v>8740</v>
      </c>
      <c r="H2631" s="1" t="s">
        <v>16</v>
      </c>
      <c r="I2631" s="1" t="s">
        <v>29</v>
      </c>
      <c r="J2631" s="1" t="s">
        <v>8741</v>
      </c>
      <c r="K2631" s="1" t="b">
        <v>0</v>
      </c>
      <c r="L2631" s="1" t="s">
        <v>22</v>
      </c>
      <c r="M2631" s="1">
        <v>2023</v>
      </c>
      <c r="N2631" s="1" t="s">
        <v>45</v>
      </c>
      <c r="O2631" s="1" t="s">
        <v>9935</v>
      </c>
      <c r="P2631" s="1" t="s">
        <v>16</v>
      </c>
      <c r="Q2631" s="1">
        <v>100</v>
      </c>
      <c r="R2631" s="1">
        <v>150000</v>
      </c>
      <c r="S2631" s="1">
        <v>150000</v>
      </c>
    </row>
    <row r="2632" spans="1:19" ht="12.5" x14ac:dyDescent="0.25">
      <c r="A2632" s="1">
        <v>4469</v>
      </c>
      <c r="B2632" s="1" t="s">
        <v>8742</v>
      </c>
      <c r="C2632" s="1" t="s">
        <v>15</v>
      </c>
      <c r="D2632" s="1" t="s">
        <v>15</v>
      </c>
      <c r="E2632" s="1">
        <v>2923</v>
      </c>
      <c r="F2632" s="1" t="s">
        <v>8743</v>
      </c>
      <c r="G2632" s="1" t="s">
        <v>8744</v>
      </c>
      <c r="H2632" s="1" t="s">
        <v>16</v>
      </c>
      <c r="I2632" s="1" t="s">
        <v>29</v>
      </c>
      <c r="J2632" s="1" t="s">
        <v>8745</v>
      </c>
      <c r="K2632" s="1" t="b">
        <v>0</v>
      </c>
      <c r="L2632" s="1" t="s">
        <v>22</v>
      </c>
      <c r="M2632" s="1">
        <v>2023</v>
      </c>
      <c r="N2632" s="1" t="s">
        <v>45</v>
      </c>
      <c r="O2632" s="1" t="s">
        <v>9935</v>
      </c>
      <c r="P2632" s="1" t="s">
        <v>16</v>
      </c>
      <c r="Q2632" s="1">
        <v>100</v>
      </c>
      <c r="R2632" s="1">
        <v>600000</v>
      </c>
      <c r="S2632" s="1">
        <v>600000</v>
      </c>
    </row>
    <row r="2633" spans="1:19" ht="12.5" x14ac:dyDescent="0.25">
      <c r="A2633" s="1">
        <v>4470</v>
      </c>
      <c r="B2633" s="1" t="s">
        <v>8746</v>
      </c>
      <c r="C2633" s="1" t="s">
        <v>15</v>
      </c>
      <c r="D2633" s="1" t="s">
        <v>15</v>
      </c>
      <c r="E2633" s="1">
        <v>2924</v>
      </c>
      <c r="F2633" s="1" t="s">
        <v>8747</v>
      </c>
      <c r="G2633" s="1" t="s">
        <v>8748</v>
      </c>
      <c r="H2633" s="1" t="s">
        <v>16</v>
      </c>
      <c r="I2633" s="1" t="s">
        <v>29</v>
      </c>
      <c r="J2633" s="1" t="s">
        <v>8749</v>
      </c>
      <c r="K2633" s="1" t="b">
        <v>0</v>
      </c>
      <c r="L2633" s="1" t="s">
        <v>22</v>
      </c>
      <c r="M2633" s="1">
        <v>2023</v>
      </c>
      <c r="N2633" s="1" t="s">
        <v>45</v>
      </c>
      <c r="O2633" s="1" t="s">
        <v>9935</v>
      </c>
      <c r="P2633" s="1" t="s">
        <v>16</v>
      </c>
      <c r="Q2633" s="1">
        <v>100</v>
      </c>
      <c r="R2633" s="1">
        <v>300000</v>
      </c>
      <c r="S2633" s="1">
        <v>300000</v>
      </c>
    </row>
    <row r="2634" spans="1:19" ht="12.5" x14ac:dyDescent="0.25">
      <c r="A2634" s="1">
        <v>4471</v>
      </c>
      <c r="B2634" s="1" t="s">
        <v>8750</v>
      </c>
      <c r="C2634" s="1" t="s">
        <v>15</v>
      </c>
      <c r="D2634" s="1" t="s">
        <v>15</v>
      </c>
      <c r="E2634" s="1">
        <v>2925</v>
      </c>
      <c r="F2634" s="1" t="s">
        <v>8751</v>
      </c>
      <c r="G2634" s="1" t="s">
        <v>8752</v>
      </c>
      <c r="H2634" s="1" t="s">
        <v>16</v>
      </c>
      <c r="I2634" s="1" t="s">
        <v>29</v>
      </c>
      <c r="J2634" s="1" t="s">
        <v>8753</v>
      </c>
      <c r="K2634" s="1" t="b">
        <v>0</v>
      </c>
      <c r="L2634" s="1" t="s">
        <v>22</v>
      </c>
      <c r="M2634" s="1">
        <v>2023</v>
      </c>
      <c r="N2634" s="1" t="s">
        <v>45</v>
      </c>
      <c r="O2634" s="1" t="s">
        <v>9935</v>
      </c>
      <c r="P2634" s="1" t="s">
        <v>16</v>
      </c>
      <c r="Q2634" s="1">
        <v>100</v>
      </c>
      <c r="R2634" s="1">
        <v>300000</v>
      </c>
      <c r="S2634" s="1">
        <v>300000</v>
      </c>
    </row>
    <row r="2635" spans="1:19" ht="12.5" x14ac:dyDescent="0.25">
      <c r="A2635" s="1">
        <v>4472</v>
      </c>
      <c r="B2635" s="1" t="s">
        <v>8754</v>
      </c>
      <c r="C2635" s="1" t="s">
        <v>15</v>
      </c>
      <c r="D2635" s="1" t="s">
        <v>15</v>
      </c>
      <c r="E2635" s="1">
        <v>2926</v>
      </c>
      <c r="F2635" s="1" t="s">
        <v>8755</v>
      </c>
      <c r="G2635" s="1" t="s">
        <v>8756</v>
      </c>
      <c r="H2635" s="1" t="s">
        <v>16</v>
      </c>
      <c r="I2635" s="1" t="s">
        <v>29</v>
      </c>
      <c r="J2635" s="1" t="s">
        <v>8757</v>
      </c>
      <c r="K2635" s="1" t="b">
        <v>0</v>
      </c>
      <c r="L2635" s="1" t="s">
        <v>22</v>
      </c>
      <c r="M2635" s="1">
        <v>2023</v>
      </c>
      <c r="N2635" s="1" t="s">
        <v>45</v>
      </c>
      <c r="O2635" s="1" t="s">
        <v>9935</v>
      </c>
      <c r="P2635" s="1" t="s">
        <v>16</v>
      </c>
      <c r="Q2635" s="1">
        <v>100</v>
      </c>
      <c r="R2635" s="1">
        <v>500000</v>
      </c>
      <c r="S2635" s="1">
        <v>500000</v>
      </c>
    </row>
    <row r="2636" spans="1:19" ht="12.5" x14ac:dyDescent="0.25">
      <c r="A2636" s="1">
        <v>4473</v>
      </c>
      <c r="B2636" s="1" t="s">
        <v>8758</v>
      </c>
      <c r="C2636" s="1" t="s">
        <v>15</v>
      </c>
      <c r="D2636" s="1" t="s">
        <v>15</v>
      </c>
      <c r="E2636" s="1">
        <v>2927</v>
      </c>
      <c r="F2636" s="1" t="s">
        <v>8759</v>
      </c>
      <c r="G2636" s="1" t="s">
        <v>8760</v>
      </c>
      <c r="H2636" s="1" t="s">
        <v>16</v>
      </c>
      <c r="I2636" s="1" t="s">
        <v>29</v>
      </c>
      <c r="J2636" s="1" t="s">
        <v>8761</v>
      </c>
      <c r="K2636" s="1" t="b">
        <v>0</v>
      </c>
      <c r="L2636" s="1" t="s">
        <v>22</v>
      </c>
      <c r="M2636" s="1">
        <v>2023</v>
      </c>
      <c r="N2636" s="1" t="s">
        <v>45</v>
      </c>
      <c r="O2636" s="1" t="s">
        <v>9935</v>
      </c>
      <c r="P2636" s="1" t="s">
        <v>16</v>
      </c>
      <c r="Q2636" s="1">
        <v>100</v>
      </c>
      <c r="R2636" s="1">
        <v>800000</v>
      </c>
      <c r="S2636" s="1">
        <v>800000</v>
      </c>
    </row>
    <row r="2637" spans="1:19" ht="12.5" x14ac:dyDescent="0.25">
      <c r="A2637" s="1">
        <v>4474</v>
      </c>
      <c r="B2637" s="1" t="s">
        <v>8762</v>
      </c>
      <c r="C2637" s="1" t="s">
        <v>15</v>
      </c>
      <c r="D2637" s="1" t="s">
        <v>15</v>
      </c>
      <c r="E2637" s="1">
        <v>2928</v>
      </c>
      <c r="F2637" s="1" t="s">
        <v>8763</v>
      </c>
      <c r="G2637" s="1" t="s">
        <v>8764</v>
      </c>
      <c r="H2637" s="1" t="s">
        <v>16</v>
      </c>
      <c r="I2637" s="1" t="s">
        <v>29</v>
      </c>
      <c r="J2637" s="1" t="s">
        <v>8765</v>
      </c>
      <c r="K2637" s="1" t="b">
        <v>0</v>
      </c>
      <c r="L2637" s="1" t="s">
        <v>22</v>
      </c>
      <c r="M2637" s="1">
        <v>2023</v>
      </c>
      <c r="N2637" s="1" t="s">
        <v>45</v>
      </c>
      <c r="O2637" s="1" t="s">
        <v>9935</v>
      </c>
      <c r="P2637" s="1" t="s">
        <v>16</v>
      </c>
      <c r="Q2637" s="1">
        <v>100</v>
      </c>
      <c r="R2637" s="1">
        <v>300000</v>
      </c>
      <c r="S2637" s="1">
        <v>300000</v>
      </c>
    </row>
    <row r="2638" spans="1:19" ht="12.5" x14ac:dyDescent="0.25">
      <c r="A2638" s="1">
        <v>4475</v>
      </c>
      <c r="B2638" s="1" t="s">
        <v>8766</v>
      </c>
      <c r="C2638" s="1" t="s">
        <v>15</v>
      </c>
      <c r="D2638" s="1" t="s">
        <v>15</v>
      </c>
      <c r="E2638" s="1">
        <v>2929</v>
      </c>
      <c r="F2638" s="1" t="s">
        <v>8767</v>
      </c>
      <c r="G2638" s="1" t="s">
        <v>8768</v>
      </c>
      <c r="H2638" s="1" t="s">
        <v>16</v>
      </c>
      <c r="I2638" s="1" t="s">
        <v>29</v>
      </c>
      <c r="J2638" s="1" t="s">
        <v>8769</v>
      </c>
      <c r="K2638" s="1" t="b">
        <v>0</v>
      </c>
      <c r="L2638" s="1" t="s">
        <v>22</v>
      </c>
      <c r="M2638" s="1">
        <v>2023</v>
      </c>
      <c r="N2638" s="1" t="s">
        <v>45</v>
      </c>
      <c r="O2638" s="1" t="s">
        <v>9935</v>
      </c>
      <c r="P2638" s="1" t="s">
        <v>16</v>
      </c>
      <c r="Q2638" s="1">
        <v>100</v>
      </c>
      <c r="R2638" s="1">
        <v>1000000</v>
      </c>
      <c r="S2638" s="1">
        <v>1000000</v>
      </c>
    </row>
    <row r="2639" spans="1:19" ht="12.5" x14ac:dyDescent="0.25">
      <c r="A2639" s="1">
        <v>4476</v>
      </c>
      <c r="B2639" s="1" t="s">
        <v>8770</v>
      </c>
      <c r="C2639" s="1" t="s">
        <v>15</v>
      </c>
      <c r="D2639" s="1" t="s">
        <v>15</v>
      </c>
      <c r="E2639" s="1">
        <v>2930</v>
      </c>
      <c r="F2639" s="1" t="s">
        <v>8771</v>
      </c>
      <c r="G2639" s="1" t="s">
        <v>8772</v>
      </c>
      <c r="H2639" s="1" t="s">
        <v>16</v>
      </c>
      <c r="I2639" s="1" t="s">
        <v>29</v>
      </c>
      <c r="J2639" s="1" t="s">
        <v>8773</v>
      </c>
      <c r="K2639" s="1" t="b">
        <v>0</v>
      </c>
      <c r="L2639" s="1" t="s">
        <v>22</v>
      </c>
      <c r="M2639" s="1">
        <v>2023</v>
      </c>
      <c r="N2639" s="1" t="s">
        <v>45</v>
      </c>
      <c r="O2639" s="1" t="s">
        <v>9935</v>
      </c>
      <c r="P2639" s="1" t="s">
        <v>16</v>
      </c>
      <c r="Q2639" s="1">
        <v>100</v>
      </c>
      <c r="R2639" s="1">
        <v>250000</v>
      </c>
      <c r="S2639" s="1">
        <v>250000</v>
      </c>
    </row>
    <row r="2640" spans="1:19" ht="12.5" x14ac:dyDescent="0.25">
      <c r="A2640" s="1">
        <v>4477</v>
      </c>
      <c r="B2640" s="1" t="s">
        <v>8774</v>
      </c>
      <c r="C2640" s="1" t="s">
        <v>15</v>
      </c>
      <c r="D2640" s="1" t="s">
        <v>15</v>
      </c>
      <c r="E2640" s="1">
        <v>2931</v>
      </c>
      <c r="F2640" s="1" t="s">
        <v>8775</v>
      </c>
      <c r="G2640" s="1" t="s">
        <v>8776</v>
      </c>
      <c r="H2640" s="1" t="s">
        <v>16</v>
      </c>
      <c r="I2640" s="1" t="s">
        <v>29</v>
      </c>
      <c r="J2640" s="1" t="s">
        <v>8777</v>
      </c>
      <c r="K2640" s="1" t="b">
        <v>0</v>
      </c>
      <c r="L2640" s="1" t="s">
        <v>22</v>
      </c>
      <c r="M2640" s="1">
        <v>2023</v>
      </c>
      <c r="N2640" s="1" t="s">
        <v>45</v>
      </c>
      <c r="O2640" s="1" t="s">
        <v>9935</v>
      </c>
      <c r="P2640" s="1" t="s">
        <v>16</v>
      </c>
      <c r="Q2640" s="1">
        <v>100</v>
      </c>
      <c r="R2640" s="1">
        <v>250000</v>
      </c>
      <c r="S2640" s="1">
        <v>250000</v>
      </c>
    </row>
    <row r="2641" spans="1:19" ht="12.5" x14ac:dyDescent="0.25">
      <c r="A2641" s="1">
        <v>4478</v>
      </c>
      <c r="B2641" s="1" t="s">
        <v>8778</v>
      </c>
      <c r="C2641" s="1" t="s">
        <v>15</v>
      </c>
      <c r="D2641" s="1" t="s">
        <v>15</v>
      </c>
      <c r="E2641" s="1">
        <v>2932</v>
      </c>
      <c r="F2641" s="1" t="s">
        <v>8779</v>
      </c>
      <c r="G2641" s="1" t="s">
        <v>8780</v>
      </c>
      <c r="H2641" s="1" t="s">
        <v>16</v>
      </c>
      <c r="I2641" s="1" t="s">
        <v>29</v>
      </c>
      <c r="J2641" s="1" t="s">
        <v>8781</v>
      </c>
      <c r="K2641" s="1" t="b">
        <v>0</v>
      </c>
      <c r="L2641" s="1" t="s">
        <v>22</v>
      </c>
      <c r="M2641" s="1">
        <v>2023</v>
      </c>
      <c r="N2641" s="1" t="s">
        <v>45</v>
      </c>
      <c r="O2641" s="1" t="s">
        <v>9935</v>
      </c>
      <c r="P2641" s="1" t="s">
        <v>16</v>
      </c>
      <c r="Q2641" s="1">
        <v>100</v>
      </c>
      <c r="R2641" s="1">
        <v>500000</v>
      </c>
      <c r="S2641" s="1">
        <v>500000</v>
      </c>
    </row>
    <row r="2642" spans="1:19" ht="12.5" x14ac:dyDescent="0.25">
      <c r="A2642" s="1">
        <v>4479</v>
      </c>
      <c r="B2642" s="1" t="s">
        <v>8782</v>
      </c>
      <c r="C2642" s="1" t="s">
        <v>15</v>
      </c>
      <c r="D2642" s="1" t="s">
        <v>15</v>
      </c>
      <c r="E2642" s="1">
        <v>2933</v>
      </c>
      <c r="F2642" s="1" t="s">
        <v>8783</v>
      </c>
      <c r="G2642" s="1" t="s">
        <v>8784</v>
      </c>
      <c r="H2642" s="1" t="s">
        <v>16</v>
      </c>
      <c r="I2642" s="1" t="s">
        <v>29</v>
      </c>
      <c r="J2642" s="1" t="s">
        <v>8785</v>
      </c>
      <c r="K2642" s="1" t="b">
        <v>0</v>
      </c>
      <c r="L2642" s="1" t="s">
        <v>22</v>
      </c>
      <c r="M2642" s="1">
        <v>2023</v>
      </c>
      <c r="N2642" s="1" t="s">
        <v>23</v>
      </c>
      <c r="O2642" s="1" t="s">
        <v>9935</v>
      </c>
      <c r="P2642" s="1" t="s">
        <v>16</v>
      </c>
      <c r="Q2642" s="1">
        <v>100</v>
      </c>
      <c r="R2642" s="1">
        <v>300000</v>
      </c>
      <c r="S2642" s="1">
        <v>300000</v>
      </c>
    </row>
    <row r="2643" spans="1:19" ht="12.5" x14ac:dyDescent="0.25">
      <c r="A2643" s="1">
        <v>4480</v>
      </c>
      <c r="B2643" s="1" t="s">
        <v>8786</v>
      </c>
      <c r="C2643" s="1" t="s">
        <v>15</v>
      </c>
      <c r="D2643" s="1" t="s">
        <v>15</v>
      </c>
      <c r="E2643" s="1">
        <v>2934</v>
      </c>
      <c r="F2643" s="1" t="s">
        <v>8787</v>
      </c>
      <c r="G2643" s="1" t="s">
        <v>8788</v>
      </c>
      <c r="H2643" s="1" t="s">
        <v>16</v>
      </c>
      <c r="I2643" s="1" t="s">
        <v>29</v>
      </c>
      <c r="J2643" s="1" t="s">
        <v>8789</v>
      </c>
      <c r="K2643" s="1" t="b">
        <v>0</v>
      </c>
      <c r="L2643" s="1" t="s">
        <v>22</v>
      </c>
      <c r="M2643" s="1">
        <v>2023</v>
      </c>
      <c r="N2643" s="1" t="s">
        <v>23</v>
      </c>
      <c r="O2643" s="1" t="s">
        <v>9935</v>
      </c>
      <c r="P2643" s="1" t="s">
        <v>16</v>
      </c>
      <c r="Q2643" s="1">
        <v>100</v>
      </c>
      <c r="R2643" s="1">
        <v>100000</v>
      </c>
      <c r="S2643" s="1">
        <v>100000</v>
      </c>
    </row>
    <row r="2644" spans="1:19" ht="12.5" x14ac:dyDescent="0.25">
      <c r="A2644" s="1">
        <v>4481</v>
      </c>
      <c r="B2644" s="1" t="s">
        <v>8790</v>
      </c>
      <c r="C2644" s="1" t="s">
        <v>15</v>
      </c>
      <c r="D2644" s="1" t="s">
        <v>15</v>
      </c>
      <c r="E2644" s="1">
        <v>2935</v>
      </c>
      <c r="F2644" s="1" t="s">
        <v>8791</v>
      </c>
      <c r="G2644" s="1" t="s">
        <v>8792</v>
      </c>
      <c r="H2644" s="1" t="s">
        <v>16</v>
      </c>
      <c r="I2644" s="1" t="s">
        <v>29</v>
      </c>
      <c r="J2644" s="1" t="s">
        <v>8793</v>
      </c>
      <c r="K2644" s="1" t="b">
        <v>0</v>
      </c>
      <c r="L2644" s="1" t="s">
        <v>22</v>
      </c>
      <c r="M2644" s="1">
        <v>2023</v>
      </c>
      <c r="N2644" s="1" t="s">
        <v>23</v>
      </c>
      <c r="O2644" s="1" t="s">
        <v>9935</v>
      </c>
      <c r="P2644" s="1" t="s">
        <v>16</v>
      </c>
      <c r="Q2644" s="1">
        <v>100</v>
      </c>
      <c r="R2644" s="1">
        <v>900000</v>
      </c>
      <c r="S2644" s="1">
        <v>900000</v>
      </c>
    </row>
    <row r="2645" spans="1:19" ht="12.5" x14ac:dyDescent="0.25">
      <c r="A2645" s="1">
        <v>4482</v>
      </c>
      <c r="B2645" s="1" t="s">
        <v>8794</v>
      </c>
      <c r="C2645" s="1" t="s">
        <v>15</v>
      </c>
      <c r="D2645" s="1" t="s">
        <v>15</v>
      </c>
      <c r="E2645" s="1">
        <v>2936</v>
      </c>
      <c r="F2645" s="1" t="s">
        <v>8795</v>
      </c>
      <c r="G2645" s="1" t="s">
        <v>8796</v>
      </c>
      <c r="H2645" s="1" t="s">
        <v>16</v>
      </c>
      <c r="I2645" s="1" t="s">
        <v>29</v>
      </c>
      <c r="J2645" s="1" t="s">
        <v>8797</v>
      </c>
      <c r="K2645" s="1" t="b">
        <v>0</v>
      </c>
      <c r="L2645" s="1" t="s">
        <v>22</v>
      </c>
      <c r="M2645" s="1">
        <v>2023</v>
      </c>
      <c r="N2645" s="1" t="s">
        <v>23</v>
      </c>
      <c r="O2645" s="1" t="s">
        <v>9935</v>
      </c>
      <c r="P2645" s="1" t="s">
        <v>16</v>
      </c>
      <c r="Q2645" s="1">
        <v>100</v>
      </c>
      <c r="R2645" s="1">
        <v>400000</v>
      </c>
      <c r="S2645" s="1">
        <v>400000</v>
      </c>
    </row>
    <row r="2646" spans="1:19" ht="12.5" x14ac:dyDescent="0.25">
      <c r="A2646" s="1">
        <v>4483</v>
      </c>
      <c r="B2646" s="1" t="s">
        <v>8798</v>
      </c>
      <c r="C2646" s="1" t="s">
        <v>15</v>
      </c>
      <c r="D2646" s="1" t="s">
        <v>15</v>
      </c>
      <c r="E2646" s="1">
        <v>2937</v>
      </c>
      <c r="F2646" s="1" t="s">
        <v>8799</v>
      </c>
      <c r="G2646" s="1" t="s">
        <v>8800</v>
      </c>
      <c r="H2646" s="1" t="s">
        <v>16</v>
      </c>
      <c r="I2646" s="1" t="s">
        <v>29</v>
      </c>
      <c r="J2646" s="1" t="s">
        <v>8801</v>
      </c>
      <c r="K2646" s="1" t="b">
        <v>0</v>
      </c>
      <c r="L2646" s="1" t="s">
        <v>22</v>
      </c>
      <c r="M2646" s="1">
        <v>2023</v>
      </c>
      <c r="N2646" s="1" t="s">
        <v>23</v>
      </c>
      <c r="O2646" s="1" t="s">
        <v>9935</v>
      </c>
      <c r="P2646" s="1" t="s">
        <v>16</v>
      </c>
      <c r="Q2646" s="1">
        <v>100</v>
      </c>
      <c r="R2646" s="1">
        <v>600000</v>
      </c>
      <c r="S2646" s="1">
        <v>600000</v>
      </c>
    </row>
    <row r="2647" spans="1:19" ht="12.5" x14ac:dyDescent="0.25">
      <c r="A2647" s="1">
        <v>4484</v>
      </c>
      <c r="B2647" s="1" t="s">
        <v>8802</v>
      </c>
      <c r="C2647" s="1" t="s">
        <v>15</v>
      </c>
      <c r="D2647" s="1" t="s">
        <v>15</v>
      </c>
      <c r="E2647" s="1">
        <v>2938</v>
      </c>
      <c r="F2647" s="1" t="s">
        <v>8803</v>
      </c>
      <c r="G2647" s="1" t="s">
        <v>8804</v>
      </c>
      <c r="H2647" s="1" t="s">
        <v>16</v>
      </c>
      <c r="I2647" s="1" t="s">
        <v>29</v>
      </c>
      <c r="J2647" s="1" t="s">
        <v>8805</v>
      </c>
      <c r="K2647" s="1" t="b">
        <v>0</v>
      </c>
      <c r="L2647" s="1" t="s">
        <v>22</v>
      </c>
      <c r="M2647" s="1">
        <v>2023</v>
      </c>
      <c r="N2647" s="1" t="s">
        <v>23</v>
      </c>
      <c r="O2647" s="1" t="s">
        <v>9935</v>
      </c>
      <c r="P2647" s="1" t="s">
        <v>16</v>
      </c>
      <c r="Q2647" s="1">
        <v>100</v>
      </c>
      <c r="R2647" s="1">
        <v>250000</v>
      </c>
      <c r="S2647" s="1">
        <v>250000</v>
      </c>
    </row>
    <row r="2648" spans="1:19" ht="12.5" x14ac:dyDescent="0.25">
      <c r="A2648" s="1">
        <v>4485</v>
      </c>
      <c r="B2648" s="1" t="s">
        <v>8806</v>
      </c>
      <c r="C2648" s="1" t="s">
        <v>15</v>
      </c>
      <c r="D2648" s="1" t="s">
        <v>15</v>
      </c>
      <c r="E2648" s="1">
        <v>2939</v>
      </c>
      <c r="F2648" s="1" t="s">
        <v>8807</v>
      </c>
      <c r="G2648" s="1" t="s">
        <v>8808</v>
      </c>
      <c r="H2648" s="1" t="s">
        <v>16</v>
      </c>
      <c r="I2648" s="1" t="s">
        <v>29</v>
      </c>
      <c r="J2648" s="1" t="s">
        <v>8809</v>
      </c>
      <c r="K2648" s="1" t="b">
        <v>0</v>
      </c>
      <c r="L2648" s="1" t="s">
        <v>22</v>
      </c>
      <c r="M2648" s="1">
        <v>2023</v>
      </c>
      <c r="N2648" s="1" t="s">
        <v>23</v>
      </c>
      <c r="O2648" s="1" t="s">
        <v>9935</v>
      </c>
      <c r="P2648" s="1" t="s">
        <v>16</v>
      </c>
      <c r="Q2648" s="1">
        <v>100</v>
      </c>
      <c r="R2648" s="1">
        <v>400000</v>
      </c>
      <c r="S2648" s="1">
        <v>400000</v>
      </c>
    </row>
    <row r="2649" spans="1:19" ht="12.5" x14ac:dyDescent="0.25">
      <c r="A2649" s="1">
        <v>4486</v>
      </c>
      <c r="B2649" s="1" t="s">
        <v>8810</v>
      </c>
      <c r="C2649" s="1" t="s">
        <v>15</v>
      </c>
      <c r="D2649" s="1" t="s">
        <v>15</v>
      </c>
      <c r="E2649" s="1">
        <v>2940</v>
      </c>
      <c r="F2649" s="1" t="s">
        <v>8811</v>
      </c>
      <c r="G2649" s="1" t="s">
        <v>8812</v>
      </c>
      <c r="H2649" s="1" t="s">
        <v>16</v>
      </c>
      <c r="I2649" s="1" t="s">
        <v>29</v>
      </c>
      <c r="J2649" s="1" t="s">
        <v>8813</v>
      </c>
      <c r="K2649" s="1" t="b">
        <v>0</v>
      </c>
      <c r="L2649" s="1" t="s">
        <v>22</v>
      </c>
      <c r="M2649" s="1">
        <v>2023</v>
      </c>
      <c r="N2649" s="1" t="s">
        <v>23</v>
      </c>
      <c r="O2649" s="1" t="s">
        <v>9935</v>
      </c>
      <c r="P2649" s="1" t="s">
        <v>16</v>
      </c>
      <c r="Q2649" s="1">
        <v>100</v>
      </c>
      <c r="R2649" s="1">
        <v>1000000</v>
      </c>
      <c r="S2649" s="1">
        <v>1000000</v>
      </c>
    </row>
    <row r="2650" spans="1:19" ht="12.5" x14ac:dyDescent="0.25">
      <c r="A2650" s="1">
        <v>4487</v>
      </c>
      <c r="B2650" s="1" t="s">
        <v>8814</v>
      </c>
      <c r="C2650" s="1" t="s">
        <v>15</v>
      </c>
      <c r="D2650" s="1" t="s">
        <v>15</v>
      </c>
      <c r="E2650" s="1">
        <v>2941</v>
      </c>
      <c r="F2650" s="1" t="s">
        <v>8815</v>
      </c>
      <c r="G2650" s="1" t="s">
        <v>8816</v>
      </c>
      <c r="H2650" s="1" t="s">
        <v>16</v>
      </c>
      <c r="I2650" s="1" t="s">
        <v>29</v>
      </c>
      <c r="J2650" s="1" t="s">
        <v>8817</v>
      </c>
      <c r="K2650" s="1" t="b">
        <v>0</v>
      </c>
      <c r="L2650" s="1" t="s">
        <v>22</v>
      </c>
      <c r="M2650" s="1">
        <v>2023</v>
      </c>
      <c r="N2650" s="1" t="s">
        <v>23</v>
      </c>
      <c r="O2650" s="1" t="s">
        <v>9935</v>
      </c>
      <c r="P2650" s="1" t="s">
        <v>16</v>
      </c>
      <c r="Q2650" s="1">
        <v>100</v>
      </c>
      <c r="R2650" s="1">
        <v>150000</v>
      </c>
      <c r="S2650" s="1">
        <v>150000</v>
      </c>
    </row>
    <row r="2651" spans="1:19" ht="12.5" x14ac:dyDescent="0.25">
      <c r="A2651" s="1">
        <v>4488</v>
      </c>
      <c r="B2651" s="1" t="s">
        <v>8818</v>
      </c>
      <c r="C2651" s="1" t="s">
        <v>15</v>
      </c>
      <c r="D2651" s="1" t="s">
        <v>15</v>
      </c>
      <c r="E2651" s="1">
        <v>2942</v>
      </c>
      <c r="F2651" s="1" t="s">
        <v>8819</v>
      </c>
      <c r="G2651" s="1" t="s">
        <v>8820</v>
      </c>
      <c r="H2651" s="1" t="s">
        <v>16</v>
      </c>
      <c r="I2651" s="1" t="s">
        <v>29</v>
      </c>
      <c r="J2651" s="1" t="s">
        <v>8821</v>
      </c>
      <c r="K2651" s="1" t="b">
        <v>0</v>
      </c>
      <c r="L2651" s="1" t="s">
        <v>22</v>
      </c>
      <c r="M2651" s="1">
        <v>2023</v>
      </c>
      <c r="N2651" s="1" t="s">
        <v>23</v>
      </c>
      <c r="O2651" s="1" t="s">
        <v>9935</v>
      </c>
      <c r="P2651" s="1" t="s">
        <v>16</v>
      </c>
      <c r="Q2651" s="1">
        <v>100</v>
      </c>
      <c r="R2651" s="1">
        <v>900000</v>
      </c>
      <c r="S2651" s="1">
        <v>900000</v>
      </c>
    </row>
    <row r="2652" spans="1:19" ht="12.5" x14ac:dyDescent="0.25">
      <c r="A2652" s="1" t="s">
        <v>16</v>
      </c>
      <c r="B2652" s="1" t="s">
        <v>16</v>
      </c>
      <c r="C2652" s="1" t="s">
        <v>16</v>
      </c>
      <c r="D2652" s="1" t="s">
        <v>16</v>
      </c>
      <c r="E2652" s="1">
        <v>2952</v>
      </c>
      <c r="F2652" s="1" t="s">
        <v>8822</v>
      </c>
      <c r="G2652" s="1" t="s">
        <v>8823</v>
      </c>
      <c r="H2652" s="1" t="s">
        <v>16</v>
      </c>
      <c r="I2652" s="1" t="s">
        <v>20</v>
      </c>
      <c r="J2652" s="1" t="s">
        <v>8824</v>
      </c>
      <c r="K2652" s="1" t="b">
        <v>0</v>
      </c>
      <c r="L2652" s="1" t="s">
        <v>22</v>
      </c>
      <c r="M2652" s="1" t="s">
        <v>16</v>
      </c>
      <c r="N2652" s="1" t="s">
        <v>16</v>
      </c>
      <c r="O2652" s="1" t="s">
        <v>16</v>
      </c>
      <c r="P2652" s="1" t="s">
        <v>16</v>
      </c>
    </row>
    <row r="2653" spans="1:19" ht="12.5" x14ac:dyDescent="0.25">
      <c r="A2653" s="1" t="s">
        <v>16</v>
      </c>
      <c r="B2653" s="1" t="s">
        <v>16</v>
      </c>
      <c r="C2653" s="1" t="s">
        <v>16</v>
      </c>
      <c r="D2653" s="1" t="s">
        <v>16</v>
      </c>
      <c r="E2653" s="1">
        <v>2953</v>
      </c>
      <c r="F2653" s="1" t="s">
        <v>8825</v>
      </c>
      <c r="G2653" s="1" t="s">
        <v>8826</v>
      </c>
      <c r="H2653" s="1" t="s">
        <v>16</v>
      </c>
      <c r="I2653" s="1" t="s">
        <v>20</v>
      </c>
      <c r="J2653" s="1" t="s">
        <v>8827</v>
      </c>
      <c r="K2653" s="1" t="b">
        <v>0</v>
      </c>
      <c r="L2653" s="1" t="s">
        <v>22</v>
      </c>
      <c r="M2653" s="1" t="s">
        <v>16</v>
      </c>
      <c r="N2653" s="1" t="s">
        <v>16</v>
      </c>
      <c r="O2653" s="1" t="s">
        <v>16</v>
      </c>
      <c r="P2653" s="1" t="s">
        <v>16</v>
      </c>
    </row>
    <row r="2654" spans="1:19" ht="12.5" x14ac:dyDescent="0.25">
      <c r="A2654" s="1">
        <v>1460</v>
      </c>
      <c r="B2654" s="1" t="s">
        <v>8828</v>
      </c>
      <c r="C2654" s="1" t="s">
        <v>35</v>
      </c>
      <c r="D2654" s="1" t="s">
        <v>152</v>
      </c>
      <c r="E2654" s="1">
        <v>2954</v>
      </c>
      <c r="F2654" s="1" t="s">
        <v>8830</v>
      </c>
      <c r="G2654" s="1" t="s">
        <v>8831</v>
      </c>
      <c r="H2654" s="1" t="s">
        <v>8832</v>
      </c>
      <c r="I2654" s="1" t="s">
        <v>29</v>
      </c>
      <c r="J2654" s="1" t="s">
        <v>16</v>
      </c>
      <c r="K2654" s="1" t="b">
        <v>0</v>
      </c>
      <c r="L2654" s="1" t="s">
        <v>22</v>
      </c>
      <c r="M2654" s="1" t="s">
        <v>16</v>
      </c>
      <c r="N2654" s="1" t="s">
        <v>16</v>
      </c>
      <c r="O2654" s="1" t="s">
        <v>16</v>
      </c>
      <c r="P2654" s="1" t="s">
        <v>16</v>
      </c>
      <c r="Q2654" s="1">
        <v>100</v>
      </c>
    </row>
    <row r="2655" spans="1:19" ht="12.5" x14ac:dyDescent="0.25">
      <c r="A2655" s="1">
        <v>620</v>
      </c>
      <c r="B2655" s="1" t="s">
        <v>2534</v>
      </c>
      <c r="C2655" s="1" t="s">
        <v>35</v>
      </c>
      <c r="D2655" s="1" t="s">
        <v>36</v>
      </c>
      <c r="E2655" s="1">
        <v>2955</v>
      </c>
      <c r="F2655" s="1" t="s">
        <v>8833</v>
      </c>
      <c r="G2655" s="1" t="s">
        <v>8834</v>
      </c>
      <c r="H2655" s="1" t="s">
        <v>16</v>
      </c>
      <c r="I2655" s="1" t="s">
        <v>29</v>
      </c>
      <c r="J2655" s="1" t="s">
        <v>16</v>
      </c>
      <c r="K2655" s="1" t="b">
        <v>0</v>
      </c>
      <c r="L2655" s="1" t="s">
        <v>22</v>
      </c>
      <c r="M2655" s="1" t="s">
        <v>16</v>
      </c>
      <c r="N2655" s="1" t="s">
        <v>16</v>
      </c>
      <c r="O2655" s="1" t="s">
        <v>16</v>
      </c>
      <c r="P2655" s="1" t="s">
        <v>16</v>
      </c>
      <c r="Q2655" s="1">
        <v>40</v>
      </c>
    </row>
    <row r="2656" spans="1:19" ht="12.5" x14ac:dyDescent="0.25">
      <c r="A2656" s="1">
        <v>929</v>
      </c>
      <c r="B2656" s="1" t="s">
        <v>8835</v>
      </c>
      <c r="C2656" s="1" t="s">
        <v>35</v>
      </c>
      <c r="D2656" s="1" t="s">
        <v>152</v>
      </c>
      <c r="E2656" s="1">
        <v>2955</v>
      </c>
      <c r="F2656" s="1" t="s">
        <v>8833</v>
      </c>
      <c r="G2656" s="1" t="s">
        <v>8834</v>
      </c>
      <c r="H2656" s="1" t="s">
        <v>16</v>
      </c>
      <c r="I2656" s="1" t="s">
        <v>29</v>
      </c>
      <c r="J2656" s="1" t="s">
        <v>16</v>
      </c>
      <c r="K2656" s="1" t="b">
        <v>0</v>
      </c>
      <c r="L2656" s="1" t="s">
        <v>22</v>
      </c>
      <c r="M2656" s="1" t="s">
        <v>16</v>
      </c>
      <c r="N2656" s="1" t="s">
        <v>16</v>
      </c>
      <c r="O2656" s="1" t="s">
        <v>16</v>
      </c>
      <c r="P2656" s="1" t="s">
        <v>16</v>
      </c>
      <c r="Q2656" s="1">
        <v>10</v>
      </c>
    </row>
    <row r="2657" spans="1:19" ht="12.5" x14ac:dyDescent="0.25">
      <c r="A2657" s="1">
        <v>930</v>
      </c>
      <c r="B2657" s="1" t="s">
        <v>3288</v>
      </c>
      <c r="C2657" s="1" t="s">
        <v>35</v>
      </c>
      <c r="D2657" s="1" t="s">
        <v>152</v>
      </c>
      <c r="E2657" s="1">
        <v>2955</v>
      </c>
      <c r="F2657" s="1" t="s">
        <v>8833</v>
      </c>
      <c r="G2657" s="1" t="s">
        <v>8834</v>
      </c>
      <c r="H2657" s="1" t="s">
        <v>16</v>
      </c>
      <c r="I2657" s="1" t="s">
        <v>29</v>
      </c>
      <c r="J2657" s="1" t="s">
        <v>16</v>
      </c>
      <c r="K2657" s="1" t="b">
        <v>0</v>
      </c>
      <c r="L2657" s="1" t="s">
        <v>22</v>
      </c>
      <c r="M2657" s="1" t="s">
        <v>16</v>
      </c>
      <c r="N2657" s="1" t="s">
        <v>16</v>
      </c>
      <c r="O2657" s="1" t="s">
        <v>16</v>
      </c>
      <c r="P2657" s="1" t="s">
        <v>16</v>
      </c>
      <c r="Q2657" s="1">
        <v>10</v>
      </c>
    </row>
    <row r="2658" spans="1:19" ht="12.5" x14ac:dyDescent="0.25">
      <c r="A2658" s="1">
        <v>4584</v>
      </c>
      <c r="B2658" s="1" t="s">
        <v>8836</v>
      </c>
      <c r="C2658" s="1" t="s">
        <v>35</v>
      </c>
      <c r="D2658" s="1" t="s">
        <v>36</v>
      </c>
      <c r="E2658" s="1">
        <v>2955</v>
      </c>
      <c r="F2658" s="1" t="s">
        <v>8833</v>
      </c>
      <c r="G2658" s="1" t="s">
        <v>8834</v>
      </c>
      <c r="H2658" s="1" t="s">
        <v>16</v>
      </c>
      <c r="I2658" s="1" t="s">
        <v>29</v>
      </c>
      <c r="J2658" s="1" t="s">
        <v>16</v>
      </c>
      <c r="K2658" s="1" t="b">
        <v>0</v>
      </c>
      <c r="L2658" s="1" t="s">
        <v>22</v>
      </c>
      <c r="M2658" s="1" t="s">
        <v>16</v>
      </c>
      <c r="N2658" s="1" t="s">
        <v>16</v>
      </c>
      <c r="O2658" s="1" t="s">
        <v>16</v>
      </c>
      <c r="P2658" s="1" t="s">
        <v>16</v>
      </c>
      <c r="Q2658" s="1">
        <v>40</v>
      </c>
    </row>
    <row r="2659" spans="1:19" ht="12.5" x14ac:dyDescent="0.25">
      <c r="A2659" s="1">
        <v>1667</v>
      </c>
      <c r="B2659" s="1" t="s">
        <v>5282</v>
      </c>
      <c r="C2659" s="1" t="s">
        <v>35</v>
      </c>
      <c r="D2659" s="1" t="s">
        <v>152</v>
      </c>
      <c r="E2659" s="1">
        <v>3002</v>
      </c>
      <c r="F2659" s="1" t="s">
        <v>8837</v>
      </c>
      <c r="G2659" s="1" t="s">
        <v>8838</v>
      </c>
      <c r="H2659" s="1" t="s">
        <v>8839</v>
      </c>
      <c r="I2659" s="1" t="s">
        <v>29</v>
      </c>
      <c r="J2659" s="1" t="s">
        <v>8840</v>
      </c>
      <c r="K2659" s="1" t="b">
        <v>0</v>
      </c>
      <c r="L2659" s="1" t="s">
        <v>22</v>
      </c>
      <c r="M2659" s="1">
        <v>2022</v>
      </c>
      <c r="N2659" s="1" t="s">
        <v>45</v>
      </c>
      <c r="O2659" s="1" t="s">
        <v>9956</v>
      </c>
      <c r="P2659" s="1" t="s">
        <v>16</v>
      </c>
      <c r="Q2659" s="1">
        <v>100</v>
      </c>
      <c r="R2659" s="1">
        <v>1000</v>
      </c>
      <c r="S2659" s="1">
        <v>1000</v>
      </c>
    </row>
    <row r="2660" spans="1:19" ht="12.5" x14ac:dyDescent="0.25">
      <c r="A2660" s="1">
        <v>1512</v>
      </c>
      <c r="B2660" s="1" t="s">
        <v>4994</v>
      </c>
      <c r="C2660" s="1" t="s">
        <v>35</v>
      </c>
      <c r="D2660" s="1" t="s">
        <v>152</v>
      </c>
      <c r="E2660" s="1">
        <v>3003</v>
      </c>
      <c r="F2660" s="1" t="s">
        <v>8841</v>
      </c>
      <c r="G2660" s="1" t="s">
        <v>8842</v>
      </c>
      <c r="H2660" s="1" t="s">
        <v>8843</v>
      </c>
      <c r="I2660" s="1" t="s">
        <v>29</v>
      </c>
      <c r="J2660" s="1" t="s">
        <v>8844</v>
      </c>
      <c r="K2660" s="1" t="b">
        <v>1</v>
      </c>
      <c r="L2660" s="1" t="s">
        <v>31</v>
      </c>
      <c r="M2660" s="1">
        <v>2022</v>
      </c>
      <c r="N2660" s="1" t="s">
        <v>52</v>
      </c>
      <c r="O2660" s="1" t="s">
        <v>9956</v>
      </c>
      <c r="P2660" s="1" t="s">
        <v>16</v>
      </c>
      <c r="Q2660" s="1">
        <v>100</v>
      </c>
      <c r="R2660" s="1">
        <v>28500</v>
      </c>
      <c r="S2660" s="1">
        <v>28500</v>
      </c>
    </row>
    <row r="2661" spans="1:19" ht="12.5" x14ac:dyDescent="0.25">
      <c r="A2661" s="1">
        <v>1594</v>
      </c>
      <c r="B2661" s="1" t="s">
        <v>5181</v>
      </c>
      <c r="C2661" s="1" t="s">
        <v>35</v>
      </c>
      <c r="D2661" s="1" t="s">
        <v>152</v>
      </c>
      <c r="E2661" s="1">
        <v>3004</v>
      </c>
      <c r="F2661" s="1" t="s">
        <v>8845</v>
      </c>
      <c r="G2661" s="1" t="s">
        <v>8846</v>
      </c>
      <c r="H2661" s="1" t="s">
        <v>8847</v>
      </c>
      <c r="I2661" s="1" t="s">
        <v>29</v>
      </c>
      <c r="J2661" s="1" t="s">
        <v>8848</v>
      </c>
      <c r="K2661" s="1" t="b">
        <v>1</v>
      </c>
      <c r="L2661" s="1" t="s">
        <v>31</v>
      </c>
      <c r="M2661" s="1">
        <v>2022</v>
      </c>
      <c r="N2661" s="1" t="s">
        <v>52</v>
      </c>
      <c r="O2661" s="1" t="s">
        <v>9956</v>
      </c>
      <c r="P2661" s="1" t="s">
        <v>16</v>
      </c>
      <c r="Q2661" s="1">
        <v>100</v>
      </c>
      <c r="R2661" s="1">
        <v>5000</v>
      </c>
      <c r="S2661" s="1">
        <v>5000</v>
      </c>
    </row>
    <row r="2662" spans="1:19" ht="12.5" x14ac:dyDescent="0.25">
      <c r="A2662" s="1" t="s">
        <v>16</v>
      </c>
      <c r="B2662" s="1" t="s">
        <v>16</v>
      </c>
      <c r="C2662" s="1" t="s">
        <v>16</v>
      </c>
      <c r="D2662" s="1" t="s">
        <v>16</v>
      </c>
      <c r="E2662" s="1">
        <v>3005</v>
      </c>
      <c r="F2662" s="1" t="s">
        <v>8849</v>
      </c>
      <c r="G2662" s="1" t="s">
        <v>8850</v>
      </c>
      <c r="H2662" s="1" t="s">
        <v>16</v>
      </c>
      <c r="I2662" s="1" t="s">
        <v>20</v>
      </c>
      <c r="J2662" s="1" t="s">
        <v>8851</v>
      </c>
      <c r="K2662" s="1" t="b">
        <v>0</v>
      </c>
      <c r="L2662" s="1" t="s">
        <v>22</v>
      </c>
      <c r="M2662" s="1" t="s">
        <v>16</v>
      </c>
      <c r="N2662" s="1" t="s">
        <v>16</v>
      </c>
      <c r="O2662" s="1" t="s">
        <v>16</v>
      </c>
      <c r="P2662" s="1" t="s">
        <v>16</v>
      </c>
    </row>
    <row r="2663" spans="1:19" ht="12.5" x14ac:dyDescent="0.25">
      <c r="A2663" s="1">
        <v>1759</v>
      </c>
      <c r="B2663" s="1" t="s">
        <v>8852</v>
      </c>
      <c r="C2663" s="1" t="s">
        <v>35</v>
      </c>
      <c r="D2663" s="1" t="s">
        <v>5409</v>
      </c>
      <c r="E2663" s="1">
        <v>3006</v>
      </c>
      <c r="F2663" s="1" t="s">
        <v>8853</v>
      </c>
      <c r="G2663" s="1" t="s">
        <v>8854</v>
      </c>
      <c r="H2663" s="1" t="s">
        <v>16</v>
      </c>
      <c r="I2663" s="1" t="s">
        <v>29</v>
      </c>
      <c r="J2663" s="1" t="s">
        <v>8855</v>
      </c>
      <c r="K2663" s="1" t="b">
        <v>1</v>
      </c>
      <c r="L2663" s="1" t="s">
        <v>31</v>
      </c>
      <c r="M2663" s="1">
        <v>2022</v>
      </c>
      <c r="N2663" s="1" t="s">
        <v>23</v>
      </c>
      <c r="O2663" s="1" t="s">
        <v>9935</v>
      </c>
      <c r="P2663" s="1" t="s">
        <v>16</v>
      </c>
      <c r="Q2663" s="1">
        <v>100</v>
      </c>
      <c r="R2663" s="1">
        <v>200000</v>
      </c>
      <c r="S2663" s="1">
        <v>200000</v>
      </c>
    </row>
    <row r="2664" spans="1:19" ht="12.5" x14ac:dyDescent="0.25">
      <c r="A2664" s="1">
        <v>1761</v>
      </c>
      <c r="B2664" s="1" t="s">
        <v>8856</v>
      </c>
      <c r="C2664" s="1" t="s">
        <v>35</v>
      </c>
      <c r="D2664" s="1" t="s">
        <v>5409</v>
      </c>
      <c r="E2664" s="1">
        <v>3007</v>
      </c>
      <c r="F2664" s="1" t="s">
        <v>8857</v>
      </c>
      <c r="G2664" s="1" t="s">
        <v>8858</v>
      </c>
      <c r="H2664" s="1" t="s">
        <v>16</v>
      </c>
      <c r="I2664" s="1" t="s">
        <v>29</v>
      </c>
      <c r="J2664" s="1" t="s">
        <v>8859</v>
      </c>
      <c r="K2664" s="1" t="b">
        <v>1</v>
      </c>
      <c r="L2664" s="1" t="s">
        <v>31</v>
      </c>
      <c r="M2664" s="1">
        <v>2022</v>
      </c>
      <c r="N2664" s="1" t="s">
        <v>23</v>
      </c>
      <c r="O2664" s="1" t="s">
        <v>9935</v>
      </c>
      <c r="P2664" s="1" t="s">
        <v>16</v>
      </c>
      <c r="Q2664" s="1">
        <v>50</v>
      </c>
      <c r="R2664" s="1">
        <v>150000</v>
      </c>
      <c r="S2664" s="1">
        <v>75000</v>
      </c>
    </row>
    <row r="2665" spans="1:19" ht="12.5" x14ac:dyDescent="0.25">
      <c r="A2665" s="1">
        <v>1762</v>
      </c>
      <c r="B2665" s="1" t="s">
        <v>8860</v>
      </c>
      <c r="C2665" s="1" t="s">
        <v>35</v>
      </c>
      <c r="D2665" s="1" t="s">
        <v>5409</v>
      </c>
      <c r="E2665" s="1">
        <v>3007</v>
      </c>
      <c r="F2665" s="1" t="s">
        <v>8857</v>
      </c>
      <c r="G2665" s="1" t="s">
        <v>8858</v>
      </c>
      <c r="H2665" s="1" t="s">
        <v>16</v>
      </c>
      <c r="I2665" s="1" t="s">
        <v>29</v>
      </c>
      <c r="J2665" s="1" t="s">
        <v>8859</v>
      </c>
      <c r="K2665" s="1" t="b">
        <v>1</v>
      </c>
      <c r="L2665" s="1" t="s">
        <v>31</v>
      </c>
      <c r="M2665" s="1">
        <v>2022</v>
      </c>
      <c r="N2665" s="1" t="s">
        <v>23</v>
      </c>
      <c r="O2665" s="1" t="s">
        <v>9935</v>
      </c>
      <c r="P2665" s="1" t="s">
        <v>16</v>
      </c>
      <c r="Q2665" s="1">
        <v>50</v>
      </c>
      <c r="R2665" s="1">
        <v>150000</v>
      </c>
      <c r="S2665" s="1">
        <v>75000</v>
      </c>
    </row>
    <row r="2666" spans="1:19" ht="12.5" x14ac:dyDescent="0.25">
      <c r="A2666" s="1">
        <v>2213</v>
      </c>
      <c r="B2666" s="1" t="s">
        <v>8861</v>
      </c>
      <c r="C2666" s="1" t="s">
        <v>35</v>
      </c>
      <c r="D2666" s="1" t="s">
        <v>5409</v>
      </c>
      <c r="E2666" s="1">
        <v>3008</v>
      </c>
      <c r="F2666" s="1" t="s">
        <v>8862</v>
      </c>
      <c r="G2666" s="1" t="s">
        <v>8863</v>
      </c>
      <c r="H2666" s="1" t="s">
        <v>16</v>
      </c>
      <c r="I2666" s="1" t="s">
        <v>29</v>
      </c>
      <c r="J2666" s="1" t="s">
        <v>8864</v>
      </c>
      <c r="K2666" s="1" t="b">
        <v>1</v>
      </c>
      <c r="L2666" s="1" t="s">
        <v>31</v>
      </c>
      <c r="M2666" s="1">
        <v>2022</v>
      </c>
      <c r="N2666" s="1" t="s">
        <v>23</v>
      </c>
      <c r="O2666" s="1" t="s">
        <v>9935</v>
      </c>
      <c r="P2666" s="1" t="s">
        <v>16</v>
      </c>
      <c r="Q2666" s="1">
        <v>100</v>
      </c>
      <c r="R2666" s="1">
        <v>50000</v>
      </c>
      <c r="S2666" s="1">
        <v>50000</v>
      </c>
    </row>
    <row r="2667" spans="1:19" ht="12.5" x14ac:dyDescent="0.25">
      <c r="A2667" s="1">
        <v>2212</v>
      </c>
      <c r="B2667" s="1" t="s">
        <v>8865</v>
      </c>
      <c r="C2667" s="1" t="s">
        <v>35</v>
      </c>
      <c r="D2667" s="1" t="s">
        <v>5409</v>
      </c>
      <c r="E2667" s="1">
        <v>3009</v>
      </c>
      <c r="F2667" s="1" t="s">
        <v>8866</v>
      </c>
      <c r="G2667" s="1" t="s">
        <v>8867</v>
      </c>
      <c r="H2667" s="1" t="s">
        <v>16</v>
      </c>
      <c r="I2667" s="1" t="s">
        <v>29</v>
      </c>
      <c r="J2667" s="1" t="s">
        <v>8868</v>
      </c>
      <c r="K2667" s="1" t="b">
        <v>1</v>
      </c>
      <c r="L2667" s="1" t="s">
        <v>31</v>
      </c>
      <c r="M2667" s="1">
        <v>2022</v>
      </c>
      <c r="N2667" s="1" t="s">
        <v>45</v>
      </c>
      <c r="O2667" s="1" t="s">
        <v>9935</v>
      </c>
      <c r="P2667" s="1" t="s">
        <v>16</v>
      </c>
      <c r="Q2667" s="1">
        <v>100</v>
      </c>
      <c r="R2667" s="1">
        <v>100000</v>
      </c>
      <c r="S2667" s="1">
        <v>100000</v>
      </c>
    </row>
    <row r="2668" spans="1:19" ht="12.5" x14ac:dyDescent="0.25">
      <c r="A2668" s="1">
        <v>2208</v>
      </c>
      <c r="B2668" s="1" t="s">
        <v>8869</v>
      </c>
      <c r="C2668" s="1" t="s">
        <v>35</v>
      </c>
      <c r="D2668" s="1" t="s">
        <v>5409</v>
      </c>
      <c r="E2668" s="1">
        <v>3010</v>
      </c>
      <c r="F2668" s="1" t="s">
        <v>8870</v>
      </c>
      <c r="G2668" s="1" t="s">
        <v>8871</v>
      </c>
      <c r="H2668" s="1" t="s">
        <v>16</v>
      </c>
      <c r="I2668" s="1" t="s">
        <v>29</v>
      </c>
      <c r="J2668" s="1" t="s">
        <v>8872</v>
      </c>
      <c r="K2668" s="1" t="b">
        <v>1</v>
      </c>
      <c r="L2668" s="1" t="s">
        <v>31</v>
      </c>
      <c r="M2668" s="1">
        <v>2022</v>
      </c>
      <c r="N2668" s="1" t="s">
        <v>23</v>
      </c>
      <c r="O2668" s="1" t="s">
        <v>9935</v>
      </c>
      <c r="P2668" s="1" t="s">
        <v>16</v>
      </c>
      <c r="Q2668" s="1">
        <v>100</v>
      </c>
      <c r="R2668" s="1">
        <v>80000</v>
      </c>
      <c r="S2668" s="1">
        <v>80000</v>
      </c>
    </row>
    <row r="2669" spans="1:19" ht="12.5" x14ac:dyDescent="0.25">
      <c r="A2669" s="1">
        <v>1775</v>
      </c>
      <c r="B2669" s="1" t="s">
        <v>8873</v>
      </c>
      <c r="C2669" s="1" t="s">
        <v>35</v>
      </c>
      <c r="D2669" s="1" t="s">
        <v>5409</v>
      </c>
      <c r="E2669" s="1">
        <v>3011</v>
      </c>
      <c r="F2669" s="1" t="s">
        <v>8874</v>
      </c>
      <c r="G2669" s="1" t="s">
        <v>8875</v>
      </c>
      <c r="H2669" s="1" t="s">
        <v>16</v>
      </c>
      <c r="I2669" s="1" t="s">
        <v>29</v>
      </c>
      <c r="J2669" s="1" t="s">
        <v>16</v>
      </c>
      <c r="K2669" s="1" t="b">
        <v>0</v>
      </c>
      <c r="L2669" s="1" t="s">
        <v>22</v>
      </c>
      <c r="M2669" s="1" t="s">
        <v>16</v>
      </c>
      <c r="N2669" s="1" t="s">
        <v>16</v>
      </c>
      <c r="O2669" s="1" t="s">
        <v>16</v>
      </c>
      <c r="P2669" s="1" t="s">
        <v>16</v>
      </c>
      <c r="Q2669" s="1">
        <v>100</v>
      </c>
    </row>
    <row r="2670" spans="1:19" ht="12.5" x14ac:dyDescent="0.25">
      <c r="A2670" s="1">
        <v>2211</v>
      </c>
      <c r="B2670" s="1" t="s">
        <v>8876</v>
      </c>
      <c r="C2670" s="1" t="s">
        <v>35</v>
      </c>
      <c r="D2670" s="1" t="s">
        <v>5409</v>
      </c>
      <c r="E2670" s="1">
        <v>3012</v>
      </c>
      <c r="F2670" s="1" t="s">
        <v>8877</v>
      </c>
      <c r="G2670" s="1" t="s">
        <v>8878</v>
      </c>
      <c r="H2670" s="1" t="s">
        <v>16</v>
      </c>
      <c r="I2670" s="1" t="s">
        <v>29</v>
      </c>
      <c r="J2670" s="1" t="s">
        <v>8879</v>
      </c>
      <c r="K2670" s="1" t="b">
        <v>1</v>
      </c>
      <c r="L2670" s="1" t="s">
        <v>31</v>
      </c>
      <c r="M2670" s="1">
        <v>2022</v>
      </c>
      <c r="N2670" s="1" t="s">
        <v>23</v>
      </c>
      <c r="O2670" s="1" t="s">
        <v>9935</v>
      </c>
      <c r="P2670" s="1" t="s">
        <v>16</v>
      </c>
      <c r="Q2670" s="1">
        <v>100</v>
      </c>
      <c r="R2670" s="1">
        <v>250000</v>
      </c>
      <c r="S2670" s="1">
        <v>250000</v>
      </c>
    </row>
    <row r="2671" spans="1:19" ht="12.5" x14ac:dyDescent="0.25">
      <c r="A2671" s="1">
        <v>2210</v>
      </c>
      <c r="B2671" s="1" t="s">
        <v>8880</v>
      </c>
      <c r="C2671" s="1" t="s">
        <v>35</v>
      </c>
      <c r="D2671" s="1" t="s">
        <v>5409</v>
      </c>
      <c r="E2671" s="1">
        <v>3013</v>
      </c>
      <c r="F2671" s="1" t="s">
        <v>8881</v>
      </c>
      <c r="G2671" s="1" t="s">
        <v>8882</v>
      </c>
      <c r="H2671" s="1" t="s">
        <v>16</v>
      </c>
      <c r="I2671" s="1" t="s">
        <v>29</v>
      </c>
      <c r="J2671" s="1" t="s">
        <v>8883</v>
      </c>
      <c r="K2671" s="1" t="b">
        <v>1</v>
      </c>
      <c r="L2671" s="1" t="s">
        <v>31</v>
      </c>
      <c r="M2671" s="1">
        <v>2022</v>
      </c>
      <c r="N2671" s="1" t="s">
        <v>23</v>
      </c>
      <c r="O2671" s="1" t="s">
        <v>9935</v>
      </c>
      <c r="P2671" s="1" t="s">
        <v>16</v>
      </c>
      <c r="Q2671" s="1">
        <v>100</v>
      </c>
      <c r="R2671" s="1">
        <v>200000</v>
      </c>
      <c r="S2671" s="1">
        <v>200000</v>
      </c>
    </row>
    <row r="2672" spans="1:19" ht="12.5" x14ac:dyDescent="0.25">
      <c r="A2672" s="1">
        <v>1780</v>
      </c>
      <c r="B2672" s="1" t="s">
        <v>8884</v>
      </c>
      <c r="C2672" s="1" t="s">
        <v>35</v>
      </c>
      <c r="D2672" s="1" t="s">
        <v>5409</v>
      </c>
      <c r="E2672" s="1">
        <v>3014</v>
      </c>
      <c r="F2672" s="1" t="s">
        <v>8885</v>
      </c>
      <c r="G2672" s="1" t="s">
        <v>8886</v>
      </c>
      <c r="H2672" s="1" t="s">
        <v>16</v>
      </c>
      <c r="I2672" s="1" t="s">
        <v>29</v>
      </c>
      <c r="J2672" s="1" t="s">
        <v>8887</v>
      </c>
      <c r="K2672" s="1" t="b">
        <v>1</v>
      </c>
      <c r="L2672" s="1" t="s">
        <v>31</v>
      </c>
      <c r="M2672" s="1">
        <v>2022</v>
      </c>
      <c r="N2672" s="1" t="s">
        <v>23</v>
      </c>
      <c r="O2672" s="1" t="s">
        <v>9935</v>
      </c>
      <c r="P2672" s="1" t="s">
        <v>16</v>
      </c>
      <c r="Q2672" s="1">
        <v>100</v>
      </c>
      <c r="R2672" s="1">
        <v>300000</v>
      </c>
      <c r="S2672" s="1">
        <v>300000</v>
      </c>
    </row>
    <row r="2673" spans="1:19" ht="12.5" x14ac:dyDescent="0.25">
      <c r="A2673" s="1">
        <v>1779</v>
      </c>
      <c r="B2673" s="1" t="s">
        <v>8888</v>
      </c>
      <c r="C2673" s="1" t="s">
        <v>35</v>
      </c>
      <c r="D2673" s="1" t="s">
        <v>5409</v>
      </c>
      <c r="E2673" s="1">
        <v>3015</v>
      </c>
      <c r="F2673" s="1" t="s">
        <v>8889</v>
      </c>
      <c r="G2673" s="1" t="s">
        <v>8890</v>
      </c>
      <c r="H2673" s="1" t="s">
        <v>16</v>
      </c>
      <c r="I2673" s="1" t="s">
        <v>29</v>
      </c>
      <c r="J2673" s="1" t="s">
        <v>8891</v>
      </c>
      <c r="K2673" s="1" t="b">
        <v>1</v>
      </c>
      <c r="L2673" s="1" t="s">
        <v>31</v>
      </c>
      <c r="M2673" s="1">
        <v>2022</v>
      </c>
      <c r="N2673" s="1" t="s">
        <v>23</v>
      </c>
      <c r="O2673" s="1" t="s">
        <v>9935</v>
      </c>
      <c r="P2673" s="1" t="s">
        <v>16</v>
      </c>
      <c r="Q2673" s="1">
        <v>100</v>
      </c>
      <c r="R2673" s="1">
        <v>50000</v>
      </c>
      <c r="S2673" s="1">
        <v>50000</v>
      </c>
    </row>
    <row r="2674" spans="1:19" ht="12.5" x14ac:dyDescent="0.25">
      <c r="A2674" s="1">
        <v>2269</v>
      </c>
      <c r="B2674" s="1" t="s">
        <v>8892</v>
      </c>
      <c r="C2674" s="1" t="s">
        <v>38</v>
      </c>
      <c r="D2674" s="1" t="s">
        <v>5701</v>
      </c>
      <c r="E2674" s="1">
        <v>3016</v>
      </c>
      <c r="F2674" s="1" t="s">
        <v>8893</v>
      </c>
      <c r="G2674" s="1" t="s">
        <v>8894</v>
      </c>
      <c r="H2674" s="1" t="s">
        <v>8895</v>
      </c>
      <c r="I2674" s="1" t="s">
        <v>29</v>
      </c>
      <c r="J2674" s="1" t="s">
        <v>8896</v>
      </c>
      <c r="K2674" s="1" t="b">
        <v>0</v>
      </c>
      <c r="L2674" s="1" t="s">
        <v>22</v>
      </c>
      <c r="M2674" s="1">
        <v>2022</v>
      </c>
      <c r="N2674" s="1" t="s">
        <v>23</v>
      </c>
      <c r="O2674" s="1" t="s">
        <v>9935</v>
      </c>
      <c r="P2674" s="1" t="s">
        <v>16</v>
      </c>
      <c r="Q2674" s="1">
        <v>80</v>
      </c>
      <c r="R2674" s="1">
        <v>60000</v>
      </c>
      <c r="S2674" s="1">
        <v>48000</v>
      </c>
    </row>
    <row r="2675" spans="1:19" ht="12.5" x14ac:dyDescent="0.25">
      <c r="A2675" s="1">
        <v>3868</v>
      </c>
      <c r="B2675" s="1" t="s">
        <v>8897</v>
      </c>
      <c r="C2675" s="1" t="s">
        <v>38</v>
      </c>
      <c r="D2675" s="1" t="s">
        <v>39</v>
      </c>
      <c r="E2675" s="1">
        <v>3016</v>
      </c>
      <c r="F2675" s="1" t="s">
        <v>8893</v>
      </c>
      <c r="G2675" s="1" t="s">
        <v>8894</v>
      </c>
      <c r="H2675" s="1" t="s">
        <v>8895</v>
      </c>
      <c r="I2675" s="1" t="s">
        <v>29</v>
      </c>
      <c r="J2675" s="1" t="s">
        <v>8896</v>
      </c>
      <c r="K2675" s="1" t="b">
        <v>0</v>
      </c>
      <c r="L2675" s="1" t="s">
        <v>22</v>
      </c>
      <c r="M2675" s="1">
        <v>2022</v>
      </c>
      <c r="N2675" s="1" t="s">
        <v>23</v>
      </c>
      <c r="O2675" s="1" t="s">
        <v>9935</v>
      </c>
      <c r="P2675" s="1" t="s">
        <v>16</v>
      </c>
      <c r="Q2675" s="1">
        <v>20</v>
      </c>
      <c r="R2675" s="1">
        <v>60000</v>
      </c>
      <c r="S2675" s="1">
        <v>12000</v>
      </c>
    </row>
    <row r="2676" spans="1:19" ht="12.5" x14ac:dyDescent="0.25">
      <c r="A2676" s="1">
        <v>1699</v>
      </c>
      <c r="B2676" s="1" t="s">
        <v>8898</v>
      </c>
      <c r="C2676" s="1" t="s">
        <v>35</v>
      </c>
      <c r="D2676" s="1" t="s">
        <v>152</v>
      </c>
      <c r="E2676" s="1">
        <v>3017</v>
      </c>
      <c r="F2676" s="1" t="s">
        <v>8899</v>
      </c>
      <c r="G2676" s="1" t="s">
        <v>8900</v>
      </c>
      <c r="H2676" s="1" t="s">
        <v>8901</v>
      </c>
      <c r="I2676" s="1" t="s">
        <v>29</v>
      </c>
      <c r="J2676" s="1" t="s">
        <v>16</v>
      </c>
      <c r="K2676" s="1" t="b">
        <v>0</v>
      </c>
      <c r="L2676" s="1" t="s">
        <v>22</v>
      </c>
      <c r="M2676" s="1">
        <v>2022</v>
      </c>
      <c r="N2676" s="1" t="s">
        <v>23</v>
      </c>
      <c r="O2676" s="1" t="s">
        <v>9935</v>
      </c>
      <c r="P2676" s="1" t="s">
        <v>10101</v>
      </c>
      <c r="Q2676" s="1">
        <v>100</v>
      </c>
      <c r="R2676" s="1">
        <v>250000</v>
      </c>
      <c r="S2676" s="1">
        <v>250000</v>
      </c>
    </row>
    <row r="2677" spans="1:19" ht="12.5" x14ac:dyDescent="0.25">
      <c r="A2677" s="1">
        <v>1514</v>
      </c>
      <c r="B2677" s="1" t="s">
        <v>7277</v>
      </c>
      <c r="C2677" s="1" t="s">
        <v>35</v>
      </c>
      <c r="D2677" s="1" t="s">
        <v>152</v>
      </c>
      <c r="E2677" s="1">
        <v>3018</v>
      </c>
      <c r="F2677" s="1" t="s">
        <v>8902</v>
      </c>
      <c r="G2677" s="1" t="s">
        <v>8903</v>
      </c>
      <c r="H2677" s="1" t="s">
        <v>16</v>
      </c>
      <c r="I2677" s="1" t="s">
        <v>29</v>
      </c>
      <c r="J2677" s="1" t="s">
        <v>8904</v>
      </c>
      <c r="K2677" s="1" t="b">
        <v>0</v>
      </c>
      <c r="L2677" s="1" t="s">
        <v>22</v>
      </c>
      <c r="M2677" s="1">
        <v>2022</v>
      </c>
      <c r="N2677" s="1" t="s">
        <v>23</v>
      </c>
      <c r="O2677" s="1" t="s">
        <v>9940</v>
      </c>
      <c r="P2677" s="1" t="s">
        <v>16</v>
      </c>
      <c r="Q2677" s="1">
        <v>100</v>
      </c>
      <c r="R2677" s="1">
        <v>25000</v>
      </c>
      <c r="S2677" s="1">
        <v>25000</v>
      </c>
    </row>
    <row r="2678" spans="1:19" ht="12.5" x14ac:dyDescent="0.25">
      <c r="A2678" s="1" t="s">
        <v>16</v>
      </c>
      <c r="B2678" s="1" t="s">
        <v>16</v>
      </c>
      <c r="C2678" s="1" t="s">
        <v>16</v>
      </c>
      <c r="D2678" s="1" t="s">
        <v>16</v>
      </c>
      <c r="E2678" s="1">
        <v>3019</v>
      </c>
      <c r="F2678" s="1" t="s">
        <v>8905</v>
      </c>
      <c r="G2678" s="1" t="s">
        <v>8906</v>
      </c>
      <c r="H2678" s="1" t="s">
        <v>16</v>
      </c>
      <c r="I2678" s="1" t="s">
        <v>20</v>
      </c>
      <c r="J2678" s="1" t="s">
        <v>8907</v>
      </c>
      <c r="K2678" s="1" t="b">
        <v>0</v>
      </c>
      <c r="L2678" s="1" t="s">
        <v>22</v>
      </c>
      <c r="M2678" s="1" t="s">
        <v>16</v>
      </c>
      <c r="N2678" s="1" t="s">
        <v>16</v>
      </c>
      <c r="O2678" s="1" t="s">
        <v>16</v>
      </c>
      <c r="P2678" s="1" t="s">
        <v>16</v>
      </c>
    </row>
    <row r="2679" spans="1:19" ht="12.5" x14ac:dyDescent="0.25">
      <c r="A2679" s="1">
        <v>1646</v>
      </c>
      <c r="B2679" s="1" t="s">
        <v>5260</v>
      </c>
      <c r="C2679" s="1" t="s">
        <v>35</v>
      </c>
      <c r="D2679" s="1" t="s">
        <v>152</v>
      </c>
      <c r="E2679" s="1">
        <v>3020</v>
      </c>
      <c r="F2679" s="1" t="s">
        <v>8908</v>
      </c>
      <c r="G2679" s="1" t="s">
        <v>8909</v>
      </c>
      <c r="H2679" s="1" t="s">
        <v>8910</v>
      </c>
      <c r="I2679" s="1" t="s">
        <v>29</v>
      </c>
      <c r="J2679" s="1" t="s">
        <v>8911</v>
      </c>
      <c r="K2679" s="1" t="b">
        <v>0</v>
      </c>
      <c r="L2679" s="1" t="s">
        <v>22</v>
      </c>
      <c r="M2679" s="1">
        <v>2022</v>
      </c>
      <c r="N2679" s="1" t="s">
        <v>52</v>
      </c>
      <c r="O2679" s="1" t="s">
        <v>9940</v>
      </c>
      <c r="P2679" s="1" t="s">
        <v>16</v>
      </c>
      <c r="Q2679" s="1">
        <v>100</v>
      </c>
      <c r="R2679" s="1">
        <v>35000</v>
      </c>
      <c r="S2679" s="1">
        <v>35000</v>
      </c>
    </row>
    <row r="2680" spans="1:19" ht="12.5" x14ac:dyDescent="0.25">
      <c r="A2680" s="1">
        <v>1600</v>
      </c>
      <c r="B2680" s="1" t="s">
        <v>5192</v>
      </c>
      <c r="C2680" s="1" t="s">
        <v>35</v>
      </c>
      <c r="D2680" s="1" t="s">
        <v>152</v>
      </c>
      <c r="E2680" s="1">
        <v>3021</v>
      </c>
      <c r="F2680" s="1" t="s">
        <v>8912</v>
      </c>
      <c r="G2680" s="1" t="s">
        <v>8913</v>
      </c>
      <c r="H2680" s="1" t="s">
        <v>8914</v>
      </c>
      <c r="I2680" s="1" t="s">
        <v>29</v>
      </c>
      <c r="J2680" s="1" t="s">
        <v>16</v>
      </c>
      <c r="K2680" s="1" t="b">
        <v>0</v>
      </c>
      <c r="L2680" s="1" t="s">
        <v>22</v>
      </c>
      <c r="M2680" s="1">
        <v>2022</v>
      </c>
      <c r="N2680" s="1" t="s">
        <v>52</v>
      </c>
      <c r="O2680" s="1" t="s">
        <v>9940</v>
      </c>
      <c r="P2680" s="1" t="s">
        <v>16</v>
      </c>
      <c r="Q2680" s="1">
        <v>100</v>
      </c>
      <c r="R2680" s="1">
        <v>35000</v>
      </c>
      <c r="S2680" s="1">
        <v>35000</v>
      </c>
    </row>
    <row r="2681" spans="1:19" ht="12.5" x14ac:dyDescent="0.25">
      <c r="A2681" s="1">
        <v>1690</v>
      </c>
      <c r="B2681" s="1" t="s">
        <v>5342</v>
      </c>
      <c r="C2681" s="1" t="s">
        <v>35</v>
      </c>
      <c r="D2681" s="1" t="s">
        <v>152</v>
      </c>
      <c r="E2681" s="1">
        <v>3022</v>
      </c>
      <c r="F2681" s="1" t="s">
        <v>8915</v>
      </c>
      <c r="G2681" s="1" t="s">
        <v>8916</v>
      </c>
      <c r="H2681" s="1" t="s">
        <v>16</v>
      </c>
      <c r="I2681" s="1" t="s">
        <v>29</v>
      </c>
      <c r="J2681" s="1" t="s">
        <v>16</v>
      </c>
      <c r="K2681" s="1" t="b">
        <v>0</v>
      </c>
      <c r="L2681" s="1" t="s">
        <v>22</v>
      </c>
      <c r="M2681" s="1">
        <v>2023</v>
      </c>
      <c r="N2681" s="1" t="s">
        <v>32</v>
      </c>
      <c r="O2681" s="1" t="s">
        <v>9942</v>
      </c>
      <c r="P2681" s="1" t="s">
        <v>16</v>
      </c>
      <c r="Q2681" s="1">
        <v>100</v>
      </c>
      <c r="R2681" s="1">
        <v>50000</v>
      </c>
      <c r="S2681" s="1">
        <v>50000</v>
      </c>
    </row>
    <row r="2682" spans="1:19" ht="12.5" x14ac:dyDescent="0.25">
      <c r="A2682" s="1">
        <v>4602</v>
      </c>
      <c r="B2682" s="1" t="s">
        <v>8917</v>
      </c>
      <c r="C2682" s="1" t="s">
        <v>38</v>
      </c>
      <c r="D2682" s="1" t="s">
        <v>5701</v>
      </c>
      <c r="E2682" s="1">
        <v>3023</v>
      </c>
      <c r="F2682" s="1" t="s">
        <v>8919</v>
      </c>
      <c r="G2682" s="1" t="s">
        <v>8920</v>
      </c>
      <c r="H2682" s="1" t="s">
        <v>8918</v>
      </c>
      <c r="I2682" s="1" t="s">
        <v>29</v>
      </c>
      <c r="J2682" s="1" t="s">
        <v>8921</v>
      </c>
      <c r="K2682" s="1" t="b">
        <v>1</v>
      </c>
      <c r="L2682" s="1" t="s">
        <v>31</v>
      </c>
      <c r="M2682" s="1">
        <v>2022</v>
      </c>
      <c r="N2682" s="1" t="s">
        <v>52</v>
      </c>
      <c r="O2682" s="1" t="s">
        <v>9935</v>
      </c>
      <c r="P2682" s="1" t="s">
        <v>16</v>
      </c>
      <c r="Q2682" s="1">
        <v>100</v>
      </c>
      <c r="R2682" s="1">
        <v>9600</v>
      </c>
      <c r="S2682" s="1">
        <v>9600</v>
      </c>
    </row>
    <row r="2683" spans="1:19" ht="12.5" x14ac:dyDescent="0.25">
      <c r="A2683" s="1">
        <v>1697</v>
      </c>
      <c r="B2683" s="1" t="s">
        <v>5362</v>
      </c>
      <c r="C2683" s="1" t="s">
        <v>35</v>
      </c>
      <c r="D2683" s="1" t="s">
        <v>152</v>
      </c>
      <c r="E2683" s="1">
        <v>3024</v>
      </c>
      <c r="F2683" s="1" t="s">
        <v>8922</v>
      </c>
      <c r="G2683" s="1" t="s">
        <v>8923</v>
      </c>
      <c r="H2683" s="1" t="s">
        <v>8924</v>
      </c>
      <c r="I2683" s="1" t="s">
        <v>29</v>
      </c>
      <c r="J2683" s="1" t="s">
        <v>8925</v>
      </c>
      <c r="K2683" s="1" t="b">
        <v>1</v>
      </c>
      <c r="L2683" s="1" t="s">
        <v>31</v>
      </c>
      <c r="M2683" s="1">
        <v>2022</v>
      </c>
      <c r="N2683" s="1" t="s">
        <v>52</v>
      </c>
      <c r="O2683" s="1" t="s">
        <v>9956</v>
      </c>
      <c r="P2683" s="1" t="s">
        <v>16</v>
      </c>
      <c r="Q2683" s="1">
        <v>100</v>
      </c>
      <c r="R2683" s="1">
        <v>11000</v>
      </c>
      <c r="S2683" s="1">
        <v>11000</v>
      </c>
    </row>
    <row r="2684" spans="1:19" ht="12.5" x14ac:dyDescent="0.25">
      <c r="A2684" s="1">
        <v>1696</v>
      </c>
      <c r="B2684" s="1" t="s">
        <v>5359</v>
      </c>
      <c r="C2684" s="1" t="s">
        <v>35</v>
      </c>
      <c r="D2684" s="1" t="s">
        <v>152</v>
      </c>
      <c r="E2684" s="1">
        <v>3025</v>
      </c>
      <c r="F2684" s="1" t="s">
        <v>8926</v>
      </c>
      <c r="G2684" s="1" t="s">
        <v>8927</v>
      </c>
      <c r="H2684" s="1" t="s">
        <v>8928</v>
      </c>
      <c r="I2684" s="1" t="s">
        <v>29</v>
      </c>
      <c r="J2684" s="1" t="s">
        <v>8929</v>
      </c>
      <c r="K2684" s="1" t="b">
        <v>1</v>
      </c>
      <c r="L2684" s="1" t="s">
        <v>31</v>
      </c>
      <c r="M2684" s="1">
        <v>2022</v>
      </c>
      <c r="N2684" s="1" t="s">
        <v>52</v>
      </c>
      <c r="O2684" s="1" t="s">
        <v>9956</v>
      </c>
      <c r="P2684" s="1" t="s">
        <v>16</v>
      </c>
      <c r="Q2684" s="1">
        <v>100</v>
      </c>
      <c r="R2684" s="1">
        <v>5000</v>
      </c>
      <c r="S2684" s="1">
        <v>5000</v>
      </c>
    </row>
    <row r="2685" spans="1:19" ht="12.5" x14ac:dyDescent="0.25">
      <c r="A2685" s="1">
        <v>574</v>
      </c>
      <c r="B2685" s="1" t="s">
        <v>8930</v>
      </c>
      <c r="C2685" s="1" t="s">
        <v>35</v>
      </c>
      <c r="D2685" s="1" t="s">
        <v>36</v>
      </c>
      <c r="E2685" s="1">
        <v>3026</v>
      </c>
      <c r="F2685" s="1" t="s">
        <v>8931</v>
      </c>
      <c r="G2685" s="1" t="s">
        <v>8932</v>
      </c>
      <c r="H2685" s="1" t="s">
        <v>16</v>
      </c>
      <c r="I2685" s="1" t="s">
        <v>20</v>
      </c>
      <c r="J2685" s="1" t="s">
        <v>8933</v>
      </c>
      <c r="K2685" s="1" t="b">
        <v>0</v>
      </c>
      <c r="L2685" s="1" t="s">
        <v>22</v>
      </c>
      <c r="M2685" s="1" t="s">
        <v>16</v>
      </c>
      <c r="N2685" s="1" t="s">
        <v>16</v>
      </c>
      <c r="O2685" s="1" t="s">
        <v>16</v>
      </c>
      <c r="P2685" s="1" t="s">
        <v>16</v>
      </c>
      <c r="Q2685" s="1">
        <v>100</v>
      </c>
    </row>
    <row r="2686" spans="1:19" ht="12.5" x14ac:dyDescent="0.25">
      <c r="A2686" s="1">
        <v>1472</v>
      </c>
      <c r="B2686" s="1" t="s">
        <v>8934</v>
      </c>
      <c r="C2686" s="1" t="s">
        <v>35</v>
      </c>
      <c r="D2686" s="1" t="s">
        <v>152</v>
      </c>
      <c r="E2686" s="1">
        <v>3027</v>
      </c>
      <c r="F2686" s="1" t="s">
        <v>8936</v>
      </c>
      <c r="G2686" s="1" t="s">
        <v>8937</v>
      </c>
      <c r="H2686" s="1" t="s">
        <v>16</v>
      </c>
      <c r="I2686" s="1" t="s">
        <v>29</v>
      </c>
      <c r="J2686" s="1" t="s">
        <v>16</v>
      </c>
      <c r="K2686" s="1" t="b">
        <v>0</v>
      </c>
      <c r="L2686" s="1" t="s">
        <v>22</v>
      </c>
      <c r="M2686" s="1" t="s">
        <v>16</v>
      </c>
      <c r="N2686" s="1" t="s">
        <v>16</v>
      </c>
      <c r="O2686" s="1" t="s">
        <v>16</v>
      </c>
      <c r="P2686" s="1" t="s">
        <v>16</v>
      </c>
      <c r="Q2686" s="1">
        <v>100</v>
      </c>
    </row>
    <row r="2687" spans="1:19" ht="12.5" x14ac:dyDescent="0.25">
      <c r="A2687" s="1">
        <v>1471</v>
      </c>
      <c r="B2687" s="1" t="s">
        <v>8938</v>
      </c>
      <c r="C2687" s="1" t="s">
        <v>35</v>
      </c>
      <c r="D2687" s="1" t="s">
        <v>152</v>
      </c>
      <c r="E2687" s="1">
        <v>3028</v>
      </c>
      <c r="F2687" s="1" t="s">
        <v>8940</v>
      </c>
      <c r="G2687" s="1" t="s">
        <v>8941</v>
      </c>
      <c r="H2687" s="1" t="s">
        <v>16</v>
      </c>
      <c r="I2687" s="1" t="s">
        <v>29</v>
      </c>
      <c r="J2687" s="1" t="s">
        <v>16</v>
      </c>
      <c r="K2687" s="1" t="b">
        <v>0</v>
      </c>
      <c r="L2687" s="1" t="s">
        <v>22</v>
      </c>
      <c r="M2687" s="1" t="s">
        <v>16</v>
      </c>
      <c r="N2687" s="1" t="s">
        <v>16</v>
      </c>
      <c r="O2687" s="1" t="s">
        <v>16</v>
      </c>
      <c r="P2687" s="1" t="s">
        <v>16</v>
      </c>
      <c r="Q2687" s="1">
        <v>100</v>
      </c>
    </row>
    <row r="2688" spans="1:19" ht="12.5" x14ac:dyDescent="0.25">
      <c r="A2688" s="1">
        <v>1470</v>
      </c>
      <c r="B2688" s="1" t="s">
        <v>8942</v>
      </c>
      <c r="C2688" s="1" t="s">
        <v>35</v>
      </c>
      <c r="D2688" s="1" t="s">
        <v>152</v>
      </c>
      <c r="E2688" s="1">
        <v>3029</v>
      </c>
      <c r="F2688" s="1" t="s">
        <v>8944</v>
      </c>
      <c r="G2688" s="1" t="s">
        <v>8941</v>
      </c>
      <c r="H2688" s="1" t="s">
        <v>16</v>
      </c>
      <c r="I2688" s="1" t="s">
        <v>29</v>
      </c>
      <c r="J2688" s="1" t="s">
        <v>16</v>
      </c>
      <c r="K2688" s="1" t="b">
        <v>0</v>
      </c>
      <c r="L2688" s="1" t="s">
        <v>22</v>
      </c>
      <c r="M2688" s="1" t="s">
        <v>16</v>
      </c>
      <c r="N2688" s="1" t="s">
        <v>16</v>
      </c>
      <c r="O2688" s="1" t="s">
        <v>16</v>
      </c>
      <c r="P2688" s="1" t="s">
        <v>16</v>
      </c>
      <c r="Q2688" s="1">
        <v>100</v>
      </c>
    </row>
    <row r="2689" spans="1:19" ht="12.5" x14ac:dyDescent="0.25">
      <c r="A2689" s="1">
        <v>864</v>
      </c>
      <c r="B2689" s="1" t="s">
        <v>8945</v>
      </c>
      <c r="C2689" s="1" t="s">
        <v>35</v>
      </c>
      <c r="D2689" s="1" t="s">
        <v>152</v>
      </c>
      <c r="E2689" s="1">
        <v>3030</v>
      </c>
      <c r="F2689" s="1" t="s">
        <v>8947</v>
      </c>
      <c r="G2689" s="1" t="s">
        <v>145</v>
      </c>
      <c r="H2689" s="1" t="s">
        <v>16</v>
      </c>
      <c r="I2689" s="1" t="s">
        <v>29</v>
      </c>
      <c r="J2689" s="1" t="s">
        <v>8948</v>
      </c>
      <c r="K2689" s="1" t="b">
        <v>0</v>
      </c>
      <c r="L2689" s="1" t="s">
        <v>22</v>
      </c>
      <c r="M2689" s="1">
        <v>2022</v>
      </c>
      <c r="N2689" s="1" t="s">
        <v>45</v>
      </c>
      <c r="O2689" s="1" t="s">
        <v>9935</v>
      </c>
      <c r="P2689" s="1" t="s">
        <v>16</v>
      </c>
      <c r="Q2689" s="1">
        <v>100</v>
      </c>
      <c r="R2689" s="1">
        <v>88115.67</v>
      </c>
      <c r="S2689" s="1">
        <v>88115.67</v>
      </c>
    </row>
    <row r="2690" spans="1:19" ht="12.5" x14ac:dyDescent="0.25">
      <c r="A2690" s="1" t="s">
        <v>16</v>
      </c>
      <c r="B2690" s="1" t="s">
        <v>16</v>
      </c>
      <c r="C2690" s="1" t="s">
        <v>16</v>
      </c>
      <c r="D2690" s="1" t="s">
        <v>16</v>
      </c>
      <c r="E2690" s="1">
        <v>3031</v>
      </c>
      <c r="F2690" s="1" t="s">
        <v>8949</v>
      </c>
      <c r="G2690" s="1" t="s">
        <v>8950</v>
      </c>
      <c r="H2690" s="1" t="s">
        <v>16</v>
      </c>
      <c r="I2690" s="1" t="s">
        <v>20</v>
      </c>
      <c r="J2690" s="1" t="s">
        <v>8951</v>
      </c>
      <c r="K2690" s="1" t="b">
        <v>0</v>
      </c>
      <c r="L2690" s="1" t="s">
        <v>22</v>
      </c>
      <c r="M2690" s="1" t="s">
        <v>16</v>
      </c>
      <c r="N2690" s="1" t="s">
        <v>16</v>
      </c>
      <c r="O2690" s="1" t="s">
        <v>16</v>
      </c>
      <c r="P2690" s="1" t="s">
        <v>16</v>
      </c>
    </row>
    <row r="2691" spans="1:19" ht="12.5" x14ac:dyDescent="0.25">
      <c r="A2691" s="1" t="s">
        <v>16</v>
      </c>
      <c r="B2691" s="1" t="s">
        <v>16</v>
      </c>
      <c r="C2691" s="1" t="s">
        <v>16</v>
      </c>
      <c r="D2691" s="1" t="s">
        <v>16</v>
      </c>
      <c r="E2691" s="1">
        <v>3032</v>
      </c>
      <c r="F2691" s="1" t="s">
        <v>8952</v>
      </c>
      <c r="G2691" s="1" t="s">
        <v>8953</v>
      </c>
      <c r="H2691" s="1" t="s">
        <v>16</v>
      </c>
      <c r="I2691" s="1" t="s">
        <v>20</v>
      </c>
      <c r="J2691" s="1" t="s">
        <v>8954</v>
      </c>
      <c r="K2691" s="1" t="b">
        <v>0</v>
      </c>
      <c r="L2691" s="1" t="s">
        <v>22</v>
      </c>
      <c r="M2691" s="1" t="s">
        <v>16</v>
      </c>
      <c r="N2691" s="1" t="s">
        <v>16</v>
      </c>
      <c r="O2691" s="1" t="s">
        <v>16</v>
      </c>
      <c r="P2691" s="1" t="s">
        <v>16</v>
      </c>
    </row>
    <row r="2692" spans="1:19" ht="12.5" x14ac:dyDescent="0.25">
      <c r="A2692" s="1">
        <v>4554</v>
      </c>
      <c r="B2692" s="1" t="s">
        <v>8955</v>
      </c>
      <c r="C2692" s="1" t="s">
        <v>35</v>
      </c>
      <c r="D2692" s="1" t="s">
        <v>36</v>
      </c>
      <c r="E2692" s="1">
        <v>3033</v>
      </c>
      <c r="F2692" s="1" t="s">
        <v>8956</v>
      </c>
      <c r="G2692" s="1" t="s">
        <v>8957</v>
      </c>
      <c r="H2692" s="1" t="s">
        <v>16</v>
      </c>
      <c r="I2692" s="1" t="s">
        <v>29</v>
      </c>
      <c r="J2692" s="1" t="s">
        <v>16</v>
      </c>
      <c r="K2692" s="1" t="b">
        <v>0</v>
      </c>
      <c r="L2692" s="1" t="s">
        <v>22</v>
      </c>
      <c r="M2692" s="1" t="s">
        <v>16</v>
      </c>
      <c r="N2692" s="1" t="s">
        <v>16</v>
      </c>
      <c r="O2692" s="1" t="s">
        <v>16</v>
      </c>
      <c r="P2692" s="1" t="s">
        <v>16</v>
      </c>
      <c r="Q2692" s="1">
        <v>100</v>
      </c>
    </row>
    <row r="2693" spans="1:19" ht="12.5" x14ac:dyDescent="0.25">
      <c r="A2693" s="1" t="s">
        <v>16</v>
      </c>
      <c r="B2693" s="1" t="s">
        <v>16</v>
      </c>
      <c r="C2693" s="1" t="s">
        <v>16</v>
      </c>
      <c r="D2693" s="1" t="s">
        <v>16</v>
      </c>
      <c r="E2693" s="1">
        <v>3034</v>
      </c>
      <c r="F2693" s="1" t="s">
        <v>8958</v>
      </c>
      <c r="G2693" s="1" t="s">
        <v>8959</v>
      </c>
      <c r="H2693" s="1" t="s">
        <v>16</v>
      </c>
      <c r="I2693" s="1" t="s">
        <v>29</v>
      </c>
      <c r="J2693" s="1" t="s">
        <v>16</v>
      </c>
      <c r="K2693" s="1" t="b">
        <v>0</v>
      </c>
      <c r="L2693" s="1" t="s">
        <v>22</v>
      </c>
      <c r="M2693" s="1" t="s">
        <v>16</v>
      </c>
      <c r="N2693" s="1" t="s">
        <v>16</v>
      </c>
      <c r="O2693" s="1" t="s">
        <v>16</v>
      </c>
      <c r="P2693" s="1" t="s">
        <v>16</v>
      </c>
    </row>
    <row r="2694" spans="1:19" ht="12.5" x14ac:dyDescent="0.25">
      <c r="A2694" s="1">
        <v>810</v>
      </c>
      <c r="B2694" s="1" t="s">
        <v>8960</v>
      </c>
      <c r="C2694" s="1" t="s">
        <v>35</v>
      </c>
      <c r="D2694" s="1" t="s">
        <v>36</v>
      </c>
      <c r="E2694" s="1">
        <v>3035</v>
      </c>
      <c r="F2694" s="1" t="s">
        <v>8961</v>
      </c>
      <c r="G2694" s="1" t="s">
        <v>8962</v>
      </c>
      <c r="H2694" s="1" t="s">
        <v>16</v>
      </c>
      <c r="I2694" s="1" t="s">
        <v>29</v>
      </c>
      <c r="J2694" s="1" t="s">
        <v>8963</v>
      </c>
      <c r="K2694" s="1" t="b">
        <v>0</v>
      </c>
      <c r="L2694" s="1" t="s">
        <v>22</v>
      </c>
      <c r="M2694" s="1">
        <v>2022</v>
      </c>
      <c r="N2694" s="1" t="s">
        <v>52</v>
      </c>
      <c r="O2694" s="1" t="s">
        <v>9935</v>
      </c>
      <c r="P2694" s="1" t="s">
        <v>10102</v>
      </c>
      <c r="Q2694" s="1">
        <v>100</v>
      </c>
      <c r="R2694" s="1">
        <v>50000</v>
      </c>
      <c r="S2694" s="1">
        <v>50000</v>
      </c>
    </row>
    <row r="2695" spans="1:19" ht="12.5" x14ac:dyDescent="0.25">
      <c r="A2695" s="1">
        <v>4529</v>
      </c>
      <c r="B2695" s="1" t="s">
        <v>8964</v>
      </c>
      <c r="C2695" s="1" t="s">
        <v>35</v>
      </c>
      <c r="D2695" s="1" t="s">
        <v>36</v>
      </c>
      <c r="E2695" s="1">
        <v>3036</v>
      </c>
      <c r="F2695" s="1" t="s">
        <v>8965</v>
      </c>
      <c r="G2695" s="1" t="s">
        <v>8966</v>
      </c>
      <c r="H2695" s="1" t="s">
        <v>8967</v>
      </c>
      <c r="I2695" s="1" t="s">
        <v>29</v>
      </c>
      <c r="J2695" s="1" t="s">
        <v>8968</v>
      </c>
      <c r="K2695" s="1" t="b">
        <v>0</v>
      </c>
      <c r="L2695" s="1" t="s">
        <v>22</v>
      </c>
      <c r="M2695" s="1">
        <v>2022</v>
      </c>
      <c r="N2695" s="1" t="s">
        <v>32</v>
      </c>
      <c r="O2695" s="1" t="s">
        <v>9956</v>
      </c>
      <c r="P2695" s="1" t="s">
        <v>16</v>
      </c>
      <c r="Q2695" s="1">
        <v>100</v>
      </c>
      <c r="R2695" s="1">
        <v>1</v>
      </c>
      <c r="S2695" s="1">
        <v>1</v>
      </c>
    </row>
    <row r="2696" spans="1:19" ht="12.5" x14ac:dyDescent="0.25">
      <c r="A2696" s="1">
        <v>4529</v>
      </c>
      <c r="B2696" s="1" t="s">
        <v>8964</v>
      </c>
      <c r="C2696" s="1" t="s">
        <v>35</v>
      </c>
      <c r="D2696" s="1" t="s">
        <v>36</v>
      </c>
      <c r="E2696" s="1">
        <v>3037</v>
      </c>
      <c r="F2696" s="1" t="s">
        <v>8969</v>
      </c>
      <c r="G2696" s="1" t="s">
        <v>8970</v>
      </c>
      <c r="H2696" s="1" t="s">
        <v>16</v>
      </c>
      <c r="I2696" s="1" t="s">
        <v>29</v>
      </c>
      <c r="J2696" s="1" t="s">
        <v>16</v>
      </c>
      <c r="K2696" s="1" t="b">
        <v>0</v>
      </c>
      <c r="L2696" s="1" t="s">
        <v>22</v>
      </c>
      <c r="M2696" s="1" t="s">
        <v>16</v>
      </c>
      <c r="N2696" s="1" t="s">
        <v>16</v>
      </c>
      <c r="O2696" s="1" t="s">
        <v>16</v>
      </c>
      <c r="P2696" s="1" t="s">
        <v>16</v>
      </c>
      <c r="Q2696" s="1">
        <v>100</v>
      </c>
    </row>
    <row r="2697" spans="1:19" ht="12.5" x14ac:dyDescent="0.25">
      <c r="A2697" s="1" t="s">
        <v>16</v>
      </c>
      <c r="B2697" s="1" t="s">
        <v>16</v>
      </c>
      <c r="C2697" s="1" t="s">
        <v>16</v>
      </c>
      <c r="D2697" s="1" t="s">
        <v>16</v>
      </c>
      <c r="E2697" s="1">
        <v>3038</v>
      </c>
      <c r="F2697" s="1" t="s">
        <v>8971</v>
      </c>
      <c r="G2697" s="1" t="s">
        <v>8972</v>
      </c>
      <c r="H2697" s="1" t="s">
        <v>16</v>
      </c>
      <c r="I2697" s="1" t="s">
        <v>20</v>
      </c>
      <c r="J2697" s="1" t="s">
        <v>8973</v>
      </c>
      <c r="K2697" s="1" t="b">
        <v>0</v>
      </c>
      <c r="L2697" s="1" t="s">
        <v>22</v>
      </c>
      <c r="M2697" s="1" t="s">
        <v>16</v>
      </c>
      <c r="N2697" s="1" t="s">
        <v>16</v>
      </c>
      <c r="O2697" s="1" t="s">
        <v>16</v>
      </c>
      <c r="P2697" s="1" t="s">
        <v>16</v>
      </c>
    </row>
    <row r="2698" spans="1:19" ht="12.5" x14ac:dyDescent="0.25">
      <c r="A2698" s="1" t="s">
        <v>16</v>
      </c>
      <c r="B2698" s="1" t="s">
        <v>16</v>
      </c>
      <c r="C2698" s="1" t="s">
        <v>16</v>
      </c>
      <c r="D2698" s="1" t="s">
        <v>16</v>
      </c>
      <c r="E2698" s="1">
        <v>3039</v>
      </c>
      <c r="F2698" s="1" t="s">
        <v>8974</v>
      </c>
      <c r="G2698" s="1" t="s">
        <v>8975</v>
      </c>
      <c r="H2698" s="1" t="s">
        <v>16</v>
      </c>
      <c r="I2698" s="1" t="s">
        <v>20</v>
      </c>
      <c r="J2698" s="1" t="s">
        <v>8976</v>
      </c>
      <c r="K2698" s="1" t="b">
        <v>0</v>
      </c>
      <c r="L2698" s="1" t="s">
        <v>22</v>
      </c>
      <c r="M2698" s="1" t="s">
        <v>16</v>
      </c>
      <c r="N2698" s="1" t="s">
        <v>16</v>
      </c>
      <c r="O2698" s="1" t="s">
        <v>16</v>
      </c>
      <c r="P2698" s="1" t="s">
        <v>16</v>
      </c>
    </row>
    <row r="2699" spans="1:19" ht="12.5" x14ac:dyDescent="0.25">
      <c r="A2699" s="1">
        <v>2503</v>
      </c>
      <c r="B2699" s="1" t="s">
        <v>8977</v>
      </c>
      <c r="C2699" s="1" t="s">
        <v>38</v>
      </c>
      <c r="D2699" s="1" t="s">
        <v>39</v>
      </c>
      <c r="E2699" s="1">
        <v>3040</v>
      </c>
      <c r="F2699" s="1" t="s">
        <v>8978</v>
      </c>
      <c r="G2699" s="1" t="s">
        <v>8979</v>
      </c>
      <c r="H2699" s="1" t="s">
        <v>16</v>
      </c>
      <c r="I2699" s="1" t="s">
        <v>20</v>
      </c>
      <c r="J2699" s="1" t="s">
        <v>8980</v>
      </c>
      <c r="K2699" s="1" t="b">
        <v>0</v>
      </c>
      <c r="L2699" s="1" t="s">
        <v>22</v>
      </c>
      <c r="M2699" s="1" t="s">
        <v>16</v>
      </c>
      <c r="N2699" s="1" t="s">
        <v>16</v>
      </c>
      <c r="O2699" s="1" t="s">
        <v>16</v>
      </c>
      <c r="P2699" s="1" t="s">
        <v>16</v>
      </c>
      <c r="Q2699" s="1">
        <v>0</v>
      </c>
    </row>
    <row r="2700" spans="1:19" ht="12.5" x14ac:dyDescent="0.25">
      <c r="A2700" s="1">
        <v>4273</v>
      </c>
      <c r="B2700" s="1" t="s">
        <v>8981</v>
      </c>
      <c r="C2700" s="1" t="s">
        <v>38</v>
      </c>
      <c r="D2700" s="1" t="s">
        <v>39</v>
      </c>
      <c r="E2700" s="1">
        <v>3040</v>
      </c>
      <c r="F2700" s="1" t="s">
        <v>8978</v>
      </c>
      <c r="G2700" s="1" t="s">
        <v>8979</v>
      </c>
      <c r="H2700" s="1" t="s">
        <v>16</v>
      </c>
      <c r="I2700" s="1" t="s">
        <v>20</v>
      </c>
      <c r="J2700" s="1" t="s">
        <v>8980</v>
      </c>
      <c r="K2700" s="1" t="b">
        <v>0</v>
      </c>
      <c r="L2700" s="1" t="s">
        <v>22</v>
      </c>
      <c r="M2700" s="1" t="s">
        <v>16</v>
      </c>
      <c r="N2700" s="1" t="s">
        <v>16</v>
      </c>
      <c r="O2700" s="1" t="s">
        <v>16</v>
      </c>
      <c r="P2700" s="1" t="s">
        <v>16</v>
      </c>
      <c r="Q2700" s="1">
        <v>0</v>
      </c>
    </row>
    <row r="2701" spans="1:19" ht="12.5" x14ac:dyDescent="0.25">
      <c r="A2701" s="1" t="s">
        <v>16</v>
      </c>
      <c r="B2701" s="1" t="s">
        <v>16</v>
      </c>
      <c r="C2701" s="1" t="s">
        <v>16</v>
      </c>
      <c r="D2701" s="1" t="s">
        <v>16</v>
      </c>
      <c r="E2701" s="1">
        <v>3041</v>
      </c>
      <c r="F2701" s="1" t="s">
        <v>8982</v>
      </c>
      <c r="G2701" s="1" t="s">
        <v>8983</v>
      </c>
      <c r="H2701" s="1" t="s">
        <v>16</v>
      </c>
      <c r="I2701" s="1" t="s">
        <v>20</v>
      </c>
      <c r="J2701" s="1" t="s">
        <v>8984</v>
      </c>
      <c r="K2701" s="1" t="b">
        <v>0</v>
      </c>
      <c r="L2701" s="1" t="s">
        <v>22</v>
      </c>
      <c r="M2701" s="1" t="s">
        <v>16</v>
      </c>
      <c r="N2701" s="1" t="s">
        <v>16</v>
      </c>
      <c r="O2701" s="1" t="s">
        <v>16</v>
      </c>
      <c r="P2701" s="1" t="s">
        <v>16</v>
      </c>
    </row>
    <row r="2702" spans="1:19" ht="12.5" x14ac:dyDescent="0.25">
      <c r="A2702" s="1" t="s">
        <v>16</v>
      </c>
      <c r="B2702" s="1" t="s">
        <v>16</v>
      </c>
      <c r="C2702" s="1" t="s">
        <v>16</v>
      </c>
      <c r="D2702" s="1" t="s">
        <v>16</v>
      </c>
      <c r="E2702" s="1">
        <v>3042</v>
      </c>
      <c r="F2702" s="1" t="s">
        <v>8985</v>
      </c>
      <c r="G2702" s="1" t="s">
        <v>8986</v>
      </c>
      <c r="H2702" s="1" t="s">
        <v>16</v>
      </c>
      <c r="I2702" s="1" t="s">
        <v>20</v>
      </c>
      <c r="J2702" s="1" t="s">
        <v>8987</v>
      </c>
      <c r="K2702" s="1" t="b">
        <v>0</v>
      </c>
      <c r="L2702" s="1" t="s">
        <v>22</v>
      </c>
      <c r="M2702" s="1" t="s">
        <v>16</v>
      </c>
      <c r="N2702" s="1" t="s">
        <v>16</v>
      </c>
      <c r="O2702" s="1" t="s">
        <v>16</v>
      </c>
      <c r="P2702" s="1" t="s">
        <v>16</v>
      </c>
    </row>
    <row r="2703" spans="1:19" ht="12.5" x14ac:dyDescent="0.25">
      <c r="A2703" s="1" t="s">
        <v>16</v>
      </c>
      <c r="B2703" s="1" t="s">
        <v>16</v>
      </c>
      <c r="C2703" s="1" t="s">
        <v>16</v>
      </c>
      <c r="D2703" s="1" t="s">
        <v>16</v>
      </c>
      <c r="E2703" s="1">
        <v>3043</v>
      </c>
      <c r="F2703" s="1" t="s">
        <v>8988</v>
      </c>
      <c r="G2703" s="1" t="s">
        <v>8989</v>
      </c>
      <c r="H2703" s="1" t="s">
        <v>16</v>
      </c>
      <c r="I2703" s="1" t="s">
        <v>20</v>
      </c>
      <c r="J2703" s="1" t="s">
        <v>8990</v>
      </c>
      <c r="K2703" s="1" t="b">
        <v>0</v>
      </c>
      <c r="L2703" s="1" t="s">
        <v>22</v>
      </c>
      <c r="M2703" s="1" t="s">
        <v>16</v>
      </c>
      <c r="N2703" s="1" t="s">
        <v>16</v>
      </c>
      <c r="O2703" s="1" t="s">
        <v>16</v>
      </c>
      <c r="P2703" s="1" t="s">
        <v>16</v>
      </c>
    </row>
    <row r="2704" spans="1:19" ht="12.5" x14ac:dyDescent="0.25">
      <c r="A2704" s="1" t="s">
        <v>16</v>
      </c>
      <c r="B2704" s="1" t="s">
        <v>16</v>
      </c>
      <c r="C2704" s="1" t="s">
        <v>16</v>
      </c>
      <c r="D2704" s="1" t="s">
        <v>16</v>
      </c>
      <c r="E2704" s="1">
        <v>3044</v>
      </c>
      <c r="F2704" s="1" t="s">
        <v>8991</v>
      </c>
      <c r="G2704" s="1" t="s">
        <v>8992</v>
      </c>
      <c r="H2704" s="1" t="s">
        <v>16</v>
      </c>
      <c r="I2704" s="1" t="s">
        <v>20</v>
      </c>
      <c r="J2704" s="1" t="s">
        <v>8993</v>
      </c>
      <c r="K2704" s="1" t="b">
        <v>0</v>
      </c>
      <c r="L2704" s="1" t="s">
        <v>22</v>
      </c>
      <c r="M2704" s="1" t="s">
        <v>16</v>
      </c>
      <c r="N2704" s="1" t="s">
        <v>16</v>
      </c>
      <c r="O2704" s="1" t="s">
        <v>16</v>
      </c>
      <c r="P2704" s="1" t="s">
        <v>16</v>
      </c>
    </row>
    <row r="2705" spans="1:16" ht="12.5" x14ac:dyDescent="0.25">
      <c r="A2705" s="1" t="s">
        <v>16</v>
      </c>
      <c r="B2705" s="1" t="s">
        <v>16</v>
      </c>
      <c r="C2705" s="1" t="s">
        <v>16</v>
      </c>
      <c r="D2705" s="1" t="s">
        <v>16</v>
      </c>
      <c r="E2705" s="1">
        <v>3045</v>
      </c>
      <c r="F2705" s="1" t="s">
        <v>8994</v>
      </c>
      <c r="G2705" s="1" t="s">
        <v>8995</v>
      </c>
      <c r="H2705" s="1" t="s">
        <v>16</v>
      </c>
      <c r="I2705" s="1" t="s">
        <v>20</v>
      </c>
      <c r="J2705" s="1" t="s">
        <v>16</v>
      </c>
      <c r="K2705" s="1" t="b">
        <v>0</v>
      </c>
      <c r="L2705" s="1" t="s">
        <v>22</v>
      </c>
      <c r="M2705" s="1" t="s">
        <v>16</v>
      </c>
      <c r="N2705" s="1" t="s">
        <v>16</v>
      </c>
      <c r="O2705" s="1" t="s">
        <v>16</v>
      </c>
      <c r="P2705" s="1" t="s">
        <v>16</v>
      </c>
    </row>
    <row r="2706" spans="1:16" ht="12.5" x14ac:dyDescent="0.25">
      <c r="A2706" s="1" t="s">
        <v>16</v>
      </c>
      <c r="B2706" s="1" t="s">
        <v>16</v>
      </c>
      <c r="C2706" s="1" t="s">
        <v>16</v>
      </c>
      <c r="D2706" s="1" t="s">
        <v>16</v>
      </c>
      <c r="E2706" s="1">
        <v>3046</v>
      </c>
      <c r="F2706" s="1" t="s">
        <v>8996</v>
      </c>
      <c r="G2706" s="1" t="s">
        <v>8997</v>
      </c>
      <c r="H2706" s="1" t="s">
        <v>16</v>
      </c>
      <c r="I2706" s="1" t="s">
        <v>20</v>
      </c>
      <c r="J2706" s="1" t="s">
        <v>8998</v>
      </c>
      <c r="K2706" s="1" t="b">
        <v>0</v>
      </c>
      <c r="L2706" s="1" t="s">
        <v>22</v>
      </c>
      <c r="M2706" s="1" t="s">
        <v>16</v>
      </c>
      <c r="N2706" s="1" t="s">
        <v>16</v>
      </c>
      <c r="O2706" s="1" t="s">
        <v>16</v>
      </c>
      <c r="P2706" s="1" t="s">
        <v>16</v>
      </c>
    </row>
    <row r="2707" spans="1:16" ht="12.5" x14ac:dyDescent="0.25">
      <c r="A2707" s="1" t="s">
        <v>16</v>
      </c>
      <c r="B2707" s="1" t="s">
        <v>16</v>
      </c>
      <c r="C2707" s="1" t="s">
        <v>16</v>
      </c>
      <c r="D2707" s="1" t="s">
        <v>16</v>
      </c>
      <c r="E2707" s="1">
        <v>3047</v>
      </c>
      <c r="F2707" s="1" t="s">
        <v>8999</v>
      </c>
      <c r="G2707" s="1" t="s">
        <v>9000</v>
      </c>
      <c r="H2707" s="1" t="s">
        <v>16</v>
      </c>
      <c r="I2707" s="1" t="s">
        <v>20</v>
      </c>
      <c r="J2707" s="1" t="s">
        <v>9001</v>
      </c>
      <c r="K2707" s="1" t="b">
        <v>0</v>
      </c>
      <c r="L2707" s="1" t="s">
        <v>22</v>
      </c>
      <c r="M2707" s="1" t="s">
        <v>16</v>
      </c>
      <c r="N2707" s="1" t="s">
        <v>16</v>
      </c>
      <c r="O2707" s="1" t="s">
        <v>16</v>
      </c>
      <c r="P2707" s="1" t="s">
        <v>16</v>
      </c>
    </row>
    <row r="2708" spans="1:16" ht="12.5" x14ac:dyDescent="0.25">
      <c r="A2708" s="1" t="s">
        <v>16</v>
      </c>
      <c r="B2708" s="1" t="s">
        <v>16</v>
      </c>
      <c r="C2708" s="1" t="s">
        <v>16</v>
      </c>
      <c r="D2708" s="1" t="s">
        <v>16</v>
      </c>
      <c r="E2708" s="1">
        <v>3048</v>
      </c>
      <c r="F2708" s="1" t="s">
        <v>9002</v>
      </c>
      <c r="G2708" s="1" t="s">
        <v>9003</v>
      </c>
      <c r="H2708" s="1" t="s">
        <v>16</v>
      </c>
      <c r="I2708" s="1" t="s">
        <v>20</v>
      </c>
      <c r="J2708" s="1" t="s">
        <v>9004</v>
      </c>
      <c r="K2708" s="1" t="b">
        <v>0</v>
      </c>
      <c r="L2708" s="1" t="s">
        <v>22</v>
      </c>
      <c r="M2708" s="1" t="s">
        <v>16</v>
      </c>
      <c r="N2708" s="1" t="s">
        <v>16</v>
      </c>
      <c r="O2708" s="1" t="s">
        <v>16</v>
      </c>
      <c r="P2708" s="1" t="s">
        <v>16</v>
      </c>
    </row>
    <row r="2709" spans="1:16" ht="12.5" x14ac:dyDescent="0.25">
      <c r="A2709" s="1" t="s">
        <v>16</v>
      </c>
      <c r="B2709" s="1" t="s">
        <v>16</v>
      </c>
      <c r="C2709" s="1" t="s">
        <v>16</v>
      </c>
      <c r="D2709" s="1" t="s">
        <v>16</v>
      </c>
      <c r="E2709" s="1">
        <v>3049</v>
      </c>
      <c r="F2709" s="1" t="s">
        <v>9005</v>
      </c>
      <c r="G2709" s="1" t="s">
        <v>9006</v>
      </c>
      <c r="H2709" s="1" t="s">
        <v>16</v>
      </c>
      <c r="I2709" s="1" t="s">
        <v>20</v>
      </c>
      <c r="J2709" s="1" t="s">
        <v>9007</v>
      </c>
      <c r="K2709" s="1" t="b">
        <v>0</v>
      </c>
      <c r="L2709" s="1" t="s">
        <v>22</v>
      </c>
      <c r="M2709" s="1" t="s">
        <v>16</v>
      </c>
      <c r="N2709" s="1" t="s">
        <v>16</v>
      </c>
      <c r="O2709" s="1" t="s">
        <v>16</v>
      </c>
      <c r="P2709" s="1" t="s">
        <v>16</v>
      </c>
    </row>
    <row r="2710" spans="1:16" ht="12.5" x14ac:dyDescent="0.25">
      <c r="A2710" s="1" t="s">
        <v>16</v>
      </c>
      <c r="B2710" s="1" t="s">
        <v>16</v>
      </c>
      <c r="C2710" s="1" t="s">
        <v>16</v>
      </c>
      <c r="D2710" s="1" t="s">
        <v>16</v>
      </c>
      <c r="E2710" s="1">
        <v>3050</v>
      </c>
      <c r="F2710" s="1" t="s">
        <v>9008</v>
      </c>
      <c r="G2710" s="1" t="s">
        <v>9009</v>
      </c>
      <c r="H2710" s="1" t="s">
        <v>16</v>
      </c>
      <c r="I2710" s="1" t="s">
        <v>20</v>
      </c>
      <c r="J2710" s="1" t="s">
        <v>9010</v>
      </c>
      <c r="K2710" s="1" t="b">
        <v>0</v>
      </c>
      <c r="L2710" s="1" t="s">
        <v>22</v>
      </c>
      <c r="M2710" s="1" t="s">
        <v>16</v>
      </c>
      <c r="N2710" s="1" t="s">
        <v>16</v>
      </c>
      <c r="O2710" s="1" t="s">
        <v>16</v>
      </c>
      <c r="P2710" s="1" t="s">
        <v>16</v>
      </c>
    </row>
    <row r="2711" spans="1:16" ht="12.5" x14ac:dyDescent="0.25">
      <c r="A2711" s="1" t="s">
        <v>16</v>
      </c>
      <c r="B2711" s="1" t="s">
        <v>16</v>
      </c>
      <c r="C2711" s="1" t="s">
        <v>16</v>
      </c>
      <c r="D2711" s="1" t="s">
        <v>16</v>
      </c>
      <c r="E2711" s="1">
        <v>3051</v>
      </c>
      <c r="F2711" s="1" t="s">
        <v>9011</v>
      </c>
      <c r="G2711" s="1" t="s">
        <v>9012</v>
      </c>
      <c r="H2711" s="1" t="s">
        <v>16</v>
      </c>
      <c r="I2711" s="1" t="s">
        <v>20</v>
      </c>
      <c r="J2711" s="1" t="s">
        <v>9013</v>
      </c>
      <c r="K2711" s="1" t="b">
        <v>0</v>
      </c>
      <c r="L2711" s="1" t="s">
        <v>22</v>
      </c>
      <c r="M2711" s="1" t="s">
        <v>16</v>
      </c>
      <c r="N2711" s="1" t="s">
        <v>16</v>
      </c>
      <c r="O2711" s="1" t="s">
        <v>16</v>
      </c>
      <c r="P2711" s="1" t="s">
        <v>16</v>
      </c>
    </row>
    <row r="2712" spans="1:16" ht="12.5" x14ac:dyDescent="0.25">
      <c r="A2712" s="1" t="s">
        <v>16</v>
      </c>
      <c r="B2712" s="1" t="s">
        <v>16</v>
      </c>
      <c r="C2712" s="1" t="s">
        <v>16</v>
      </c>
      <c r="D2712" s="1" t="s">
        <v>16</v>
      </c>
      <c r="E2712" s="1">
        <v>3052</v>
      </c>
      <c r="F2712" s="1" t="s">
        <v>9014</v>
      </c>
      <c r="G2712" s="1" t="s">
        <v>9015</v>
      </c>
      <c r="H2712" s="1" t="s">
        <v>16</v>
      </c>
      <c r="I2712" s="1" t="s">
        <v>20</v>
      </c>
      <c r="J2712" s="1" t="s">
        <v>9016</v>
      </c>
      <c r="K2712" s="1" t="b">
        <v>0</v>
      </c>
      <c r="L2712" s="1" t="s">
        <v>22</v>
      </c>
      <c r="M2712" s="1" t="s">
        <v>16</v>
      </c>
      <c r="N2712" s="1" t="s">
        <v>16</v>
      </c>
      <c r="O2712" s="1" t="s">
        <v>16</v>
      </c>
      <c r="P2712" s="1" t="s">
        <v>16</v>
      </c>
    </row>
    <row r="2713" spans="1:16" ht="12.5" x14ac:dyDescent="0.25">
      <c r="A2713" s="1" t="s">
        <v>16</v>
      </c>
      <c r="B2713" s="1" t="s">
        <v>16</v>
      </c>
      <c r="C2713" s="1" t="s">
        <v>16</v>
      </c>
      <c r="D2713" s="1" t="s">
        <v>16</v>
      </c>
      <c r="E2713" s="1">
        <v>3053</v>
      </c>
      <c r="F2713" s="1" t="s">
        <v>9017</v>
      </c>
      <c r="G2713" s="1" t="s">
        <v>9018</v>
      </c>
      <c r="H2713" s="1" t="s">
        <v>16</v>
      </c>
      <c r="I2713" s="1" t="s">
        <v>20</v>
      </c>
      <c r="J2713" s="1" t="s">
        <v>9019</v>
      </c>
      <c r="K2713" s="1" t="b">
        <v>0</v>
      </c>
      <c r="L2713" s="1" t="s">
        <v>22</v>
      </c>
      <c r="M2713" s="1" t="s">
        <v>16</v>
      </c>
      <c r="N2713" s="1" t="s">
        <v>16</v>
      </c>
      <c r="O2713" s="1" t="s">
        <v>16</v>
      </c>
      <c r="P2713" s="1" t="s">
        <v>16</v>
      </c>
    </row>
    <row r="2714" spans="1:16" ht="12.5" x14ac:dyDescent="0.25">
      <c r="A2714" s="1" t="s">
        <v>16</v>
      </c>
      <c r="B2714" s="1" t="s">
        <v>16</v>
      </c>
      <c r="C2714" s="1" t="s">
        <v>16</v>
      </c>
      <c r="D2714" s="1" t="s">
        <v>16</v>
      </c>
      <c r="E2714" s="1">
        <v>3054</v>
      </c>
      <c r="F2714" s="1" t="s">
        <v>9020</v>
      </c>
      <c r="G2714" s="1" t="s">
        <v>9021</v>
      </c>
      <c r="H2714" s="1" t="s">
        <v>16</v>
      </c>
      <c r="I2714" s="1" t="s">
        <v>20</v>
      </c>
      <c r="J2714" s="1" t="s">
        <v>9022</v>
      </c>
      <c r="K2714" s="1" t="b">
        <v>0</v>
      </c>
      <c r="L2714" s="1" t="s">
        <v>22</v>
      </c>
      <c r="M2714" s="1" t="s">
        <v>16</v>
      </c>
      <c r="N2714" s="1" t="s">
        <v>16</v>
      </c>
      <c r="O2714" s="1" t="s">
        <v>16</v>
      </c>
      <c r="P2714" s="1" t="s">
        <v>16</v>
      </c>
    </row>
    <row r="2715" spans="1:16" ht="12.5" x14ac:dyDescent="0.25">
      <c r="A2715" s="1" t="s">
        <v>16</v>
      </c>
      <c r="B2715" s="1" t="s">
        <v>16</v>
      </c>
      <c r="C2715" s="1" t="s">
        <v>16</v>
      </c>
      <c r="D2715" s="1" t="s">
        <v>16</v>
      </c>
      <c r="E2715" s="1">
        <v>3055</v>
      </c>
      <c r="F2715" s="1" t="s">
        <v>9023</v>
      </c>
      <c r="G2715" s="1" t="s">
        <v>9024</v>
      </c>
      <c r="H2715" s="1" t="s">
        <v>16</v>
      </c>
      <c r="I2715" s="1" t="s">
        <v>20</v>
      </c>
      <c r="J2715" s="1" t="s">
        <v>9025</v>
      </c>
      <c r="K2715" s="1" t="b">
        <v>0</v>
      </c>
      <c r="L2715" s="1" t="s">
        <v>22</v>
      </c>
      <c r="M2715" s="1" t="s">
        <v>16</v>
      </c>
      <c r="N2715" s="1" t="s">
        <v>16</v>
      </c>
      <c r="O2715" s="1" t="s">
        <v>16</v>
      </c>
      <c r="P2715" s="1" t="s">
        <v>16</v>
      </c>
    </row>
    <row r="2716" spans="1:16" ht="12.5" x14ac:dyDescent="0.25">
      <c r="A2716" s="1" t="s">
        <v>16</v>
      </c>
      <c r="B2716" s="1" t="s">
        <v>16</v>
      </c>
      <c r="C2716" s="1" t="s">
        <v>16</v>
      </c>
      <c r="D2716" s="1" t="s">
        <v>16</v>
      </c>
      <c r="E2716" s="1">
        <v>3056</v>
      </c>
      <c r="F2716" s="1" t="s">
        <v>9026</v>
      </c>
      <c r="G2716" s="1" t="s">
        <v>9027</v>
      </c>
      <c r="H2716" s="1" t="s">
        <v>16</v>
      </c>
      <c r="I2716" s="1" t="s">
        <v>20</v>
      </c>
      <c r="J2716" s="1" t="s">
        <v>9028</v>
      </c>
      <c r="K2716" s="1" t="b">
        <v>0</v>
      </c>
      <c r="L2716" s="1" t="s">
        <v>22</v>
      </c>
      <c r="M2716" s="1" t="s">
        <v>16</v>
      </c>
      <c r="N2716" s="1" t="s">
        <v>16</v>
      </c>
      <c r="O2716" s="1" t="s">
        <v>16</v>
      </c>
      <c r="P2716" s="1" t="s">
        <v>16</v>
      </c>
    </row>
    <row r="2717" spans="1:16" ht="12.5" x14ac:dyDescent="0.25">
      <c r="A2717" s="1" t="s">
        <v>16</v>
      </c>
      <c r="B2717" s="1" t="s">
        <v>16</v>
      </c>
      <c r="C2717" s="1" t="s">
        <v>16</v>
      </c>
      <c r="D2717" s="1" t="s">
        <v>16</v>
      </c>
      <c r="E2717" s="1">
        <v>3057</v>
      </c>
      <c r="F2717" s="1" t="s">
        <v>9029</v>
      </c>
      <c r="G2717" s="1" t="s">
        <v>9030</v>
      </c>
      <c r="H2717" s="1" t="s">
        <v>16</v>
      </c>
      <c r="I2717" s="1" t="s">
        <v>20</v>
      </c>
      <c r="J2717" s="1" t="s">
        <v>9031</v>
      </c>
      <c r="K2717" s="1" t="b">
        <v>0</v>
      </c>
      <c r="L2717" s="1" t="s">
        <v>22</v>
      </c>
      <c r="M2717" s="1" t="s">
        <v>16</v>
      </c>
      <c r="N2717" s="1" t="s">
        <v>16</v>
      </c>
      <c r="O2717" s="1" t="s">
        <v>16</v>
      </c>
      <c r="P2717" s="1" t="s">
        <v>16</v>
      </c>
    </row>
    <row r="2718" spans="1:16" ht="12.5" x14ac:dyDescent="0.25">
      <c r="A2718" s="1" t="s">
        <v>16</v>
      </c>
      <c r="B2718" s="1" t="s">
        <v>16</v>
      </c>
      <c r="C2718" s="1" t="s">
        <v>16</v>
      </c>
      <c r="D2718" s="1" t="s">
        <v>16</v>
      </c>
      <c r="E2718" s="1">
        <v>3058</v>
      </c>
      <c r="F2718" s="1" t="s">
        <v>9032</v>
      </c>
      <c r="G2718" s="1" t="s">
        <v>9033</v>
      </c>
      <c r="H2718" s="1" t="s">
        <v>16</v>
      </c>
      <c r="I2718" s="1" t="s">
        <v>20</v>
      </c>
      <c r="J2718" s="1" t="s">
        <v>9034</v>
      </c>
      <c r="K2718" s="1" t="b">
        <v>0</v>
      </c>
      <c r="L2718" s="1" t="s">
        <v>22</v>
      </c>
      <c r="M2718" s="1" t="s">
        <v>16</v>
      </c>
      <c r="N2718" s="1" t="s">
        <v>16</v>
      </c>
      <c r="O2718" s="1" t="s">
        <v>16</v>
      </c>
      <c r="P2718" s="1" t="s">
        <v>16</v>
      </c>
    </row>
    <row r="2719" spans="1:16" ht="12.5" x14ac:dyDescent="0.25">
      <c r="A2719" s="1" t="s">
        <v>16</v>
      </c>
      <c r="B2719" s="1" t="s">
        <v>16</v>
      </c>
      <c r="C2719" s="1" t="s">
        <v>16</v>
      </c>
      <c r="D2719" s="1" t="s">
        <v>16</v>
      </c>
      <c r="E2719" s="1">
        <v>3059</v>
      </c>
      <c r="F2719" s="1" t="s">
        <v>9035</v>
      </c>
      <c r="G2719" s="1" t="s">
        <v>9036</v>
      </c>
      <c r="H2719" s="1" t="s">
        <v>16</v>
      </c>
      <c r="I2719" s="1" t="s">
        <v>20</v>
      </c>
      <c r="J2719" s="1" t="s">
        <v>9037</v>
      </c>
      <c r="K2719" s="1" t="b">
        <v>0</v>
      </c>
      <c r="L2719" s="1" t="s">
        <v>22</v>
      </c>
      <c r="M2719" s="1" t="s">
        <v>16</v>
      </c>
      <c r="N2719" s="1" t="s">
        <v>16</v>
      </c>
      <c r="O2719" s="1" t="s">
        <v>16</v>
      </c>
      <c r="P2719" s="1" t="s">
        <v>16</v>
      </c>
    </row>
    <row r="2720" spans="1:16" ht="12.5" x14ac:dyDescent="0.25">
      <c r="A2720" s="1" t="s">
        <v>16</v>
      </c>
      <c r="B2720" s="1" t="s">
        <v>16</v>
      </c>
      <c r="C2720" s="1" t="s">
        <v>16</v>
      </c>
      <c r="D2720" s="1" t="s">
        <v>16</v>
      </c>
      <c r="E2720" s="1">
        <v>3060</v>
      </c>
      <c r="F2720" s="1" t="s">
        <v>9038</v>
      </c>
      <c r="G2720" s="1" t="s">
        <v>9039</v>
      </c>
      <c r="H2720" s="1" t="s">
        <v>16</v>
      </c>
      <c r="I2720" s="1" t="s">
        <v>20</v>
      </c>
      <c r="J2720" s="1" t="s">
        <v>9040</v>
      </c>
      <c r="K2720" s="1" t="b">
        <v>0</v>
      </c>
      <c r="L2720" s="1" t="s">
        <v>22</v>
      </c>
      <c r="M2720" s="1" t="s">
        <v>16</v>
      </c>
      <c r="N2720" s="1" t="s">
        <v>16</v>
      </c>
      <c r="O2720" s="1" t="s">
        <v>16</v>
      </c>
      <c r="P2720" s="1" t="s">
        <v>16</v>
      </c>
    </row>
    <row r="2721" spans="1:17" ht="12.5" x14ac:dyDescent="0.25">
      <c r="A2721" s="1" t="s">
        <v>16</v>
      </c>
      <c r="B2721" s="1" t="s">
        <v>16</v>
      </c>
      <c r="C2721" s="1" t="s">
        <v>16</v>
      </c>
      <c r="D2721" s="1" t="s">
        <v>16</v>
      </c>
      <c r="E2721" s="1">
        <v>3061</v>
      </c>
      <c r="F2721" s="1" t="s">
        <v>9041</v>
      </c>
      <c r="G2721" s="1" t="s">
        <v>9042</v>
      </c>
      <c r="H2721" s="1" t="s">
        <v>16</v>
      </c>
      <c r="I2721" s="1" t="s">
        <v>20</v>
      </c>
      <c r="J2721" s="1" t="s">
        <v>9043</v>
      </c>
      <c r="K2721" s="1" t="b">
        <v>0</v>
      </c>
      <c r="L2721" s="1" t="s">
        <v>22</v>
      </c>
      <c r="M2721" s="1" t="s">
        <v>16</v>
      </c>
      <c r="N2721" s="1" t="s">
        <v>16</v>
      </c>
      <c r="O2721" s="1" t="s">
        <v>16</v>
      </c>
      <c r="P2721" s="1" t="s">
        <v>16</v>
      </c>
    </row>
    <row r="2722" spans="1:17" ht="12.5" x14ac:dyDescent="0.25">
      <c r="A2722" s="1" t="s">
        <v>16</v>
      </c>
      <c r="B2722" s="1" t="s">
        <v>16</v>
      </c>
      <c r="C2722" s="1" t="s">
        <v>16</v>
      </c>
      <c r="D2722" s="1" t="s">
        <v>16</v>
      </c>
      <c r="E2722" s="1">
        <v>3062</v>
      </c>
      <c r="F2722" s="1" t="s">
        <v>9044</v>
      </c>
      <c r="G2722" s="1" t="s">
        <v>9045</v>
      </c>
      <c r="H2722" s="1" t="s">
        <v>16</v>
      </c>
      <c r="I2722" s="1" t="s">
        <v>20</v>
      </c>
      <c r="J2722" s="1" t="s">
        <v>9046</v>
      </c>
      <c r="K2722" s="1" t="b">
        <v>0</v>
      </c>
      <c r="L2722" s="1" t="s">
        <v>22</v>
      </c>
      <c r="M2722" s="1" t="s">
        <v>16</v>
      </c>
      <c r="N2722" s="1" t="s">
        <v>16</v>
      </c>
      <c r="O2722" s="1" t="s">
        <v>16</v>
      </c>
      <c r="P2722" s="1" t="s">
        <v>16</v>
      </c>
    </row>
    <row r="2723" spans="1:17" ht="12.5" x14ac:dyDescent="0.25">
      <c r="A2723" s="1">
        <v>4534</v>
      </c>
      <c r="B2723" s="1" t="s">
        <v>8329</v>
      </c>
      <c r="C2723" s="1" t="s">
        <v>35</v>
      </c>
      <c r="D2723" s="1" t="s">
        <v>36</v>
      </c>
      <c r="E2723" s="1">
        <v>3063</v>
      </c>
      <c r="F2723" s="1" t="s">
        <v>9047</v>
      </c>
      <c r="G2723" s="1" t="s">
        <v>9048</v>
      </c>
      <c r="H2723" s="1" t="s">
        <v>16</v>
      </c>
      <c r="I2723" s="1" t="s">
        <v>20</v>
      </c>
      <c r="J2723" s="1" t="s">
        <v>16</v>
      </c>
      <c r="K2723" s="1" t="b">
        <v>0</v>
      </c>
      <c r="L2723" s="1" t="s">
        <v>22</v>
      </c>
      <c r="M2723" s="1" t="s">
        <v>16</v>
      </c>
      <c r="N2723" s="1" t="s">
        <v>16</v>
      </c>
      <c r="O2723" s="1" t="s">
        <v>16</v>
      </c>
      <c r="P2723" s="1" t="s">
        <v>16</v>
      </c>
      <c r="Q2723" s="1">
        <v>10</v>
      </c>
    </row>
    <row r="2724" spans="1:17" ht="12.5" x14ac:dyDescent="0.25">
      <c r="A2724" s="1" t="s">
        <v>16</v>
      </c>
      <c r="B2724" s="1" t="s">
        <v>16</v>
      </c>
      <c r="C2724" s="1" t="s">
        <v>16</v>
      </c>
      <c r="D2724" s="1" t="s">
        <v>16</v>
      </c>
      <c r="E2724" s="1">
        <v>3064</v>
      </c>
      <c r="F2724" s="1" t="s">
        <v>9049</v>
      </c>
      <c r="G2724" s="1" t="s">
        <v>9050</v>
      </c>
      <c r="H2724" s="1" t="s">
        <v>16</v>
      </c>
      <c r="I2724" s="1" t="s">
        <v>20</v>
      </c>
      <c r="J2724" s="1" t="s">
        <v>9051</v>
      </c>
      <c r="K2724" s="1" t="b">
        <v>0</v>
      </c>
      <c r="L2724" s="1" t="s">
        <v>22</v>
      </c>
      <c r="M2724" s="1" t="s">
        <v>16</v>
      </c>
      <c r="N2724" s="1" t="s">
        <v>16</v>
      </c>
      <c r="O2724" s="1" t="s">
        <v>16</v>
      </c>
      <c r="P2724" s="1" t="s">
        <v>16</v>
      </c>
    </row>
    <row r="2725" spans="1:17" ht="12.5" x14ac:dyDescent="0.25">
      <c r="A2725" s="1" t="s">
        <v>16</v>
      </c>
      <c r="B2725" s="1" t="s">
        <v>16</v>
      </c>
      <c r="C2725" s="1" t="s">
        <v>16</v>
      </c>
      <c r="D2725" s="1" t="s">
        <v>16</v>
      </c>
      <c r="E2725" s="1">
        <v>3065</v>
      </c>
      <c r="F2725" s="1" t="s">
        <v>9052</v>
      </c>
      <c r="G2725" s="1" t="s">
        <v>9053</v>
      </c>
      <c r="H2725" s="1" t="s">
        <v>16</v>
      </c>
      <c r="I2725" s="1" t="s">
        <v>20</v>
      </c>
      <c r="J2725" s="1" t="s">
        <v>9054</v>
      </c>
      <c r="K2725" s="1" t="b">
        <v>0</v>
      </c>
      <c r="L2725" s="1" t="s">
        <v>22</v>
      </c>
      <c r="M2725" s="1" t="s">
        <v>16</v>
      </c>
      <c r="N2725" s="1" t="s">
        <v>16</v>
      </c>
      <c r="O2725" s="1" t="s">
        <v>16</v>
      </c>
      <c r="P2725" s="1" t="s">
        <v>16</v>
      </c>
    </row>
    <row r="2726" spans="1:17" ht="12.5" x14ac:dyDescent="0.25">
      <c r="A2726" s="1" t="s">
        <v>16</v>
      </c>
      <c r="B2726" s="1" t="s">
        <v>16</v>
      </c>
      <c r="C2726" s="1" t="s">
        <v>16</v>
      </c>
      <c r="D2726" s="1" t="s">
        <v>16</v>
      </c>
      <c r="E2726" s="1">
        <v>3066</v>
      </c>
      <c r="F2726" s="1" t="s">
        <v>9055</v>
      </c>
      <c r="G2726" s="1" t="s">
        <v>9053</v>
      </c>
      <c r="H2726" s="1" t="s">
        <v>16</v>
      </c>
      <c r="I2726" s="1" t="s">
        <v>20</v>
      </c>
      <c r="J2726" s="1" t="s">
        <v>9056</v>
      </c>
      <c r="K2726" s="1" t="b">
        <v>0</v>
      </c>
      <c r="L2726" s="1" t="s">
        <v>22</v>
      </c>
      <c r="M2726" s="1" t="s">
        <v>16</v>
      </c>
      <c r="N2726" s="1" t="s">
        <v>16</v>
      </c>
      <c r="O2726" s="1" t="s">
        <v>16</v>
      </c>
      <c r="P2726" s="1" t="s">
        <v>16</v>
      </c>
    </row>
    <row r="2727" spans="1:17" ht="12.5" x14ac:dyDescent="0.25">
      <c r="A2727" s="1" t="s">
        <v>16</v>
      </c>
      <c r="B2727" s="1" t="s">
        <v>16</v>
      </c>
      <c r="C2727" s="1" t="s">
        <v>16</v>
      </c>
      <c r="D2727" s="1" t="s">
        <v>16</v>
      </c>
      <c r="E2727" s="1">
        <v>3067</v>
      </c>
      <c r="F2727" s="1" t="s">
        <v>9057</v>
      </c>
      <c r="G2727" s="1" t="s">
        <v>9058</v>
      </c>
      <c r="H2727" s="1" t="s">
        <v>16</v>
      </c>
      <c r="I2727" s="1" t="s">
        <v>20</v>
      </c>
      <c r="J2727" s="1" t="s">
        <v>9059</v>
      </c>
      <c r="K2727" s="1" t="b">
        <v>0</v>
      </c>
      <c r="L2727" s="1" t="s">
        <v>22</v>
      </c>
      <c r="M2727" s="1" t="s">
        <v>16</v>
      </c>
      <c r="N2727" s="1" t="s">
        <v>16</v>
      </c>
      <c r="O2727" s="1" t="s">
        <v>16</v>
      </c>
      <c r="P2727" s="1" t="s">
        <v>16</v>
      </c>
    </row>
    <row r="2728" spans="1:17" ht="12.5" x14ac:dyDescent="0.25">
      <c r="A2728" s="1" t="s">
        <v>16</v>
      </c>
      <c r="B2728" s="1" t="s">
        <v>16</v>
      </c>
      <c r="C2728" s="1" t="s">
        <v>16</v>
      </c>
      <c r="D2728" s="1" t="s">
        <v>16</v>
      </c>
      <c r="E2728" s="1">
        <v>3068</v>
      </c>
      <c r="F2728" s="1" t="s">
        <v>9060</v>
      </c>
      <c r="G2728" s="1" t="s">
        <v>9061</v>
      </c>
      <c r="H2728" s="1" t="s">
        <v>16</v>
      </c>
      <c r="I2728" s="1" t="s">
        <v>20</v>
      </c>
      <c r="J2728" s="1" t="s">
        <v>9062</v>
      </c>
      <c r="K2728" s="1" t="b">
        <v>0</v>
      </c>
      <c r="L2728" s="1" t="s">
        <v>22</v>
      </c>
      <c r="M2728" s="1" t="s">
        <v>16</v>
      </c>
      <c r="N2728" s="1" t="s">
        <v>16</v>
      </c>
      <c r="O2728" s="1" t="s">
        <v>16</v>
      </c>
      <c r="P2728" s="1" t="s">
        <v>16</v>
      </c>
    </row>
    <row r="2729" spans="1:17" ht="12.5" x14ac:dyDescent="0.25">
      <c r="A2729" s="1" t="s">
        <v>16</v>
      </c>
      <c r="B2729" s="1" t="s">
        <v>16</v>
      </c>
      <c r="C2729" s="1" t="s">
        <v>16</v>
      </c>
      <c r="D2729" s="1" t="s">
        <v>16</v>
      </c>
      <c r="E2729" s="1">
        <v>3069</v>
      </c>
      <c r="F2729" s="1" t="s">
        <v>9063</v>
      </c>
      <c r="G2729" s="1" t="s">
        <v>9064</v>
      </c>
      <c r="H2729" s="1" t="s">
        <v>16</v>
      </c>
      <c r="I2729" s="1" t="s">
        <v>20</v>
      </c>
      <c r="J2729" s="1" t="s">
        <v>9065</v>
      </c>
      <c r="K2729" s="1" t="b">
        <v>0</v>
      </c>
      <c r="L2729" s="1" t="s">
        <v>22</v>
      </c>
      <c r="M2729" s="1" t="s">
        <v>16</v>
      </c>
      <c r="N2729" s="1" t="s">
        <v>16</v>
      </c>
      <c r="O2729" s="1" t="s">
        <v>16</v>
      </c>
      <c r="P2729" s="1" t="s">
        <v>16</v>
      </c>
    </row>
    <row r="2730" spans="1:17" ht="12.5" x14ac:dyDescent="0.25">
      <c r="A2730" s="1" t="s">
        <v>16</v>
      </c>
      <c r="B2730" s="1" t="s">
        <v>16</v>
      </c>
      <c r="C2730" s="1" t="s">
        <v>16</v>
      </c>
      <c r="D2730" s="1" t="s">
        <v>16</v>
      </c>
      <c r="E2730" s="1">
        <v>3070</v>
      </c>
      <c r="F2730" s="1" t="s">
        <v>9066</v>
      </c>
      <c r="G2730" s="1" t="s">
        <v>9067</v>
      </c>
      <c r="H2730" s="1" t="s">
        <v>16</v>
      </c>
      <c r="I2730" s="1" t="s">
        <v>20</v>
      </c>
      <c r="J2730" s="1" t="s">
        <v>9068</v>
      </c>
      <c r="K2730" s="1" t="b">
        <v>0</v>
      </c>
      <c r="L2730" s="1" t="s">
        <v>22</v>
      </c>
      <c r="M2730" s="1" t="s">
        <v>16</v>
      </c>
      <c r="N2730" s="1" t="s">
        <v>16</v>
      </c>
      <c r="O2730" s="1" t="s">
        <v>16</v>
      </c>
      <c r="P2730" s="1" t="s">
        <v>16</v>
      </c>
    </row>
    <row r="2731" spans="1:17" ht="12.5" x14ac:dyDescent="0.25">
      <c r="A2731" s="1" t="s">
        <v>16</v>
      </c>
      <c r="B2731" s="1" t="s">
        <v>16</v>
      </c>
      <c r="C2731" s="1" t="s">
        <v>16</v>
      </c>
      <c r="D2731" s="1" t="s">
        <v>16</v>
      </c>
      <c r="E2731" s="1">
        <v>3071</v>
      </c>
      <c r="F2731" s="1" t="s">
        <v>9069</v>
      </c>
      <c r="G2731" s="1" t="s">
        <v>9070</v>
      </c>
      <c r="H2731" s="1" t="s">
        <v>16</v>
      </c>
      <c r="I2731" s="1" t="s">
        <v>20</v>
      </c>
      <c r="J2731" s="1" t="s">
        <v>9071</v>
      </c>
      <c r="K2731" s="1" t="b">
        <v>0</v>
      </c>
      <c r="L2731" s="1" t="s">
        <v>22</v>
      </c>
      <c r="M2731" s="1" t="s">
        <v>16</v>
      </c>
      <c r="N2731" s="1" t="s">
        <v>16</v>
      </c>
      <c r="O2731" s="1" t="s">
        <v>16</v>
      </c>
      <c r="P2731" s="1" t="s">
        <v>16</v>
      </c>
    </row>
    <row r="2732" spans="1:17" ht="12.5" x14ac:dyDescent="0.25">
      <c r="A2732" s="1" t="s">
        <v>16</v>
      </c>
      <c r="B2732" s="1" t="s">
        <v>16</v>
      </c>
      <c r="C2732" s="1" t="s">
        <v>16</v>
      </c>
      <c r="D2732" s="1" t="s">
        <v>16</v>
      </c>
      <c r="E2732" s="1">
        <v>3072</v>
      </c>
      <c r="F2732" s="1" t="s">
        <v>9072</v>
      </c>
      <c r="G2732" s="1" t="s">
        <v>9073</v>
      </c>
      <c r="H2732" s="1" t="s">
        <v>16</v>
      </c>
      <c r="I2732" s="1" t="s">
        <v>20</v>
      </c>
      <c r="J2732" s="1" t="s">
        <v>9074</v>
      </c>
      <c r="K2732" s="1" t="b">
        <v>0</v>
      </c>
      <c r="L2732" s="1" t="s">
        <v>22</v>
      </c>
      <c r="M2732" s="1" t="s">
        <v>16</v>
      </c>
      <c r="N2732" s="1" t="s">
        <v>16</v>
      </c>
      <c r="O2732" s="1" t="s">
        <v>16</v>
      </c>
      <c r="P2732" s="1" t="s">
        <v>16</v>
      </c>
    </row>
    <row r="2733" spans="1:17" ht="12.5" x14ac:dyDescent="0.25">
      <c r="A2733" s="1" t="s">
        <v>16</v>
      </c>
      <c r="B2733" s="1" t="s">
        <v>16</v>
      </c>
      <c r="C2733" s="1" t="s">
        <v>16</v>
      </c>
      <c r="D2733" s="1" t="s">
        <v>16</v>
      </c>
      <c r="E2733" s="1">
        <v>3073</v>
      </c>
      <c r="F2733" s="1" t="s">
        <v>9075</v>
      </c>
      <c r="G2733" s="1" t="s">
        <v>9076</v>
      </c>
      <c r="H2733" s="1" t="s">
        <v>16</v>
      </c>
      <c r="I2733" s="1" t="s">
        <v>20</v>
      </c>
      <c r="J2733" s="1" t="s">
        <v>9077</v>
      </c>
      <c r="K2733" s="1" t="b">
        <v>0</v>
      </c>
      <c r="L2733" s="1" t="s">
        <v>22</v>
      </c>
      <c r="M2733" s="1" t="s">
        <v>16</v>
      </c>
      <c r="N2733" s="1" t="s">
        <v>16</v>
      </c>
      <c r="O2733" s="1" t="s">
        <v>16</v>
      </c>
      <c r="P2733" s="1" t="s">
        <v>16</v>
      </c>
    </row>
    <row r="2734" spans="1:17" ht="12.5" x14ac:dyDescent="0.25">
      <c r="A2734" s="1" t="s">
        <v>16</v>
      </c>
      <c r="B2734" s="1" t="s">
        <v>16</v>
      </c>
      <c r="C2734" s="1" t="s">
        <v>16</v>
      </c>
      <c r="D2734" s="1" t="s">
        <v>16</v>
      </c>
      <c r="E2734" s="1">
        <v>3074</v>
      </c>
      <c r="F2734" s="1" t="s">
        <v>9078</v>
      </c>
      <c r="G2734" s="1" t="s">
        <v>9079</v>
      </c>
      <c r="H2734" s="1" t="s">
        <v>16</v>
      </c>
      <c r="I2734" s="1" t="s">
        <v>20</v>
      </c>
      <c r="J2734" s="1" t="s">
        <v>9080</v>
      </c>
      <c r="K2734" s="1" t="b">
        <v>0</v>
      </c>
      <c r="L2734" s="1" t="s">
        <v>22</v>
      </c>
      <c r="M2734" s="1" t="s">
        <v>16</v>
      </c>
      <c r="N2734" s="1" t="s">
        <v>16</v>
      </c>
      <c r="O2734" s="1" t="s">
        <v>16</v>
      </c>
      <c r="P2734" s="1" t="s">
        <v>16</v>
      </c>
    </row>
    <row r="2735" spans="1:17" ht="12.5" x14ac:dyDescent="0.25">
      <c r="A2735" s="1" t="s">
        <v>16</v>
      </c>
      <c r="B2735" s="1" t="s">
        <v>16</v>
      </c>
      <c r="C2735" s="1" t="s">
        <v>16</v>
      </c>
      <c r="D2735" s="1" t="s">
        <v>16</v>
      </c>
      <c r="E2735" s="1">
        <v>3075</v>
      </c>
      <c r="F2735" s="1" t="s">
        <v>9081</v>
      </c>
      <c r="G2735" s="1" t="s">
        <v>9082</v>
      </c>
      <c r="H2735" s="1" t="s">
        <v>16</v>
      </c>
      <c r="I2735" s="1" t="s">
        <v>20</v>
      </c>
      <c r="J2735" s="1" t="s">
        <v>9083</v>
      </c>
      <c r="K2735" s="1" t="b">
        <v>0</v>
      </c>
      <c r="L2735" s="1" t="s">
        <v>22</v>
      </c>
      <c r="M2735" s="1" t="s">
        <v>16</v>
      </c>
      <c r="N2735" s="1" t="s">
        <v>16</v>
      </c>
      <c r="O2735" s="1" t="s">
        <v>16</v>
      </c>
      <c r="P2735" s="1" t="s">
        <v>16</v>
      </c>
    </row>
    <row r="2736" spans="1:17" ht="12.5" x14ac:dyDescent="0.25">
      <c r="A2736" s="1" t="s">
        <v>16</v>
      </c>
      <c r="B2736" s="1" t="s">
        <v>16</v>
      </c>
      <c r="C2736" s="1" t="s">
        <v>16</v>
      </c>
      <c r="D2736" s="1" t="s">
        <v>16</v>
      </c>
      <c r="E2736" s="1">
        <v>3076</v>
      </c>
      <c r="F2736" s="1" t="s">
        <v>9084</v>
      </c>
      <c r="G2736" s="1" t="s">
        <v>9085</v>
      </c>
      <c r="H2736" s="1" t="s">
        <v>16</v>
      </c>
      <c r="I2736" s="1" t="s">
        <v>20</v>
      </c>
      <c r="J2736" s="1" t="s">
        <v>9086</v>
      </c>
      <c r="K2736" s="1" t="b">
        <v>0</v>
      </c>
      <c r="L2736" s="1" t="s">
        <v>22</v>
      </c>
      <c r="M2736" s="1" t="s">
        <v>16</v>
      </c>
      <c r="N2736" s="1" t="s">
        <v>16</v>
      </c>
      <c r="O2736" s="1" t="s">
        <v>16</v>
      </c>
      <c r="P2736" s="1" t="s">
        <v>16</v>
      </c>
    </row>
    <row r="2737" spans="1:19" ht="12.5" x14ac:dyDescent="0.25">
      <c r="A2737" s="1" t="s">
        <v>16</v>
      </c>
      <c r="B2737" s="1" t="s">
        <v>16</v>
      </c>
      <c r="C2737" s="1" t="s">
        <v>16</v>
      </c>
      <c r="D2737" s="1" t="s">
        <v>16</v>
      </c>
      <c r="E2737" s="1">
        <v>3077</v>
      </c>
      <c r="F2737" s="1" t="s">
        <v>9087</v>
      </c>
      <c r="G2737" s="1" t="s">
        <v>9088</v>
      </c>
      <c r="H2737" s="1" t="s">
        <v>16</v>
      </c>
      <c r="I2737" s="1" t="s">
        <v>20</v>
      </c>
      <c r="J2737" s="1" t="s">
        <v>9089</v>
      </c>
      <c r="K2737" s="1" t="b">
        <v>0</v>
      </c>
      <c r="L2737" s="1" t="s">
        <v>22</v>
      </c>
      <c r="M2737" s="1" t="s">
        <v>16</v>
      </c>
      <c r="N2737" s="1" t="s">
        <v>16</v>
      </c>
      <c r="O2737" s="1" t="s">
        <v>16</v>
      </c>
      <c r="P2737" s="1" t="s">
        <v>16</v>
      </c>
    </row>
    <row r="2738" spans="1:19" ht="12.5" x14ac:dyDescent="0.25">
      <c r="A2738" s="1" t="s">
        <v>16</v>
      </c>
      <c r="B2738" s="1" t="s">
        <v>16</v>
      </c>
      <c r="C2738" s="1" t="s">
        <v>16</v>
      </c>
      <c r="D2738" s="1" t="s">
        <v>16</v>
      </c>
      <c r="E2738" s="1">
        <v>3078</v>
      </c>
      <c r="F2738" s="1" t="s">
        <v>9090</v>
      </c>
      <c r="G2738" s="1" t="s">
        <v>9091</v>
      </c>
      <c r="H2738" s="1" t="s">
        <v>16</v>
      </c>
      <c r="I2738" s="1" t="s">
        <v>20</v>
      </c>
      <c r="J2738" s="1" t="s">
        <v>9092</v>
      </c>
      <c r="K2738" s="1" t="b">
        <v>0</v>
      </c>
      <c r="L2738" s="1" t="s">
        <v>22</v>
      </c>
      <c r="M2738" s="1" t="s">
        <v>16</v>
      </c>
      <c r="N2738" s="1" t="s">
        <v>16</v>
      </c>
      <c r="O2738" s="1" t="s">
        <v>16</v>
      </c>
      <c r="P2738" s="1" t="s">
        <v>16</v>
      </c>
    </row>
    <row r="2739" spans="1:19" ht="12.5" x14ac:dyDescent="0.25">
      <c r="A2739" s="1" t="s">
        <v>16</v>
      </c>
      <c r="B2739" s="1" t="s">
        <v>16</v>
      </c>
      <c r="C2739" s="1" t="s">
        <v>16</v>
      </c>
      <c r="D2739" s="1" t="s">
        <v>16</v>
      </c>
      <c r="E2739" s="1">
        <v>3079</v>
      </c>
      <c r="F2739" s="1" t="s">
        <v>9093</v>
      </c>
      <c r="G2739" s="1" t="s">
        <v>9094</v>
      </c>
      <c r="H2739" s="1" t="s">
        <v>16</v>
      </c>
      <c r="I2739" s="1" t="s">
        <v>20</v>
      </c>
      <c r="J2739" s="1" t="s">
        <v>16</v>
      </c>
      <c r="K2739" s="1" t="b">
        <v>0</v>
      </c>
      <c r="L2739" s="1" t="s">
        <v>22</v>
      </c>
      <c r="M2739" s="1" t="s">
        <v>16</v>
      </c>
      <c r="N2739" s="1" t="s">
        <v>16</v>
      </c>
      <c r="O2739" s="1" t="s">
        <v>16</v>
      </c>
      <c r="P2739" s="1" t="s">
        <v>16</v>
      </c>
    </row>
    <row r="2740" spans="1:19" ht="12.5" x14ac:dyDescent="0.25">
      <c r="A2740" s="1">
        <v>792</v>
      </c>
      <c r="B2740" s="1" t="s">
        <v>9095</v>
      </c>
      <c r="C2740" s="1" t="s">
        <v>35</v>
      </c>
      <c r="D2740" s="1" t="s">
        <v>36</v>
      </c>
      <c r="E2740" s="1">
        <v>3080</v>
      </c>
      <c r="F2740" s="1" t="s">
        <v>9096</v>
      </c>
      <c r="G2740" s="1" t="s">
        <v>9097</v>
      </c>
      <c r="H2740" s="1" t="s">
        <v>9098</v>
      </c>
      <c r="I2740" s="1" t="s">
        <v>29</v>
      </c>
      <c r="J2740" s="1" t="s">
        <v>9099</v>
      </c>
      <c r="K2740" s="1" t="b">
        <v>0</v>
      </c>
      <c r="L2740" s="1" t="s">
        <v>22</v>
      </c>
      <c r="M2740" s="1">
        <v>2022</v>
      </c>
      <c r="N2740" s="1" t="s">
        <v>45</v>
      </c>
      <c r="O2740" s="1" t="s">
        <v>9935</v>
      </c>
      <c r="P2740" s="1" t="s">
        <v>10103</v>
      </c>
      <c r="Q2740" s="1">
        <v>100</v>
      </c>
      <c r="R2740" s="1">
        <v>1</v>
      </c>
      <c r="S2740" s="1">
        <v>1</v>
      </c>
    </row>
    <row r="2741" spans="1:19" ht="12.5" x14ac:dyDescent="0.25">
      <c r="A2741" s="1">
        <v>1007</v>
      </c>
      <c r="B2741" s="1" t="s">
        <v>9100</v>
      </c>
      <c r="C2741" s="1" t="s">
        <v>35</v>
      </c>
      <c r="D2741" s="1" t="s">
        <v>152</v>
      </c>
      <c r="E2741" s="1">
        <v>3081</v>
      </c>
      <c r="F2741" s="1" t="s">
        <v>9102</v>
      </c>
      <c r="G2741" s="1" t="s">
        <v>9103</v>
      </c>
      <c r="H2741" s="1" t="s">
        <v>9104</v>
      </c>
      <c r="I2741" s="1" t="s">
        <v>29</v>
      </c>
      <c r="J2741" s="1" t="s">
        <v>9105</v>
      </c>
      <c r="K2741" s="1" t="b">
        <v>0</v>
      </c>
      <c r="L2741" s="1" t="s">
        <v>22</v>
      </c>
      <c r="M2741" s="1">
        <v>2022</v>
      </c>
      <c r="N2741" s="1" t="s">
        <v>32</v>
      </c>
      <c r="O2741" s="1" t="s">
        <v>9935</v>
      </c>
      <c r="P2741" s="1" t="s">
        <v>10104</v>
      </c>
      <c r="Q2741" s="1">
        <v>100</v>
      </c>
      <c r="R2741" s="1">
        <v>1</v>
      </c>
      <c r="S2741" s="1">
        <v>1</v>
      </c>
    </row>
    <row r="2742" spans="1:19" ht="12.5" x14ac:dyDescent="0.25">
      <c r="A2742" s="1">
        <v>1009</v>
      </c>
      <c r="B2742" s="1" t="s">
        <v>9106</v>
      </c>
      <c r="C2742" s="1" t="s">
        <v>35</v>
      </c>
      <c r="D2742" s="1" t="s">
        <v>152</v>
      </c>
      <c r="E2742" s="1">
        <v>3082</v>
      </c>
      <c r="F2742" s="1" t="s">
        <v>9107</v>
      </c>
      <c r="G2742" s="1" t="s">
        <v>9108</v>
      </c>
      <c r="H2742" s="1" t="s">
        <v>16</v>
      </c>
      <c r="I2742" s="1" t="s">
        <v>29</v>
      </c>
      <c r="J2742" s="1" t="s">
        <v>9109</v>
      </c>
      <c r="K2742" s="1" t="b">
        <v>0</v>
      </c>
      <c r="L2742" s="1" t="s">
        <v>22</v>
      </c>
      <c r="M2742" s="1">
        <v>2022</v>
      </c>
      <c r="N2742" s="1" t="s">
        <v>32</v>
      </c>
      <c r="O2742" s="1" t="s">
        <v>9935</v>
      </c>
      <c r="P2742" s="1" t="s">
        <v>10097</v>
      </c>
      <c r="Q2742" s="1">
        <v>100</v>
      </c>
      <c r="R2742" s="1">
        <v>1</v>
      </c>
      <c r="S2742" s="1">
        <v>1</v>
      </c>
    </row>
    <row r="2743" spans="1:19" ht="12.5" x14ac:dyDescent="0.25">
      <c r="A2743" s="1" t="s">
        <v>16</v>
      </c>
      <c r="B2743" s="1" t="s">
        <v>16</v>
      </c>
      <c r="C2743" s="1" t="s">
        <v>16</v>
      </c>
      <c r="D2743" s="1" t="s">
        <v>16</v>
      </c>
      <c r="E2743" s="1">
        <v>3083</v>
      </c>
      <c r="F2743" s="1" t="s">
        <v>9110</v>
      </c>
      <c r="G2743" s="1" t="s">
        <v>9111</v>
      </c>
      <c r="H2743" s="1" t="s">
        <v>16</v>
      </c>
      <c r="I2743" s="1" t="s">
        <v>20</v>
      </c>
      <c r="J2743" s="1" t="s">
        <v>9112</v>
      </c>
      <c r="K2743" s="1" t="b">
        <v>0</v>
      </c>
      <c r="L2743" s="1" t="s">
        <v>22</v>
      </c>
      <c r="M2743" s="1" t="s">
        <v>16</v>
      </c>
      <c r="N2743" s="1" t="s">
        <v>16</v>
      </c>
      <c r="O2743" s="1" t="s">
        <v>16</v>
      </c>
      <c r="P2743" s="1" t="s">
        <v>16</v>
      </c>
    </row>
    <row r="2744" spans="1:19" ht="12.5" x14ac:dyDescent="0.25">
      <c r="A2744" s="1" t="s">
        <v>16</v>
      </c>
      <c r="B2744" s="1" t="s">
        <v>16</v>
      </c>
      <c r="C2744" s="1" t="s">
        <v>16</v>
      </c>
      <c r="D2744" s="1" t="s">
        <v>16</v>
      </c>
      <c r="E2744" s="1">
        <v>3084</v>
      </c>
      <c r="F2744" s="1" t="s">
        <v>9113</v>
      </c>
      <c r="G2744" s="1" t="s">
        <v>9114</v>
      </c>
      <c r="H2744" s="1" t="s">
        <v>16</v>
      </c>
      <c r="I2744" s="1" t="s">
        <v>20</v>
      </c>
      <c r="J2744" s="1" t="s">
        <v>9115</v>
      </c>
      <c r="K2744" s="1" t="b">
        <v>0</v>
      </c>
      <c r="L2744" s="1" t="s">
        <v>22</v>
      </c>
      <c r="M2744" s="1" t="s">
        <v>16</v>
      </c>
      <c r="N2744" s="1" t="s">
        <v>16</v>
      </c>
      <c r="O2744" s="1" t="s">
        <v>16</v>
      </c>
      <c r="P2744" s="1" t="s">
        <v>16</v>
      </c>
    </row>
    <row r="2745" spans="1:19" ht="12.5" x14ac:dyDescent="0.25">
      <c r="A2745" s="1" t="s">
        <v>16</v>
      </c>
      <c r="B2745" s="1" t="s">
        <v>16</v>
      </c>
      <c r="C2745" s="1" t="s">
        <v>16</v>
      </c>
      <c r="D2745" s="1" t="s">
        <v>16</v>
      </c>
      <c r="E2745" s="1">
        <v>3102</v>
      </c>
      <c r="F2745" s="1" t="s">
        <v>9116</v>
      </c>
      <c r="G2745" s="1" t="s">
        <v>9117</v>
      </c>
      <c r="H2745" s="1" t="s">
        <v>16</v>
      </c>
      <c r="I2745" s="1" t="s">
        <v>20</v>
      </c>
      <c r="J2745" s="1" t="s">
        <v>9118</v>
      </c>
      <c r="K2745" s="1" t="b">
        <v>0</v>
      </c>
      <c r="L2745" s="1" t="s">
        <v>22</v>
      </c>
      <c r="M2745" s="1" t="s">
        <v>16</v>
      </c>
      <c r="N2745" s="1" t="s">
        <v>16</v>
      </c>
      <c r="O2745" s="1" t="s">
        <v>16</v>
      </c>
      <c r="P2745" s="1" t="s">
        <v>16</v>
      </c>
    </row>
    <row r="2746" spans="1:19" ht="12.5" x14ac:dyDescent="0.25">
      <c r="A2746" s="1" t="s">
        <v>16</v>
      </c>
      <c r="B2746" s="1" t="s">
        <v>16</v>
      </c>
      <c r="C2746" s="1" t="s">
        <v>16</v>
      </c>
      <c r="D2746" s="1" t="s">
        <v>16</v>
      </c>
      <c r="E2746" s="1">
        <v>3103</v>
      </c>
      <c r="F2746" s="1" t="s">
        <v>9119</v>
      </c>
      <c r="G2746" s="1" t="s">
        <v>9120</v>
      </c>
      <c r="H2746" s="1" t="s">
        <v>16</v>
      </c>
      <c r="I2746" s="1" t="s">
        <v>20</v>
      </c>
      <c r="J2746" s="1" t="s">
        <v>9121</v>
      </c>
      <c r="K2746" s="1" t="b">
        <v>0</v>
      </c>
      <c r="L2746" s="1" t="s">
        <v>22</v>
      </c>
      <c r="M2746" s="1" t="s">
        <v>16</v>
      </c>
      <c r="N2746" s="1" t="s">
        <v>16</v>
      </c>
      <c r="O2746" s="1" t="s">
        <v>16</v>
      </c>
      <c r="P2746" s="1" t="s">
        <v>16</v>
      </c>
    </row>
    <row r="2747" spans="1:19" ht="12.5" x14ac:dyDescent="0.25">
      <c r="A2747" s="1" t="s">
        <v>16</v>
      </c>
      <c r="B2747" s="1" t="s">
        <v>16</v>
      </c>
      <c r="C2747" s="1" t="s">
        <v>16</v>
      </c>
      <c r="D2747" s="1" t="s">
        <v>16</v>
      </c>
      <c r="E2747" s="1">
        <v>3104</v>
      </c>
      <c r="F2747" s="1" t="s">
        <v>9122</v>
      </c>
      <c r="G2747" s="1" t="s">
        <v>9123</v>
      </c>
      <c r="H2747" s="1" t="s">
        <v>16</v>
      </c>
      <c r="I2747" s="1" t="s">
        <v>20</v>
      </c>
      <c r="J2747" s="1" t="s">
        <v>9124</v>
      </c>
      <c r="K2747" s="1" t="b">
        <v>0</v>
      </c>
      <c r="L2747" s="1" t="s">
        <v>22</v>
      </c>
      <c r="M2747" s="1" t="s">
        <v>16</v>
      </c>
      <c r="N2747" s="1" t="s">
        <v>16</v>
      </c>
      <c r="O2747" s="1" t="s">
        <v>16</v>
      </c>
      <c r="P2747" s="1" t="s">
        <v>16</v>
      </c>
    </row>
    <row r="2748" spans="1:19" ht="12.5" x14ac:dyDescent="0.25">
      <c r="A2748" s="1" t="s">
        <v>16</v>
      </c>
      <c r="B2748" s="1" t="s">
        <v>16</v>
      </c>
      <c r="C2748" s="1" t="s">
        <v>16</v>
      </c>
      <c r="D2748" s="1" t="s">
        <v>16</v>
      </c>
      <c r="E2748" s="1">
        <v>3105</v>
      </c>
      <c r="F2748" s="1" t="s">
        <v>9125</v>
      </c>
      <c r="G2748" s="1" t="s">
        <v>9126</v>
      </c>
      <c r="H2748" s="1" t="s">
        <v>16</v>
      </c>
      <c r="I2748" s="1" t="s">
        <v>20</v>
      </c>
      <c r="J2748" s="1" t="s">
        <v>9127</v>
      </c>
      <c r="K2748" s="1" t="b">
        <v>0</v>
      </c>
      <c r="L2748" s="1" t="s">
        <v>22</v>
      </c>
      <c r="M2748" s="1" t="s">
        <v>16</v>
      </c>
      <c r="N2748" s="1" t="s">
        <v>16</v>
      </c>
      <c r="O2748" s="1" t="s">
        <v>16</v>
      </c>
      <c r="P2748" s="1" t="s">
        <v>16</v>
      </c>
    </row>
    <row r="2749" spans="1:19" ht="12.5" x14ac:dyDescent="0.25">
      <c r="A2749" s="1">
        <v>89</v>
      </c>
      <c r="B2749" s="1" t="s">
        <v>457</v>
      </c>
      <c r="C2749" s="1" t="s">
        <v>15</v>
      </c>
      <c r="D2749" s="1" t="s">
        <v>15</v>
      </c>
      <c r="E2749" s="1">
        <v>3106</v>
      </c>
      <c r="F2749" s="1" t="s">
        <v>9128</v>
      </c>
      <c r="G2749" s="1" t="s">
        <v>9129</v>
      </c>
      <c r="H2749" s="1" t="s">
        <v>16</v>
      </c>
      <c r="I2749" s="1" t="s">
        <v>20</v>
      </c>
      <c r="J2749" s="1" t="s">
        <v>9130</v>
      </c>
      <c r="K2749" s="1" t="b">
        <v>0</v>
      </c>
      <c r="L2749" s="1" t="s">
        <v>22</v>
      </c>
      <c r="M2749" s="1" t="s">
        <v>16</v>
      </c>
      <c r="N2749" s="1" t="s">
        <v>16</v>
      </c>
      <c r="O2749" s="1" t="s">
        <v>16</v>
      </c>
      <c r="P2749" s="1" t="s">
        <v>16</v>
      </c>
      <c r="Q2749" s="1">
        <v>50</v>
      </c>
    </row>
    <row r="2750" spans="1:19" ht="12.5" x14ac:dyDescent="0.25">
      <c r="A2750" s="1">
        <v>980</v>
      </c>
      <c r="B2750" s="1" t="s">
        <v>3446</v>
      </c>
      <c r="C2750" s="1" t="s">
        <v>35</v>
      </c>
      <c r="D2750" s="1" t="s">
        <v>152</v>
      </c>
      <c r="E2750" s="1">
        <v>3106</v>
      </c>
      <c r="F2750" s="1" t="s">
        <v>9128</v>
      </c>
      <c r="G2750" s="1" t="s">
        <v>9129</v>
      </c>
      <c r="H2750" s="1" t="s">
        <v>16</v>
      </c>
      <c r="I2750" s="1" t="s">
        <v>20</v>
      </c>
      <c r="J2750" s="1" t="s">
        <v>9130</v>
      </c>
      <c r="K2750" s="1" t="b">
        <v>0</v>
      </c>
      <c r="L2750" s="1" t="s">
        <v>22</v>
      </c>
      <c r="M2750" s="1" t="s">
        <v>16</v>
      </c>
      <c r="N2750" s="1" t="s">
        <v>16</v>
      </c>
      <c r="O2750" s="1" t="s">
        <v>16</v>
      </c>
      <c r="P2750" s="1" t="s">
        <v>16</v>
      </c>
      <c r="Q2750" s="1">
        <v>25</v>
      </c>
    </row>
    <row r="2751" spans="1:19" ht="12.5" x14ac:dyDescent="0.25">
      <c r="A2751" s="1" t="s">
        <v>16</v>
      </c>
      <c r="B2751" s="1" t="s">
        <v>16</v>
      </c>
      <c r="C2751" s="1" t="s">
        <v>16</v>
      </c>
      <c r="D2751" s="1" t="s">
        <v>16</v>
      </c>
      <c r="E2751" s="1">
        <v>3107</v>
      </c>
      <c r="F2751" s="1" t="s">
        <v>9131</v>
      </c>
      <c r="G2751" s="1" t="s">
        <v>9132</v>
      </c>
      <c r="H2751" s="1" t="s">
        <v>16</v>
      </c>
      <c r="I2751" s="1" t="s">
        <v>20</v>
      </c>
      <c r="J2751" s="1" t="s">
        <v>9133</v>
      </c>
      <c r="K2751" s="1" t="b">
        <v>0</v>
      </c>
      <c r="L2751" s="1" t="s">
        <v>22</v>
      </c>
      <c r="M2751" s="1" t="s">
        <v>16</v>
      </c>
      <c r="N2751" s="1" t="s">
        <v>16</v>
      </c>
      <c r="O2751" s="1" t="s">
        <v>16</v>
      </c>
      <c r="P2751" s="1" t="s">
        <v>16</v>
      </c>
    </row>
    <row r="2752" spans="1:19" ht="12.5" x14ac:dyDescent="0.25">
      <c r="A2752" s="1" t="s">
        <v>16</v>
      </c>
      <c r="B2752" s="1" t="s">
        <v>16</v>
      </c>
      <c r="C2752" s="1" t="s">
        <v>16</v>
      </c>
      <c r="D2752" s="1" t="s">
        <v>16</v>
      </c>
      <c r="E2752" s="1">
        <v>3108</v>
      </c>
      <c r="F2752" s="1" t="s">
        <v>9134</v>
      </c>
      <c r="G2752" s="1" t="s">
        <v>9135</v>
      </c>
      <c r="H2752" s="1" t="s">
        <v>16</v>
      </c>
      <c r="I2752" s="1" t="s">
        <v>20</v>
      </c>
      <c r="J2752" s="1" t="s">
        <v>9136</v>
      </c>
      <c r="K2752" s="1" t="b">
        <v>0</v>
      </c>
      <c r="L2752" s="1" t="s">
        <v>22</v>
      </c>
      <c r="M2752" s="1" t="s">
        <v>16</v>
      </c>
      <c r="N2752" s="1" t="s">
        <v>16</v>
      </c>
      <c r="O2752" s="1" t="s">
        <v>16</v>
      </c>
      <c r="P2752" s="1" t="s">
        <v>16</v>
      </c>
    </row>
    <row r="2753" spans="1:19" ht="12.5" x14ac:dyDescent="0.25">
      <c r="A2753" s="1">
        <v>125</v>
      </c>
      <c r="B2753" s="1" t="s">
        <v>623</v>
      </c>
      <c r="C2753" s="1" t="s">
        <v>15</v>
      </c>
      <c r="D2753" s="1" t="s">
        <v>15</v>
      </c>
      <c r="E2753" s="1">
        <v>3109</v>
      </c>
      <c r="F2753" s="1" t="s">
        <v>9137</v>
      </c>
      <c r="G2753" s="1" t="s">
        <v>9138</v>
      </c>
      <c r="H2753" s="1" t="s">
        <v>9139</v>
      </c>
      <c r="I2753" s="1" t="s">
        <v>29</v>
      </c>
      <c r="J2753" s="1" t="s">
        <v>16</v>
      </c>
      <c r="K2753" s="1" t="b">
        <v>0</v>
      </c>
      <c r="L2753" s="1" t="s">
        <v>22</v>
      </c>
      <c r="M2753" s="1" t="s">
        <v>16</v>
      </c>
      <c r="N2753" s="1" t="s">
        <v>16</v>
      </c>
      <c r="O2753" s="1" t="s">
        <v>16</v>
      </c>
      <c r="P2753" s="1" t="s">
        <v>16</v>
      </c>
      <c r="Q2753" s="1">
        <v>100</v>
      </c>
    </row>
    <row r="2754" spans="1:19" ht="12.5" x14ac:dyDescent="0.25">
      <c r="A2754" s="1">
        <v>1135</v>
      </c>
      <c r="B2754" s="1" t="s">
        <v>9140</v>
      </c>
      <c r="C2754" s="1" t="s">
        <v>35</v>
      </c>
      <c r="D2754" s="1" t="s">
        <v>152</v>
      </c>
      <c r="E2754" s="1">
        <v>3110</v>
      </c>
      <c r="F2754" s="1" t="s">
        <v>9142</v>
      </c>
      <c r="G2754" s="1" t="s">
        <v>9143</v>
      </c>
      <c r="H2754" s="1" t="s">
        <v>9144</v>
      </c>
      <c r="I2754" s="1" t="s">
        <v>29</v>
      </c>
      <c r="J2754" s="1" t="s">
        <v>9145</v>
      </c>
      <c r="K2754" s="1" t="b">
        <v>0</v>
      </c>
      <c r="L2754" s="1" t="s">
        <v>22</v>
      </c>
      <c r="M2754" s="1">
        <v>2022</v>
      </c>
      <c r="N2754" s="1" t="s">
        <v>52</v>
      </c>
      <c r="O2754" s="1" t="s">
        <v>9935</v>
      </c>
      <c r="P2754" s="1" t="s">
        <v>16</v>
      </c>
      <c r="Q2754" s="1">
        <v>100</v>
      </c>
      <c r="R2754" s="1">
        <v>15000</v>
      </c>
      <c r="S2754" s="1">
        <v>15000</v>
      </c>
    </row>
    <row r="2755" spans="1:19" ht="12.5" x14ac:dyDescent="0.25">
      <c r="A2755" s="1">
        <v>1055</v>
      </c>
      <c r="B2755" s="1" t="s">
        <v>3694</v>
      </c>
      <c r="C2755" s="1" t="s">
        <v>35</v>
      </c>
      <c r="D2755" s="1" t="s">
        <v>152</v>
      </c>
      <c r="E2755" s="1">
        <v>3111</v>
      </c>
      <c r="F2755" s="1" t="s">
        <v>9146</v>
      </c>
      <c r="G2755" s="1" t="s">
        <v>9147</v>
      </c>
      <c r="H2755" s="1" t="s">
        <v>9148</v>
      </c>
      <c r="I2755" s="1" t="s">
        <v>29</v>
      </c>
      <c r="J2755" s="1" t="s">
        <v>16</v>
      </c>
      <c r="K2755" s="1" t="b">
        <v>0</v>
      </c>
      <c r="L2755" s="1" t="s">
        <v>22</v>
      </c>
      <c r="M2755" s="1">
        <v>2023</v>
      </c>
      <c r="N2755" s="1" t="s">
        <v>23</v>
      </c>
      <c r="O2755" s="1" t="s">
        <v>9940</v>
      </c>
      <c r="P2755" s="1" t="s">
        <v>16</v>
      </c>
      <c r="Q2755" s="1">
        <v>100</v>
      </c>
      <c r="R2755" s="1">
        <v>30000</v>
      </c>
      <c r="S2755" s="1">
        <v>30000</v>
      </c>
    </row>
    <row r="2756" spans="1:19" ht="12.5" x14ac:dyDescent="0.25">
      <c r="A2756" s="1">
        <v>1055</v>
      </c>
      <c r="B2756" s="1" t="s">
        <v>3694</v>
      </c>
      <c r="C2756" s="1" t="s">
        <v>35</v>
      </c>
      <c r="D2756" s="1" t="s">
        <v>152</v>
      </c>
      <c r="E2756" s="1">
        <v>3111</v>
      </c>
      <c r="F2756" s="1" t="s">
        <v>9146</v>
      </c>
      <c r="G2756" s="1" t="s">
        <v>9147</v>
      </c>
      <c r="H2756" s="1" t="s">
        <v>9148</v>
      </c>
      <c r="I2756" s="1" t="s">
        <v>29</v>
      </c>
      <c r="J2756" s="1" t="s">
        <v>16</v>
      </c>
      <c r="K2756" s="1" t="b">
        <v>0</v>
      </c>
      <c r="L2756" s="1" t="s">
        <v>22</v>
      </c>
      <c r="M2756" s="1">
        <v>2023</v>
      </c>
      <c r="N2756" s="1" t="s">
        <v>23</v>
      </c>
      <c r="O2756" s="1" t="s">
        <v>9942</v>
      </c>
      <c r="P2756" s="1" t="s">
        <v>16</v>
      </c>
      <c r="Q2756" s="1">
        <v>100</v>
      </c>
      <c r="R2756" s="1">
        <v>200000</v>
      </c>
      <c r="S2756" s="1">
        <v>200000</v>
      </c>
    </row>
    <row r="2757" spans="1:19" ht="12.5" x14ac:dyDescent="0.25">
      <c r="A2757" s="1">
        <v>665</v>
      </c>
      <c r="B2757" s="1" t="s">
        <v>2709</v>
      </c>
      <c r="C2757" s="1" t="s">
        <v>35</v>
      </c>
      <c r="D2757" s="1" t="s">
        <v>36</v>
      </c>
      <c r="E2757" s="1">
        <v>3112</v>
      </c>
      <c r="F2757" s="1" t="s">
        <v>9149</v>
      </c>
      <c r="G2757" s="1" t="s">
        <v>9150</v>
      </c>
      <c r="H2757" s="1" t="s">
        <v>9151</v>
      </c>
      <c r="I2757" s="1" t="s">
        <v>29</v>
      </c>
      <c r="J2757" s="1" t="s">
        <v>9152</v>
      </c>
      <c r="K2757" s="1" t="b">
        <v>1</v>
      </c>
      <c r="L2757" s="1" t="s">
        <v>31</v>
      </c>
      <c r="M2757" s="1">
        <v>2022</v>
      </c>
      <c r="N2757" s="1" t="s">
        <v>52</v>
      </c>
      <c r="O2757" s="1" t="s">
        <v>9942</v>
      </c>
      <c r="P2757" s="1" t="s">
        <v>16</v>
      </c>
      <c r="Q2757" s="1">
        <v>100</v>
      </c>
      <c r="R2757" s="1">
        <v>190000</v>
      </c>
      <c r="S2757" s="1">
        <v>190000</v>
      </c>
    </row>
    <row r="2758" spans="1:19" ht="12.5" x14ac:dyDescent="0.25">
      <c r="A2758" s="1" t="s">
        <v>16</v>
      </c>
      <c r="B2758" s="1" t="s">
        <v>16</v>
      </c>
      <c r="C2758" s="1" t="s">
        <v>16</v>
      </c>
      <c r="D2758" s="1" t="s">
        <v>16</v>
      </c>
      <c r="E2758" s="1">
        <v>3122</v>
      </c>
      <c r="F2758" s="1" t="s">
        <v>9153</v>
      </c>
      <c r="G2758" s="1" t="s">
        <v>9154</v>
      </c>
      <c r="H2758" s="1" t="s">
        <v>16</v>
      </c>
      <c r="I2758" s="1" t="s">
        <v>20</v>
      </c>
      <c r="J2758" s="1" t="s">
        <v>9155</v>
      </c>
      <c r="K2758" s="1" t="b">
        <v>0</v>
      </c>
      <c r="L2758" s="1" t="s">
        <v>22</v>
      </c>
      <c r="M2758" s="1" t="s">
        <v>16</v>
      </c>
      <c r="N2758" s="1" t="s">
        <v>16</v>
      </c>
      <c r="O2758" s="1" t="s">
        <v>16</v>
      </c>
      <c r="P2758" s="1" t="s">
        <v>16</v>
      </c>
    </row>
    <row r="2759" spans="1:19" ht="12.5" x14ac:dyDescent="0.25">
      <c r="A2759" s="1" t="s">
        <v>16</v>
      </c>
      <c r="B2759" s="1" t="s">
        <v>16</v>
      </c>
      <c r="C2759" s="1" t="s">
        <v>16</v>
      </c>
      <c r="D2759" s="1" t="s">
        <v>16</v>
      </c>
      <c r="E2759" s="1">
        <v>3123</v>
      </c>
      <c r="F2759" s="1" t="s">
        <v>9156</v>
      </c>
      <c r="G2759" s="1" t="s">
        <v>9157</v>
      </c>
      <c r="H2759" s="1" t="s">
        <v>16</v>
      </c>
      <c r="I2759" s="1" t="s">
        <v>20</v>
      </c>
      <c r="J2759" s="1" t="s">
        <v>9158</v>
      </c>
      <c r="K2759" s="1" t="b">
        <v>0</v>
      </c>
      <c r="L2759" s="1" t="s">
        <v>22</v>
      </c>
      <c r="M2759" s="1" t="s">
        <v>16</v>
      </c>
      <c r="N2759" s="1" t="s">
        <v>16</v>
      </c>
      <c r="O2759" s="1" t="s">
        <v>16</v>
      </c>
      <c r="P2759" s="1" t="s">
        <v>16</v>
      </c>
    </row>
    <row r="2760" spans="1:19" ht="12.5" x14ac:dyDescent="0.25">
      <c r="A2760" s="1" t="s">
        <v>16</v>
      </c>
      <c r="B2760" s="1" t="s">
        <v>16</v>
      </c>
      <c r="C2760" s="1" t="s">
        <v>16</v>
      </c>
      <c r="D2760" s="1" t="s">
        <v>16</v>
      </c>
      <c r="E2760" s="1">
        <v>3124</v>
      </c>
      <c r="F2760" s="1" t="s">
        <v>9159</v>
      </c>
      <c r="G2760" s="1" t="s">
        <v>9160</v>
      </c>
      <c r="H2760" s="1" t="s">
        <v>16</v>
      </c>
      <c r="I2760" s="1" t="s">
        <v>20</v>
      </c>
      <c r="J2760" s="1" t="s">
        <v>9161</v>
      </c>
      <c r="K2760" s="1" t="b">
        <v>0</v>
      </c>
      <c r="L2760" s="1" t="s">
        <v>22</v>
      </c>
      <c r="M2760" s="1" t="s">
        <v>16</v>
      </c>
      <c r="N2760" s="1" t="s">
        <v>16</v>
      </c>
      <c r="O2760" s="1" t="s">
        <v>16</v>
      </c>
      <c r="P2760" s="1" t="s">
        <v>16</v>
      </c>
    </row>
    <row r="2761" spans="1:19" ht="12.5" x14ac:dyDescent="0.25">
      <c r="A2761" s="1" t="s">
        <v>16</v>
      </c>
      <c r="B2761" s="1" t="s">
        <v>16</v>
      </c>
      <c r="C2761" s="1" t="s">
        <v>16</v>
      </c>
      <c r="D2761" s="1" t="s">
        <v>16</v>
      </c>
      <c r="E2761" s="1">
        <v>3125</v>
      </c>
      <c r="F2761" s="1" t="s">
        <v>9162</v>
      </c>
      <c r="G2761" s="1" t="s">
        <v>9163</v>
      </c>
      <c r="H2761" s="1" t="s">
        <v>16</v>
      </c>
      <c r="I2761" s="1" t="s">
        <v>20</v>
      </c>
      <c r="J2761" s="1" t="s">
        <v>9164</v>
      </c>
      <c r="K2761" s="1" t="b">
        <v>0</v>
      </c>
      <c r="L2761" s="1" t="s">
        <v>22</v>
      </c>
      <c r="M2761" s="1" t="s">
        <v>16</v>
      </c>
      <c r="N2761" s="1" t="s">
        <v>16</v>
      </c>
      <c r="O2761" s="1" t="s">
        <v>16</v>
      </c>
      <c r="P2761" s="1" t="s">
        <v>16</v>
      </c>
    </row>
    <row r="2762" spans="1:19" ht="12.5" x14ac:dyDescent="0.25">
      <c r="A2762" s="1" t="s">
        <v>16</v>
      </c>
      <c r="B2762" s="1" t="s">
        <v>16</v>
      </c>
      <c r="C2762" s="1" t="s">
        <v>16</v>
      </c>
      <c r="D2762" s="1" t="s">
        <v>16</v>
      </c>
      <c r="E2762" s="1">
        <v>3126</v>
      </c>
      <c r="F2762" s="1" t="s">
        <v>9165</v>
      </c>
      <c r="G2762" s="1" t="s">
        <v>9166</v>
      </c>
      <c r="H2762" s="1" t="s">
        <v>16</v>
      </c>
      <c r="I2762" s="1" t="s">
        <v>20</v>
      </c>
      <c r="J2762" s="1" t="s">
        <v>9167</v>
      </c>
      <c r="K2762" s="1" t="b">
        <v>0</v>
      </c>
      <c r="L2762" s="1" t="s">
        <v>22</v>
      </c>
      <c r="M2762" s="1" t="s">
        <v>16</v>
      </c>
      <c r="N2762" s="1" t="s">
        <v>16</v>
      </c>
      <c r="O2762" s="1" t="s">
        <v>16</v>
      </c>
      <c r="P2762" s="1" t="s">
        <v>16</v>
      </c>
    </row>
    <row r="2763" spans="1:19" ht="12.5" x14ac:dyDescent="0.25">
      <c r="A2763" s="1" t="s">
        <v>16</v>
      </c>
      <c r="B2763" s="1" t="s">
        <v>16</v>
      </c>
      <c r="C2763" s="1" t="s">
        <v>16</v>
      </c>
      <c r="D2763" s="1" t="s">
        <v>16</v>
      </c>
      <c r="E2763" s="1">
        <v>3127</v>
      </c>
      <c r="F2763" s="1" t="s">
        <v>9168</v>
      </c>
      <c r="G2763" s="1" t="s">
        <v>9169</v>
      </c>
      <c r="H2763" s="1" t="s">
        <v>16</v>
      </c>
      <c r="I2763" s="1" t="s">
        <v>20</v>
      </c>
      <c r="J2763" s="1" t="s">
        <v>9170</v>
      </c>
      <c r="K2763" s="1" t="b">
        <v>0</v>
      </c>
      <c r="L2763" s="1" t="s">
        <v>22</v>
      </c>
      <c r="M2763" s="1" t="s">
        <v>16</v>
      </c>
      <c r="N2763" s="1" t="s">
        <v>16</v>
      </c>
      <c r="O2763" s="1" t="s">
        <v>16</v>
      </c>
      <c r="P2763" s="1" t="s">
        <v>16</v>
      </c>
    </row>
    <row r="2764" spans="1:19" ht="12.5" x14ac:dyDescent="0.25">
      <c r="A2764" s="1" t="s">
        <v>16</v>
      </c>
      <c r="B2764" s="1" t="s">
        <v>16</v>
      </c>
      <c r="C2764" s="1" t="s">
        <v>16</v>
      </c>
      <c r="D2764" s="1" t="s">
        <v>16</v>
      </c>
      <c r="E2764" s="1">
        <v>3128</v>
      </c>
      <c r="F2764" s="1" t="s">
        <v>9171</v>
      </c>
      <c r="G2764" s="1" t="s">
        <v>9172</v>
      </c>
      <c r="H2764" s="1" t="s">
        <v>16</v>
      </c>
      <c r="I2764" s="1" t="s">
        <v>20</v>
      </c>
      <c r="J2764" s="1" t="s">
        <v>9173</v>
      </c>
      <c r="K2764" s="1" t="b">
        <v>0</v>
      </c>
      <c r="L2764" s="1" t="s">
        <v>22</v>
      </c>
      <c r="M2764" s="1" t="s">
        <v>16</v>
      </c>
      <c r="N2764" s="1" t="s">
        <v>16</v>
      </c>
      <c r="O2764" s="1" t="s">
        <v>16</v>
      </c>
      <c r="P2764" s="1" t="s">
        <v>16</v>
      </c>
    </row>
    <row r="2765" spans="1:19" ht="12.5" x14ac:dyDescent="0.25">
      <c r="A2765" s="1">
        <v>599</v>
      </c>
      <c r="B2765" s="1" t="s">
        <v>5854</v>
      </c>
      <c r="C2765" s="1" t="s">
        <v>35</v>
      </c>
      <c r="D2765" s="1" t="s">
        <v>36</v>
      </c>
      <c r="E2765" s="1">
        <v>3129</v>
      </c>
      <c r="F2765" s="1" t="s">
        <v>9174</v>
      </c>
      <c r="G2765" s="1" t="s">
        <v>9175</v>
      </c>
      <c r="H2765" s="1" t="s">
        <v>16</v>
      </c>
      <c r="I2765" s="1" t="s">
        <v>20</v>
      </c>
      <c r="J2765" s="1" t="s">
        <v>9176</v>
      </c>
      <c r="K2765" s="1" t="b">
        <v>0</v>
      </c>
      <c r="L2765" s="1" t="s">
        <v>22</v>
      </c>
      <c r="M2765" s="1" t="s">
        <v>16</v>
      </c>
      <c r="N2765" s="1" t="s">
        <v>16</v>
      </c>
      <c r="O2765" s="1" t="s">
        <v>16</v>
      </c>
      <c r="P2765" s="1" t="s">
        <v>16</v>
      </c>
      <c r="Q2765" s="1">
        <v>50</v>
      </c>
    </row>
    <row r="2766" spans="1:19" ht="12.5" x14ac:dyDescent="0.25">
      <c r="A2766" s="1">
        <v>1591</v>
      </c>
      <c r="B2766" s="1" t="s">
        <v>9177</v>
      </c>
      <c r="C2766" s="1" t="s">
        <v>35</v>
      </c>
      <c r="D2766" s="1" t="s">
        <v>152</v>
      </c>
      <c r="E2766" s="1">
        <v>3129</v>
      </c>
      <c r="F2766" s="1" t="s">
        <v>9174</v>
      </c>
      <c r="G2766" s="1" t="s">
        <v>9175</v>
      </c>
      <c r="H2766" s="1" t="s">
        <v>16</v>
      </c>
      <c r="I2766" s="1" t="s">
        <v>20</v>
      </c>
      <c r="J2766" s="1" t="s">
        <v>9176</v>
      </c>
      <c r="K2766" s="1" t="b">
        <v>0</v>
      </c>
      <c r="L2766" s="1" t="s">
        <v>22</v>
      </c>
      <c r="M2766" s="1" t="s">
        <v>16</v>
      </c>
      <c r="N2766" s="1" t="s">
        <v>16</v>
      </c>
      <c r="O2766" s="1" t="s">
        <v>16</v>
      </c>
      <c r="P2766" s="1" t="s">
        <v>16</v>
      </c>
      <c r="Q2766" s="1">
        <v>5</v>
      </c>
    </row>
    <row r="2767" spans="1:19" ht="12.5" x14ac:dyDescent="0.25">
      <c r="A2767" s="1">
        <v>4652</v>
      </c>
      <c r="B2767" s="1" t="s">
        <v>9178</v>
      </c>
      <c r="C2767" s="1" t="s">
        <v>38</v>
      </c>
      <c r="D2767" s="1" t="s">
        <v>5701</v>
      </c>
      <c r="E2767" s="1">
        <v>3130</v>
      </c>
      <c r="F2767" s="1" t="s">
        <v>9179</v>
      </c>
      <c r="G2767" s="1" t="s">
        <v>9180</v>
      </c>
      <c r="H2767" s="1" t="s">
        <v>9181</v>
      </c>
      <c r="I2767" s="1" t="s">
        <v>29</v>
      </c>
      <c r="J2767" s="1" t="s">
        <v>9182</v>
      </c>
      <c r="K2767" s="1" t="b">
        <v>0</v>
      </c>
      <c r="L2767" s="1" t="s">
        <v>22</v>
      </c>
      <c r="M2767" s="1">
        <v>2023</v>
      </c>
      <c r="N2767" s="1" t="s">
        <v>45</v>
      </c>
      <c r="O2767" s="1" t="s">
        <v>9956</v>
      </c>
      <c r="P2767" s="1" t="s">
        <v>16</v>
      </c>
      <c r="Q2767" s="1">
        <v>100</v>
      </c>
      <c r="R2767" s="1">
        <v>40000</v>
      </c>
      <c r="S2767" s="1">
        <v>40000</v>
      </c>
    </row>
    <row r="2768" spans="1:19" ht="12.5" x14ac:dyDescent="0.25">
      <c r="A2768" s="1">
        <v>3540</v>
      </c>
      <c r="B2768" s="1" t="s">
        <v>9183</v>
      </c>
      <c r="C2768" s="1" t="s">
        <v>38</v>
      </c>
      <c r="D2768" s="1" t="s">
        <v>39</v>
      </c>
      <c r="E2768" s="1">
        <v>3131</v>
      </c>
      <c r="F2768" s="1" t="s">
        <v>9184</v>
      </c>
      <c r="G2768" s="1" t="s">
        <v>9185</v>
      </c>
      <c r="H2768" s="1" t="s">
        <v>9186</v>
      </c>
      <c r="I2768" s="1" t="s">
        <v>29</v>
      </c>
      <c r="J2768" s="1" t="s">
        <v>9187</v>
      </c>
      <c r="K2768" s="1" t="b">
        <v>0</v>
      </c>
      <c r="L2768" s="1" t="s">
        <v>22</v>
      </c>
      <c r="M2768" s="1">
        <v>2023</v>
      </c>
      <c r="N2768" s="1" t="s">
        <v>45</v>
      </c>
      <c r="O2768" s="1" t="s">
        <v>9956</v>
      </c>
      <c r="P2768" s="1" t="s">
        <v>16</v>
      </c>
      <c r="Q2768" s="1">
        <v>0</v>
      </c>
      <c r="R2768" s="1">
        <v>40000</v>
      </c>
      <c r="S2768" s="1">
        <v>0</v>
      </c>
    </row>
    <row r="2769" spans="1:19" ht="12.5" x14ac:dyDescent="0.25">
      <c r="A2769" s="1">
        <v>4653</v>
      </c>
      <c r="B2769" s="1" t="s">
        <v>9188</v>
      </c>
      <c r="C2769" s="1" t="s">
        <v>38</v>
      </c>
      <c r="D2769" s="1" t="s">
        <v>5701</v>
      </c>
      <c r="E2769" s="1">
        <v>3131</v>
      </c>
      <c r="F2769" s="1" t="s">
        <v>9184</v>
      </c>
      <c r="G2769" s="1" t="s">
        <v>9185</v>
      </c>
      <c r="H2769" s="1" t="s">
        <v>9186</v>
      </c>
      <c r="I2769" s="1" t="s">
        <v>29</v>
      </c>
      <c r="J2769" s="1" t="s">
        <v>9187</v>
      </c>
      <c r="K2769" s="1" t="b">
        <v>0</v>
      </c>
      <c r="L2769" s="1" t="s">
        <v>22</v>
      </c>
      <c r="M2769" s="1">
        <v>2023</v>
      </c>
      <c r="N2769" s="1" t="s">
        <v>45</v>
      </c>
      <c r="O2769" s="1" t="s">
        <v>9956</v>
      </c>
      <c r="P2769" s="1" t="s">
        <v>16</v>
      </c>
      <c r="Q2769" s="1">
        <v>100</v>
      </c>
      <c r="R2769" s="1">
        <v>40000</v>
      </c>
      <c r="S2769" s="1">
        <v>40000</v>
      </c>
    </row>
    <row r="2770" spans="1:19" ht="12.5" x14ac:dyDescent="0.25">
      <c r="A2770" s="1">
        <v>2226</v>
      </c>
      <c r="B2770" s="1" t="s">
        <v>7151</v>
      </c>
      <c r="C2770" s="1" t="s">
        <v>38</v>
      </c>
      <c r="D2770" s="1" t="s">
        <v>5701</v>
      </c>
      <c r="E2770" s="1">
        <v>3132</v>
      </c>
      <c r="F2770" s="1" t="s">
        <v>9189</v>
      </c>
      <c r="G2770" s="1" t="s">
        <v>9190</v>
      </c>
      <c r="H2770" s="1" t="s">
        <v>9191</v>
      </c>
      <c r="I2770" s="1" t="s">
        <v>29</v>
      </c>
      <c r="J2770" s="1" t="s">
        <v>9192</v>
      </c>
      <c r="K2770" s="1" t="b">
        <v>0</v>
      </c>
      <c r="L2770" s="1" t="s">
        <v>22</v>
      </c>
      <c r="M2770" s="1">
        <v>2023</v>
      </c>
      <c r="N2770" s="1" t="s">
        <v>45</v>
      </c>
      <c r="O2770" s="1" t="s">
        <v>9956</v>
      </c>
      <c r="P2770" s="1" t="s">
        <v>16</v>
      </c>
      <c r="Q2770" s="1">
        <v>100</v>
      </c>
      <c r="R2770" s="1">
        <v>80000</v>
      </c>
      <c r="S2770" s="1">
        <v>80000</v>
      </c>
    </row>
    <row r="2771" spans="1:19" ht="12.5" x14ac:dyDescent="0.25">
      <c r="A2771" s="1">
        <v>1111</v>
      </c>
      <c r="B2771" s="1" t="s">
        <v>9193</v>
      </c>
      <c r="C2771" s="1" t="s">
        <v>35</v>
      </c>
      <c r="D2771" s="1" t="s">
        <v>152</v>
      </c>
      <c r="E2771" s="1">
        <v>3133</v>
      </c>
      <c r="F2771" s="1" t="s">
        <v>9195</v>
      </c>
      <c r="G2771" s="1" t="s">
        <v>9196</v>
      </c>
      <c r="H2771" s="1" t="s">
        <v>9197</v>
      </c>
      <c r="I2771" s="1" t="s">
        <v>29</v>
      </c>
      <c r="J2771" s="1" t="s">
        <v>9198</v>
      </c>
      <c r="K2771" s="1" t="b">
        <v>0</v>
      </c>
      <c r="L2771" s="1" t="s">
        <v>22</v>
      </c>
      <c r="M2771" s="1">
        <v>2022</v>
      </c>
      <c r="N2771" s="1" t="s">
        <v>45</v>
      </c>
      <c r="O2771" s="1" t="s">
        <v>9956</v>
      </c>
      <c r="P2771" s="1" t="s">
        <v>10085</v>
      </c>
      <c r="Q2771" s="1">
        <v>100</v>
      </c>
      <c r="R2771" s="1">
        <v>10000</v>
      </c>
      <c r="S2771" s="1">
        <v>10000</v>
      </c>
    </row>
    <row r="2772" spans="1:19" ht="12.5" x14ac:dyDescent="0.25">
      <c r="A2772" s="1">
        <v>1137</v>
      </c>
      <c r="B2772" s="1" t="s">
        <v>9199</v>
      </c>
      <c r="C2772" s="1" t="s">
        <v>35</v>
      </c>
      <c r="D2772" s="1" t="s">
        <v>152</v>
      </c>
      <c r="E2772" s="1">
        <v>3134</v>
      </c>
      <c r="F2772" s="1" t="s">
        <v>9201</v>
      </c>
      <c r="G2772" s="1" t="s">
        <v>9202</v>
      </c>
      <c r="H2772" s="1" t="s">
        <v>9203</v>
      </c>
      <c r="I2772" s="1" t="s">
        <v>29</v>
      </c>
      <c r="J2772" s="1" t="s">
        <v>9204</v>
      </c>
      <c r="K2772" s="1" t="b">
        <v>0</v>
      </c>
      <c r="L2772" s="1" t="s">
        <v>22</v>
      </c>
      <c r="M2772" s="1">
        <v>2022</v>
      </c>
      <c r="N2772" s="1" t="s">
        <v>52</v>
      </c>
      <c r="O2772" s="1" t="s">
        <v>9935</v>
      </c>
      <c r="P2772" s="1" t="s">
        <v>10085</v>
      </c>
      <c r="Q2772" s="1">
        <v>100</v>
      </c>
      <c r="R2772" s="1">
        <v>2000</v>
      </c>
      <c r="S2772" s="1">
        <v>2000</v>
      </c>
    </row>
    <row r="2773" spans="1:19" ht="12.5" x14ac:dyDescent="0.25">
      <c r="A2773" s="1">
        <v>977</v>
      </c>
      <c r="B2773" s="1" t="s">
        <v>7310</v>
      </c>
      <c r="C2773" s="1" t="s">
        <v>35</v>
      </c>
      <c r="D2773" s="1" t="s">
        <v>152</v>
      </c>
      <c r="E2773" s="1">
        <v>3135</v>
      </c>
      <c r="F2773" s="1" t="s">
        <v>9205</v>
      </c>
      <c r="G2773" s="1" t="s">
        <v>9206</v>
      </c>
      <c r="H2773" s="1" t="s">
        <v>16</v>
      </c>
      <c r="I2773" s="1" t="s">
        <v>29</v>
      </c>
      <c r="J2773" s="1" t="s">
        <v>9207</v>
      </c>
      <c r="K2773" s="1" t="b">
        <v>0</v>
      </c>
      <c r="L2773" s="1" t="s">
        <v>22</v>
      </c>
      <c r="M2773" s="1">
        <v>2023</v>
      </c>
      <c r="N2773" s="1" t="s">
        <v>32</v>
      </c>
      <c r="O2773" s="1" t="s">
        <v>9940</v>
      </c>
      <c r="P2773" s="1" t="s">
        <v>16</v>
      </c>
      <c r="Q2773" s="1">
        <v>100</v>
      </c>
      <c r="R2773" s="1">
        <v>150000</v>
      </c>
      <c r="S2773" s="1">
        <v>150000</v>
      </c>
    </row>
    <row r="2774" spans="1:19" ht="12.5" x14ac:dyDescent="0.25">
      <c r="A2774" s="1">
        <v>1376</v>
      </c>
      <c r="B2774" s="1" t="s">
        <v>9208</v>
      </c>
      <c r="C2774" s="1" t="s">
        <v>35</v>
      </c>
      <c r="D2774" s="1" t="s">
        <v>152</v>
      </c>
      <c r="E2774" s="1">
        <v>3136</v>
      </c>
      <c r="F2774" s="1" t="s">
        <v>9210</v>
      </c>
      <c r="G2774" s="1" t="s">
        <v>9211</v>
      </c>
      <c r="H2774" s="1" t="s">
        <v>9212</v>
      </c>
      <c r="I2774" s="1" t="s">
        <v>29</v>
      </c>
      <c r="J2774" s="1" t="s">
        <v>16</v>
      </c>
      <c r="K2774" s="1" t="b">
        <v>0</v>
      </c>
      <c r="L2774" s="1" t="s">
        <v>22</v>
      </c>
      <c r="M2774" s="1">
        <v>2023</v>
      </c>
      <c r="N2774" s="1" t="s">
        <v>45</v>
      </c>
      <c r="O2774" s="1" t="s">
        <v>9935</v>
      </c>
      <c r="P2774" s="1" t="s">
        <v>10105</v>
      </c>
      <c r="Q2774" s="1">
        <v>100</v>
      </c>
      <c r="R2774" s="1">
        <v>15000</v>
      </c>
      <c r="S2774" s="1">
        <v>15000</v>
      </c>
    </row>
    <row r="2775" spans="1:19" ht="12.5" x14ac:dyDescent="0.25">
      <c r="A2775" s="1">
        <v>946</v>
      </c>
      <c r="B2775" s="1" t="s">
        <v>3338</v>
      </c>
      <c r="C2775" s="1" t="s">
        <v>35</v>
      </c>
      <c r="D2775" s="1" t="s">
        <v>152</v>
      </c>
      <c r="E2775" s="1">
        <v>3137</v>
      </c>
      <c r="F2775" s="1" t="s">
        <v>9213</v>
      </c>
      <c r="G2775" s="1" t="s">
        <v>9214</v>
      </c>
      <c r="H2775" s="1" t="s">
        <v>9215</v>
      </c>
      <c r="I2775" s="1" t="s">
        <v>29</v>
      </c>
      <c r="J2775" s="1" t="s">
        <v>16</v>
      </c>
      <c r="K2775" s="1" t="b">
        <v>0</v>
      </c>
      <c r="L2775" s="1" t="s">
        <v>22</v>
      </c>
      <c r="M2775" s="1" t="s">
        <v>16</v>
      </c>
      <c r="N2775" s="1" t="s">
        <v>16</v>
      </c>
      <c r="O2775" s="1" t="s">
        <v>16</v>
      </c>
      <c r="P2775" s="1" t="s">
        <v>16</v>
      </c>
      <c r="Q2775" s="1">
        <v>100</v>
      </c>
    </row>
    <row r="2776" spans="1:19" ht="12.5" x14ac:dyDescent="0.25">
      <c r="A2776" s="1">
        <v>534</v>
      </c>
      <c r="B2776" s="1" t="s">
        <v>2195</v>
      </c>
      <c r="C2776" s="1" t="s">
        <v>35</v>
      </c>
      <c r="D2776" s="1" t="s">
        <v>36</v>
      </c>
      <c r="E2776" s="1">
        <v>3138</v>
      </c>
      <c r="F2776" s="1" t="s">
        <v>9216</v>
      </c>
      <c r="G2776" s="1" t="s">
        <v>9217</v>
      </c>
      <c r="H2776" s="1" t="s">
        <v>9218</v>
      </c>
      <c r="I2776" s="1" t="s">
        <v>29</v>
      </c>
      <c r="J2776" s="1" t="s">
        <v>16</v>
      </c>
      <c r="K2776" s="1" t="b">
        <v>0</v>
      </c>
      <c r="L2776" s="1" t="s">
        <v>22</v>
      </c>
      <c r="M2776" s="1" t="s">
        <v>16</v>
      </c>
      <c r="N2776" s="1" t="s">
        <v>16</v>
      </c>
      <c r="O2776" s="1" t="s">
        <v>16</v>
      </c>
      <c r="P2776" s="1" t="s">
        <v>16</v>
      </c>
      <c r="Q2776" s="1">
        <v>100</v>
      </c>
    </row>
    <row r="2777" spans="1:19" ht="12.5" x14ac:dyDescent="0.25">
      <c r="A2777" s="1" t="s">
        <v>16</v>
      </c>
      <c r="B2777" s="1" t="s">
        <v>16</v>
      </c>
      <c r="C2777" s="1" t="s">
        <v>16</v>
      </c>
      <c r="D2777" s="1" t="s">
        <v>16</v>
      </c>
      <c r="E2777" s="1">
        <v>3139</v>
      </c>
      <c r="F2777" s="1" t="s">
        <v>9219</v>
      </c>
      <c r="G2777" s="1" t="s">
        <v>9220</v>
      </c>
      <c r="H2777" s="1" t="s">
        <v>16</v>
      </c>
      <c r="I2777" s="1" t="s">
        <v>20</v>
      </c>
      <c r="J2777" s="1" t="s">
        <v>9221</v>
      </c>
      <c r="K2777" s="1" t="b">
        <v>0</v>
      </c>
      <c r="L2777" s="1" t="s">
        <v>22</v>
      </c>
      <c r="M2777" s="1" t="s">
        <v>16</v>
      </c>
      <c r="N2777" s="1" t="s">
        <v>16</v>
      </c>
      <c r="O2777" s="1" t="s">
        <v>16</v>
      </c>
      <c r="P2777" s="1" t="s">
        <v>16</v>
      </c>
    </row>
    <row r="2778" spans="1:19" ht="12.5" x14ac:dyDescent="0.25">
      <c r="A2778" s="1">
        <v>1110</v>
      </c>
      <c r="B2778" s="1" t="s">
        <v>9222</v>
      </c>
      <c r="C2778" s="1" t="s">
        <v>35</v>
      </c>
      <c r="D2778" s="1" t="s">
        <v>152</v>
      </c>
      <c r="E2778" s="1">
        <v>3140</v>
      </c>
      <c r="F2778" s="1" t="s">
        <v>9224</v>
      </c>
      <c r="G2778" s="1" t="s">
        <v>9225</v>
      </c>
      <c r="H2778" s="1" t="s">
        <v>9226</v>
      </c>
      <c r="I2778" s="1" t="s">
        <v>29</v>
      </c>
      <c r="J2778" s="1" t="s">
        <v>9227</v>
      </c>
      <c r="K2778" s="1" t="b">
        <v>0</v>
      </c>
      <c r="L2778" s="1" t="s">
        <v>22</v>
      </c>
      <c r="M2778" s="1">
        <v>2022</v>
      </c>
      <c r="N2778" s="1" t="s">
        <v>45</v>
      </c>
      <c r="O2778" s="1" t="s">
        <v>9935</v>
      </c>
      <c r="P2778" s="1" t="s">
        <v>10085</v>
      </c>
      <c r="Q2778" s="1">
        <v>100</v>
      </c>
      <c r="R2778" s="1">
        <v>20000</v>
      </c>
      <c r="S2778" s="1">
        <v>20000</v>
      </c>
    </row>
    <row r="2779" spans="1:19" ht="12.5" x14ac:dyDescent="0.25">
      <c r="A2779" s="1">
        <v>1340</v>
      </c>
      <c r="B2779" s="1" t="s">
        <v>9228</v>
      </c>
      <c r="C2779" s="1" t="s">
        <v>35</v>
      </c>
      <c r="D2779" s="1" t="s">
        <v>152</v>
      </c>
      <c r="E2779" s="1">
        <v>3141</v>
      </c>
      <c r="F2779" s="1" t="s">
        <v>9230</v>
      </c>
      <c r="G2779" s="1" t="s">
        <v>9231</v>
      </c>
      <c r="H2779" s="1" t="s">
        <v>9232</v>
      </c>
      <c r="I2779" s="1" t="s">
        <v>29</v>
      </c>
      <c r="J2779" s="1" t="s">
        <v>16</v>
      </c>
      <c r="K2779" s="1" t="b">
        <v>0</v>
      </c>
      <c r="L2779" s="1" t="s">
        <v>22</v>
      </c>
      <c r="M2779" s="1" t="s">
        <v>16</v>
      </c>
      <c r="N2779" s="1" t="s">
        <v>16</v>
      </c>
      <c r="O2779" s="1" t="s">
        <v>16</v>
      </c>
      <c r="P2779" s="1" t="s">
        <v>16</v>
      </c>
      <c r="Q2779" s="1">
        <v>100</v>
      </c>
    </row>
    <row r="2780" spans="1:19" ht="12.5" x14ac:dyDescent="0.25">
      <c r="A2780" s="1">
        <v>1166</v>
      </c>
      <c r="B2780" s="1" t="s">
        <v>9233</v>
      </c>
      <c r="C2780" s="1" t="s">
        <v>35</v>
      </c>
      <c r="D2780" s="1" t="s">
        <v>152</v>
      </c>
      <c r="E2780" s="1">
        <v>3142</v>
      </c>
      <c r="F2780" s="1" t="s">
        <v>9235</v>
      </c>
      <c r="G2780" s="1" t="s">
        <v>9236</v>
      </c>
      <c r="H2780" s="1" t="s">
        <v>9237</v>
      </c>
      <c r="I2780" s="1" t="s">
        <v>29</v>
      </c>
      <c r="J2780" s="1" t="s">
        <v>16</v>
      </c>
      <c r="K2780" s="1" t="b">
        <v>0</v>
      </c>
      <c r="L2780" s="1" t="s">
        <v>22</v>
      </c>
      <c r="M2780" s="1" t="s">
        <v>16</v>
      </c>
      <c r="N2780" s="1" t="s">
        <v>16</v>
      </c>
      <c r="O2780" s="1" t="s">
        <v>16</v>
      </c>
      <c r="P2780" s="1" t="s">
        <v>16</v>
      </c>
      <c r="Q2780" s="1">
        <v>100</v>
      </c>
    </row>
    <row r="2781" spans="1:19" ht="12.5" x14ac:dyDescent="0.25">
      <c r="A2781" s="1">
        <v>1049</v>
      </c>
      <c r="B2781" s="1" t="s">
        <v>9238</v>
      </c>
      <c r="C2781" s="1" t="s">
        <v>35</v>
      </c>
      <c r="D2781" s="1" t="s">
        <v>152</v>
      </c>
      <c r="E2781" s="1">
        <v>3143</v>
      </c>
      <c r="F2781" s="1" t="s">
        <v>9239</v>
      </c>
      <c r="G2781" s="1" t="s">
        <v>9240</v>
      </c>
      <c r="H2781" s="1" t="s">
        <v>9241</v>
      </c>
      <c r="I2781" s="1" t="s">
        <v>29</v>
      </c>
      <c r="J2781" s="1" t="s">
        <v>16</v>
      </c>
      <c r="K2781" s="1" t="b">
        <v>0</v>
      </c>
      <c r="L2781" s="1" t="s">
        <v>22</v>
      </c>
      <c r="M2781" s="1" t="s">
        <v>16</v>
      </c>
      <c r="N2781" s="1" t="s">
        <v>16</v>
      </c>
      <c r="O2781" s="1" t="s">
        <v>16</v>
      </c>
      <c r="P2781" s="1" t="s">
        <v>16</v>
      </c>
      <c r="Q2781" s="1">
        <v>100</v>
      </c>
    </row>
    <row r="2782" spans="1:19" ht="12.5" x14ac:dyDescent="0.25">
      <c r="A2782" s="1">
        <v>886</v>
      </c>
      <c r="B2782" s="1" t="s">
        <v>9242</v>
      </c>
      <c r="C2782" s="1" t="s">
        <v>35</v>
      </c>
      <c r="D2782" s="1" t="s">
        <v>152</v>
      </c>
      <c r="E2782" s="1">
        <v>3144</v>
      </c>
      <c r="F2782" s="1" t="s">
        <v>9244</v>
      </c>
      <c r="G2782" s="1" t="s">
        <v>9245</v>
      </c>
      <c r="H2782" s="1" t="s">
        <v>9246</v>
      </c>
      <c r="I2782" s="1" t="s">
        <v>29</v>
      </c>
      <c r="J2782" s="1" t="s">
        <v>16</v>
      </c>
      <c r="K2782" s="1" t="b">
        <v>0</v>
      </c>
      <c r="L2782" s="1" t="s">
        <v>22</v>
      </c>
      <c r="M2782" s="1">
        <v>2023</v>
      </c>
      <c r="N2782" s="1" t="s">
        <v>32</v>
      </c>
      <c r="O2782" s="1" t="s">
        <v>9935</v>
      </c>
      <c r="P2782" s="1" t="s">
        <v>10106</v>
      </c>
      <c r="Q2782" s="1">
        <v>100</v>
      </c>
      <c r="R2782" s="1">
        <v>400000</v>
      </c>
      <c r="S2782" s="1">
        <v>400000</v>
      </c>
    </row>
    <row r="2783" spans="1:19" ht="12.5" x14ac:dyDescent="0.25">
      <c r="A2783" s="1" t="s">
        <v>16</v>
      </c>
      <c r="B2783" s="1" t="s">
        <v>16</v>
      </c>
      <c r="C2783" s="1" t="s">
        <v>16</v>
      </c>
      <c r="D2783" s="1" t="s">
        <v>16</v>
      </c>
      <c r="E2783" s="1">
        <v>3145</v>
      </c>
      <c r="F2783" s="1" t="s">
        <v>9247</v>
      </c>
      <c r="G2783" s="1" t="s">
        <v>9248</v>
      </c>
      <c r="H2783" s="1" t="s">
        <v>16</v>
      </c>
      <c r="I2783" s="1" t="s">
        <v>20</v>
      </c>
      <c r="J2783" s="1" t="s">
        <v>9249</v>
      </c>
      <c r="K2783" s="1" t="b">
        <v>0</v>
      </c>
      <c r="L2783" s="1" t="s">
        <v>22</v>
      </c>
      <c r="M2783" s="1" t="s">
        <v>16</v>
      </c>
      <c r="N2783" s="1" t="s">
        <v>16</v>
      </c>
      <c r="O2783" s="1" t="s">
        <v>16</v>
      </c>
      <c r="P2783" s="1" t="s">
        <v>16</v>
      </c>
    </row>
    <row r="2784" spans="1:19" ht="12.5" x14ac:dyDescent="0.25">
      <c r="A2784" s="1" t="s">
        <v>16</v>
      </c>
      <c r="B2784" s="1" t="s">
        <v>16</v>
      </c>
      <c r="C2784" s="1" t="s">
        <v>16</v>
      </c>
      <c r="D2784" s="1" t="s">
        <v>16</v>
      </c>
      <c r="E2784" s="1">
        <v>3146</v>
      </c>
      <c r="F2784" s="1" t="s">
        <v>9250</v>
      </c>
      <c r="G2784" s="1" t="s">
        <v>9251</v>
      </c>
      <c r="H2784" s="1" t="s">
        <v>16</v>
      </c>
      <c r="I2784" s="1" t="s">
        <v>20</v>
      </c>
      <c r="J2784" s="1" t="s">
        <v>9252</v>
      </c>
      <c r="K2784" s="1" t="b">
        <v>0</v>
      </c>
      <c r="L2784" s="1" t="s">
        <v>22</v>
      </c>
      <c r="M2784" s="1" t="s">
        <v>16</v>
      </c>
      <c r="N2784" s="1" t="s">
        <v>16</v>
      </c>
      <c r="O2784" s="1" t="s">
        <v>16</v>
      </c>
      <c r="P2784" s="1" t="s">
        <v>16</v>
      </c>
    </row>
    <row r="2785" spans="1:16" ht="12.5" x14ac:dyDescent="0.25">
      <c r="A2785" s="1" t="s">
        <v>16</v>
      </c>
      <c r="B2785" s="1" t="s">
        <v>16</v>
      </c>
      <c r="C2785" s="1" t="s">
        <v>16</v>
      </c>
      <c r="D2785" s="1" t="s">
        <v>16</v>
      </c>
      <c r="E2785" s="1">
        <v>3147</v>
      </c>
      <c r="F2785" s="1" t="s">
        <v>9253</v>
      </c>
      <c r="G2785" s="1" t="s">
        <v>9254</v>
      </c>
      <c r="H2785" s="1" t="s">
        <v>16</v>
      </c>
      <c r="I2785" s="1" t="s">
        <v>20</v>
      </c>
      <c r="J2785" s="1" t="s">
        <v>9255</v>
      </c>
      <c r="K2785" s="1" t="b">
        <v>0</v>
      </c>
      <c r="L2785" s="1" t="s">
        <v>22</v>
      </c>
      <c r="M2785" s="1" t="s">
        <v>16</v>
      </c>
      <c r="N2785" s="1" t="s">
        <v>16</v>
      </c>
      <c r="O2785" s="1" t="s">
        <v>16</v>
      </c>
      <c r="P2785" s="1" t="s">
        <v>16</v>
      </c>
    </row>
    <row r="2786" spans="1:16" ht="12.5" x14ac:dyDescent="0.25">
      <c r="A2786" s="1" t="s">
        <v>16</v>
      </c>
      <c r="B2786" s="1" t="s">
        <v>16</v>
      </c>
      <c r="C2786" s="1" t="s">
        <v>16</v>
      </c>
      <c r="D2786" s="1" t="s">
        <v>16</v>
      </c>
      <c r="E2786" s="1">
        <v>3148</v>
      </c>
      <c r="F2786" s="1" t="s">
        <v>9256</v>
      </c>
      <c r="G2786" s="1" t="s">
        <v>9257</v>
      </c>
      <c r="H2786" s="1" t="s">
        <v>16</v>
      </c>
      <c r="I2786" s="1" t="s">
        <v>20</v>
      </c>
      <c r="J2786" s="1" t="s">
        <v>9258</v>
      </c>
      <c r="K2786" s="1" t="b">
        <v>0</v>
      </c>
      <c r="L2786" s="1" t="s">
        <v>22</v>
      </c>
      <c r="M2786" s="1" t="s">
        <v>16</v>
      </c>
      <c r="N2786" s="1" t="s">
        <v>16</v>
      </c>
      <c r="O2786" s="1" t="s">
        <v>16</v>
      </c>
      <c r="P2786" s="1" t="s">
        <v>16</v>
      </c>
    </row>
    <row r="2787" spans="1:16" ht="12.5" x14ac:dyDescent="0.25">
      <c r="A2787" s="1" t="s">
        <v>16</v>
      </c>
      <c r="B2787" s="1" t="s">
        <v>16</v>
      </c>
      <c r="C2787" s="1" t="s">
        <v>16</v>
      </c>
      <c r="D2787" s="1" t="s">
        <v>16</v>
      </c>
      <c r="E2787" s="1">
        <v>3149</v>
      </c>
      <c r="F2787" s="1" t="s">
        <v>9259</v>
      </c>
      <c r="G2787" s="1" t="s">
        <v>9260</v>
      </c>
      <c r="H2787" s="1" t="s">
        <v>16</v>
      </c>
      <c r="I2787" s="1" t="s">
        <v>20</v>
      </c>
      <c r="J2787" s="1" t="s">
        <v>9261</v>
      </c>
      <c r="K2787" s="1" t="b">
        <v>0</v>
      </c>
      <c r="L2787" s="1" t="s">
        <v>22</v>
      </c>
      <c r="M2787" s="1" t="s">
        <v>16</v>
      </c>
      <c r="N2787" s="1" t="s">
        <v>16</v>
      </c>
      <c r="O2787" s="1" t="s">
        <v>16</v>
      </c>
      <c r="P2787" s="1" t="s">
        <v>16</v>
      </c>
    </row>
    <row r="2788" spans="1:16" ht="12.5" x14ac:dyDescent="0.25">
      <c r="A2788" s="1" t="s">
        <v>16</v>
      </c>
      <c r="B2788" s="1" t="s">
        <v>16</v>
      </c>
      <c r="C2788" s="1" t="s">
        <v>16</v>
      </c>
      <c r="D2788" s="1" t="s">
        <v>16</v>
      </c>
      <c r="E2788" s="1">
        <v>3150</v>
      </c>
      <c r="F2788" s="1" t="s">
        <v>9262</v>
      </c>
      <c r="G2788" s="1" t="s">
        <v>9263</v>
      </c>
      <c r="H2788" s="1" t="s">
        <v>16</v>
      </c>
      <c r="I2788" s="1" t="s">
        <v>20</v>
      </c>
      <c r="J2788" s="1" t="s">
        <v>9264</v>
      </c>
      <c r="K2788" s="1" t="b">
        <v>0</v>
      </c>
      <c r="L2788" s="1" t="s">
        <v>22</v>
      </c>
      <c r="M2788" s="1" t="s">
        <v>16</v>
      </c>
      <c r="N2788" s="1" t="s">
        <v>16</v>
      </c>
      <c r="O2788" s="1" t="s">
        <v>16</v>
      </c>
      <c r="P2788" s="1" t="s">
        <v>16</v>
      </c>
    </row>
    <row r="2789" spans="1:16" ht="12.5" x14ac:dyDescent="0.25">
      <c r="A2789" s="1" t="s">
        <v>16</v>
      </c>
      <c r="B2789" s="1" t="s">
        <v>16</v>
      </c>
      <c r="C2789" s="1" t="s">
        <v>16</v>
      </c>
      <c r="D2789" s="1" t="s">
        <v>16</v>
      </c>
      <c r="E2789" s="1">
        <v>3151</v>
      </c>
      <c r="F2789" s="1" t="s">
        <v>9265</v>
      </c>
      <c r="G2789" s="1" t="s">
        <v>9266</v>
      </c>
      <c r="H2789" s="1" t="s">
        <v>16</v>
      </c>
      <c r="I2789" s="1" t="s">
        <v>20</v>
      </c>
      <c r="J2789" s="1" t="s">
        <v>9267</v>
      </c>
      <c r="K2789" s="1" t="b">
        <v>0</v>
      </c>
      <c r="L2789" s="1" t="s">
        <v>22</v>
      </c>
      <c r="M2789" s="1" t="s">
        <v>16</v>
      </c>
      <c r="N2789" s="1" t="s">
        <v>16</v>
      </c>
      <c r="O2789" s="1" t="s">
        <v>16</v>
      </c>
      <c r="P2789" s="1" t="s">
        <v>16</v>
      </c>
    </row>
    <row r="2790" spans="1:16" ht="12.5" x14ac:dyDescent="0.25">
      <c r="A2790" s="1" t="s">
        <v>16</v>
      </c>
      <c r="B2790" s="1" t="s">
        <v>16</v>
      </c>
      <c r="C2790" s="1" t="s">
        <v>16</v>
      </c>
      <c r="D2790" s="1" t="s">
        <v>16</v>
      </c>
      <c r="E2790" s="1">
        <v>3152</v>
      </c>
      <c r="F2790" s="1" t="s">
        <v>9268</v>
      </c>
      <c r="G2790" s="1" t="s">
        <v>9269</v>
      </c>
      <c r="H2790" s="1" t="s">
        <v>16</v>
      </c>
      <c r="I2790" s="1" t="s">
        <v>20</v>
      </c>
      <c r="J2790" s="1" t="s">
        <v>9270</v>
      </c>
      <c r="K2790" s="1" t="b">
        <v>0</v>
      </c>
      <c r="L2790" s="1" t="s">
        <v>22</v>
      </c>
      <c r="M2790" s="1" t="s">
        <v>16</v>
      </c>
      <c r="N2790" s="1" t="s">
        <v>16</v>
      </c>
      <c r="O2790" s="1" t="s">
        <v>16</v>
      </c>
      <c r="P2790" s="1" t="s">
        <v>16</v>
      </c>
    </row>
    <row r="2791" spans="1:16" ht="12.5" x14ac:dyDescent="0.25">
      <c r="A2791" s="1" t="s">
        <v>16</v>
      </c>
      <c r="B2791" s="1" t="s">
        <v>16</v>
      </c>
      <c r="C2791" s="1" t="s">
        <v>16</v>
      </c>
      <c r="D2791" s="1" t="s">
        <v>16</v>
      </c>
      <c r="E2791" s="1">
        <v>3153</v>
      </c>
      <c r="F2791" s="1" t="s">
        <v>9271</v>
      </c>
      <c r="G2791" s="1" t="s">
        <v>9272</v>
      </c>
      <c r="H2791" s="1" t="s">
        <v>16</v>
      </c>
      <c r="I2791" s="1" t="s">
        <v>20</v>
      </c>
      <c r="J2791" s="1" t="s">
        <v>9273</v>
      </c>
      <c r="K2791" s="1" t="b">
        <v>0</v>
      </c>
      <c r="L2791" s="1" t="s">
        <v>22</v>
      </c>
      <c r="M2791" s="1" t="s">
        <v>16</v>
      </c>
      <c r="N2791" s="1" t="s">
        <v>16</v>
      </c>
      <c r="O2791" s="1" t="s">
        <v>16</v>
      </c>
      <c r="P2791" s="1" t="s">
        <v>16</v>
      </c>
    </row>
    <row r="2792" spans="1:16" ht="12.5" x14ac:dyDescent="0.25">
      <c r="A2792" s="1" t="s">
        <v>16</v>
      </c>
      <c r="B2792" s="1" t="s">
        <v>16</v>
      </c>
      <c r="C2792" s="1" t="s">
        <v>16</v>
      </c>
      <c r="D2792" s="1" t="s">
        <v>16</v>
      </c>
      <c r="E2792" s="1">
        <v>3154</v>
      </c>
      <c r="F2792" s="1" t="s">
        <v>9274</v>
      </c>
      <c r="G2792" s="1" t="s">
        <v>9275</v>
      </c>
      <c r="H2792" s="1" t="s">
        <v>16</v>
      </c>
      <c r="I2792" s="1" t="s">
        <v>20</v>
      </c>
      <c r="J2792" s="1" t="s">
        <v>9276</v>
      </c>
      <c r="K2792" s="1" t="b">
        <v>0</v>
      </c>
      <c r="L2792" s="1" t="s">
        <v>22</v>
      </c>
      <c r="M2792" s="1" t="s">
        <v>16</v>
      </c>
      <c r="N2792" s="1" t="s">
        <v>16</v>
      </c>
      <c r="O2792" s="1" t="s">
        <v>16</v>
      </c>
      <c r="P2792" s="1" t="s">
        <v>16</v>
      </c>
    </row>
    <row r="2793" spans="1:16" ht="12.5" x14ac:dyDescent="0.25">
      <c r="A2793" s="1" t="s">
        <v>16</v>
      </c>
      <c r="B2793" s="1" t="s">
        <v>16</v>
      </c>
      <c r="C2793" s="1" t="s">
        <v>16</v>
      </c>
      <c r="D2793" s="1" t="s">
        <v>16</v>
      </c>
      <c r="E2793" s="1">
        <v>3155</v>
      </c>
      <c r="F2793" s="1" t="s">
        <v>9277</v>
      </c>
      <c r="G2793" s="1" t="s">
        <v>9278</v>
      </c>
      <c r="H2793" s="1" t="s">
        <v>16</v>
      </c>
      <c r="I2793" s="1" t="s">
        <v>20</v>
      </c>
      <c r="J2793" s="1" t="s">
        <v>9279</v>
      </c>
      <c r="K2793" s="1" t="b">
        <v>0</v>
      </c>
      <c r="L2793" s="1" t="s">
        <v>22</v>
      </c>
      <c r="M2793" s="1" t="s">
        <v>16</v>
      </c>
      <c r="N2793" s="1" t="s">
        <v>16</v>
      </c>
      <c r="O2793" s="1" t="s">
        <v>16</v>
      </c>
      <c r="P2793" s="1" t="s">
        <v>16</v>
      </c>
    </row>
    <row r="2794" spans="1:16" ht="12.5" x14ac:dyDescent="0.25">
      <c r="A2794" s="1" t="s">
        <v>16</v>
      </c>
      <c r="B2794" s="1" t="s">
        <v>16</v>
      </c>
      <c r="C2794" s="1" t="s">
        <v>16</v>
      </c>
      <c r="D2794" s="1" t="s">
        <v>16</v>
      </c>
      <c r="E2794" s="1">
        <v>3156</v>
      </c>
      <c r="F2794" s="1" t="s">
        <v>9280</v>
      </c>
      <c r="G2794" s="1" t="s">
        <v>9281</v>
      </c>
      <c r="H2794" s="1" t="s">
        <v>16</v>
      </c>
      <c r="I2794" s="1" t="s">
        <v>20</v>
      </c>
      <c r="J2794" s="1" t="s">
        <v>9282</v>
      </c>
      <c r="K2794" s="1" t="b">
        <v>0</v>
      </c>
      <c r="L2794" s="1" t="s">
        <v>22</v>
      </c>
      <c r="M2794" s="1" t="s">
        <v>16</v>
      </c>
      <c r="N2794" s="1" t="s">
        <v>16</v>
      </c>
      <c r="O2794" s="1" t="s">
        <v>16</v>
      </c>
      <c r="P2794" s="1" t="s">
        <v>16</v>
      </c>
    </row>
    <row r="2795" spans="1:16" ht="12.5" x14ac:dyDescent="0.25">
      <c r="A2795" s="1" t="s">
        <v>16</v>
      </c>
      <c r="B2795" s="1" t="s">
        <v>16</v>
      </c>
      <c r="C2795" s="1" t="s">
        <v>16</v>
      </c>
      <c r="D2795" s="1" t="s">
        <v>16</v>
      </c>
      <c r="E2795" s="1">
        <v>3157</v>
      </c>
      <c r="F2795" s="1" t="s">
        <v>9283</v>
      </c>
      <c r="G2795" s="1" t="s">
        <v>9284</v>
      </c>
      <c r="H2795" s="1" t="s">
        <v>16</v>
      </c>
      <c r="I2795" s="1" t="s">
        <v>20</v>
      </c>
      <c r="J2795" s="1" t="s">
        <v>9285</v>
      </c>
      <c r="K2795" s="1" t="b">
        <v>0</v>
      </c>
      <c r="L2795" s="1" t="s">
        <v>22</v>
      </c>
      <c r="M2795" s="1" t="s">
        <v>16</v>
      </c>
      <c r="N2795" s="1" t="s">
        <v>16</v>
      </c>
      <c r="O2795" s="1" t="s">
        <v>16</v>
      </c>
      <c r="P2795" s="1" t="s">
        <v>16</v>
      </c>
    </row>
    <row r="2796" spans="1:16" ht="12.5" x14ac:dyDescent="0.25">
      <c r="A2796" s="1" t="s">
        <v>16</v>
      </c>
      <c r="B2796" s="1" t="s">
        <v>16</v>
      </c>
      <c r="C2796" s="1" t="s">
        <v>16</v>
      </c>
      <c r="D2796" s="1" t="s">
        <v>16</v>
      </c>
      <c r="E2796" s="1">
        <v>3158</v>
      </c>
      <c r="F2796" s="1" t="s">
        <v>9286</v>
      </c>
      <c r="G2796" s="1" t="s">
        <v>9287</v>
      </c>
      <c r="H2796" s="1" t="s">
        <v>16</v>
      </c>
      <c r="I2796" s="1" t="s">
        <v>20</v>
      </c>
      <c r="J2796" s="1" t="s">
        <v>9288</v>
      </c>
      <c r="K2796" s="1" t="b">
        <v>0</v>
      </c>
      <c r="L2796" s="1" t="s">
        <v>22</v>
      </c>
      <c r="M2796" s="1" t="s">
        <v>16</v>
      </c>
      <c r="N2796" s="1" t="s">
        <v>16</v>
      </c>
      <c r="O2796" s="1" t="s">
        <v>16</v>
      </c>
      <c r="P2796" s="1" t="s">
        <v>16</v>
      </c>
    </row>
    <row r="2797" spans="1:16" ht="12.5" x14ac:dyDescent="0.25">
      <c r="A2797" s="1" t="s">
        <v>16</v>
      </c>
      <c r="B2797" s="1" t="s">
        <v>16</v>
      </c>
      <c r="C2797" s="1" t="s">
        <v>16</v>
      </c>
      <c r="D2797" s="1" t="s">
        <v>16</v>
      </c>
      <c r="E2797" s="1">
        <v>3159</v>
      </c>
      <c r="F2797" s="1" t="s">
        <v>9289</v>
      </c>
      <c r="G2797" s="1" t="s">
        <v>9290</v>
      </c>
      <c r="H2797" s="1" t="s">
        <v>16</v>
      </c>
      <c r="I2797" s="1" t="s">
        <v>20</v>
      </c>
      <c r="J2797" s="1" t="s">
        <v>9291</v>
      </c>
      <c r="K2797" s="1" t="b">
        <v>0</v>
      </c>
      <c r="L2797" s="1" t="s">
        <v>22</v>
      </c>
      <c r="M2797" s="1" t="s">
        <v>16</v>
      </c>
      <c r="N2797" s="1" t="s">
        <v>16</v>
      </c>
      <c r="O2797" s="1" t="s">
        <v>16</v>
      </c>
      <c r="P2797" s="1" t="s">
        <v>16</v>
      </c>
    </row>
    <row r="2798" spans="1:16" ht="12.5" x14ac:dyDescent="0.25">
      <c r="A2798" s="1" t="s">
        <v>16</v>
      </c>
      <c r="B2798" s="1" t="s">
        <v>16</v>
      </c>
      <c r="C2798" s="1" t="s">
        <v>16</v>
      </c>
      <c r="D2798" s="1" t="s">
        <v>16</v>
      </c>
      <c r="E2798" s="1">
        <v>3160</v>
      </c>
      <c r="F2798" s="1" t="s">
        <v>9292</v>
      </c>
      <c r="G2798" s="1" t="s">
        <v>9293</v>
      </c>
      <c r="H2798" s="1" t="s">
        <v>16</v>
      </c>
      <c r="I2798" s="1" t="s">
        <v>20</v>
      </c>
      <c r="J2798" s="1" t="s">
        <v>9294</v>
      </c>
      <c r="K2798" s="1" t="b">
        <v>0</v>
      </c>
      <c r="L2798" s="1" t="s">
        <v>22</v>
      </c>
      <c r="M2798" s="1" t="s">
        <v>16</v>
      </c>
      <c r="N2798" s="1" t="s">
        <v>16</v>
      </c>
      <c r="O2798" s="1" t="s">
        <v>16</v>
      </c>
      <c r="P2798" s="1" t="s">
        <v>16</v>
      </c>
    </row>
    <row r="2799" spans="1:16" ht="12.5" x14ac:dyDescent="0.25">
      <c r="A2799" s="1" t="s">
        <v>16</v>
      </c>
      <c r="B2799" s="1" t="s">
        <v>16</v>
      </c>
      <c r="C2799" s="1" t="s">
        <v>16</v>
      </c>
      <c r="D2799" s="1" t="s">
        <v>16</v>
      </c>
      <c r="E2799" s="1">
        <v>3161</v>
      </c>
      <c r="F2799" s="1" t="s">
        <v>9295</v>
      </c>
      <c r="G2799" s="1" t="s">
        <v>9296</v>
      </c>
      <c r="H2799" s="1" t="s">
        <v>16</v>
      </c>
      <c r="I2799" s="1" t="s">
        <v>20</v>
      </c>
      <c r="J2799" s="1" t="s">
        <v>9297</v>
      </c>
      <c r="K2799" s="1" t="b">
        <v>0</v>
      </c>
      <c r="L2799" s="1" t="s">
        <v>22</v>
      </c>
      <c r="M2799" s="1" t="s">
        <v>16</v>
      </c>
      <c r="N2799" s="1" t="s">
        <v>16</v>
      </c>
      <c r="O2799" s="1" t="s">
        <v>16</v>
      </c>
      <c r="P2799" s="1" t="s">
        <v>16</v>
      </c>
    </row>
    <row r="2800" spans="1:16" ht="12.5" x14ac:dyDescent="0.25">
      <c r="A2800" s="1" t="s">
        <v>16</v>
      </c>
      <c r="B2800" s="1" t="s">
        <v>16</v>
      </c>
      <c r="C2800" s="1" t="s">
        <v>16</v>
      </c>
      <c r="D2800" s="1" t="s">
        <v>16</v>
      </c>
      <c r="E2800" s="1">
        <v>3162</v>
      </c>
      <c r="F2800" s="1" t="s">
        <v>9298</v>
      </c>
      <c r="G2800" s="1" t="s">
        <v>9299</v>
      </c>
      <c r="H2800" s="1" t="s">
        <v>16</v>
      </c>
      <c r="I2800" s="1" t="s">
        <v>20</v>
      </c>
      <c r="J2800" s="1" t="s">
        <v>9300</v>
      </c>
      <c r="K2800" s="1" t="b">
        <v>0</v>
      </c>
      <c r="L2800" s="1" t="s">
        <v>22</v>
      </c>
      <c r="M2800" s="1" t="s">
        <v>16</v>
      </c>
      <c r="N2800" s="1" t="s">
        <v>16</v>
      </c>
      <c r="O2800" s="1" t="s">
        <v>16</v>
      </c>
      <c r="P2800" s="1" t="s">
        <v>16</v>
      </c>
    </row>
    <row r="2801" spans="1:19" ht="12.5" x14ac:dyDescent="0.25">
      <c r="A2801" s="1" t="s">
        <v>16</v>
      </c>
      <c r="B2801" s="1" t="s">
        <v>16</v>
      </c>
      <c r="C2801" s="1" t="s">
        <v>16</v>
      </c>
      <c r="D2801" s="1" t="s">
        <v>16</v>
      </c>
      <c r="E2801" s="1">
        <v>3163</v>
      </c>
      <c r="F2801" s="1" t="s">
        <v>9301</v>
      </c>
      <c r="G2801" s="1" t="s">
        <v>9302</v>
      </c>
      <c r="H2801" s="1" t="s">
        <v>16</v>
      </c>
      <c r="I2801" s="1" t="s">
        <v>20</v>
      </c>
      <c r="J2801" s="1" t="s">
        <v>9303</v>
      </c>
      <c r="K2801" s="1" t="b">
        <v>0</v>
      </c>
      <c r="L2801" s="1" t="s">
        <v>22</v>
      </c>
      <c r="M2801" s="1" t="s">
        <v>16</v>
      </c>
      <c r="N2801" s="1" t="s">
        <v>16</v>
      </c>
      <c r="O2801" s="1" t="s">
        <v>16</v>
      </c>
      <c r="P2801" s="1" t="s">
        <v>16</v>
      </c>
    </row>
    <row r="2802" spans="1:19" ht="12.5" x14ac:dyDescent="0.25">
      <c r="A2802" s="1" t="s">
        <v>16</v>
      </c>
      <c r="B2802" s="1" t="s">
        <v>16</v>
      </c>
      <c r="C2802" s="1" t="s">
        <v>16</v>
      </c>
      <c r="D2802" s="1" t="s">
        <v>16</v>
      </c>
      <c r="E2802" s="1">
        <v>3164</v>
      </c>
      <c r="F2802" s="1" t="s">
        <v>9304</v>
      </c>
      <c r="G2802" s="1" t="s">
        <v>9305</v>
      </c>
      <c r="H2802" s="1" t="s">
        <v>16</v>
      </c>
      <c r="I2802" s="1" t="s">
        <v>20</v>
      </c>
      <c r="J2802" s="1" t="s">
        <v>9306</v>
      </c>
      <c r="K2802" s="1" t="b">
        <v>0</v>
      </c>
      <c r="L2802" s="1" t="s">
        <v>22</v>
      </c>
      <c r="M2802" s="1" t="s">
        <v>16</v>
      </c>
      <c r="N2802" s="1" t="s">
        <v>16</v>
      </c>
      <c r="O2802" s="1" t="s">
        <v>16</v>
      </c>
      <c r="P2802" s="1" t="s">
        <v>16</v>
      </c>
    </row>
    <row r="2803" spans="1:19" ht="12.5" x14ac:dyDescent="0.25">
      <c r="A2803" s="1" t="s">
        <v>16</v>
      </c>
      <c r="B2803" s="1" t="s">
        <v>16</v>
      </c>
      <c r="C2803" s="1" t="s">
        <v>16</v>
      </c>
      <c r="D2803" s="1" t="s">
        <v>16</v>
      </c>
      <c r="E2803" s="1">
        <v>3165</v>
      </c>
      <c r="F2803" s="1" t="s">
        <v>9307</v>
      </c>
      <c r="G2803" s="1" t="s">
        <v>9308</v>
      </c>
      <c r="H2803" s="1" t="s">
        <v>16</v>
      </c>
      <c r="I2803" s="1" t="s">
        <v>20</v>
      </c>
      <c r="J2803" s="1" t="s">
        <v>16</v>
      </c>
      <c r="K2803" s="1" t="b">
        <v>0</v>
      </c>
      <c r="L2803" s="1" t="s">
        <v>22</v>
      </c>
      <c r="M2803" s="1" t="s">
        <v>16</v>
      </c>
      <c r="N2803" s="1" t="s">
        <v>16</v>
      </c>
      <c r="O2803" s="1" t="s">
        <v>16</v>
      </c>
      <c r="P2803" s="1" t="s">
        <v>16</v>
      </c>
    </row>
    <row r="2804" spans="1:19" ht="12.5" x14ac:dyDescent="0.25">
      <c r="A2804" s="1" t="s">
        <v>16</v>
      </c>
      <c r="B2804" s="1" t="s">
        <v>16</v>
      </c>
      <c r="C2804" s="1" t="s">
        <v>16</v>
      </c>
      <c r="D2804" s="1" t="s">
        <v>16</v>
      </c>
      <c r="E2804" s="1">
        <v>3166</v>
      </c>
      <c r="F2804" s="1" t="s">
        <v>9309</v>
      </c>
      <c r="G2804" s="1" t="s">
        <v>9310</v>
      </c>
      <c r="H2804" s="1" t="s">
        <v>16</v>
      </c>
      <c r="I2804" s="1" t="s">
        <v>20</v>
      </c>
      <c r="J2804" s="1" t="s">
        <v>9311</v>
      </c>
      <c r="K2804" s="1" t="b">
        <v>0</v>
      </c>
      <c r="L2804" s="1" t="s">
        <v>22</v>
      </c>
      <c r="M2804" s="1" t="s">
        <v>16</v>
      </c>
      <c r="N2804" s="1" t="s">
        <v>16</v>
      </c>
      <c r="O2804" s="1" t="s">
        <v>16</v>
      </c>
      <c r="P2804" s="1" t="s">
        <v>16</v>
      </c>
    </row>
    <row r="2805" spans="1:19" ht="12.5" x14ac:dyDescent="0.25">
      <c r="A2805" s="1" t="s">
        <v>16</v>
      </c>
      <c r="B2805" s="1" t="s">
        <v>16</v>
      </c>
      <c r="C2805" s="1" t="s">
        <v>16</v>
      </c>
      <c r="D2805" s="1" t="s">
        <v>16</v>
      </c>
      <c r="E2805" s="1">
        <v>3167</v>
      </c>
      <c r="F2805" s="1" t="s">
        <v>9312</v>
      </c>
      <c r="G2805" s="1" t="s">
        <v>9313</v>
      </c>
      <c r="H2805" s="1" t="s">
        <v>16</v>
      </c>
      <c r="I2805" s="1" t="s">
        <v>20</v>
      </c>
      <c r="J2805" s="1" t="s">
        <v>9314</v>
      </c>
      <c r="K2805" s="1" t="b">
        <v>0</v>
      </c>
      <c r="L2805" s="1" t="s">
        <v>22</v>
      </c>
      <c r="M2805" s="1" t="s">
        <v>16</v>
      </c>
      <c r="N2805" s="1" t="s">
        <v>16</v>
      </c>
      <c r="O2805" s="1" t="s">
        <v>16</v>
      </c>
      <c r="P2805" s="1" t="s">
        <v>16</v>
      </c>
    </row>
    <row r="2806" spans="1:19" ht="12.5" x14ac:dyDescent="0.25">
      <c r="A2806" s="1" t="s">
        <v>16</v>
      </c>
      <c r="B2806" s="1" t="s">
        <v>16</v>
      </c>
      <c r="C2806" s="1" t="s">
        <v>16</v>
      </c>
      <c r="D2806" s="1" t="s">
        <v>16</v>
      </c>
      <c r="E2806" s="1">
        <v>3168</v>
      </c>
      <c r="F2806" s="1" t="s">
        <v>9315</v>
      </c>
      <c r="G2806" s="1" t="s">
        <v>9316</v>
      </c>
      <c r="H2806" s="1" t="s">
        <v>16</v>
      </c>
      <c r="I2806" s="1" t="s">
        <v>20</v>
      </c>
      <c r="J2806" s="1" t="s">
        <v>9317</v>
      </c>
      <c r="K2806" s="1" t="b">
        <v>0</v>
      </c>
      <c r="L2806" s="1" t="s">
        <v>22</v>
      </c>
      <c r="M2806" s="1" t="s">
        <v>16</v>
      </c>
      <c r="N2806" s="1" t="s">
        <v>16</v>
      </c>
      <c r="O2806" s="1" t="s">
        <v>16</v>
      </c>
      <c r="P2806" s="1" t="s">
        <v>16</v>
      </c>
    </row>
    <row r="2807" spans="1:19" ht="12.5" x14ac:dyDescent="0.25">
      <c r="A2807" s="1" t="s">
        <v>16</v>
      </c>
      <c r="B2807" s="1" t="s">
        <v>16</v>
      </c>
      <c r="C2807" s="1" t="s">
        <v>16</v>
      </c>
      <c r="D2807" s="1" t="s">
        <v>16</v>
      </c>
      <c r="E2807" s="1">
        <v>3169</v>
      </c>
      <c r="F2807" s="1" t="s">
        <v>9318</v>
      </c>
      <c r="G2807" s="1" t="s">
        <v>9319</v>
      </c>
      <c r="H2807" s="1" t="s">
        <v>16</v>
      </c>
      <c r="I2807" s="1" t="s">
        <v>20</v>
      </c>
      <c r="J2807" s="1" t="s">
        <v>9320</v>
      </c>
      <c r="K2807" s="1" t="b">
        <v>0</v>
      </c>
      <c r="L2807" s="1" t="s">
        <v>22</v>
      </c>
      <c r="M2807" s="1" t="s">
        <v>16</v>
      </c>
      <c r="N2807" s="1" t="s">
        <v>16</v>
      </c>
      <c r="O2807" s="1" t="s">
        <v>16</v>
      </c>
      <c r="P2807" s="1" t="s">
        <v>16</v>
      </c>
    </row>
    <row r="2808" spans="1:19" ht="12.5" x14ac:dyDescent="0.25">
      <c r="A2808" s="1" t="s">
        <v>16</v>
      </c>
      <c r="B2808" s="1" t="s">
        <v>16</v>
      </c>
      <c r="C2808" s="1" t="s">
        <v>16</v>
      </c>
      <c r="D2808" s="1" t="s">
        <v>16</v>
      </c>
      <c r="E2808" s="1">
        <v>3170</v>
      </c>
      <c r="F2808" s="1" t="s">
        <v>9321</v>
      </c>
      <c r="G2808" s="1" t="s">
        <v>9322</v>
      </c>
      <c r="H2808" s="1" t="s">
        <v>16</v>
      </c>
      <c r="I2808" s="1" t="s">
        <v>20</v>
      </c>
      <c r="J2808" s="1" t="s">
        <v>9323</v>
      </c>
      <c r="K2808" s="1" t="b">
        <v>0</v>
      </c>
      <c r="L2808" s="1" t="s">
        <v>22</v>
      </c>
      <c r="M2808" s="1" t="s">
        <v>16</v>
      </c>
      <c r="N2808" s="1" t="s">
        <v>16</v>
      </c>
      <c r="O2808" s="1" t="s">
        <v>16</v>
      </c>
      <c r="P2808" s="1" t="s">
        <v>16</v>
      </c>
    </row>
    <row r="2809" spans="1:19" ht="12.5" x14ac:dyDescent="0.25">
      <c r="A2809" s="1">
        <v>372</v>
      </c>
      <c r="B2809" s="1" t="s">
        <v>1515</v>
      </c>
      <c r="C2809" s="1" t="s">
        <v>35</v>
      </c>
      <c r="D2809" s="1" t="s">
        <v>36</v>
      </c>
      <c r="E2809" s="1">
        <v>3171</v>
      </c>
      <c r="F2809" s="1" t="s">
        <v>9324</v>
      </c>
      <c r="G2809" s="1" t="s">
        <v>9325</v>
      </c>
      <c r="H2809" s="1" t="s">
        <v>9326</v>
      </c>
      <c r="I2809" s="1" t="s">
        <v>29</v>
      </c>
      <c r="J2809" s="1" t="s">
        <v>9327</v>
      </c>
      <c r="K2809" s="1" t="b">
        <v>1</v>
      </c>
      <c r="L2809" s="1" t="s">
        <v>31</v>
      </c>
      <c r="M2809" s="1">
        <v>2022</v>
      </c>
      <c r="N2809" s="1" t="s">
        <v>23</v>
      </c>
      <c r="O2809" s="1" t="s">
        <v>9935</v>
      </c>
      <c r="P2809" s="1" t="s">
        <v>10107</v>
      </c>
      <c r="Q2809" s="1">
        <v>100</v>
      </c>
      <c r="R2809" s="1">
        <v>20000</v>
      </c>
      <c r="S2809" s="1">
        <v>20000</v>
      </c>
    </row>
    <row r="2810" spans="1:19" ht="12.5" x14ac:dyDescent="0.25">
      <c r="A2810" s="1" t="s">
        <v>16</v>
      </c>
      <c r="B2810" s="1" t="s">
        <v>16</v>
      </c>
      <c r="C2810" s="1" t="s">
        <v>16</v>
      </c>
      <c r="D2810" s="1" t="s">
        <v>16</v>
      </c>
      <c r="E2810" s="1">
        <v>3172</v>
      </c>
      <c r="F2810" s="1" t="s">
        <v>9328</v>
      </c>
      <c r="G2810" s="1" t="s">
        <v>9329</v>
      </c>
      <c r="H2810" s="1" t="s">
        <v>16</v>
      </c>
      <c r="I2810" s="1" t="s">
        <v>20</v>
      </c>
      <c r="J2810" s="1" t="s">
        <v>9330</v>
      </c>
      <c r="K2810" s="1" t="b">
        <v>0</v>
      </c>
      <c r="L2810" s="1" t="s">
        <v>22</v>
      </c>
      <c r="M2810" s="1" t="s">
        <v>16</v>
      </c>
      <c r="N2810" s="1" t="s">
        <v>16</v>
      </c>
      <c r="O2810" s="1" t="s">
        <v>16</v>
      </c>
      <c r="P2810" s="1" t="s">
        <v>16</v>
      </c>
    </row>
    <row r="2811" spans="1:19" ht="12.5" x14ac:dyDescent="0.25">
      <c r="A2811" s="1" t="s">
        <v>16</v>
      </c>
      <c r="B2811" s="1" t="s">
        <v>16</v>
      </c>
      <c r="C2811" s="1" t="s">
        <v>16</v>
      </c>
      <c r="D2811" s="1" t="s">
        <v>16</v>
      </c>
      <c r="E2811" s="1">
        <v>3173</v>
      </c>
      <c r="F2811" s="1" t="s">
        <v>9331</v>
      </c>
      <c r="G2811" s="1" t="s">
        <v>9332</v>
      </c>
      <c r="H2811" s="1" t="s">
        <v>16</v>
      </c>
      <c r="I2811" s="1" t="s">
        <v>20</v>
      </c>
      <c r="J2811" s="1" t="s">
        <v>9333</v>
      </c>
      <c r="K2811" s="1" t="b">
        <v>0</v>
      </c>
      <c r="L2811" s="1" t="s">
        <v>22</v>
      </c>
      <c r="M2811" s="1" t="s">
        <v>16</v>
      </c>
      <c r="N2811" s="1" t="s">
        <v>16</v>
      </c>
      <c r="O2811" s="1" t="s">
        <v>16</v>
      </c>
      <c r="P2811" s="1" t="s">
        <v>16</v>
      </c>
    </row>
    <row r="2812" spans="1:19" ht="12.5" x14ac:dyDescent="0.25">
      <c r="A2812" s="1" t="s">
        <v>16</v>
      </c>
      <c r="B2812" s="1" t="s">
        <v>16</v>
      </c>
      <c r="C2812" s="1" t="s">
        <v>16</v>
      </c>
      <c r="D2812" s="1" t="s">
        <v>16</v>
      </c>
      <c r="E2812" s="1">
        <v>3174</v>
      </c>
      <c r="F2812" s="1" t="s">
        <v>9334</v>
      </c>
      <c r="G2812" s="1" t="s">
        <v>9335</v>
      </c>
      <c r="H2812" s="1" t="s">
        <v>16</v>
      </c>
      <c r="I2812" s="1" t="s">
        <v>20</v>
      </c>
      <c r="J2812" s="1" t="s">
        <v>9336</v>
      </c>
      <c r="K2812" s="1" t="b">
        <v>0</v>
      </c>
      <c r="L2812" s="1" t="s">
        <v>22</v>
      </c>
      <c r="M2812" s="1" t="s">
        <v>16</v>
      </c>
      <c r="N2812" s="1" t="s">
        <v>16</v>
      </c>
      <c r="O2812" s="1" t="s">
        <v>16</v>
      </c>
      <c r="P2812" s="1" t="s">
        <v>16</v>
      </c>
    </row>
    <row r="2813" spans="1:19" ht="12.5" x14ac:dyDescent="0.25">
      <c r="A2813" s="1" t="s">
        <v>16</v>
      </c>
      <c r="B2813" s="1" t="s">
        <v>16</v>
      </c>
      <c r="C2813" s="1" t="s">
        <v>16</v>
      </c>
      <c r="D2813" s="1" t="s">
        <v>16</v>
      </c>
      <c r="E2813" s="1">
        <v>3175</v>
      </c>
      <c r="F2813" s="1" t="s">
        <v>9337</v>
      </c>
      <c r="G2813" s="1" t="s">
        <v>9338</v>
      </c>
      <c r="H2813" s="1" t="s">
        <v>16</v>
      </c>
      <c r="I2813" s="1" t="s">
        <v>20</v>
      </c>
      <c r="J2813" s="1" t="s">
        <v>9339</v>
      </c>
      <c r="K2813" s="1" t="b">
        <v>0</v>
      </c>
      <c r="L2813" s="1" t="s">
        <v>22</v>
      </c>
      <c r="M2813" s="1" t="s">
        <v>16</v>
      </c>
      <c r="N2813" s="1" t="s">
        <v>16</v>
      </c>
      <c r="O2813" s="1" t="s">
        <v>16</v>
      </c>
      <c r="P2813" s="1" t="s">
        <v>16</v>
      </c>
    </row>
    <row r="2814" spans="1:19" ht="12.5" x14ac:dyDescent="0.25">
      <c r="A2814" s="1">
        <v>2921</v>
      </c>
      <c r="B2814" s="1" t="s">
        <v>9340</v>
      </c>
      <c r="C2814" s="1" t="s">
        <v>38</v>
      </c>
      <c r="D2814" s="1" t="s">
        <v>39</v>
      </c>
      <c r="E2814" s="1">
        <v>3176</v>
      </c>
      <c r="F2814" s="1" t="s">
        <v>9341</v>
      </c>
      <c r="G2814" s="1" t="s">
        <v>9342</v>
      </c>
      <c r="H2814" s="1" t="s">
        <v>16</v>
      </c>
      <c r="I2814" s="1" t="s">
        <v>20</v>
      </c>
      <c r="J2814" s="1" t="s">
        <v>9343</v>
      </c>
      <c r="K2814" s="1" t="b">
        <v>0</v>
      </c>
      <c r="L2814" s="1" t="s">
        <v>22</v>
      </c>
      <c r="M2814" s="1" t="s">
        <v>16</v>
      </c>
      <c r="N2814" s="1" t="s">
        <v>16</v>
      </c>
      <c r="O2814" s="1" t="s">
        <v>16</v>
      </c>
      <c r="P2814" s="1" t="s">
        <v>16</v>
      </c>
      <c r="Q2814" s="1">
        <v>10</v>
      </c>
    </row>
    <row r="2815" spans="1:19" ht="12.5" x14ac:dyDescent="0.25">
      <c r="A2815" s="1" t="s">
        <v>16</v>
      </c>
      <c r="B2815" s="1" t="s">
        <v>16</v>
      </c>
      <c r="C2815" s="1" t="s">
        <v>16</v>
      </c>
      <c r="D2815" s="1" t="s">
        <v>16</v>
      </c>
      <c r="E2815" s="1">
        <v>3177</v>
      </c>
      <c r="F2815" s="1" t="s">
        <v>9344</v>
      </c>
      <c r="G2815" s="1" t="s">
        <v>9345</v>
      </c>
      <c r="H2815" s="1" t="s">
        <v>16</v>
      </c>
      <c r="I2815" s="1" t="s">
        <v>20</v>
      </c>
      <c r="J2815" s="1" t="s">
        <v>9346</v>
      </c>
      <c r="K2815" s="1" t="b">
        <v>0</v>
      </c>
      <c r="L2815" s="1" t="s">
        <v>22</v>
      </c>
      <c r="M2815" s="1" t="s">
        <v>16</v>
      </c>
      <c r="N2815" s="1" t="s">
        <v>16</v>
      </c>
      <c r="O2815" s="1" t="s">
        <v>16</v>
      </c>
      <c r="P2815" s="1" t="s">
        <v>16</v>
      </c>
    </row>
    <row r="2816" spans="1:19" ht="12.5" x14ac:dyDescent="0.25">
      <c r="A2816" s="1" t="s">
        <v>16</v>
      </c>
      <c r="B2816" s="1" t="s">
        <v>16</v>
      </c>
      <c r="C2816" s="1" t="s">
        <v>16</v>
      </c>
      <c r="D2816" s="1" t="s">
        <v>16</v>
      </c>
      <c r="E2816" s="1">
        <v>3178</v>
      </c>
      <c r="F2816" s="1" t="s">
        <v>9347</v>
      </c>
      <c r="G2816" s="1" t="s">
        <v>9348</v>
      </c>
      <c r="H2816" s="1" t="s">
        <v>16</v>
      </c>
      <c r="I2816" s="1" t="s">
        <v>20</v>
      </c>
      <c r="J2816" s="1" t="s">
        <v>9349</v>
      </c>
      <c r="K2816" s="1" t="b">
        <v>0</v>
      </c>
      <c r="L2816" s="1" t="s">
        <v>22</v>
      </c>
      <c r="M2816" s="1" t="s">
        <v>16</v>
      </c>
      <c r="N2816" s="1" t="s">
        <v>16</v>
      </c>
      <c r="O2816" s="1" t="s">
        <v>16</v>
      </c>
      <c r="P2816" s="1" t="s">
        <v>16</v>
      </c>
    </row>
    <row r="2817" spans="1:17" ht="12.5" x14ac:dyDescent="0.25">
      <c r="A2817" s="1">
        <v>29</v>
      </c>
      <c r="B2817" s="1" t="s">
        <v>166</v>
      </c>
      <c r="C2817" s="1" t="s">
        <v>15</v>
      </c>
      <c r="D2817" s="1" t="s">
        <v>15</v>
      </c>
      <c r="E2817" s="1">
        <v>3179</v>
      </c>
      <c r="F2817" s="1" t="s">
        <v>9350</v>
      </c>
      <c r="G2817" s="1" t="s">
        <v>9351</v>
      </c>
      <c r="H2817" s="1" t="s">
        <v>16</v>
      </c>
      <c r="I2817" s="1" t="s">
        <v>20</v>
      </c>
      <c r="J2817" s="1" t="s">
        <v>9352</v>
      </c>
      <c r="K2817" s="1" t="b">
        <v>0</v>
      </c>
      <c r="L2817" s="1" t="s">
        <v>22</v>
      </c>
      <c r="M2817" s="1" t="s">
        <v>16</v>
      </c>
      <c r="N2817" s="1" t="s">
        <v>16</v>
      </c>
      <c r="O2817" s="1" t="s">
        <v>16</v>
      </c>
      <c r="P2817" s="1" t="s">
        <v>16</v>
      </c>
      <c r="Q2817" s="1">
        <v>25</v>
      </c>
    </row>
    <row r="2818" spans="1:17" ht="12.5" x14ac:dyDescent="0.25">
      <c r="A2818" s="1" t="s">
        <v>16</v>
      </c>
      <c r="B2818" s="1" t="s">
        <v>16</v>
      </c>
      <c r="C2818" s="1" t="s">
        <v>16</v>
      </c>
      <c r="D2818" s="1" t="s">
        <v>16</v>
      </c>
      <c r="E2818" s="1">
        <v>3180</v>
      </c>
      <c r="F2818" s="1" t="s">
        <v>9353</v>
      </c>
      <c r="G2818" s="1" t="s">
        <v>9354</v>
      </c>
      <c r="H2818" s="1" t="s">
        <v>16</v>
      </c>
      <c r="I2818" s="1" t="s">
        <v>20</v>
      </c>
      <c r="J2818" s="1" t="s">
        <v>9355</v>
      </c>
      <c r="K2818" s="1" t="b">
        <v>0</v>
      </c>
      <c r="L2818" s="1" t="s">
        <v>22</v>
      </c>
      <c r="M2818" s="1" t="s">
        <v>16</v>
      </c>
      <c r="N2818" s="1" t="s">
        <v>16</v>
      </c>
      <c r="O2818" s="1" t="s">
        <v>16</v>
      </c>
      <c r="P2818" s="1" t="s">
        <v>16</v>
      </c>
    </row>
    <row r="2819" spans="1:17" ht="12.5" x14ac:dyDescent="0.25">
      <c r="A2819" s="1" t="s">
        <v>16</v>
      </c>
      <c r="B2819" s="1" t="s">
        <v>16</v>
      </c>
      <c r="C2819" s="1" t="s">
        <v>16</v>
      </c>
      <c r="D2819" s="1" t="s">
        <v>16</v>
      </c>
      <c r="E2819" s="1">
        <v>3181</v>
      </c>
      <c r="F2819" s="1" t="s">
        <v>9356</v>
      </c>
      <c r="G2819" s="1" t="s">
        <v>9357</v>
      </c>
      <c r="H2819" s="1" t="s">
        <v>16</v>
      </c>
      <c r="I2819" s="1" t="s">
        <v>20</v>
      </c>
      <c r="J2819" s="1" t="s">
        <v>9358</v>
      </c>
      <c r="K2819" s="1" t="b">
        <v>0</v>
      </c>
      <c r="L2819" s="1" t="s">
        <v>22</v>
      </c>
      <c r="M2819" s="1" t="s">
        <v>16</v>
      </c>
      <c r="N2819" s="1" t="s">
        <v>16</v>
      </c>
      <c r="O2819" s="1" t="s">
        <v>16</v>
      </c>
      <c r="P2819" s="1" t="s">
        <v>16</v>
      </c>
    </row>
    <row r="2820" spans="1:17" ht="12.5" x14ac:dyDescent="0.25">
      <c r="A2820" s="1" t="s">
        <v>16</v>
      </c>
      <c r="B2820" s="1" t="s">
        <v>16</v>
      </c>
      <c r="C2820" s="1" t="s">
        <v>16</v>
      </c>
      <c r="D2820" s="1" t="s">
        <v>16</v>
      </c>
      <c r="E2820" s="1">
        <v>3182</v>
      </c>
      <c r="F2820" s="1" t="s">
        <v>9359</v>
      </c>
      <c r="G2820" s="1" t="s">
        <v>9360</v>
      </c>
      <c r="H2820" s="1" t="s">
        <v>16</v>
      </c>
      <c r="I2820" s="1" t="s">
        <v>20</v>
      </c>
      <c r="J2820" s="1" t="s">
        <v>9361</v>
      </c>
      <c r="K2820" s="1" t="b">
        <v>0</v>
      </c>
      <c r="L2820" s="1" t="s">
        <v>22</v>
      </c>
      <c r="M2820" s="1" t="s">
        <v>16</v>
      </c>
      <c r="N2820" s="1" t="s">
        <v>16</v>
      </c>
      <c r="O2820" s="1" t="s">
        <v>16</v>
      </c>
      <c r="P2820" s="1" t="s">
        <v>16</v>
      </c>
    </row>
    <row r="2821" spans="1:17" ht="12.5" x14ac:dyDescent="0.25">
      <c r="A2821" s="1" t="s">
        <v>16</v>
      </c>
      <c r="B2821" s="1" t="s">
        <v>16</v>
      </c>
      <c r="C2821" s="1" t="s">
        <v>16</v>
      </c>
      <c r="D2821" s="1" t="s">
        <v>16</v>
      </c>
      <c r="E2821" s="1">
        <v>3183</v>
      </c>
      <c r="F2821" s="1" t="s">
        <v>9362</v>
      </c>
      <c r="G2821" s="1" t="s">
        <v>9363</v>
      </c>
      <c r="H2821" s="1" t="s">
        <v>16</v>
      </c>
      <c r="I2821" s="1" t="s">
        <v>20</v>
      </c>
      <c r="J2821" s="1" t="s">
        <v>9364</v>
      </c>
      <c r="K2821" s="1" t="b">
        <v>0</v>
      </c>
      <c r="L2821" s="1" t="s">
        <v>22</v>
      </c>
      <c r="M2821" s="1" t="s">
        <v>16</v>
      </c>
      <c r="N2821" s="1" t="s">
        <v>16</v>
      </c>
      <c r="O2821" s="1" t="s">
        <v>16</v>
      </c>
      <c r="P2821" s="1" t="s">
        <v>16</v>
      </c>
    </row>
    <row r="2822" spans="1:17" ht="12.5" x14ac:dyDescent="0.25">
      <c r="A2822" s="1" t="s">
        <v>16</v>
      </c>
      <c r="B2822" s="1" t="s">
        <v>16</v>
      </c>
      <c r="C2822" s="1" t="s">
        <v>16</v>
      </c>
      <c r="D2822" s="1" t="s">
        <v>16</v>
      </c>
      <c r="E2822" s="1">
        <v>3184</v>
      </c>
      <c r="F2822" s="1" t="s">
        <v>9365</v>
      </c>
      <c r="G2822" s="1" t="s">
        <v>9366</v>
      </c>
      <c r="H2822" s="1" t="s">
        <v>16</v>
      </c>
      <c r="I2822" s="1" t="s">
        <v>20</v>
      </c>
      <c r="J2822" s="1" t="s">
        <v>9367</v>
      </c>
      <c r="K2822" s="1" t="b">
        <v>0</v>
      </c>
      <c r="L2822" s="1" t="s">
        <v>22</v>
      </c>
      <c r="M2822" s="1" t="s">
        <v>16</v>
      </c>
      <c r="N2822" s="1" t="s">
        <v>16</v>
      </c>
      <c r="O2822" s="1" t="s">
        <v>16</v>
      </c>
      <c r="P2822" s="1" t="s">
        <v>16</v>
      </c>
    </row>
    <row r="2823" spans="1:17" ht="12.5" x14ac:dyDescent="0.25">
      <c r="A2823" s="1" t="s">
        <v>16</v>
      </c>
      <c r="B2823" s="1" t="s">
        <v>16</v>
      </c>
      <c r="C2823" s="1" t="s">
        <v>16</v>
      </c>
      <c r="D2823" s="1" t="s">
        <v>16</v>
      </c>
      <c r="E2823" s="1">
        <v>3185</v>
      </c>
      <c r="F2823" s="1" t="s">
        <v>9368</v>
      </c>
      <c r="G2823" s="1" t="s">
        <v>9369</v>
      </c>
      <c r="H2823" s="1" t="s">
        <v>16</v>
      </c>
      <c r="I2823" s="1" t="s">
        <v>20</v>
      </c>
      <c r="J2823" s="1" t="s">
        <v>9370</v>
      </c>
      <c r="K2823" s="1" t="b">
        <v>0</v>
      </c>
      <c r="L2823" s="1" t="s">
        <v>22</v>
      </c>
      <c r="M2823" s="1" t="s">
        <v>16</v>
      </c>
      <c r="N2823" s="1" t="s">
        <v>16</v>
      </c>
      <c r="O2823" s="1" t="s">
        <v>16</v>
      </c>
      <c r="P2823" s="1" t="s">
        <v>16</v>
      </c>
    </row>
    <row r="2824" spans="1:17" ht="12.5" x14ac:dyDescent="0.25">
      <c r="A2824" s="1" t="s">
        <v>16</v>
      </c>
      <c r="B2824" s="1" t="s">
        <v>16</v>
      </c>
      <c r="C2824" s="1" t="s">
        <v>16</v>
      </c>
      <c r="D2824" s="1" t="s">
        <v>16</v>
      </c>
      <c r="E2824" s="1">
        <v>3186</v>
      </c>
      <c r="F2824" s="1" t="s">
        <v>9371</v>
      </c>
      <c r="G2824" s="1" t="s">
        <v>9372</v>
      </c>
      <c r="H2824" s="1" t="s">
        <v>16</v>
      </c>
      <c r="I2824" s="1" t="s">
        <v>20</v>
      </c>
      <c r="J2824" s="1" t="s">
        <v>9373</v>
      </c>
      <c r="K2824" s="1" t="b">
        <v>0</v>
      </c>
      <c r="L2824" s="1" t="s">
        <v>22</v>
      </c>
      <c r="M2824" s="1" t="s">
        <v>16</v>
      </c>
      <c r="N2824" s="1" t="s">
        <v>16</v>
      </c>
      <c r="O2824" s="1" t="s">
        <v>16</v>
      </c>
      <c r="P2824" s="1" t="s">
        <v>16</v>
      </c>
    </row>
    <row r="2825" spans="1:17" ht="12.5" x14ac:dyDescent="0.25">
      <c r="A2825" s="1" t="s">
        <v>16</v>
      </c>
      <c r="B2825" s="1" t="s">
        <v>16</v>
      </c>
      <c r="C2825" s="1" t="s">
        <v>16</v>
      </c>
      <c r="D2825" s="1" t="s">
        <v>16</v>
      </c>
      <c r="E2825" s="1">
        <v>3187</v>
      </c>
      <c r="F2825" s="1" t="s">
        <v>9374</v>
      </c>
      <c r="G2825" s="1" t="s">
        <v>9375</v>
      </c>
      <c r="H2825" s="1" t="s">
        <v>16</v>
      </c>
      <c r="I2825" s="1" t="s">
        <v>20</v>
      </c>
      <c r="J2825" s="1" t="s">
        <v>9376</v>
      </c>
      <c r="K2825" s="1" t="b">
        <v>0</v>
      </c>
      <c r="L2825" s="1" t="s">
        <v>22</v>
      </c>
      <c r="M2825" s="1" t="s">
        <v>16</v>
      </c>
      <c r="N2825" s="1" t="s">
        <v>16</v>
      </c>
      <c r="O2825" s="1" t="s">
        <v>16</v>
      </c>
      <c r="P2825" s="1" t="s">
        <v>16</v>
      </c>
    </row>
    <row r="2826" spans="1:17" ht="12.5" x14ac:dyDescent="0.25">
      <c r="A2826" s="1" t="s">
        <v>16</v>
      </c>
      <c r="B2826" s="1" t="s">
        <v>16</v>
      </c>
      <c r="C2826" s="1" t="s">
        <v>16</v>
      </c>
      <c r="D2826" s="1" t="s">
        <v>16</v>
      </c>
      <c r="E2826" s="1">
        <v>3188</v>
      </c>
      <c r="F2826" s="1" t="s">
        <v>9377</v>
      </c>
      <c r="G2826" s="1" t="s">
        <v>9378</v>
      </c>
      <c r="H2826" s="1" t="s">
        <v>16</v>
      </c>
      <c r="I2826" s="1" t="s">
        <v>20</v>
      </c>
      <c r="J2826" s="1" t="s">
        <v>9379</v>
      </c>
      <c r="K2826" s="1" t="b">
        <v>0</v>
      </c>
      <c r="L2826" s="1" t="s">
        <v>22</v>
      </c>
      <c r="M2826" s="1" t="s">
        <v>16</v>
      </c>
      <c r="N2826" s="1" t="s">
        <v>16</v>
      </c>
      <c r="O2826" s="1" t="s">
        <v>16</v>
      </c>
      <c r="P2826" s="1" t="s">
        <v>16</v>
      </c>
    </row>
    <row r="2827" spans="1:17" ht="12.5" x14ac:dyDescent="0.25">
      <c r="A2827" s="1" t="s">
        <v>16</v>
      </c>
      <c r="B2827" s="1" t="s">
        <v>16</v>
      </c>
      <c r="C2827" s="1" t="s">
        <v>16</v>
      </c>
      <c r="D2827" s="1" t="s">
        <v>16</v>
      </c>
      <c r="E2827" s="1">
        <v>3189</v>
      </c>
      <c r="F2827" s="1" t="s">
        <v>9380</v>
      </c>
      <c r="G2827" s="1" t="s">
        <v>9381</v>
      </c>
      <c r="H2827" s="1" t="s">
        <v>16</v>
      </c>
      <c r="I2827" s="1" t="s">
        <v>20</v>
      </c>
      <c r="J2827" s="1" t="s">
        <v>9382</v>
      </c>
      <c r="K2827" s="1" t="b">
        <v>0</v>
      </c>
      <c r="L2827" s="1" t="s">
        <v>22</v>
      </c>
      <c r="M2827" s="1" t="s">
        <v>16</v>
      </c>
      <c r="N2827" s="1" t="s">
        <v>16</v>
      </c>
      <c r="O2827" s="1" t="s">
        <v>16</v>
      </c>
      <c r="P2827" s="1" t="s">
        <v>16</v>
      </c>
    </row>
    <row r="2828" spans="1:17" ht="12.5" x14ac:dyDescent="0.25">
      <c r="A2828" s="1" t="s">
        <v>16</v>
      </c>
      <c r="B2828" s="1" t="s">
        <v>16</v>
      </c>
      <c r="C2828" s="1" t="s">
        <v>16</v>
      </c>
      <c r="D2828" s="1" t="s">
        <v>16</v>
      </c>
      <c r="E2828" s="1">
        <v>3190</v>
      </c>
      <c r="F2828" s="1" t="s">
        <v>9383</v>
      </c>
      <c r="G2828" s="1" t="s">
        <v>9384</v>
      </c>
      <c r="H2828" s="1" t="s">
        <v>9385</v>
      </c>
      <c r="I2828" s="1" t="s">
        <v>29</v>
      </c>
      <c r="J2828" s="1" t="s">
        <v>16</v>
      </c>
      <c r="K2828" s="1" t="b">
        <v>0</v>
      </c>
      <c r="L2828" s="1" t="s">
        <v>22</v>
      </c>
      <c r="M2828" s="1" t="s">
        <v>16</v>
      </c>
      <c r="N2828" s="1" t="s">
        <v>16</v>
      </c>
      <c r="O2828" s="1" t="s">
        <v>16</v>
      </c>
      <c r="P2828" s="1" t="s">
        <v>16</v>
      </c>
    </row>
    <row r="2829" spans="1:17" ht="12.5" x14ac:dyDescent="0.25">
      <c r="A2829" s="1" t="s">
        <v>16</v>
      </c>
      <c r="B2829" s="1" t="s">
        <v>16</v>
      </c>
      <c r="C2829" s="1" t="s">
        <v>16</v>
      </c>
      <c r="D2829" s="1" t="s">
        <v>16</v>
      </c>
      <c r="E2829" s="1">
        <v>3191</v>
      </c>
      <c r="F2829" s="1" t="s">
        <v>9386</v>
      </c>
      <c r="G2829" s="1" t="s">
        <v>9387</v>
      </c>
      <c r="H2829" s="1" t="s">
        <v>16</v>
      </c>
      <c r="I2829" s="1" t="s">
        <v>20</v>
      </c>
      <c r="J2829" s="1" t="s">
        <v>9388</v>
      </c>
      <c r="K2829" s="1" t="b">
        <v>0</v>
      </c>
      <c r="L2829" s="1" t="s">
        <v>22</v>
      </c>
      <c r="M2829" s="1" t="s">
        <v>16</v>
      </c>
      <c r="N2829" s="1" t="s">
        <v>16</v>
      </c>
      <c r="O2829" s="1" t="s">
        <v>16</v>
      </c>
      <c r="P2829" s="1" t="s">
        <v>16</v>
      </c>
    </row>
    <row r="2830" spans="1:17" ht="12.5" x14ac:dyDescent="0.25">
      <c r="A2830" s="1">
        <v>90</v>
      </c>
      <c r="B2830" s="1" t="s">
        <v>462</v>
      </c>
      <c r="C2830" s="1" t="s">
        <v>15</v>
      </c>
      <c r="D2830" s="1" t="s">
        <v>15</v>
      </c>
      <c r="E2830" s="1">
        <v>3192</v>
      </c>
      <c r="F2830" s="1" t="s">
        <v>9389</v>
      </c>
      <c r="G2830" s="1" t="s">
        <v>9390</v>
      </c>
      <c r="H2830" s="1" t="s">
        <v>16</v>
      </c>
      <c r="I2830" s="1" t="s">
        <v>20</v>
      </c>
      <c r="J2830" s="1" t="s">
        <v>9391</v>
      </c>
      <c r="K2830" s="1" t="b">
        <v>0</v>
      </c>
      <c r="L2830" s="1" t="s">
        <v>22</v>
      </c>
      <c r="M2830" s="1" t="s">
        <v>16</v>
      </c>
      <c r="N2830" s="1" t="s">
        <v>16</v>
      </c>
      <c r="O2830" s="1" t="s">
        <v>16</v>
      </c>
      <c r="P2830" s="1" t="s">
        <v>16</v>
      </c>
      <c r="Q2830" s="1">
        <v>25</v>
      </c>
    </row>
    <row r="2831" spans="1:17" ht="12.5" x14ac:dyDescent="0.25">
      <c r="A2831" s="1" t="s">
        <v>16</v>
      </c>
      <c r="B2831" s="1" t="s">
        <v>16</v>
      </c>
      <c r="C2831" s="1" t="s">
        <v>16</v>
      </c>
      <c r="D2831" s="1" t="s">
        <v>16</v>
      </c>
      <c r="E2831" s="1">
        <v>3193</v>
      </c>
      <c r="F2831" s="1" t="s">
        <v>9392</v>
      </c>
      <c r="G2831" s="1" t="s">
        <v>9393</v>
      </c>
      <c r="H2831" s="1" t="s">
        <v>16</v>
      </c>
      <c r="I2831" s="1" t="s">
        <v>20</v>
      </c>
      <c r="J2831" s="1" t="s">
        <v>9394</v>
      </c>
      <c r="K2831" s="1" t="b">
        <v>0</v>
      </c>
      <c r="L2831" s="1" t="s">
        <v>22</v>
      </c>
      <c r="M2831" s="1" t="s">
        <v>16</v>
      </c>
      <c r="N2831" s="1" t="s">
        <v>16</v>
      </c>
      <c r="O2831" s="1" t="s">
        <v>16</v>
      </c>
      <c r="P2831" s="1" t="s">
        <v>16</v>
      </c>
    </row>
    <row r="2832" spans="1:17" ht="12.5" x14ac:dyDescent="0.25">
      <c r="A2832" s="1" t="s">
        <v>16</v>
      </c>
      <c r="B2832" s="1" t="s">
        <v>16</v>
      </c>
      <c r="C2832" s="1" t="s">
        <v>16</v>
      </c>
      <c r="D2832" s="1" t="s">
        <v>16</v>
      </c>
      <c r="E2832" s="1">
        <v>3194</v>
      </c>
      <c r="F2832" s="1" t="s">
        <v>9395</v>
      </c>
      <c r="G2832" s="1" t="s">
        <v>9396</v>
      </c>
      <c r="H2832" s="1" t="s">
        <v>16</v>
      </c>
      <c r="I2832" s="1" t="s">
        <v>20</v>
      </c>
      <c r="J2832" s="1" t="s">
        <v>9397</v>
      </c>
      <c r="K2832" s="1" t="b">
        <v>0</v>
      </c>
      <c r="L2832" s="1" t="s">
        <v>22</v>
      </c>
      <c r="M2832" s="1" t="s">
        <v>16</v>
      </c>
      <c r="N2832" s="1" t="s">
        <v>16</v>
      </c>
      <c r="O2832" s="1" t="s">
        <v>16</v>
      </c>
      <c r="P2832" s="1" t="s">
        <v>16</v>
      </c>
    </row>
    <row r="2833" spans="1:19" ht="12.5" x14ac:dyDescent="0.25">
      <c r="A2833" s="1" t="s">
        <v>16</v>
      </c>
      <c r="B2833" s="1" t="s">
        <v>16</v>
      </c>
      <c r="C2833" s="1" t="s">
        <v>16</v>
      </c>
      <c r="D2833" s="1" t="s">
        <v>16</v>
      </c>
      <c r="E2833" s="1">
        <v>3195</v>
      </c>
      <c r="F2833" s="1" t="s">
        <v>9398</v>
      </c>
      <c r="G2833" s="1" t="s">
        <v>9399</v>
      </c>
      <c r="H2833" s="1" t="s">
        <v>16</v>
      </c>
      <c r="I2833" s="1" t="s">
        <v>20</v>
      </c>
      <c r="J2833" s="1" t="s">
        <v>9400</v>
      </c>
      <c r="K2833" s="1" t="b">
        <v>0</v>
      </c>
      <c r="L2833" s="1" t="s">
        <v>22</v>
      </c>
      <c r="M2833" s="1" t="s">
        <v>16</v>
      </c>
      <c r="N2833" s="1" t="s">
        <v>16</v>
      </c>
      <c r="O2833" s="1" t="s">
        <v>16</v>
      </c>
      <c r="P2833" s="1" t="s">
        <v>16</v>
      </c>
    </row>
    <row r="2834" spans="1:19" ht="12.5" x14ac:dyDescent="0.25">
      <c r="A2834" s="1" t="s">
        <v>16</v>
      </c>
      <c r="B2834" s="1" t="s">
        <v>16</v>
      </c>
      <c r="C2834" s="1" t="s">
        <v>16</v>
      </c>
      <c r="D2834" s="1" t="s">
        <v>16</v>
      </c>
      <c r="E2834" s="1">
        <v>3196</v>
      </c>
      <c r="F2834" s="1" t="s">
        <v>9401</v>
      </c>
      <c r="G2834" s="1" t="s">
        <v>9402</v>
      </c>
      <c r="H2834" s="1" t="s">
        <v>16</v>
      </c>
      <c r="I2834" s="1" t="s">
        <v>20</v>
      </c>
      <c r="J2834" s="1" t="s">
        <v>9403</v>
      </c>
      <c r="K2834" s="1" t="b">
        <v>0</v>
      </c>
      <c r="L2834" s="1" t="s">
        <v>22</v>
      </c>
      <c r="M2834" s="1" t="s">
        <v>16</v>
      </c>
      <c r="N2834" s="1" t="s">
        <v>16</v>
      </c>
      <c r="O2834" s="1" t="s">
        <v>16</v>
      </c>
      <c r="P2834" s="1" t="s">
        <v>16</v>
      </c>
    </row>
    <row r="2835" spans="1:19" ht="12.5" x14ac:dyDescent="0.25">
      <c r="A2835" s="1">
        <v>1544</v>
      </c>
      <c r="B2835" s="1" t="s">
        <v>5054</v>
      </c>
      <c r="C2835" s="1" t="s">
        <v>35</v>
      </c>
      <c r="D2835" s="1" t="s">
        <v>152</v>
      </c>
      <c r="E2835" s="1">
        <v>3197</v>
      </c>
      <c r="F2835" s="1" t="s">
        <v>9404</v>
      </c>
      <c r="G2835" s="1" t="s">
        <v>9405</v>
      </c>
      <c r="H2835" s="1" t="s">
        <v>16</v>
      </c>
      <c r="I2835" s="1" t="s">
        <v>29</v>
      </c>
      <c r="J2835" s="1" t="s">
        <v>16</v>
      </c>
      <c r="K2835" s="1" t="b">
        <v>0</v>
      </c>
      <c r="L2835" s="1" t="s">
        <v>22</v>
      </c>
      <c r="M2835" s="1" t="s">
        <v>16</v>
      </c>
      <c r="N2835" s="1" t="s">
        <v>16</v>
      </c>
      <c r="O2835" s="1" t="s">
        <v>16</v>
      </c>
      <c r="P2835" s="1" t="s">
        <v>16</v>
      </c>
      <c r="Q2835" s="1">
        <v>100</v>
      </c>
    </row>
    <row r="2836" spans="1:19" ht="12.5" x14ac:dyDescent="0.25">
      <c r="A2836" s="1" t="s">
        <v>16</v>
      </c>
      <c r="B2836" s="1" t="s">
        <v>16</v>
      </c>
      <c r="C2836" s="1" t="s">
        <v>16</v>
      </c>
      <c r="D2836" s="1" t="s">
        <v>16</v>
      </c>
      <c r="E2836" s="1">
        <v>3198</v>
      </c>
      <c r="F2836" s="1" t="s">
        <v>9406</v>
      </c>
      <c r="G2836" s="1" t="s">
        <v>9407</v>
      </c>
      <c r="H2836" s="1" t="s">
        <v>16</v>
      </c>
      <c r="I2836" s="1" t="s">
        <v>20</v>
      </c>
      <c r="J2836" s="1" t="s">
        <v>9408</v>
      </c>
      <c r="K2836" s="1" t="b">
        <v>0</v>
      </c>
      <c r="L2836" s="1" t="s">
        <v>22</v>
      </c>
      <c r="M2836" s="1" t="s">
        <v>16</v>
      </c>
      <c r="N2836" s="1" t="s">
        <v>16</v>
      </c>
      <c r="O2836" s="1" t="s">
        <v>16</v>
      </c>
      <c r="P2836" s="1" t="s">
        <v>16</v>
      </c>
    </row>
    <row r="2837" spans="1:19" ht="12.5" x14ac:dyDescent="0.25">
      <c r="A2837" s="1" t="s">
        <v>16</v>
      </c>
      <c r="B2837" s="1" t="s">
        <v>16</v>
      </c>
      <c r="C2837" s="1" t="s">
        <v>16</v>
      </c>
      <c r="D2837" s="1" t="s">
        <v>16</v>
      </c>
      <c r="E2837" s="1">
        <v>3199</v>
      </c>
      <c r="F2837" s="1" t="s">
        <v>9409</v>
      </c>
      <c r="G2837" s="1" t="s">
        <v>9410</v>
      </c>
      <c r="H2837" s="1" t="s">
        <v>16</v>
      </c>
      <c r="I2837" s="1" t="s">
        <v>20</v>
      </c>
      <c r="J2837" s="1" t="s">
        <v>9411</v>
      </c>
      <c r="K2837" s="1" t="b">
        <v>0</v>
      </c>
      <c r="L2837" s="1" t="s">
        <v>22</v>
      </c>
      <c r="M2837" s="1" t="s">
        <v>16</v>
      </c>
      <c r="N2837" s="1" t="s">
        <v>16</v>
      </c>
      <c r="O2837" s="1" t="s">
        <v>16</v>
      </c>
      <c r="P2837" s="1" t="s">
        <v>16</v>
      </c>
    </row>
    <row r="2838" spans="1:19" ht="12.5" x14ac:dyDescent="0.25">
      <c r="A2838" s="1" t="s">
        <v>16</v>
      </c>
      <c r="B2838" s="1" t="s">
        <v>16</v>
      </c>
      <c r="C2838" s="1" t="s">
        <v>16</v>
      </c>
      <c r="D2838" s="1" t="s">
        <v>16</v>
      </c>
      <c r="E2838" s="1">
        <v>3200</v>
      </c>
      <c r="F2838" s="1" t="s">
        <v>9412</v>
      </c>
      <c r="G2838" s="1" t="s">
        <v>9413</v>
      </c>
      <c r="H2838" s="1" t="s">
        <v>16</v>
      </c>
      <c r="I2838" s="1" t="s">
        <v>20</v>
      </c>
      <c r="J2838" s="1" t="s">
        <v>9414</v>
      </c>
      <c r="K2838" s="1" t="b">
        <v>1</v>
      </c>
      <c r="L2838" s="1" t="s">
        <v>31</v>
      </c>
      <c r="M2838" s="1" t="s">
        <v>16</v>
      </c>
      <c r="N2838" s="1" t="s">
        <v>16</v>
      </c>
      <c r="O2838" s="1" t="s">
        <v>16</v>
      </c>
      <c r="P2838" s="1" t="s">
        <v>16</v>
      </c>
    </row>
    <row r="2839" spans="1:19" ht="12.5" x14ac:dyDescent="0.25">
      <c r="A2839" s="1" t="s">
        <v>16</v>
      </c>
      <c r="B2839" s="1" t="s">
        <v>16</v>
      </c>
      <c r="C2839" s="1" t="s">
        <v>16</v>
      </c>
      <c r="D2839" s="1" t="s">
        <v>16</v>
      </c>
      <c r="E2839" s="1">
        <v>3201</v>
      </c>
      <c r="F2839" s="1" t="s">
        <v>9415</v>
      </c>
      <c r="G2839" s="1" t="s">
        <v>9416</v>
      </c>
      <c r="H2839" s="1" t="s">
        <v>16</v>
      </c>
      <c r="I2839" s="1" t="s">
        <v>20</v>
      </c>
      <c r="J2839" s="1" t="s">
        <v>9417</v>
      </c>
      <c r="K2839" s="1" t="b">
        <v>0</v>
      </c>
      <c r="L2839" s="1" t="s">
        <v>22</v>
      </c>
      <c r="M2839" s="1" t="s">
        <v>16</v>
      </c>
      <c r="N2839" s="1" t="s">
        <v>16</v>
      </c>
      <c r="O2839" s="1" t="s">
        <v>16</v>
      </c>
      <c r="P2839" s="1" t="s">
        <v>16</v>
      </c>
    </row>
    <row r="2840" spans="1:19" ht="12.5" x14ac:dyDescent="0.25">
      <c r="A2840" s="1" t="s">
        <v>16</v>
      </c>
      <c r="B2840" s="1" t="s">
        <v>16</v>
      </c>
      <c r="C2840" s="1" t="s">
        <v>16</v>
      </c>
      <c r="D2840" s="1" t="s">
        <v>16</v>
      </c>
      <c r="E2840" s="1">
        <v>3202</v>
      </c>
      <c r="F2840" s="1" t="s">
        <v>9418</v>
      </c>
      <c r="G2840" s="1" t="s">
        <v>9419</v>
      </c>
      <c r="H2840" s="1" t="s">
        <v>16</v>
      </c>
      <c r="I2840" s="1" t="s">
        <v>20</v>
      </c>
      <c r="J2840" s="1" t="s">
        <v>9420</v>
      </c>
      <c r="K2840" s="1" t="b">
        <v>0</v>
      </c>
      <c r="L2840" s="1" t="s">
        <v>22</v>
      </c>
      <c r="M2840" s="1" t="s">
        <v>16</v>
      </c>
      <c r="N2840" s="1" t="s">
        <v>16</v>
      </c>
      <c r="O2840" s="1" t="s">
        <v>16</v>
      </c>
      <c r="P2840" s="1" t="s">
        <v>16</v>
      </c>
    </row>
    <row r="2841" spans="1:19" ht="12.5" x14ac:dyDescent="0.25">
      <c r="A2841" s="1" t="s">
        <v>16</v>
      </c>
      <c r="B2841" s="1" t="s">
        <v>16</v>
      </c>
      <c r="C2841" s="1" t="s">
        <v>16</v>
      </c>
      <c r="D2841" s="1" t="s">
        <v>16</v>
      </c>
      <c r="E2841" s="1">
        <v>3203</v>
      </c>
      <c r="F2841" s="1" t="s">
        <v>9421</v>
      </c>
      <c r="G2841" s="1" t="s">
        <v>9422</v>
      </c>
      <c r="H2841" s="1" t="s">
        <v>16</v>
      </c>
      <c r="I2841" s="1" t="s">
        <v>20</v>
      </c>
      <c r="J2841" s="1" t="s">
        <v>9423</v>
      </c>
      <c r="K2841" s="1" t="b">
        <v>0</v>
      </c>
      <c r="L2841" s="1" t="s">
        <v>22</v>
      </c>
      <c r="M2841" s="1" t="s">
        <v>16</v>
      </c>
      <c r="N2841" s="1" t="s">
        <v>16</v>
      </c>
      <c r="O2841" s="1" t="s">
        <v>16</v>
      </c>
      <c r="P2841" s="1" t="s">
        <v>16</v>
      </c>
    </row>
    <row r="2842" spans="1:19" ht="12.5" x14ac:dyDescent="0.25">
      <c r="A2842" s="1" t="s">
        <v>16</v>
      </c>
      <c r="B2842" s="1" t="s">
        <v>16</v>
      </c>
      <c r="C2842" s="1" t="s">
        <v>16</v>
      </c>
      <c r="D2842" s="1" t="s">
        <v>16</v>
      </c>
      <c r="E2842" s="1">
        <v>3204</v>
      </c>
      <c r="F2842" s="1" t="s">
        <v>9424</v>
      </c>
      <c r="G2842" s="1" t="s">
        <v>9425</v>
      </c>
      <c r="H2842" s="1" t="s">
        <v>16</v>
      </c>
      <c r="I2842" s="1" t="s">
        <v>20</v>
      </c>
      <c r="J2842" s="1" t="s">
        <v>9426</v>
      </c>
      <c r="K2842" s="1" t="b">
        <v>0</v>
      </c>
      <c r="L2842" s="1" t="s">
        <v>22</v>
      </c>
      <c r="M2842" s="1" t="s">
        <v>16</v>
      </c>
      <c r="N2842" s="1" t="s">
        <v>16</v>
      </c>
      <c r="O2842" s="1" t="s">
        <v>16</v>
      </c>
      <c r="P2842" s="1" t="s">
        <v>16</v>
      </c>
    </row>
    <row r="2843" spans="1:19" ht="12.5" x14ac:dyDescent="0.25">
      <c r="A2843" s="1">
        <v>4573</v>
      </c>
      <c r="B2843" s="1" t="s">
        <v>9427</v>
      </c>
      <c r="C2843" s="1" t="s">
        <v>35</v>
      </c>
      <c r="D2843" s="1" t="s">
        <v>36</v>
      </c>
      <c r="E2843" s="1">
        <v>3205</v>
      </c>
      <c r="F2843" s="1" t="s">
        <v>9428</v>
      </c>
      <c r="G2843" s="1" t="s">
        <v>9429</v>
      </c>
      <c r="H2843" s="1" t="s">
        <v>9430</v>
      </c>
      <c r="I2843" s="1" t="s">
        <v>29</v>
      </c>
      <c r="J2843" s="1" t="s">
        <v>9431</v>
      </c>
      <c r="K2843" s="1" t="b">
        <v>0</v>
      </c>
      <c r="L2843" s="1" t="s">
        <v>22</v>
      </c>
      <c r="M2843" s="1">
        <v>2022</v>
      </c>
      <c r="N2843" s="1" t="s">
        <v>32</v>
      </c>
      <c r="O2843" s="1" t="s">
        <v>9935</v>
      </c>
      <c r="P2843" s="1" t="s">
        <v>10108</v>
      </c>
      <c r="Q2843" s="1">
        <v>100</v>
      </c>
      <c r="R2843" s="1">
        <v>1</v>
      </c>
      <c r="S2843" s="1">
        <v>1</v>
      </c>
    </row>
    <row r="2844" spans="1:19" ht="12.5" x14ac:dyDescent="0.25">
      <c r="A2844" s="1">
        <v>1643</v>
      </c>
      <c r="B2844" s="1" t="s">
        <v>5253</v>
      </c>
      <c r="C2844" s="1" t="s">
        <v>35</v>
      </c>
      <c r="D2844" s="1" t="s">
        <v>152</v>
      </c>
      <c r="E2844" s="1">
        <v>3206</v>
      </c>
      <c r="F2844" s="1" t="s">
        <v>9432</v>
      </c>
      <c r="G2844" s="1" t="s">
        <v>9433</v>
      </c>
      <c r="H2844" s="1" t="s">
        <v>9433</v>
      </c>
      <c r="I2844" s="1" t="s">
        <v>29</v>
      </c>
      <c r="J2844" s="1" t="s">
        <v>9434</v>
      </c>
      <c r="K2844" s="1" t="b">
        <v>1</v>
      </c>
      <c r="L2844" s="1" t="s">
        <v>31</v>
      </c>
      <c r="M2844" s="1">
        <v>2022</v>
      </c>
      <c r="N2844" s="1" t="s">
        <v>52</v>
      </c>
      <c r="O2844" s="1" t="s">
        <v>9935</v>
      </c>
      <c r="P2844" s="1" t="s">
        <v>16</v>
      </c>
      <c r="Q2844" s="1">
        <v>100</v>
      </c>
      <c r="R2844" s="1">
        <v>12500</v>
      </c>
      <c r="S2844" s="1">
        <v>12500</v>
      </c>
    </row>
    <row r="2845" spans="1:19" ht="12.5" x14ac:dyDescent="0.25">
      <c r="A2845" s="1">
        <v>4654</v>
      </c>
      <c r="B2845" s="1" t="s">
        <v>9435</v>
      </c>
      <c r="C2845" s="1" t="s">
        <v>38</v>
      </c>
      <c r="D2845" s="1" t="s">
        <v>5701</v>
      </c>
      <c r="E2845" s="1">
        <v>3207</v>
      </c>
      <c r="F2845" s="1" t="s">
        <v>9437</v>
      </c>
      <c r="G2845" s="1" t="s">
        <v>9436</v>
      </c>
      <c r="H2845" s="1" t="s">
        <v>9438</v>
      </c>
      <c r="I2845" s="1" t="s">
        <v>29</v>
      </c>
      <c r="J2845" s="1" t="s">
        <v>9439</v>
      </c>
      <c r="K2845" s="1" t="b">
        <v>1</v>
      </c>
      <c r="L2845" s="1" t="s">
        <v>31</v>
      </c>
      <c r="M2845" s="1">
        <v>2023</v>
      </c>
      <c r="N2845" s="1" t="s">
        <v>32</v>
      </c>
      <c r="O2845" s="1" t="s">
        <v>9956</v>
      </c>
      <c r="P2845" s="1" t="s">
        <v>16</v>
      </c>
      <c r="Q2845" s="1">
        <v>100</v>
      </c>
      <c r="R2845" s="1">
        <v>43000</v>
      </c>
      <c r="S2845" s="1">
        <v>43000</v>
      </c>
    </row>
    <row r="2846" spans="1:19" ht="12.5" x14ac:dyDescent="0.25">
      <c r="A2846" s="1">
        <v>4655</v>
      </c>
      <c r="B2846" s="1" t="s">
        <v>9440</v>
      </c>
      <c r="C2846" s="1" t="s">
        <v>38</v>
      </c>
      <c r="D2846" s="1" t="s">
        <v>5701</v>
      </c>
      <c r="E2846" s="1">
        <v>3208</v>
      </c>
      <c r="F2846" s="1" t="s">
        <v>9441</v>
      </c>
      <c r="G2846" s="1" t="s">
        <v>9442</v>
      </c>
      <c r="H2846" s="1" t="s">
        <v>9442</v>
      </c>
      <c r="I2846" s="1" t="s">
        <v>29</v>
      </c>
      <c r="J2846" s="1" t="s">
        <v>9443</v>
      </c>
      <c r="K2846" s="1" t="b">
        <v>1</v>
      </c>
      <c r="L2846" s="1" t="s">
        <v>31</v>
      </c>
      <c r="M2846" s="1">
        <v>2023</v>
      </c>
      <c r="N2846" s="1" t="s">
        <v>32</v>
      </c>
      <c r="O2846" s="1" t="s">
        <v>9956</v>
      </c>
      <c r="P2846" s="1" t="s">
        <v>16</v>
      </c>
      <c r="Q2846" s="1">
        <v>100</v>
      </c>
      <c r="R2846" s="1">
        <v>42000</v>
      </c>
      <c r="S2846" s="1">
        <v>42000</v>
      </c>
    </row>
    <row r="2847" spans="1:19" ht="12.5" x14ac:dyDescent="0.25">
      <c r="A2847" s="1">
        <v>4656</v>
      </c>
      <c r="B2847" s="1" t="s">
        <v>9444</v>
      </c>
      <c r="C2847" s="1" t="s">
        <v>38</v>
      </c>
      <c r="D2847" s="1" t="s">
        <v>5701</v>
      </c>
      <c r="E2847" s="1">
        <v>3209</v>
      </c>
      <c r="F2847" s="1" t="s">
        <v>9446</v>
      </c>
      <c r="G2847" s="1" t="s">
        <v>9445</v>
      </c>
      <c r="H2847" s="1" t="s">
        <v>9445</v>
      </c>
      <c r="I2847" s="1" t="s">
        <v>29</v>
      </c>
      <c r="J2847" s="1" t="s">
        <v>9447</v>
      </c>
      <c r="K2847" s="1" t="b">
        <v>1</v>
      </c>
      <c r="L2847" s="1" t="s">
        <v>31</v>
      </c>
      <c r="M2847" s="1">
        <v>2023</v>
      </c>
      <c r="N2847" s="1" t="s">
        <v>32</v>
      </c>
      <c r="O2847" s="1" t="s">
        <v>9956</v>
      </c>
      <c r="P2847" s="1" t="s">
        <v>16</v>
      </c>
      <c r="Q2847" s="1">
        <v>100</v>
      </c>
      <c r="R2847" s="1">
        <v>28000</v>
      </c>
      <c r="S2847" s="1">
        <v>28000</v>
      </c>
    </row>
    <row r="2848" spans="1:19" ht="12.5" x14ac:dyDescent="0.25">
      <c r="A2848" s="1">
        <v>2249</v>
      </c>
      <c r="B2848" s="1" t="s">
        <v>9448</v>
      </c>
      <c r="C2848" s="1" t="s">
        <v>38</v>
      </c>
      <c r="D2848" s="1" t="s">
        <v>5701</v>
      </c>
      <c r="E2848" s="1">
        <v>3210</v>
      </c>
      <c r="F2848" s="1" t="s">
        <v>9450</v>
      </c>
      <c r="G2848" s="1" t="s">
        <v>9449</v>
      </c>
      <c r="H2848" s="1" t="s">
        <v>9449</v>
      </c>
      <c r="I2848" s="1" t="s">
        <v>29</v>
      </c>
      <c r="J2848" s="1" t="s">
        <v>9451</v>
      </c>
      <c r="K2848" s="1" t="b">
        <v>1</v>
      </c>
      <c r="L2848" s="1" t="s">
        <v>31</v>
      </c>
      <c r="M2848" s="1">
        <v>2023</v>
      </c>
      <c r="N2848" s="1" t="s">
        <v>45</v>
      </c>
      <c r="O2848" s="1" t="s">
        <v>9956</v>
      </c>
      <c r="P2848" s="1" t="s">
        <v>16</v>
      </c>
      <c r="Q2848" s="1">
        <v>100</v>
      </c>
      <c r="R2848" s="1">
        <v>70000</v>
      </c>
      <c r="S2848" s="1">
        <v>70000</v>
      </c>
    </row>
    <row r="2849" spans="1:19" ht="12.5" x14ac:dyDescent="0.25">
      <c r="A2849" s="1">
        <v>4658</v>
      </c>
      <c r="B2849" s="1" t="s">
        <v>9452</v>
      </c>
      <c r="C2849" s="1" t="s">
        <v>38</v>
      </c>
      <c r="D2849" s="1" t="s">
        <v>5701</v>
      </c>
      <c r="E2849" s="1">
        <v>3211</v>
      </c>
      <c r="F2849" s="1" t="s">
        <v>9454</v>
      </c>
      <c r="G2849" s="1" t="s">
        <v>9453</v>
      </c>
      <c r="H2849" s="1" t="s">
        <v>9453</v>
      </c>
      <c r="I2849" s="1" t="s">
        <v>29</v>
      </c>
      <c r="J2849" s="1" t="s">
        <v>9455</v>
      </c>
      <c r="K2849" s="1" t="b">
        <v>1</v>
      </c>
      <c r="L2849" s="1" t="s">
        <v>31</v>
      </c>
      <c r="M2849" s="1">
        <v>2023</v>
      </c>
      <c r="N2849" s="1" t="s">
        <v>45</v>
      </c>
      <c r="O2849" s="1" t="s">
        <v>9956</v>
      </c>
      <c r="P2849" s="1" t="s">
        <v>16</v>
      </c>
      <c r="Q2849" s="1">
        <v>100</v>
      </c>
      <c r="R2849" s="1">
        <v>66000</v>
      </c>
      <c r="S2849" s="1">
        <v>66000</v>
      </c>
    </row>
    <row r="2850" spans="1:19" ht="12.5" x14ac:dyDescent="0.25">
      <c r="A2850" s="1">
        <v>4577</v>
      </c>
      <c r="B2850" s="1" t="s">
        <v>9456</v>
      </c>
      <c r="C2850" s="1" t="s">
        <v>35</v>
      </c>
      <c r="D2850" s="1" t="s">
        <v>36</v>
      </c>
      <c r="E2850" s="1">
        <v>3212</v>
      </c>
      <c r="F2850" s="1" t="s">
        <v>9457</v>
      </c>
      <c r="G2850" s="1" t="s">
        <v>9458</v>
      </c>
      <c r="H2850" s="1" t="s">
        <v>9459</v>
      </c>
      <c r="I2850" s="1" t="s">
        <v>29</v>
      </c>
      <c r="J2850" s="1" t="s">
        <v>9460</v>
      </c>
      <c r="K2850" s="1" t="b">
        <v>0</v>
      </c>
      <c r="L2850" s="1" t="s">
        <v>22</v>
      </c>
      <c r="M2850" s="1">
        <v>2022</v>
      </c>
      <c r="N2850" s="1" t="s">
        <v>32</v>
      </c>
      <c r="O2850" s="1" t="s">
        <v>9935</v>
      </c>
      <c r="P2850" s="1" t="s">
        <v>10108</v>
      </c>
      <c r="Q2850" s="1">
        <v>100</v>
      </c>
      <c r="R2850" s="1">
        <v>1</v>
      </c>
      <c r="S2850" s="1">
        <v>1</v>
      </c>
    </row>
    <row r="2851" spans="1:19" ht="12.5" x14ac:dyDescent="0.25">
      <c r="A2851" s="1">
        <v>4659</v>
      </c>
      <c r="B2851" s="1" t="s">
        <v>9461</v>
      </c>
      <c r="C2851" s="1" t="s">
        <v>38</v>
      </c>
      <c r="D2851" s="1" t="s">
        <v>5701</v>
      </c>
      <c r="E2851" s="1">
        <v>3213</v>
      </c>
      <c r="F2851" s="1" t="s">
        <v>9463</v>
      </c>
      <c r="G2851" s="1" t="s">
        <v>9462</v>
      </c>
      <c r="H2851" s="1" t="s">
        <v>9462</v>
      </c>
      <c r="I2851" s="1" t="s">
        <v>29</v>
      </c>
      <c r="J2851" s="1" t="s">
        <v>9464</v>
      </c>
      <c r="K2851" s="1" t="b">
        <v>1</v>
      </c>
      <c r="L2851" s="1" t="s">
        <v>31</v>
      </c>
      <c r="M2851" s="1">
        <v>2022</v>
      </c>
      <c r="N2851" s="1" t="s">
        <v>52</v>
      </c>
      <c r="O2851" s="1" t="s">
        <v>9956</v>
      </c>
      <c r="P2851" s="1" t="s">
        <v>16</v>
      </c>
      <c r="Q2851" s="1">
        <v>100</v>
      </c>
      <c r="R2851" s="1">
        <v>32000</v>
      </c>
      <c r="S2851" s="1">
        <v>32000</v>
      </c>
    </row>
    <row r="2852" spans="1:19" ht="12.5" x14ac:dyDescent="0.25">
      <c r="A2852" s="1">
        <v>4660</v>
      </c>
      <c r="B2852" s="1" t="s">
        <v>9465</v>
      </c>
      <c r="C2852" s="1" t="s">
        <v>38</v>
      </c>
      <c r="D2852" s="1" t="s">
        <v>5701</v>
      </c>
      <c r="E2852" s="1">
        <v>3214</v>
      </c>
      <c r="F2852" s="1" t="s">
        <v>9467</v>
      </c>
      <c r="G2852" s="1" t="s">
        <v>9466</v>
      </c>
      <c r="H2852" s="1" t="s">
        <v>9468</v>
      </c>
      <c r="I2852" s="1" t="s">
        <v>29</v>
      </c>
      <c r="J2852" s="1" t="s">
        <v>9469</v>
      </c>
      <c r="K2852" s="1" t="b">
        <v>1</v>
      </c>
      <c r="L2852" s="1" t="s">
        <v>31</v>
      </c>
      <c r="M2852" s="1">
        <v>2022</v>
      </c>
      <c r="N2852" s="1" t="s">
        <v>52</v>
      </c>
      <c r="O2852" s="1" t="s">
        <v>9956</v>
      </c>
      <c r="P2852" s="1" t="s">
        <v>16</v>
      </c>
      <c r="Q2852" s="1">
        <v>100</v>
      </c>
      <c r="R2852" s="1">
        <v>6000</v>
      </c>
      <c r="S2852" s="1">
        <v>6000</v>
      </c>
    </row>
    <row r="2853" spans="1:19" ht="12.5" x14ac:dyDescent="0.25">
      <c r="A2853" s="1">
        <v>4661</v>
      </c>
      <c r="B2853" s="1" t="s">
        <v>9470</v>
      </c>
      <c r="C2853" s="1" t="s">
        <v>38</v>
      </c>
      <c r="D2853" s="1" t="s">
        <v>5701</v>
      </c>
      <c r="E2853" s="1">
        <v>3215</v>
      </c>
      <c r="F2853" s="1" t="s">
        <v>9472</v>
      </c>
      <c r="G2853" s="1" t="s">
        <v>9471</v>
      </c>
      <c r="H2853" s="1" t="s">
        <v>9471</v>
      </c>
      <c r="I2853" s="1" t="s">
        <v>29</v>
      </c>
      <c r="J2853" s="1" t="s">
        <v>9473</v>
      </c>
      <c r="K2853" s="1" t="b">
        <v>1</v>
      </c>
      <c r="L2853" s="1" t="s">
        <v>31</v>
      </c>
      <c r="M2853" s="1">
        <v>2022</v>
      </c>
      <c r="N2853" s="1" t="s">
        <v>52</v>
      </c>
      <c r="O2853" s="1" t="s">
        <v>9956</v>
      </c>
      <c r="P2853" s="1" t="s">
        <v>16</v>
      </c>
      <c r="Q2853" s="1">
        <v>100</v>
      </c>
      <c r="R2853" s="1">
        <v>37000</v>
      </c>
      <c r="S2853" s="1">
        <v>37000</v>
      </c>
    </row>
    <row r="2854" spans="1:19" ht="12.5" x14ac:dyDescent="0.25">
      <c r="A2854" s="1">
        <v>1561</v>
      </c>
      <c r="B2854" s="1" t="s">
        <v>5112</v>
      </c>
      <c r="C2854" s="1" t="s">
        <v>35</v>
      </c>
      <c r="D2854" s="1" t="s">
        <v>152</v>
      </c>
      <c r="E2854" s="1">
        <v>3216</v>
      </c>
      <c r="F2854" s="1" t="s">
        <v>9474</v>
      </c>
      <c r="G2854" s="1" t="s">
        <v>9475</v>
      </c>
      <c r="H2854" s="1" t="s">
        <v>9475</v>
      </c>
      <c r="I2854" s="1" t="s">
        <v>29</v>
      </c>
      <c r="J2854" s="1" t="s">
        <v>9476</v>
      </c>
      <c r="K2854" s="1" t="b">
        <v>1</v>
      </c>
      <c r="L2854" s="1" t="s">
        <v>31</v>
      </c>
      <c r="M2854" s="1">
        <v>2022</v>
      </c>
      <c r="N2854" s="1" t="s">
        <v>52</v>
      </c>
      <c r="O2854" s="1" t="s">
        <v>9956</v>
      </c>
      <c r="P2854" s="1" t="s">
        <v>16</v>
      </c>
      <c r="Q2854" s="1">
        <v>100</v>
      </c>
      <c r="R2854" s="1">
        <v>24000</v>
      </c>
      <c r="S2854" s="1">
        <v>24000</v>
      </c>
    </row>
    <row r="2855" spans="1:19" ht="12.5" x14ac:dyDescent="0.25">
      <c r="A2855" s="1">
        <v>1680</v>
      </c>
      <c r="B2855" s="1" t="s">
        <v>5319</v>
      </c>
      <c r="C2855" s="1" t="s">
        <v>35</v>
      </c>
      <c r="D2855" s="1" t="s">
        <v>152</v>
      </c>
      <c r="E2855" s="1">
        <v>3217</v>
      </c>
      <c r="F2855" s="1" t="s">
        <v>9477</v>
      </c>
      <c r="G2855" s="1" t="s">
        <v>9478</v>
      </c>
      <c r="H2855" s="1" t="s">
        <v>9478</v>
      </c>
      <c r="I2855" s="1" t="s">
        <v>29</v>
      </c>
      <c r="J2855" s="1" t="s">
        <v>9479</v>
      </c>
      <c r="K2855" s="1" t="b">
        <v>1</v>
      </c>
      <c r="L2855" s="1" t="s">
        <v>31</v>
      </c>
      <c r="M2855" s="1">
        <v>2022</v>
      </c>
      <c r="N2855" s="1" t="s">
        <v>52</v>
      </c>
      <c r="O2855" s="1" t="s">
        <v>9956</v>
      </c>
      <c r="P2855" s="1" t="s">
        <v>16</v>
      </c>
      <c r="Q2855" s="1">
        <v>100</v>
      </c>
      <c r="R2855" s="1">
        <v>1700</v>
      </c>
      <c r="S2855" s="1">
        <v>1700</v>
      </c>
    </row>
    <row r="2856" spans="1:19" ht="12.5" x14ac:dyDescent="0.25">
      <c r="A2856" s="1" t="s">
        <v>16</v>
      </c>
      <c r="B2856" s="1" t="s">
        <v>16</v>
      </c>
      <c r="C2856" s="1" t="s">
        <v>16</v>
      </c>
      <c r="D2856" s="1" t="s">
        <v>16</v>
      </c>
      <c r="E2856" s="1">
        <v>3218</v>
      </c>
      <c r="F2856" s="1" t="s">
        <v>9480</v>
      </c>
      <c r="G2856" s="1" t="s">
        <v>9481</v>
      </c>
      <c r="H2856" s="1" t="s">
        <v>16</v>
      </c>
      <c r="I2856" s="1" t="s">
        <v>20</v>
      </c>
      <c r="J2856" s="1" t="s">
        <v>9482</v>
      </c>
      <c r="K2856" s="1" t="b">
        <v>0</v>
      </c>
      <c r="L2856" s="1" t="s">
        <v>22</v>
      </c>
      <c r="M2856" s="1" t="s">
        <v>16</v>
      </c>
      <c r="N2856" s="1" t="s">
        <v>16</v>
      </c>
      <c r="O2856" s="1" t="s">
        <v>16</v>
      </c>
      <c r="P2856" s="1" t="s">
        <v>16</v>
      </c>
    </row>
    <row r="2857" spans="1:19" ht="12.5" x14ac:dyDescent="0.25">
      <c r="A2857" s="1" t="s">
        <v>16</v>
      </c>
      <c r="B2857" s="1" t="s">
        <v>16</v>
      </c>
      <c r="C2857" s="1" t="s">
        <v>16</v>
      </c>
      <c r="D2857" s="1" t="s">
        <v>16</v>
      </c>
      <c r="E2857" s="1">
        <v>3219</v>
      </c>
      <c r="F2857" s="1" t="s">
        <v>9483</v>
      </c>
      <c r="G2857" s="1" t="s">
        <v>9484</v>
      </c>
      <c r="H2857" s="1" t="s">
        <v>16</v>
      </c>
      <c r="I2857" s="1" t="s">
        <v>20</v>
      </c>
      <c r="J2857" s="1" t="s">
        <v>9485</v>
      </c>
      <c r="K2857" s="1" t="b">
        <v>0</v>
      </c>
      <c r="L2857" s="1" t="s">
        <v>22</v>
      </c>
      <c r="M2857" s="1" t="s">
        <v>16</v>
      </c>
      <c r="N2857" s="1" t="s">
        <v>16</v>
      </c>
      <c r="O2857" s="1" t="s">
        <v>16</v>
      </c>
      <c r="P2857" s="1" t="s">
        <v>16</v>
      </c>
    </row>
    <row r="2858" spans="1:19" ht="12.5" x14ac:dyDescent="0.25">
      <c r="A2858" s="1" t="s">
        <v>16</v>
      </c>
      <c r="B2858" s="1" t="s">
        <v>16</v>
      </c>
      <c r="C2858" s="1" t="s">
        <v>16</v>
      </c>
      <c r="D2858" s="1" t="s">
        <v>16</v>
      </c>
      <c r="E2858" s="1">
        <v>3220</v>
      </c>
      <c r="F2858" s="1" t="s">
        <v>9486</v>
      </c>
      <c r="G2858" s="1" t="s">
        <v>9487</v>
      </c>
      <c r="H2858" s="1" t="s">
        <v>16</v>
      </c>
      <c r="I2858" s="1" t="s">
        <v>20</v>
      </c>
      <c r="J2858" s="1" t="s">
        <v>9488</v>
      </c>
      <c r="K2858" s="1" t="b">
        <v>0</v>
      </c>
      <c r="L2858" s="1" t="s">
        <v>22</v>
      </c>
      <c r="M2858" s="1" t="s">
        <v>16</v>
      </c>
      <c r="N2858" s="1" t="s">
        <v>16</v>
      </c>
      <c r="O2858" s="1" t="s">
        <v>16</v>
      </c>
      <c r="P2858" s="1" t="s">
        <v>16</v>
      </c>
    </row>
    <row r="2859" spans="1:19" ht="12.5" x14ac:dyDescent="0.25">
      <c r="A2859" s="1" t="s">
        <v>16</v>
      </c>
      <c r="B2859" s="1" t="s">
        <v>16</v>
      </c>
      <c r="C2859" s="1" t="s">
        <v>16</v>
      </c>
      <c r="D2859" s="1" t="s">
        <v>16</v>
      </c>
      <c r="E2859" s="1">
        <v>3221</v>
      </c>
      <c r="F2859" s="1" t="s">
        <v>9489</v>
      </c>
      <c r="G2859" s="1" t="s">
        <v>9490</v>
      </c>
      <c r="H2859" s="1" t="s">
        <v>16</v>
      </c>
      <c r="I2859" s="1" t="s">
        <v>20</v>
      </c>
      <c r="J2859" s="1" t="s">
        <v>9491</v>
      </c>
      <c r="K2859" s="1" t="b">
        <v>0</v>
      </c>
      <c r="L2859" s="1" t="s">
        <v>22</v>
      </c>
      <c r="M2859" s="1" t="s">
        <v>16</v>
      </c>
      <c r="N2859" s="1" t="s">
        <v>16</v>
      </c>
      <c r="O2859" s="1" t="s">
        <v>16</v>
      </c>
      <c r="P2859" s="1" t="s">
        <v>16</v>
      </c>
    </row>
    <row r="2860" spans="1:19" ht="12.5" x14ac:dyDescent="0.25">
      <c r="A2860" s="1" t="s">
        <v>16</v>
      </c>
      <c r="B2860" s="1" t="s">
        <v>16</v>
      </c>
      <c r="C2860" s="1" t="s">
        <v>16</v>
      </c>
      <c r="D2860" s="1" t="s">
        <v>16</v>
      </c>
      <c r="E2860" s="1">
        <v>3222</v>
      </c>
      <c r="F2860" s="1" t="s">
        <v>9492</v>
      </c>
      <c r="G2860" s="1" t="s">
        <v>9493</v>
      </c>
      <c r="H2860" s="1" t="s">
        <v>16</v>
      </c>
      <c r="I2860" s="1" t="s">
        <v>20</v>
      </c>
      <c r="J2860" s="1" t="s">
        <v>9494</v>
      </c>
      <c r="K2860" s="1" t="b">
        <v>0</v>
      </c>
      <c r="L2860" s="1" t="s">
        <v>22</v>
      </c>
      <c r="M2860" s="1" t="s">
        <v>16</v>
      </c>
      <c r="N2860" s="1" t="s">
        <v>16</v>
      </c>
      <c r="O2860" s="1" t="s">
        <v>16</v>
      </c>
      <c r="P2860" s="1" t="s">
        <v>16</v>
      </c>
    </row>
    <row r="2861" spans="1:19" ht="12.5" x14ac:dyDescent="0.25">
      <c r="A2861" s="1" t="s">
        <v>16</v>
      </c>
      <c r="B2861" s="1" t="s">
        <v>16</v>
      </c>
      <c r="C2861" s="1" t="s">
        <v>16</v>
      </c>
      <c r="D2861" s="1" t="s">
        <v>16</v>
      </c>
      <c r="E2861" s="1">
        <v>3223</v>
      </c>
      <c r="F2861" s="1" t="s">
        <v>9495</v>
      </c>
      <c r="G2861" s="1" t="s">
        <v>9496</v>
      </c>
      <c r="H2861" s="1" t="s">
        <v>16</v>
      </c>
      <c r="I2861" s="1" t="s">
        <v>20</v>
      </c>
      <c r="J2861" s="1" t="s">
        <v>9497</v>
      </c>
      <c r="K2861" s="1" t="b">
        <v>0</v>
      </c>
      <c r="L2861" s="1" t="s">
        <v>22</v>
      </c>
      <c r="M2861" s="1" t="s">
        <v>16</v>
      </c>
      <c r="N2861" s="1" t="s">
        <v>16</v>
      </c>
      <c r="O2861" s="1" t="s">
        <v>16</v>
      </c>
      <c r="P2861" s="1" t="s">
        <v>16</v>
      </c>
    </row>
    <row r="2862" spans="1:19" ht="12.5" x14ac:dyDescent="0.25">
      <c r="A2862" s="1" t="s">
        <v>16</v>
      </c>
      <c r="B2862" s="1" t="s">
        <v>16</v>
      </c>
      <c r="C2862" s="1" t="s">
        <v>16</v>
      </c>
      <c r="D2862" s="1" t="s">
        <v>16</v>
      </c>
      <c r="E2862" s="1">
        <v>3224</v>
      </c>
      <c r="F2862" s="1" t="s">
        <v>9498</v>
      </c>
      <c r="G2862" s="1" t="s">
        <v>9499</v>
      </c>
      <c r="H2862" s="1" t="s">
        <v>16</v>
      </c>
      <c r="I2862" s="1" t="s">
        <v>20</v>
      </c>
      <c r="J2862" s="1" t="s">
        <v>9500</v>
      </c>
      <c r="K2862" s="1" t="b">
        <v>0</v>
      </c>
      <c r="L2862" s="1" t="s">
        <v>22</v>
      </c>
      <c r="M2862" s="1" t="s">
        <v>16</v>
      </c>
      <c r="N2862" s="1" t="s">
        <v>16</v>
      </c>
      <c r="O2862" s="1" t="s">
        <v>16</v>
      </c>
      <c r="P2862" s="1" t="s">
        <v>16</v>
      </c>
    </row>
    <row r="2863" spans="1:19" ht="12.5" x14ac:dyDescent="0.25">
      <c r="A2863" s="1" t="s">
        <v>16</v>
      </c>
      <c r="B2863" s="1" t="s">
        <v>16</v>
      </c>
      <c r="C2863" s="1" t="s">
        <v>16</v>
      </c>
      <c r="D2863" s="1" t="s">
        <v>16</v>
      </c>
      <c r="E2863" s="1">
        <v>3225</v>
      </c>
      <c r="F2863" s="1" t="s">
        <v>9501</v>
      </c>
      <c r="G2863" s="1" t="s">
        <v>9502</v>
      </c>
      <c r="H2863" s="1" t="s">
        <v>16</v>
      </c>
      <c r="I2863" s="1" t="s">
        <v>20</v>
      </c>
      <c r="J2863" s="1" t="s">
        <v>9503</v>
      </c>
      <c r="K2863" s="1" t="b">
        <v>0</v>
      </c>
      <c r="L2863" s="1" t="s">
        <v>22</v>
      </c>
      <c r="M2863" s="1" t="s">
        <v>16</v>
      </c>
      <c r="N2863" s="1" t="s">
        <v>16</v>
      </c>
      <c r="O2863" s="1" t="s">
        <v>16</v>
      </c>
      <c r="P2863" s="1" t="s">
        <v>16</v>
      </c>
    </row>
    <row r="2864" spans="1:19" ht="12.5" x14ac:dyDescent="0.25">
      <c r="A2864" s="1" t="s">
        <v>16</v>
      </c>
      <c r="B2864" s="1" t="s">
        <v>16</v>
      </c>
      <c r="C2864" s="1" t="s">
        <v>16</v>
      </c>
      <c r="D2864" s="1" t="s">
        <v>16</v>
      </c>
      <c r="E2864" s="1">
        <v>3226</v>
      </c>
      <c r="F2864" s="1" t="s">
        <v>9504</v>
      </c>
      <c r="G2864" s="1" t="s">
        <v>9505</v>
      </c>
      <c r="H2864" s="1" t="s">
        <v>16</v>
      </c>
      <c r="I2864" s="1" t="s">
        <v>20</v>
      </c>
      <c r="J2864" s="1" t="s">
        <v>9506</v>
      </c>
      <c r="K2864" s="1" t="b">
        <v>0</v>
      </c>
      <c r="L2864" s="1" t="s">
        <v>22</v>
      </c>
      <c r="M2864" s="1" t="s">
        <v>16</v>
      </c>
      <c r="N2864" s="1" t="s">
        <v>16</v>
      </c>
      <c r="O2864" s="1" t="s">
        <v>16</v>
      </c>
      <c r="P2864" s="1" t="s">
        <v>16</v>
      </c>
    </row>
    <row r="2865" spans="1:19" ht="12.5" x14ac:dyDescent="0.25">
      <c r="A2865" s="1" t="s">
        <v>16</v>
      </c>
      <c r="B2865" s="1" t="s">
        <v>16</v>
      </c>
      <c r="C2865" s="1" t="s">
        <v>16</v>
      </c>
      <c r="D2865" s="1" t="s">
        <v>16</v>
      </c>
      <c r="E2865" s="1">
        <v>3227</v>
      </c>
      <c r="F2865" s="1" t="s">
        <v>9507</v>
      </c>
      <c r="G2865" s="1" t="s">
        <v>9508</v>
      </c>
      <c r="H2865" s="1" t="s">
        <v>16</v>
      </c>
      <c r="I2865" s="1" t="s">
        <v>20</v>
      </c>
      <c r="J2865" s="1" t="s">
        <v>9509</v>
      </c>
      <c r="K2865" s="1" t="b">
        <v>0</v>
      </c>
      <c r="L2865" s="1" t="s">
        <v>22</v>
      </c>
      <c r="M2865" s="1" t="s">
        <v>16</v>
      </c>
      <c r="N2865" s="1" t="s">
        <v>16</v>
      </c>
      <c r="O2865" s="1" t="s">
        <v>16</v>
      </c>
      <c r="P2865" s="1" t="s">
        <v>16</v>
      </c>
    </row>
    <row r="2866" spans="1:19" ht="12.5" x14ac:dyDescent="0.25">
      <c r="A2866" s="1" t="s">
        <v>16</v>
      </c>
      <c r="B2866" s="1" t="s">
        <v>16</v>
      </c>
      <c r="C2866" s="1" t="s">
        <v>16</v>
      </c>
      <c r="D2866" s="1" t="s">
        <v>16</v>
      </c>
      <c r="E2866" s="1">
        <v>3228</v>
      </c>
      <c r="F2866" s="1" t="s">
        <v>9510</v>
      </c>
      <c r="G2866" s="1" t="s">
        <v>9511</v>
      </c>
      <c r="H2866" s="1" t="s">
        <v>16</v>
      </c>
      <c r="I2866" s="1" t="s">
        <v>20</v>
      </c>
      <c r="J2866" s="1" t="s">
        <v>9512</v>
      </c>
      <c r="K2866" s="1" t="b">
        <v>0</v>
      </c>
      <c r="L2866" s="1" t="s">
        <v>22</v>
      </c>
      <c r="M2866" s="1" t="s">
        <v>16</v>
      </c>
      <c r="N2866" s="1" t="s">
        <v>16</v>
      </c>
      <c r="O2866" s="1" t="s">
        <v>16</v>
      </c>
      <c r="P2866" s="1" t="s">
        <v>16</v>
      </c>
    </row>
    <row r="2867" spans="1:19" ht="12.5" x14ac:dyDescent="0.25">
      <c r="A2867" s="1" t="s">
        <v>16</v>
      </c>
      <c r="B2867" s="1" t="s">
        <v>16</v>
      </c>
      <c r="C2867" s="1" t="s">
        <v>16</v>
      </c>
      <c r="D2867" s="1" t="s">
        <v>16</v>
      </c>
      <c r="E2867" s="1">
        <v>3229</v>
      </c>
      <c r="F2867" s="1" t="s">
        <v>9513</v>
      </c>
      <c r="G2867" s="1" t="s">
        <v>9514</v>
      </c>
      <c r="H2867" s="1" t="s">
        <v>16</v>
      </c>
      <c r="I2867" s="1" t="s">
        <v>20</v>
      </c>
      <c r="J2867" s="1" t="s">
        <v>16</v>
      </c>
      <c r="K2867" s="1" t="b">
        <v>0</v>
      </c>
      <c r="L2867" s="1" t="s">
        <v>22</v>
      </c>
      <c r="M2867" s="1" t="s">
        <v>16</v>
      </c>
      <c r="N2867" s="1" t="s">
        <v>16</v>
      </c>
      <c r="O2867" s="1" t="s">
        <v>16</v>
      </c>
      <c r="P2867" s="1" t="s">
        <v>16</v>
      </c>
    </row>
    <row r="2868" spans="1:19" ht="12.5" x14ac:dyDescent="0.25">
      <c r="A2868" s="1" t="s">
        <v>16</v>
      </c>
      <c r="B2868" s="1" t="s">
        <v>16</v>
      </c>
      <c r="C2868" s="1" t="s">
        <v>16</v>
      </c>
      <c r="D2868" s="1" t="s">
        <v>16</v>
      </c>
      <c r="E2868" s="1">
        <v>3230</v>
      </c>
      <c r="F2868" s="1" t="s">
        <v>9515</v>
      </c>
      <c r="G2868" s="1" t="s">
        <v>9516</v>
      </c>
      <c r="H2868" s="1" t="s">
        <v>16</v>
      </c>
      <c r="I2868" s="1" t="s">
        <v>20</v>
      </c>
      <c r="J2868" s="1" t="s">
        <v>9517</v>
      </c>
      <c r="K2868" s="1" t="b">
        <v>0</v>
      </c>
      <c r="L2868" s="1" t="s">
        <v>22</v>
      </c>
      <c r="M2868" s="1" t="s">
        <v>16</v>
      </c>
      <c r="N2868" s="1" t="s">
        <v>16</v>
      </c>
      <c r="O2868" s="1" t="s">
        <v>16</v>
      </c>
      <c r="P2868" s="1" t="s">
        <v>16</v>
      </c>
    </row>
    <row r="2869" spans="1:19" ht="12.5" x14ac:dyDescent="0.25">
      <c r="A2869" s="1" t="s">
        <v>16</v>
      </c>
      <c r="B2869" s="1" t="s">
        <v>16</v>
      </c>
      <c r="C2869" s="1" t="s">
        <v>16</v>
      </c>
      <c r="D2869" s="1" t="s">
        <v>16</v>
      </c>
      <c r="E2869" s="1">
        <v>3231</v>
      </c>
      <c r="F2869" s="1" t="s">
        <v>9518</v>
      </c>
      <c r="G2869" s="1" t="s">
        <v>9519</v>
      </c>
      <c r="H2869" s="1" t="s">
        <v>16</v>
      </c>
      <c r="I2869" s="1" t="s">
        <v>20</v>
      </c>
      <c r="J2869" s="1" t="s">
        <v>9520</v>
      </c>
      <c r="K2869" s="1" t="b">
        <v>0</v>
      </c>
      <c r="L2869" s="1" t="s">
        <v>22</v>
      </c>
      <c r="M2869" s="1" t="s">
        <v>16</v>
      </c>
      <c r="N2869" s="1" t="s">
        <v>16</v>
      </c>
      <c r="O2869" s="1" t="s">
        <v>16</v>
      </c>
      <c r="P2869" s="1" t="s">
        <v>16</v>
      </c>
    </row>
    <row r="2870" spans="1:19" ht="12.5" x14ac:dyDescent="0.25">
      <c r="A2870" s="1">
        <v>4663</v>
      </c>
      <c r="B2870" s="1" t="s">
        <v>9521</v>
      </c>
      <c r="C2870" s="1" t="s">
        <v>38</v>
      </c>
      <c r="D2870" s="1" t="s">
        <v>5701</v>
      </c>
      <c r="E2870" s="1">
        <v>3232</v>
      </c>
      <c r="F2870" s="1" t="s">
        <v>9523</v>
      </c>
      <c r="G2870" s="1" t="s">
        <v>9522</v>
      </c>
      <c r="H2870" s="1" t="s">
        <v>9522</v>
      </c>
      <c r="I2870" s="1" t="s">
        <v>29</v>
      </c>
      <c r="J2870" s="1" t="s">
        <v>9524</v>
      </c>
      <c r="K2870" s="1" t="b">
        <v>1</v>
      </c>
      <c r="L2870" s="1" t="s">
        <v>31</v>
      </c>
      <c r="M2870" s="1">
        <v>2023</v>
      </c>
      <c r="N2870" s="1" t="s">
        <v>45</v>
      </c>
      <c r="O2870" s="1" t="s">
        <v>9956</v>
      </c>
      <c r="P2870" s="1" t="s">
        <v>16</v>
      </c>
      <c r="Q2870" s="1">
        <v>100</v>
      </c>
      <c r="R2870" s="1">
        <v>29000</v>
      </c>
      <c r="S2870" s="1">
        <v>29000</v>
      </c>
    </row>
    <row r="2871" spans="1:19" ht="12.5" x14ac:dyDescent="0.25">
      <c r="A2871" s="1">
        <v>3907</v>
      </c>
      <c r="B2871" s="1" t="s">
        <v>9525</v>
      </c>
      <c r="C2871" s="1" t="s">
        <v>38</v>
      </c>
      <c r="D2871" s="1" t="s">
        <v>39</v>
      </c>
      <c r="E2871" s="1">
        <v>3233</v>
      </c>
      <c r="F2871" s="1" t="s">
        <v>9526</v>
      </c>
      <c r="G2871" s="1" t="s">
        <v>9527</v>
      </c>
      <c r="H2871" s="1" t="s">
        <v>9528</v>
      </c>
      <c r="I2871" s="1" t="s">
        <v>29</v>
      </c>
      <c r="J2871" s="1" t="s">
        <v>16</v>
      </c>
      <c r="K2871" s="1" t="b">
        <v>0</v>
      </c>
      <c r="L2871" s="1" t="s">
        <v>22</v>
      </c>
      <c r="M2871" s="1">
        <v>2022</v>
      </c>
      <c r="N2871" s="1" t="s">
        <v>52</v>
      </c>
      <c r="O2871" s="1" t="s">
        <v>9956</v>
      </c>
      <c r="P2871" s="1" t="s">
        <v>16</v>
      </c>
      <c r="Q2871" s="1">
        <v>100</v>
      </c>
      <c r="R2871" s="1">
        <v>8000</v>
      </c>
      <c r="S2871" s="1">
        <v>8000</v>
      </c>
    </row>
    <row r="2872" spans="1:19" ht="12.5" x14ac:dyDescent="0.25">
      <c r="A2872" s="1">
        <v>4664</v>
      </c>
      <c r="B2872" s="1" t="s">
        <v>9529</v>
      </c>
      <c r="C2872" s="1" t="s">
        <v>38</v>
      </c>
      <c r="D2872" s="1" t="s">
        <v>5701</v>
      </c>
      <c r="E2872" s="1">
        <v>3234</v>
      </c>
      <c r="F2872" s="1" t="s">
        <v>9531</v>
      </c>
      <c r="G2872" s="1" t="s">
        <v>9530</v>
      </c>
      <c r="H2872" s="1" t="s">
        <v>9530</v>
      </c>
      <c r="I2872" s="1" t="s">
        <v>29</v>
      </c>
      <c r="J2872" s="1" t="s">
        <v>9532</v>
      </c>
      <c r="K2872" s="1" t="b">
        <v>1</v>
      </c>
      <c r="L2872" s="1" t="s">
        <v>31</v>
      </c>
      <c r="M2872" s="1">
        <v>2022</v>
      </c>
      <c r="N2872" s="1" t="s">
        <v>52</v>
      </c>
      <c r="O2872" s="1" t="s">
        <v>9956</v>
      </c>
      <c r="P2872" s="1" t="s">
        <v>16</v>
      </c>
      <c r="Q2872" s="1">
        <v>100</v>
      </c>
      <c r="R2872" s="1">
        <v>29000</v>
      </c>
      <c r="S2872" s="1">
        <v>29000</v>
      </c>
    </row>
    <row r="2873" spans="1:19" ht="12.5" x14ac:dyDescent="0.25">
      <c r="A2873" s="1" t="s">
        <v>16</v>
      </c>
      <c r="B2873" s="1" t="s">
        <v>16</v>
      </c>
      <c r="C2873" s="1" t="s">
        <v>16</v>
      </c>
      <c r="D2873" s="1" t="s">
        <v>16</v>
      </c>
      <c r="E2873" s="1">
        <v>3252</v>
      </c>
      <c r="F2873" s="1" t="s">
        <v>9533</v>
      </c>
      <c r="G2873" s="1" t="s">
        <v>9534</v>
      </c>
      <c r="H2873" s="1" t="s">
        <v>16</v>
      </c>
      <c r="I2873" s="1" t="s">
        <v>20</v>
      </c>
      <c r="J2873" s="1" t="s">
        <v>9535</v>
      </c>
      <c r="K2873" s="1" t="b">
        <v>0</v>
      </c>
      <c r="L2873" s="1" t="s">
        <v>22</v>
      </c>
      <c r="M2873" s="1" t="s">
        <v>16</v>
      </c>
      <c r="N2873" s="1" t="s">
        <v>16</v>
      </c>
      <c r="O2873" s="1" t="s">
        <v>16</v>
      </c>
      <c r="P2873" s="1" t="s">
        <v>16</v>
      </c>
    </row>
    <row r="2874" spans="1:19" ht="12.5" x14ac:dyDescent="0.25">
      <c r="A2874" s="1">
        <v>79</v>
      </c>
      <c r="B2874" s="1" t="s">
        <v>408</v>
      </c>
      <c r="C2874" s="1" t="s">
        <v>15</v>
      </c>
      <c r="D2874" s="1" t="s">
        <v>15</v>
      </c>
      <c r="E2874" s="1">
        <v>3253</v>
      </c>
      <c r="F2874" s="1" t="s">
        <v>9536</v>
      </c>
      <c r="G2874" s="1" t="s">
        <v>9537</v>
      </c>
      <c r="H2874" s="1" t="s">
        <v>16</v>
      </c>
      <c r="I2874" s="1" t="s">
        <v>20</v>
      </c>
      <c r="J2874" s="1" t="s">
        <v>9538</v>
      </c>
      <c r="K2874" s="1" t="b">
        <v>0</v>
      </c>
      <c r="L2874" s="1" t="s">
        <v>22</v>
      </c>
      <c r="M2874" s="1" t="s">
        <v>16</v>
      </c>
      <c r="N2874" s="1" t="s">
        <v>16</v>
      </c>
      <c r="O2874" s="1" t="s">
        <v>16</v>
      </c>
      <c r="P2874" s="1" t="s">
        <v>16</v>
      </c>
      <c r="Q2874" s="1">
        <v>20</v>
      </c>
    </row>
    <row r="2875" spans="1:19" ht="12.5" x14ac:dyDescent="0.25">
      <c r="A2875" s="1">
        <v>1067</v>
      </c>
      <c r="B2875" s="1" t="s">
        <v>3732</v>
      </c>
      <c r="C2875" s="1" t="s">
        <v>35</v>
      </c>
      <c r="D2875" s="1" t="s">
        <v>152</v>
      </c>
      <c r="E2875" s="1">
        <v>3253</v>
      </c>
      <c r="F2875" s="1" t="s">
        <v>9536</v>
      </c>
      <c r="G2875" s="1" t="s">
        <v>9537</v>
      </c>
      <c r="H2875" s="1" t="s">
        <v>16</v>
      </c>
      <c r="I2875" s="1" t="s">
        <v>20</v>
      </c>
      <c r="J2875" s="1" t="s">
        <v>9538</v>
      </c>
      <c r="K2875" s="1" t="b">
        <v>0</v>
      </c>
      <c r="L2875" s="1" t="s">
        <v>22</v>
      </c>
      <c r="M2875" s="1" t="s">
        <v>16</v>
      </c>
      <c r="N2875" s="1" t="s">
        <v>16</v>
      </c>
      <c r="O2875" s="1" t="s">
        <v>16</v>
      </c>
      <c r="P2875" s="1" t="s">
        <v>16</v>
      </c>
      <c r="Q2875" s="1">
        <v>20</v>
      </c>
    </row>
    <row r="2876" spans="1:19" ht="12.5" x14ac:dyDescent="0.25">
      <c r="A2876" s="1" t="s">
        <v>16</v>
      </c>
      <c r="B2876" s="1" t="s">
        <v>16</v>
      </c>
      <c r="C2876" s="1" t="s">
        <v>16</v>
      </c>
      <c r="D2876" s="1" t="s">
        <v>16</v>
      </c>
      <c r="E2876" s="1">
        <v>3254</v>
      </c>
      <c r="F2876" s="1" t="s">
        <v>9539</v>
      </c>
      <c r="G2876" s="1" t="s">
        <v>9540</v>
      </c>
      <c r="H2876" s="1" t="s">
        <v>16</v>
      </c>
      <c r="I2876" s="1" t="s">
        <v>20</v>
      </c>
      <c r="J2876" s="1" t="s">
        <v>9541</v>
      </c>
      <c r="K2876" s="1" t="b">
        <v>0</v>
      </c>
      <c r="L2876" s="1" t="s">
        <v>22</v>
      </c>
      <c r="M2876" s="1" t="s">
        <v>16</v>
      </c>
      <c r="N2876" s="1" t="s">
        <v>16</v>
      </c>
      <c r="O2876" s="1" t="s">
        <v>16</v>
      </c>
      <c r="P2876" s="1" t="s">
        <v>16</v>
      </c>
    </row>
    <row r="2877" spans="1:19" ht="12.5" x14ac:dyDescent="0.25">
      <c r="A2877" s="1" t="s">
        <v>16</v>
      </c>
      <c r="B2877" s="1" t="s">
        <v>16</v>
      </c>
      <c r="C2877" s="1" t="s">
        <v>16</v>
      </c>
      <c r="D2877" s="1" t="s">
        <v>16</v>
      </c>
      <c r="E2877" s="1">
        <v>3255</v>
      </c>
      <c r="F2877" s="1" t="s">
        <v>9542</v>
      </c>
      <c r="G2877" s="1" t="s">
        <v>9543</v>
      </c>
      <c r="H2877" s="1" t="s">
        <v>16</v>
      </c>
      <c r="I2877" s="1" t="s">
        <v>20</v>
      </c>
      <c r="J2877" s="1" t="s">
        <v>9544</v>
      </c>
      <c r="K2877" s="1" t="b">
        <v>0</v>
      </c>
      <c r="L2877" s="1" t="s">
        <v>22</v>
      </c>
      <c r="M2877" s="1" t="s">
        <v>16</v>
      </c>
      <c r="N2877" s="1" t="s">
        <v>16</v>
      </c>
      <c r="O2877" s="1" t="s">
        <v>16</v>
      </c>
      <c r="P2877" s="1" t="s">
        <v>16</v>
      </c>
    </row>
    <row r="2878" spans="1:19" ht="12.5" x14ac:dyDescent="0.25">
      <c r="A2878" s="1" t="s">
        <v>16</v>
      </c>
      <c r="B2878" s="1" t="s">
        <v>16</v>
      </c>
      <c r="C2878" s="1" t="s">
        <v>16</v>
      </c>
      <c r="D2878" s="1" t="s">
        <v>16</v>
      </c>
      <c r="E2878" s="1">
        <v>3256</v>
      </c>
      <c r="F2878" s="1" t="s">
        <v>9545</v>
      </c>
      <c r="G2878" s="1" t="s">
        <v>9546</v>
      </c>
      <c r="H2878" s="1" t="s">
        <v>16</v>
      </c>
      <c r="I2878" s="1" t="s">
        <v>20</v>
      </c>
      <c r="J2878" s="1" t="s">
        <v>9547</v>
      </c>
      <c r="K2878" s="1" t="b">
        <v>0</v>
      </c>
      <c r="L2878" s="1" t="s">
        <v>22</v>
      </c>
      <c r="M2878" s="1" t="s">
        <v>16</v>
      </c>
      <c r="N2878" s="1" t="s">
        <v>16</v>
      </c>
      <c r="O2878" s="1" t="s">
        <v>16</v>
      </c>
      <c r="P2878" s="1" t="s">
        <v>16</v>
      </c>
    </row>
    <row r="2879" spans="1:19" ht="12.5" x14ac:dyDescent="0.25">
      <c r="A2879" s="1">
        <v>811</v>
      </c>
      <c r="B2879" s="1" t="s">
        <v>6529</v>
      </c>
      <c r="C2879" s="1" t="s">
        <v>35</v>
      </c>
      <c r="D2879" s="1" t="s">
        <v>36</v>
      </c>
      <c r="E2879" s="1">
        <v>3257</v>
      </c>
      <c r="F2879" s="1" t="s">
        <v>9548</v>
      </c>
      <c r="G2879" s="1" t="s">
        <v>9549</v>
      </c>
      <c r="H2879" s="1" t="s">
        <v>16</v>
      </c>
      <c r="I2879" s="1" t="s">
        <v>20</v>
      </c>
      <c r="J2879" s="1" t="s">
        <v>9550</v>
      </c>
      <c r="K2879" s="1" t="b">
        <v>0</v>
      </c>
      <c r="L2879" s="1" t="s">
        <v>22</v>
      </c>
      <c r="M2879" s="1" t="s">
        <v>16</v>
      </c>
      <c r="N2879" s="1" t="s">
        <v>16</v>
      </c>
      <c r="O2879" s="1" t="s">
        <v>16</v>
      </c>
      <c r="P2879" s="1" t="s">
        <v>16</v>
      </c>
      <c r="Q2879" s="1">
        <v>10</v>
      </c>
    </row>
    <row r="2880" spans="1:19" ht="12.5" x14ac:dyDescent="0.25">
      <c r="A2880" s="1">
        <v>1128</v>
      </c>
      <c r="B2880" s="1" t="s">
        <v>6534</v>
      </c>
      <c r="C2880" s="1" t="s">
        <v>35</v>
      </c>
      <c r="D2880" s="1" t="s">
        <v>152</v>
      </c>
      <c r="E2880" s="1">
        <v>3257</v>
      </c>
      <c r="F2880" s="1" t="s">
        <v>9548</v>
      </c>
      <c r="G2880" s="1" t="s">
        <v>9549</v>
      </c>
      <c r="H2880" s="1" t="s">
        <v>16</v>
      </c>
      <c r="I2880" s="1" t="s">
        <v>20</v>
      </c>
      <c r="J2880" s="1" t="s">
        <v>9550</v>
      </c>
      <c r="K2880" s="1" t="b">
        <v>0</v>
      </c>
      <c r="L2880" s="1" t="s">
        <v>22</v>
      </c>
      <c r="M2880" s="1" t="s">
        <v>16</v>
      </c>
      <c r="N2880" s="1" t="s">
        <v>16</v>
      </c>
      <c r="O2880" s="1" t="s">
        <v>16</v>
      </c>
      <c r="P2880" s="1" t="s">
        <v>16</v>
      </c>
      <c r="Q2880" s="1">
        <v>5</v>
      </c>
    </row>
    <row r="2881" spans="1:19" ht="12.5" x14ac:dyDescent="0.25">
      <c r="A2881" s="1">
        <v>1777</v>
      </c>
      <c r="B2881" s="1" t="s">
        <v>6219</v>
      </c>
      <c r="C2881" s="1" t="s">
        <v>35</v>
      </c>
      <c r="D2881" s="1" t="s">
        <v>5409</v>
      </c>
      <c r="E2881" s="1">
        <v>3257</v>
      </c>
      <c r="F2881" s="1" t="s">
        <v>9548</v>
      </c>
      <c r="G2881" s="1" t="s">
        <v>9549</v>
      </c>
      <c r="H2881" s="1" t="s">
        <v>16</v>
      </c>
      <c r="I2881" s="1" t="s">
        <v>20</v>
      </c>
      <c r="J2881" s="1" t="s">
        <v>9550</v>
      </c>
      <c r="K2881" s="1" t="b">
        <v>0</v>
      </c>
      <c r="L2881" s="1" t="s">
        <v>22</v>
      </c>
      <c r="M2881" s="1" t="s">
        <v>16</v>
      </c>
      <c r="N2881" s="1" t="s">
        <v>16</v>
      </c>
      <c r="O2881" s="1" t="s">
        <v>16</v>
      </c>
      <c r="P2881" s="1" t="s">
        <v>16</v>
      </c>
      <c r="Q2881" s="1">
        <v>5</v>
      </c>
    </row>
    <row r="2882" spans="1:19" ht="12.5" x14ac:dyDescent="0.25">
      <c r="A2882" s="1">
        <v>2155</v>
      </c>
      <c r="B2882" s="1" t="s">
        <v>6140</v>
      </c>
      <c r="C2882" s="1" t="s">
        <v>35</v>
      </c>
      <c r="D2882" s="1" t="s">
        <v>5409</v>
      </c>
      <c r="E2882" s="1">
        <v>3258</v>
      </c>
      <c r="F2882" s="1" t="s">
        <v>9551</v>
      </c>
      <c r="G2882" s="1" t="s">
        <v>9552</v>
      </c>
      <c r="H2882" s="1" t="s">
        <v>16</v>
      </c>
      <c r="I2882" s="1" t="s">
        <v>20</v>
      </c>
      <c r="J2882" s="1" t="s">
        <v>9553</v>
      </c>
      <c r="K2882" s="1" t="b">
        <v>0</v>
      </c>
      <c r="L2882" s="1" t="s">
        <v>22</v>
      </c>
      <c r="M2882" s="1" t="s">
        <v>16</v>
      </c>
      <c r="N2882" s="1" t="s">
        <v>16</v>
      </c>
      <c r="O2882" s="1" t="s">
        <v>16</v>
      </c>
      <c r="P2882" s="1" t="s">
        <v>16</v>
      </c>
      <c r="Q2882" s="1">
        <v>1</v>
      </c>
    </row>
    <row r="2883" spans="1:19" ht="12.5" x14ac:dyDescent="0.25">
      <c r="A2883" s="1">
        <v>3126</v>
      </c>
      <c r="B2883" s="1" t="s">
        <v>6298</v>
      </c>
      <c r="C2883" s="1" t="s">
        <v>38</v>
      </c>
      <c r="D2883" s="1" t="s">
        <v>39</v>
      </c>
      <c r="E2883" s="1">
        <v>3258</v>
      </c>
      <c r="F2883" s="1" t="s">
        <v>9551</v>
      </c>
      <c r="G2883" s="1" t="s">
        <v>9552</v>
      </c>
      <c r="H2883" s="1" t="s">
        <v>16</v>
      </c>
      <c r="I2883" s="1" t="s">
        <v>20</v>
      </c>
      <c r="J2883" s="1" t="s">
        <v>9553</v>
      </c>
      <c r="K2883" s="1" t="b">
        <v>0</v>
      </c>
      <c r="L2883" s="1" t="s">
        <v>22</v>
      </c>
      <c r="M2883" s="1" t="s">
        <v>16</v>
      </c>
      <c r="N2883" s="1" t="s">
        <v>16</v>
      </c>
      <c r="O2883" s="1" t="s">
        <v>16</v>
      </c>
      <c r="P2883" s="1" t="s">
        <v>16</v>
      </c>
      <c r="Q2883" s="1">
        <v>15</v>
      </c>
    </row>
    <row r="2884" spans="1:19" ht="12.5" x14ac:dyDescent="0.25">
      <c r="A2884" s="1">
        <v>4403</v>
      </c>
      <c r="B2884" s="1" t="s">
        <v>9554</v>
      </c>
      <c r="C2884" s="1" t="s">
        <v>35</v>
      </c>
      <c r="D2884" s="1" t="s">
        <v>5669</v>
      </c>
      <c r="E2884" s="1">
        <v>3258</v>
      </c>
      <c r="F2884" s="1" t="s">
        <v>9551</v>
      </c>
      <c r="G2884" s="1" t="s">
        <v>9552</v>
      </c>
      <c r="H2884" s="1" t="s">
        <v>16</v>
      </c>
      <c r="I2884" s="1" t="s">
        <v>20</v>
      </c>
      <c r="J2884" s="1" t="s">
        <v>9553</v>
      </c>
      <c r="K2884" s="1" t="b">
        <v>0</v>
      </c>
      <c r="L2884" s="1" t="s">
        <v>22</v>
      </c>
      <c r="M2884" s="1" t="s">
        <v>16</v>
      </c>
      <c r="N2884" s="1" t="s">
        <v>16</v>
      </c>
      <c r="O2884" s="1" t="s">
        <v>16</v>
      </c>
      <c r="P2884" s="1" t="s">
        <v>16</v>
      </c>
      <c r="Q2884" s="1">
        <v>5</v>
      </c>
    </row>
    <row r="2885" spans="1:19" ht="12.5" x14ac:dyDescent="0.25">
      <c r="A2885" s="1" t="s">
        <v>16</v>
      </c>
      <c r="B2885" s="1" t="s">
        <v>16</v>
      </c>
      <c r="C2885" s="1" t="s">
        <v>16</v>
      </c>
      <c r="D2885" s="1" t="s">
        <v>16</v>
      </c>
      <c r="E2885" s="1">
        <v>3260</v>
      </c>
      <c r="F2885" s="1" t="s">
        <v>9555</v>
      </c>
      <c r="G2885" s="1" t="s">
        <v>9556</v>
      </c>
      <c r="H2885" s="1" t="s">
        <v>16</v>
      </c>
      <c r="I2885" s="1" t="s">
        <v>20</v>
      </c>
      <c r="J2885" s="1" t="s">
        <v>9557</v>
      </c>
      <c r="K2885" s="1" t="b">
        <v>0</v>
      </c>
      <c r="L2885" s="1" t="s">
        <v>22</v>
      </c>
      <c r="M2885" s="1" t="s">
        <v>16</v>
      </c>
      <c r="N2885" s="1" t="s">
        <v>16</v>
      </c>
      <c r="O2885" s="1" t="s">
        <v>16</v>
      </c>
      <c r="P2885" s="1" t="s">
        <v>16</v>
      </c>
    </row>
    <row r="2886" spans="1:19" ht="12.5" x14ac:dyDescent="0.25">
      <c r="A2886" s="1">
        <v>4575</v>
      </c>
      <c r="B2886" s="1" t="s">
        <v>9558</v>
      </c>
      <c r="C2886" s="1" t="s">
        <v>35</v>
      </c>
      <c r="D2886" s="1" t="s">
        <v>36</v>
      </c>
      <c r="E2886" s="1">
        <v>3302</v>
      </c>
      <c r="F2886" s="1" t="s">
        <v>9559</v>
      </c>
      <c r="G2886" s="1" t="s">
        <v>9560</v>
      </c>
      <c r="H2886" s="1" t="s">
        <v>16</v>
      </c>
      <c r="I2886" s="1" t="s">
        <v>29</v>
      </c>
      <c r="J2886" s="1" t="s">
        <v>16</v>
      </c>
      <c r="K2886" s="1" t="b">
        <v>0</v>
      </c>
      <c r="L2886" s="1" t="s">
        <v>22</v>
      </c>
      <c r="M2886" s="1" t="s">
        <v>16</v>
      </c>
      <c r="N2886" s="1" t="s">
        <v>16</v>
      </c>
      <c r="O2886" s="1" t="s">
        <v>16</v>
      </c>
      <c r="P2886" s="1" t="s">
        <v>16</v>
      </c>
      <c r="Q2886" s="1">
        <v>100</v>
      </c>
    </row>
    <row r="2887" spans="1:19" ht="12.5" x14ac:dyDescent="0.25">
      <c r="A2887" s="1">
        <v>4505</v>
      </c>
      <c r="B2887" s="1" t="s">
        <v>9561</v>
      </c>
      <c r="C2887" s="1" t="s">
        <v>35</v>
      </c>
      <c r="D2887" s="1" t="s">
        <v>36</v>
      </c>
      <c r="E2887" s="1">
        <v>3303</v>
      </c>
      <c r="F2887" s="1" t="s">
        <v>9562</v>
      </c>
      <c r="G2887" s="1" t="s">
        <v>9563</v>
      </c>
      <c r="H2887" s="1" t="s">
        <v>9563</v>
      </c>
      <c r="I2887" s="1" t="s">
        <v>29</v>
      </c>
      <c r="J2887" s="1" t="s">
        <v>16</v>
      </c>
      <c r="K2887" s="1" t="b">
        <v>0</v>
      </c>
      <c r="L2887" s="1" t="s">
        <v>22</v>
      </c>
      <c r="M2887" s="1">
        <v>2023</v>
      </c>
      <c r="N2887" s="1" t="s">
        <v>32</v>
      </c>
      <c r="O2887" s="1" t="s">
        <v>9935</v>
      </c>
      <c r="P2887" s="1" t="s">
        <v>16</v>
      </c>
      <c r="Q2887" s="1">
        <v>100</v>
      </c>
      <c r="R2887" s="1">
        <v>500000</v>
      </c>
      <c r="S2887" s="1">
        <v>500000</v>
      </c>
    </row>
    <row r="2888" spans="1:19" ht="12.5" x14ac:dyDescent="0.25">
      <c r="A2888" s="1">
        <v>2005</v>
      </c>
      <c r="B2888" s="1" t="s">
        <v>9564</v>
      </c>
      <c r="C2888" s="1" t="s">
        <v>15</v>
      </c>
      <c r="D2888" s="1" t="s">
        <v>15</v>
      </c>
      <c r="E2888" s="1">
        <v>3304</v>
      </c>
      <c r="F2888" s="1" t="s">
        <v>9565</v>
      </c>
      <c r="G2888" s="1" t="s">
        <v>9566</v>
      </c>
      <c r="H2888" s="1" t="s">
        <v>16</v>
      </c>
      <c r="I2888" s="1" t="s">
        <v>29</v>
      </c>
      <c r="J2888" s="1" t="s">
        <v>9567</v>
      </c>
      <c r="K2888" s="1" t="b">
        <v>1</v>
      </c>
      <c r="L2888" s="1" t="s">
        <v>31</v>
      </c>
      <c r="M2888" s="1">
        <v>2023</v>
      </c>
      <c r="N2888" s="1" t="s">
        <v>32</v>
      </c>
      <c r="O2888" s="1" t="s">
        <v>9935</v>
      </c>
      <c r="P2888" s="1" t="s">
        <v>16</v>
      </c>
      <c r="Q2888" s="1">
        <v>100</v>
      </c>
      <c r="R2888" s="1">
        <v>100000</v>
      </c>
      <c r="S2888" s="1">
        <v>100000</v>
      </c>
    </row>
    <row r="2889" spans="1:19" ht="12.5" x14ac:dyDescent="0.25">
      <c r="A2889" s="1" t="s">
        <v>16</v>
      </c>
      <c r="B2889" s="1" t="s">
        <v>16</v>
      </c>
      <c r="C2889" s="1" t="s">
        <v>16</v>
      </c>
      <c r="D2889" s="1" t="s">
        <v>16</v>
      </c>
      <c r="E2889" s="1">
        <v>3305</v>
      </c>
      <c r="F2889" s="1" t="s">
        <v>9568</v>
      </c>
      <c r="G2889" s="1" t="s">
        <v>9569</v>
      </c>
      <c r="H2889" s="1" t="s">
        <v>16</v>
      </c>
      <c r="I2889" s="1" t="s">
        <v>20</v>
      </c>
      <c r="J2889" s="1" t="s">
        <v>9570</v>
      </c>
      <c r="K2889" s="1" t="b">
        <v>0</v>
      </c>
      <c r="L2889" s="1" t="s">
        <v>22</v>
      </c>
      <c r="M2889" s="1" t="s">
        <v>16</v>
      </c>
      <c r="N2889" s="1" t="s">
        <v>16</v>
      </c>
      <c r="O2889" s="1" t="s">
        <v>16</v>
      </c>
      <c r="P2889" s="1" t="s">
        <v>16</v>
      </c>
    </row>
    <row r="2890" spans="1:19" ht="12.5" x14ac:dyDescent="0.25">
      <c r="A2890" s="1">
        <v>1193</v>
      </c>
      <c r="B2890" s="1" t="s">
        <v>4056</v>
      </c>
      <c r="C2890" s="1" t="s">
        <v>35</v>
      </c>
      <c r="D2890" s="1" t="s">
        <v>152</v>
      </c>
      <c r="E2890" s="1">
        <v>3306</v>
      </c>
      <c r="F2890" s="1" t="s">
        <v>9571</v>
      </c>
      <c r="G2890" s="1" t="s">
        <v>9572</v>
      </c>
      <c r="H2890" s="1" t="s">
        <v>16</v>
      </c>
      <c r="I2890" s="1" t="s">
        <v>29</v>
      </c>
      <c r="J2890" s="1" t="s">
        <v>16</v>
      </c>
      <c r="K2890" s="1" t="b">
        <v>0</v>
      </c>
      <c r="L2890" s="1" t="s">
        <v>22</v>
      </c>
      <c r="M2890" s="1" t="s">
        <v>16</v>
      </c>
      <c r="N2890" s="1" t="s">
        <v>16</v>
      </c>
      <c r="O2890" s="1" t="s">
        <v>16</v>
      </c>
      <c r="P2890" s="1" t="s">
        <v>16</v>
      </c>
      <c r="Q2890" s="1">
        <v>100</v>
      </c>
    </row>
    <row r="2891" spans="1:19" ht="12.5" x14ac:dyDescent="0.25">
      <c r="A2891" s="1">
        <v>3017</v>
      </c>
      <c r="B2891" s="1" t="s">
        <v>9573</v>
      </c>
      <c r="C2891" s="1" t="s">
        <v>38</v>
      </c>
      <c r="D2891" s="1" t="s">
        <v>39</v>
      </c>
      <c r="E2891" s="1">
        <v>3307</v>
      </c>
      <c r="F2891" s="1" t="s">
        <v>9574</v>
      </c>
      <c r="G2891" s="1" t="s">
        <v>9575</v>
      </c>
      <c r="H2891" s="1" t="s">
        <v>9576</v>
      </c>
      <c r="I2891" s="1" t="s">
        <v>29</v>
      </c>
      <c r="J2891" s="1" t="s">
        <v>16</v>
      </c>
      <c r="K2891" s="1" t="b">
        <v>0</v>
      </c>
      <c r="L2891" s="1" t="s">
        <v>22</v>
      </c>
      <c r="M2891" s="1" t="s">
        <v>16</v>
      </c>
      <c r="N2891" s="1" t="s">
        <v>16</v>
      </c>
      <c r="O2891" s="1" t="s">
        <v>16</v>
      </c>
      <c r="P2891" s="1" t="s">
        <v>16</v>
      </c>
      <c r="Q2891" s="1">
        <v>100</v>
      </c>
    </row>
    <row r="2892" spans="1:19" ht="12.5" x14ac:dyDescent="0.25">
      <c r="A2892" s="1">
        <v>3018</v>
      </c>
      <c r="B2892" s="1" t="s">
        <v>9577</v>
      </c>
      <c r="C2892" s="1" t="s">
        <v>38</v>
      </c>
      <c r="D2892" s="1" t="s">
        <v>39</v>
      </c>
      <c r="E2892" s="1">
        <v>3308</v>
      </c>
      <c r="F2892" s="1" t="s">
        <v>9579</v>
      </c>
      <c r="G2892" s="1" t="s">
        <v>9578</v>
      </c>
      <c r="H2892" s="1" t="s">
        <v>9576</v>
      </c>
      <c r="I2892" s="1" t="s">
        <v>29</v>
      </c>
      <c r="J2892" s="1" t="s">
        <v>16</v>
      </c>
      <c r="K2892" s="1" t="b">
        <v>0</v>
      </c>
      <c r="L2892" s="1" t="s">
        <v>22</v>
      </c>
      <c r="M2892" s="1" t="s">
        <v>16</v>
      </c>
      <c r="N2892" s="1" t="s">
        <v>16</v>
      </c>
      <c r="O2892" s="1" t="s">
        <v>16</v>
      </c>
      <c r="P2892" s="1" t="s">
        <v>16</v>
      </c>
      <c r="Q2892" s="1">
        <v>100</v>
      </c>
    </row>
    <row r="2893" spans="1:19" ht="12.5" x14ac:dyDescent="0.25">
      <c r="A2893" s="1">
        <v>2947</v>
      </c>
      <c r="B2893" s="1" t="s">
        <v>9580</v>
      </c>
      <c r="C2893" s="1" t="s">
        <v>38</v>
      </c>
      <c r="D2893" s="1" t="s">
        <v>39</v>
      </c>
      <c r="E2893" s="1">
        <v>3309</v>
      </c>
      <c r="F2893" s="1" t="s">
        <v>9582</v>
      </c>
      <c r="G2893" s="1" t="s">
        <v>9581</v>
      </c>
      <c r="H2893" s="1" t="s">
        <v>9576</v>
      </c>
      <c r="I2893" s="1" t="s">
        <v>29</v>
      </c>
      <c r="J2893" s="1" t="s">
        <v>16</v>
      </c>
      <c r="K2893" s="1" t="b">
        <v>0</v>
      </c>
      <c r="L2893" s="1" t="s">
        <v>22</v>
      </c>
      <c r="M2893" s="1">
        <v>2023</v>
      </c>
      <c r="N2893" s="1" t="s">
        <v>45</v>
      </c>
      <c r="O2893" s="1" t="s">
        <v>9935</v>
      </c>
      <c r="P2893" s="1" t="s">
        <v>16</v>
      </c>
      <c r="Q2893" s="1">
        <v>100</v>
      </c>
      <c r="R2893" s="1">
        <v>25000</v>
      </c>
      <c r="S2893" s="1">
        <v>25000</v>
      </c>
    </row>
    <row r="2894" spans="1:19" ht="12.5" x14ac:dyDescent="0.25">
      <c r="A2894" s="1">
        <v>2970</v>
      </c>
      <c r="B2894" s="1" t="s">
        <v>9583</v>
      </c>
      <c r="C2894" s="1" t="s">
        <v>38</v>
      </c>
      <c r="D2894" s="1" t="s">
        <v>39</v>
      </c>
      <c r="E2894" s="1">
        <v>3310</v>
      </c>
      <c r="F2894" s="1" t="s">
        <v>9585</v>
      </c>
      <c r="G2894" s="1" t="s">
        <v>9584</v>
      </c>
      <c r="H2894" s="1" t="s">
        <v>9576</v>
      </c>
      <c r="I2894" s="1" t="s">
        <v>29</v>
      </c>
      <c r="J2894" s="1" t="s">
        <v>16</v>
      </c>
      <c r="K2894" s="1" t="b">
        <v>0</v>
      </c>
      <c r="L2894" s="1" t="s">
        <v>22</v>
      </c>
      <c r="M2894" s="1" t="s">
        <v>16</v>
      </c>
      <c r="N2894" s="1" t="s">
        <v>16</v>
      </c>
      <c r="O2894" s="1" t="s">
        <v>16</v>
      </c>
      <c r="P2894" s="1" t="s">
        <v>16</v>
      </c>
      <c r="Q2894" s="1">
        <v>100</v>
      </c>
    </row>
    <row r="2895" spans="1:19" ht="12.5" x14ac:dyDescent="0.25">
      <c r="A2895" s="1">
        <v>3020</v>
      </c>
      <c r="B2895" s="1" t="s">
        <v>9586</v>
      </c>
      <c r="C2895" s="1" t="s">
        <v>38</v>
      </c>
      <c r="D2895" s="1" t="s">
        <v>39</v>
      </c>
      <c r="E2895" s="1">
        <v>3311</v>
      </c>
      <c r="F2895" s="1" t="s">
        <v>9588</v>
      </c>
      <c r="G2895" s="1" t="s">
        <v>9587</v>
      </c>
      <c r="H2895" s="1" t="s">
        <v>9576</v>
      </c>
      <c r="I2895" s="1" t="s">
        <v>29</v>
      </c>
      <c r="J2895" s="1" t="s">
        <v>16</v>
      </c>
      <c r="K2895" s="1" t="b">
        <v>0</v>
      </c>
      <c r="L2895" s="1" t="s">
        <v>22</v>
      </c>
      <c r="M2895" s="1" t="s">
        <v>16</v>
      </c>
      <c r="N2895" s="1" t="s">
        <v>16</v>
      </c>
      <c r="O2895" s="1" t="s">
        <v>16</v>
      </c>
      <c r="P2895" s="1" t="s">
        <v>16</v>
      </c>
      <c r="Q2895" s="1">
        <v>100</v>
      </c>
    </row>
    <row r="2896" spans="1:19" ht="12.5" x14ac:dyDescent="0.25">
      <c r="A2896" s="1">
        <v>3051</v>
      </c>
      <c r="B2896" s="1" t="s">
        <v>9589</v>
      </c>
      <c r="C2896" s="1" t="s">
        <v>38</v>
      </c>
      <c r="D2896" s="1" t="s">
        <v>39</v>
      </c>
      <c r="E2896" s="1">
        <v>3312</v>
      </c>
      <c r="F2896" s="1" t="s">
        <v>9591</v>
      </c>
      <c r="G2896" s="1" t="s">
        <v>9590</v>
      </c>
      <c r="H2896" s="1" t="s">
        <v>9576</v>
      </c>
      <c r="I2896" s="1" t="s">
        <v>29</v>
      </c>
      <c r="J2896" s="1" t="s">
        <v>16</v>
      </c>
      <c r="K2896" s="1" t="b">
        <v>0</v>
      </c>
      <c r="L2896" s="1" t="s">
        <v>22</v>
      </c>
      <c r="M2896" s="1" t="s">
        <v>16</v>
      </c>
      <c r="N2896" s="1" t="s">
        <v>16</v>
      </c>
      <c r="O2896" s="1" t="s">
        <v>16</v>
      </c>
      <c r="P2896" s="1" t="s">
        <v>16</v>
      </c>
      <c r="Q2896" s="1">
        <v>100</v>
      </c>
    </row>
    <row r="2897" spans="1:19" ht="12.5" x14ac:dyDescent="0.25">
      <c r="A2897" s="1">
        <v>2542</v>
      </c>
      <c r="B2897" s="1" t="s">
        <v>9592</v>
      </c>
      <c r="C2897" s="1" t="s">
        <v>38</v>
      </c>
      <c r="D2897" s="1" t="s">
        <v>39</v>
      </c>
      <c r="E2897" s="1">
        <v>3313</v>
      </c>
      <c r="F2897" s="1" t="s">
        <v>9593</v>
      </c>
      <c r="G2897" s="1" t="s">
        <v>9594</v>
      </c>
      <c r="H2897" s="1" t="s">
        <v>16</v>
      </c>
      <c r="I2897" s="1" t="s">
        <v>29</v>
      </c>
      <c r="J2897" s="1" t="s">
        <v>9595</v>
      </c>
      <c r="K2897" s="1" t="b">
        <v>0</v>
      </c>
      <c r="L2897" s="1" t="s">
        <v>22</v>
      </c>
      <c r="M2897" s="1">
        <v>2022</v>
      </c>
      <c r="N2897" s="1" t="s">
        <v>52</v>
      </c>
      <c r="O2897" s="1" t="s">
        <v>9942</v>
      </c>
      <c r="P2897" s="1" t="s">
        <v>16</v>
      </c>
      <c r="Q2897" s="1">
        <v>100</v>
      </c>
      <c r="R2897" s="1">
        <v>50000</v>
      </c>
      <c r="S2897" s="1">
        <v>50000</v>
      </c>
    </row>
    <row r="2898" spans="1:19" ht="12.5" x14ac:dyDescent="0.25">
      <c r="A2898" s="1">
        <v>2542</v>
      </c>
      <c r="B2898" s="1" t="s">
        <v>9592</v>
      </c>
      <c r="C2898" s="1" t="s">
        <v>38</v>
      </c>
      <c r="D2898" s="1" t="s">
        <v>39</v>
      </c>
      <c r="E2898" s="1">
        <v>3313</v>
      </c>
      <c r="F2898" s="1" t="s">
        <v>9593</v>
      </c>
      <c r="G2898" s="1" t="s">
        <v>9594</v>
      </c>
      <c r="H2898" s="1" t="s">
        <v>16</v>
      </c>
      <c r="I2898" s="1" t="s">
        <v>29</v>
      </c>
      <c r="J2898" s="1" t="s">
        <v>9595</v>
      </c>
      <c r="K2898" s="1" t="b">
        <v>0</v>
      </c>
      <c r="L2898" s="1" t="s">
        <v>22</v>
      </c>
      <c r="M2898" s="1">
        <v>2022</v>
      </c>
      <c r="N2898" s="1" t="s">
        <v>52</v>
      </c>
      <c r="O2898" s="1" t="s">
        <v>9935</v>
      </c>
      <c r="P2898" s="1"/>
      <c r="Q2898" s="1">
        <v>100</v>
      </c>
      <c r="R2898" s="1">
        <v>1</v>
      </c>
      <c r="S2898" s="1">
        <v>1</v>
      </c>
    </row>
    <row r="2899" spans="1:19" ht="12.5" x14ac:dyDescent="0.25">
      <c r="A2899" s="1" t="s">
        <v>16</v>
      </c>
      <c r="B2899" s="1" t="s">
        <v>16</v>
      </c>
      <c r="C2899" s="1" t="s">
        <v>16</v>
      </c>
      <c r="D2899" s="1" t="s">
        <v>16</v>
      </c>
      <c r="E2899" s="1">
        <v>3352</v>
      </c>
      <c r="F2899" s="1" t="s">
        <v>9596</v>
      </c>
      <c r="G2899" s="1" t="s">
        <v>9597</v>
      </c>
      <c r="H2899" s="1" t="s">
        <v>16</v>
      </c>
      <c r="I2899" s="1" t="s">
        <v>20</v>
      </c>
      <c r="J2899" s="1" t="s">
        <v>9598</v>
      </c>
      <c r="K2899" s="1" t="b">
        <v>0</v>
      </c>
      <c r="L2899" s="1" t="s">
        <v>22</v>
      </c>
      <c r="M2899" s="1" t="s">
        <v>16</v>
      </c>
      <c r="N2899" s="1" t="s">
        <v>16</v>
      </c>
      <c r="O2899" s="1" t="s">
        <v>16</v>
      </c>
      <c r="P2899" s="1" t="s">
        <v>16</v>
      </c>
    </row>
    <row r="2900" spans="1:19" ht="12.5" x14ac:dyDescent="0.25">
      <c r="A2900" s="1" t="s">
        <v>16</v>
      </c>
      <c r="B2900" s="1" t="s">
        <v>16</v>
      </c>
      <c r="C2900" s="1" t="s">
        <v>16</v>
      </c>
      <c r="D2900" s="1" t="s">
        <v>16</v>
      </c>
      <c r="E2900" s="1">
        <v>3353</v>
      </c>
      <c r="F2900" s="1" t="s">
        <v>9599</v>
      </c>
      <c r="G2900" s="1" t="s">
        <v>9600</v>
      </c>
      <c r="H2900" s="1" t="s">
        <v>16</v>
      </c>
      <c r="I2900" s="1" t="s">
        <v>20</v>
      </c>
      <c r="J2900" s="1" t="s">
        <v>9601</v>
      </c>
      <c r="K2900" s="1" t="b">
        <v>1</v>
      </c>
      <c r="L2900" s="1" t="s">
        <v>31</v>
      </c>
      <c r="M2900" s="1" t="s">
        <v>16</v>
      </c>
      <c r="N2900" s="1" t="s">
        <v>16</v>
      </c>
      <c r="O2900" s="1" t="s">
        <v>16</v>
      </c>
      <c r="P2900" s="1" t="s">
        <v>16</v>
      </c>
    </row>
    <row r="2901" spans="1:19" ht="12.5" x14ac:dyDescent="0.25">
      <c r="A2901" s="1" t="s">
        <v>16</v>
      </c>
      <c r="B2901" s="1" t="s">
        <v>16</v>
      </c>
      <c r="C2901" s="1" t="s">
        <v>16</v>
      </c>
      <c r="D2901" s="1" t="s">
        <v>16</v>
      </c>
      <c r="E2901" s="1">
        <v>3354</v>
      </c>
      <c r="F2901" s="1" t="s">
        <v>9602</v>
      </c>
      <c r="G2901" s="1" t="s">
        <v>9603</v>
      </c>
      <c r="H2901" s="1" t="s">
        <v>16</v>
      </c>
      <c r="I2901" s="1" t="s">
        <v>20</v>
      </c>
      <c r="J2901" s="1" t="s">
        <v>9604</v>
      </c>
      <c r="K2901" s="1" t="b">
        <v>0</v>
      </c>
      <c r="L2901" s="1" t="s">
        <v>22</v>
      </c>
      <c r="M2901" s="1" t="s">
        <v>16</v>
      </c>
      <c r="N2901" s="1" t="s">
        <v>16</v>
      </c>
      <c r="O2901" s="1" t="s">
        <v>16</v>
      </c>
      <c r="P2901" s="1" t="s">
        <v>16</v>
      </c>
    </row>
    <row r="2902" spans="1:19" ht="12.5" x14ac:dyDescent="0.25">
      <c r="A2902" s="1">
        <v>265</v>
      </c>
      <c r="B2902" s="1" t="s">
        <v>1095</v>
      </c>
      <c r="C2902" s="1" t="s">
        <v>35</v>
      </c>
      <c r="D2902" s="1" t="s">
        <v>36</v>
      </c>
      <c r="E2902" s="1">
        <v>3402</v>
      </c>
      <c r="F2902" s="1" t="s">
        <v>9605</v>
      </c>
      <c r="G2902" s="1" t="s">
        <v>9606</v>
      </c>
      <c r="H2902" s="1" t="s">
        <v>16</v>
      </c>
      <c r="I2902" s="1" t="s">
        <v>29</v>
      </c>
      <c r="J2902" s="1" t="s">
        <v>16</v>
      </c>
      <c r="K2902" s="1" t="b">
        <v>0</v>
      </c>
      <c r="L2902" s="1" t="s">
        <v>22</v>
      </c>
      <c r="M2902" s="1" t="s">
        <v>16</v>
      </c>
      <c r="N2902" s="1" t="s">
        <v>16</v>
      </c>
      <c r="O2902" s="1" t="s">
        <v>16</v>
      </c>
      <c r="P2902" s="1" t="s">
        <v>16</v>
      </c>
      <c r="Q2902" s="1">
        <v>100</v>
      </c>
    </row>
    <row r="2903" spans="1:19" ht="12.5" x14ac:dyDescent="0.25">
      <c r="A2903" s="1">
        <v>4702</v>
      </c>
      <c r="B2903" s="1" t="s">
        <v>9607</v>
      </c>
      <c r="C2903" s="1" t="s">
        <v>35</v>
      </c>
      <c r="D2903" s="1" t="s">
        <v>5669</v>
      </c>
      <c r="E2903" s="1">
        <v>3403</v>
      </c>
      <c r="F2903" s="1" t="s">
        <v>9609</v>
      </c>
      <c r="G2903" s="1" t="s">
        <v>9610</v>
      </c>
      <c r="H2903" s="1" t="s">
        <v>9608</v>
      </c>
      <c r="I2903" s="1" t="s">
        <v>29</v>
      </c>
      <c r="J2903" s="1" t="s">
        <v>9611</v>
      </c>
      <c r="K2903" s="1" t="b">
        <v>0</v>
      </c>
      <c r="L2903" s="1" t="s">
        <v>22</v>
      </c>
      <c r="M2903" s="1">
        <v>2023</v>
      </c>
      <c r="N2903" s="1" t="s">
        <v>45</v>
      </c>
      <c r="O2903" s="1" t="s">
        <v>9935</v>
      </c>
      <c r="P2903" s="1" t="s">
        <v>16</v>
      </c>
      <c r="Q2903" s="1">
        <v>100</v>
      </c>
      <c r="R2903" s="1">
        <v>120000</v>
      </c>
      <c r="S2903" s="1">
        <v>120000</v>
      </c>
    </row>
    <row r="2904" spans="1:19" ht="12.5" x14ac:dyDescent="0.25">
      <c r="A2904" s="1" t="s">
        <v>16</v>
      </c>
      <c r="B2904" s="1" t="s">
        <v>16</v>
      </c>
      <c r="C2904" s="1" t="s">
        <v>16</v>
      </c>
      <c r="D2904" s="1" t="s">
        <v>16</v>
      </c>
      <c r="E2904" s="1">
        <v>3404</v>
      </c>
      <c r="F2904" s="1" t="s">
        <v>9612</v>
      </c>
      <c r="G2904" s="1" t="s">
        <v>9613</v>
      </c>
      <c r="H2904" s="1" t="s">
        <v>16</v>
      </c>
      <c r="I2904" s="1" t="s">
        <v>20</v>
      </c>
      <c r="J2904" s="1" t="s">
        <v>9614</v>
      </c>
      <c r="K2904" s="1" t="b">
        <v>0</v>
      </c>
      <c r="L2904" s="1" t="s">
        <v>22</v>
      </c>
      <c r="M2904" s="1" t="s">
        <v>16</v>
      </c>
      <c r="N2904" s="1" t="s">
        <v>16</v>
      </c>
      <c r="O2904" s="1" t="s">
        <v>16</v>
      </c>
      <c r="P2904" s="1" t="s">
        <v>16</v>
      </c>
    </row>
    <row r="2905" spans="1:19" ht="12.5" x14ac:dyDescent="0.25">
      <c r="A2905" s="1" t="s">
        <v>16</v>
      </c>
      <c r="B2905" s="1" t="s">
        <v>16</v>
      </c>
      <c r="C2905" s="1" t="s">
        <v>16</v>
      </c>
      <c r="D2905" s="1" t="s">
        <v>16</v>
      </c>
      <c r="E2905" s="1">
        <v>3405</v>
      </c>
      <c r="F2905" s="1" t="s">
        <v>9615</v>
      </c>
      <c r="G2905" s="1" t="s">
        <v>9616</v>
      </c>
      <c r="H2905" s="1" t="s">
        <v>16</v>
      </c>
      <c r="I2905" s="1" t="s">
        <v>20</v>
      </c>
      <c r="J2905" s="1" t="s">
        <v>9617</v>
      </c>
      <c r="K2905" s="1" t="b">
        <v>0</v>
      </c>
      <c r="L2905" s="1" t="s">
        <v>22</v>
      </c>
      <c r="M2905" s="1" t="s">
        <v>16</v>
      </c>
      <c r="N2905" s="1" t="s">
        <v>16</v>
      </c>
      <c r="O2905" s="1" t="s">
        <v>16</v>
      </c>
      <c r="P2905" s="1" t="s">
        <v>16</v>
      </c>
    </row>
    <row r="2906" spans="1:19" ht="12.5" x14ac:dyDescent="0.25">
      <c r="A2906" s="1" t="s">
        <v>16</v>
      </c>
      <c r="B2906" s="1" t="s">
        <v>16</v>
      </c>
      <c r="C2906" s="1" t="s">
        <v>16</v>
      </c>
      <c r="D2906" s="1" t="s">
        <v>16</v>
      </c>
      <c r="E2906" s="1">
        <v>3406</v>
      </c>
      <c r="F2906" s="1" t="s">
        <v>9618</v>
      </c>
      <c r="G2906" s="1" t="s">
        <v>9619</v>
      </c>
      <c r="H2906" s="1" t="s">
        <v>16</v>
      </c>
      <c r="I2906" s="1" t="s">
        <v>20</v>
      </c>
      <c r="J2906" s="1" t="s">
        <v>9620</v>
      </c>
      <c r="K2906" s="1" t="b">
        <v>0</v>
      </c>
      <c r="L2906" s="1" t="s">
        <v>22</v>
      </c>
      <c r="M2906" s="1" t="s">
        <v>16</v>
      </c>
      <c r="N2906" s="1" t="s">
        <v>16</v>
      </c>
      <c r="O2906" s="1" t="s">
        <v>16</v>
      </c>
      <c r="P2906" s="1" t="s">
        <v>16</v>
      </c>
    </row>
    <row r="2907" spans="1:19" ht="12.5" x14ac:dyDescent="0.25">
      <c r="A2907" s="1" t="s">
        <v>16</v>
      </c>
      <c r="B2907" s="1" t="s">
        <v>16</v>
      </c>
      <c r="C2907" s="1" t="s">
        <v>16</v>
      </c>
      <c r="D2907" s="1" t="s">
        <v>16</v>
      </c>
      <c r="E2907" s="1">
        <v>3407</v>
      </c>
      <c r="F2907" s="1" t="s">
        <v>9621</v>
      </c>
      <c r="G2907" s="1" t="s">
        <v>9622</v>
      </c>
      <c r="H2907" s="1" t="s">
        <v>16</v>
      </c>
      <c r="I2907" s="1" t="s">
        <v>20</v>
      </c>
      <c r="J2907" s="1" t="s">
        <v>9623</v>
      </c>
      <c r="K2907" s="1" t="b">
        <v>0</v>
      </c>
      <c r="L2907" s="1" t="s">
        <v>22</v>
      </c>
      <c r="M2907" s="1" t="s">
        <v>16</v>
      </c>
      <c r="N2907" s="1" t="s">
        <v>16</v>
      </c>
      <c r="O2907" s="1" t="s">
        <v>16</v>
      </c>
      <c r="P2907" s="1" t="s">
        <v>16</v>
      </c>
    </row>
    <row r="2908" spans="1:19" ht="12.5" x14ac:dyDescent="0.25">
      <c r="A2908" s="1" t="s">
        <v>16</v>
      </c>
      <c r="B2908" s="1" t="s">
        <v>16</v>
      </c>
      <c r="C2908" s="1" t="s">
        <v>16</v>
      </c>
      <c r="D2908" s="1" t="s">
        <v>16</v>
      </c>
      <c r="E2908" s="1">
        <v>3408</v>
      </c>
      <c r="F2908" s="1" t="s">
        <v>9624</v>
      </c>
      <c r="G2908" s="1" t="s">
        <v>9625</v>
      </c>
      <c r="H2908" s="1" t="s">
        <v>16</v>
      </c>
      <c r="I2908" s="1" t="s">
        <v>20</v>
      </c>
      <c r="J2908" s="1" t="s">
        <v>9626</v>
      </c>
      <c r="K2908" s="1" t="b">
        <v>0</v>
      </c>
      <c r="L2908" s="1" t="s">
        <v>22</v>
      </c>
      <c r="M2908" s="1" t="s">
        <v>16</v>
      </c>
      <c r="N2908" s="1" t="s">
        <v>16</v>
      </c>
      <c r="O2908" s="1" t="s">
        <v>16</v>
      </c>
      <c r="P2908" s="1" t="s">
        <v>16</v>
      </c>
    </row>
    <row r="2909" spans="1:19" ht="12.5" x14ac:dyDescent="0.25">
      <c r="A2909" s="1" t="s">
        <v>16</v>
      </c>
      <c r="B2909" s="1" t="s">
        <v>16</v>
      </c>
      <c r="C2909" s="1" t="s">
        <v>16</v>
      </c>
      <c r="D2909" s="1" t="s">
        <v>16</v>
      </c>
      <c r="E2909" s="1">
        <v>3409</v>
      </c>
      <c r="F2909" s="1" t="s">
        <v>9627</v>
      </c>
      <c r="G2909" s="1" t="s">
        <v>9628</v>
      </c>
      <c r="H2909" s="1" t="s">
        <v>16</v>
      </c>
      <c r="I2909" s="1" t="s">
        <v>20</v>
      </c>
      <c r="J2909" s="1" t="s">
        <v>9629</v>
      </c>
      <c r="K2909" s="1" t="b">
        <v>0</v>
      </c>
      <c r="L2909" s="1" t="s">
        <v>22</v>
      </c>
      <c r="M2909" s="1" t="s">
        <v>16</v>
      </c>
      <c r="N2909" s="1" t="s">
        <v>16</v>
      </c>
      <c r="O2909" s="1" t="s">
        <v>16</v>
      </c>
      <c r="P2909" s="1" t="s">
        <v>16</v>
      </c>
    </row>
    <row r="2910" spans="1:19" ht="12.5" x14ac:dyDescent="0.25">
      <c r="A2910" s="1">
        <v>4703</v>
      </c>
      <c r="B2910" s="1" t="s">
        <v>9630</v>
      </c>
      <c r="C2910" s="1" t="s">
        <v>35</v>
      </c>
      <c r="D2910" s="1" t="s">
        <v>5669</v>
      </c>
      <c r="E2910" s="1">
        <v>3410</v>
      </c>
      <c r="F2910" s="1" t="s">
        <v>9631</v>
      </c>
      <c r="G2910" s="1" t="s">
        <v>9632</v>
      </c>
      <c r="H2910" s="1" t="s">
        <v>9633</v>
      </c>
      <c r="I2910" s="1" t="s">
        <v>29</v>
      </c>
      <c r="J2910" s="1" t="s">
        <v>9634</v>
      </c>
      <c r="K2910" s="1" t="b">
        <v>0</v>
      </c>
      <c r="L2910" s="1" t="s">
        <v>22</v>
      </c>
      <c r="M2910" s="1">
        <v>2023</v>
      </c>
      <c r="N2910" s="1" t="s">
        <v>45</v>
      </c>
      <c r="O2910" s="1" t="s">
        <v>9935</v>
      </c>
      <c r="P2910" s="1" t="s">
        <v>16</v>
      </c>
      <c r="Q2910" s="1">
        <v>100</v>
      </c>
      <c r="R2910" s="1">
        <v>150000</v>
      </c>
      <c r="S2910" s="1">
        <v>150000</v>
      </c>
    </row>
    <row r="2911" spans="1:19" ht="12.5" x14ac:dyDescent="0.25">
      <c r="A2911" s="1">
        <v>4704</v>
      </c>
      <c r="B2911" s="1" t="s">
        <v>9635</v>
      </c>
      <c r="C2911" s="1" t="s">
        <v>35</v>
      </c>
      <c r="D2911" s="1" t="s">
        <v>5669</v>
      </c>
      <c r="E2911" s="1">
        <v>3411</v>
      </c>
      <c r="F2911" s="1" t="s">
        <v>9636</v>
      </c>
      <c r="G2911" s="1" t="s">
        <v>9637</v>
      </c>
      <c r="H2911" s="1" t="s">
        <v>9638</v>
      </c>
      <c r="I2911" s="1" t="s">
        <v>29</v>
      </c>
      <c r="J2911" s="1" t="s">
        <v>9639</v>
      </c>
      <c r="K2911" s="1" t="b">
        <v>0</v>
      </c>
      <c r="L2911" s="1" t="s">
        <v>22</v>
      </c>
      <c r="M2911" s="1">
        <v>2023</v>
      </c>
      <c r="N2911" s="1" t="s">
        <v>32</v>
      </c>
      <c r="O2911" s="1" t="s">
        <v>9935</v>
      </c>
      <c r="P2911" s="1" t="s">
        <v>16</v>
      </c>
      <c r="Q2911" s="1">
        <v>100</v>
      </c>
      <c r="R2911" s="1">
        <v>25000</v>
      </c>
      <c r="S2911" s="1">
        <v>25000</v>
      </c>
    </row>
    <row r="2912" spans="1:19" ht="12.5" x14ac:dyDescent="0.25">
      <c r="A2912" s="1">
        <v>4705</v>
      </c>
      <c r="B2912" s="1" t="s">
        <v>9640</v>
      </c>
      <c r="C2912" s="1" t="s">
        <v>15</v>
      </c>
      <c r="D2912" s="1" t="s">
        <v>15</v>
      </c>
      <c r="E2912" s="1">
        <v>3412</v>
      </c>
      <c r="F2912" s="1" t="s">
        <v>9641</v>
      </c>
      <c r="G2912" s="1" t="s">
        <v>9642</v>
      </c>
      <c r="H2912" s="1" t="s">
        <v>9643</v>
      </c>
      <c r="I2912" s="1" t="s">
        <v>29</v>
      </c>
      <c r="J2912" s="1" t="s">
        <v>9644</v>
      </c>
      <c r="K2912" s="1" t="b">
        <v>0</v>
      </c>
      <c r="L2912" s="1" t="s">
        <v>22</v>
      </c>
      <c r="M2912" s="1">
        <v>2023</v>
      </c>
      <c r="N2912" s="1" t="s">
        <v>45</v>
      </c>
      <c r="O2912" s="1" t="s">
        <v>9935</v>
      </c>
      <c r="P2912" s="1" t="s">
        <v>16</v>
      </c>
      <c r="Q2912" s="1">
        <v>100</v>
      </c>
      <c r="R2912" s="1">
        <v>200000</v>
      </c>
      <c r="S2912" s="1">
        <v>200000</v>
      </c>
    </row>
    <row r="2913" spans="1:19" ht="12.5" x14ac:dyDescent="0.25">
      <c r="A2913" s="1">
        <v>2966</v>
      </c>
      <c r="B2913" s="1" t="s">
        <v>9645</v>
      </c>
      <c r="C2913" s="1" t="s">
        <v>38</v>
      </c>
      <c r="D2913" s="1" t="s">
        <v>39</v>
      </c>
      <c r="E2913" s="1">
        <v>3413</v>
      </c>
      <c r="F2913" s="1" t="s">
        <v>9646</v>
      </c>
      <c r="G2913" s="1" t="s">
        <v>9647</v>
      </c>
      <c r="H2913" s="1" t="s">
        <v>16</v>
      </c>
      <c r="I2913" s="1" t="s">
        <v>29</v>
      </c>
      <c r="J2913" s="1" t="s">
        <v>9648</v>
      </c>
      <c r="K2913" s="1" t="b">
        <v>0</v>
      </c>
      <c r="L2913" s="1" t="s">
        <v>22</v>
      </c>
      <c r="M2913" s="1">
        <v>2023</v>
      </c>
      <c r="N2913" s="1" t="s">
        <v>23</v>
      </c>
      <c r="O2913" s="1" t="s">
        <v>9956</v>
      </c>
      <c r="P2913" s="1" t="s">
        <v>16</v>
      </c>
      <c r="Q2913" s="1">
        <v>100</v>
      </c>
      <c r="R2913" s="1">
        <v>25000</v>
      </c>
      <c r="S2913" s="1">
        <v>25000</v>
      </c>
    </row>
    <row r="2914" spans="1:19" ht="12.5" x14ac:dyDescent="0.25">
      <c r="A2914" s="1" t="s">
        <v>16</v>
      </c>
      <c r="B2914" s="1" t="s">
        <v>16</v>
      </c>
      <c r="C2914" s="1" t="s">
        <v>16</v>
      </c>
      <c r="D2914" s="1" t="s">
        <v>16</v>
      </c>
      <c r="E2914" s="1">
        <v>3414</v>
      </c>
      <c r="F2914" s="1" t="s">
        <v>9649</v>
      </c>
      <c r="G2914" s="1" t="s">
        <v>9650</v>
      </c>
      <c r="H2914" s="1" t="s">
        <v>16</v>
      </c>
      <c r="I2914" s="1" t="s">
        <v>20</v>
      </c>
      <c r="J2914" s="1" t="s">
        <v>9651</v>
      </c>
      <c r="K2914" s="1" t="b">
        <v>0</v>
      </c>
      <c r="L2914" s="1" t="s">
        <v>22</v>
      </c>
      <c r="M2914" s="1" t="s">
        <v>16</v>
      </c>
      <c r="N2914" s="1" t="s">
        <v>16</v>
      </c>
      <c r="O2914" s="1" t="s">
        <v>16</v>
      </c>
      <c r="P2914" s="1" t="s">
        <v>16</v>
      </c>
    </row>
    <row r="2915" spans="1:19" ht="12.5" x14ac:dyDescent="0.25">
      <c r="A2915" s="1">
        <v>3107</v>
      </c>
      <c r="B2915" s="1" t="s">
        <v>9652</v>
      </c>
      <c r="C2915" s="1" t="s">
        <v>38</v>
      </c>
      <c r="D2915" s="1" t="s">
        <v>39</v>
      </c>
      <c r="E2915" s="1">
        <v>3415</v>
      </c>
      <c r="F2915" s="1" t="s">
        <v>9653</v>
      </c>
      <c r="G2915" s="1" t="s">
        <v>9654</v>
      </c>
      <c r="H2915" s="1" t="s">
        <v>9576</v>
      </c>
      <c r="I2915" s="1" t="s">
        <v>29</v>
      </c>
      <c r="J2915" s="1" t="s">
        <v>9655</v>
      </c>
      <c r="K2915" s="1" t="b">
        <v>0</v>
      </c>
      <c r="L2915" s="1" t="s">
        <v>22</v>
      </c>
      <c r="M2915" s="1">
        <v>2023</v>
      </c>
      <c r="N2915" s="1" t="s">
        <v>32</v>
      </c>
      <c r="O2915" s="1" t="s">
        <v>9956</v>
      </c>
      <c r="P2915" s="1" t="s">
        <v>16</v>
      </c>
      <c r="Q2915" s="1">
        <v>100</v>
      </c>
      <c r="R2915" s="1">
        <v>40000</v>
      </c>
      <c r="S2915" s="1">
        <v>40000</v>
      </c>
    </row>
    <row r="2916" spans="1:19" ht="12.5" x14ac:dyDescent="0.25">
      <c r="A2916" s="1" t="s">
        <v>16</v>
      </c>
      <c r="B2916" s="1" t="s">
        <v>16</v>
      </c>
      <c r="C2916" s="1" t="s">
        <v>16</v>
      </c>
      <c r="D2916" s="1" t="s">
        <v>16</v>
      </c>
      <c r="E2916" s="1">
        <v>3416</v>
      </c>
      <c r="F2916" s="1" t="s">
        <v>9656</v>
      </c>
      <c r="G2916" s="1" t="s">
        <v>9657</v>
      </c>
      <c r="H2916" s="1" t="s">
        <v>16</v>
      </c>
      <c r="I2916" s="1" t="s">
        <v>20</v>
      </c>
      <c r="J2916" s="1" t="s">
        <v>9658</v>
      </c>
      <c r="K2916" s="1" t="b">
        <v>0</v>
      </c>
      <c r="L2916" s="1" t="s">
        <v>22</v>
      </c>
      <c r="M2916" s="1" t="s">
        <v>16</v>
      </c>
      <c r="N2916" s="1" t="s">
        <v>16</v>
      </c>
      <c r="O2916" s="1" t="s">
        <v>16</v>
      </c>
      <c r="P2916" s="1" t="s">
        <v>16</v>
      </c>
    </row>
    <row r="2917" spans="1:19" ht="12.5" x14ac:dyDescent="0.25">
      <c r="A2917" s="1" t="s">
        <v>16</v>
      </c>
      <c r="B2917" s="1" t="s">
        <v>16</v>
      </c>
      <c r="C2917" s="1" t="s">
        <v>16</v>
      </c>
      <c r="D2917" s="1" t="s">
        <v>16</v>
      </c>
      <c r="E2917" s="1">
        <v>3417</v>
      </c>
      <c r="F2917" s="1" t="s">
        <v>9659</v>
      </c>
      <c r="G2917" s="1" t="s">
        <v>9660</v>
      </c>
      <c r="H2917" s="1" t="s">
        <v>16</v>
      </c>
      <c r="I2917" s="1" t="s">
        <v>20</v>
      </c>
      <c r="J2917" s="1" t="s">
        <v>9661</v>
      </c>
      <c r="K2917" s="1" t="b">
        <v>0</v>
      </c>
      <c r="L2917" s="1" t="s">
        <v>22</v>
      </c>
      <c r="M2917" s="1" t="s">
        <v>16</v>
      </c>
      <c r="N2917" s="1" t="s">
        <v>16</v>
      </c>
      <c r="O2917" s="1" t="s">
        <v>16</v>
      </c>
      <c r="P2917" s="1" t="s">
        <v>16</v>
      </c>
    </row>
    <row r="2918" spans="1:19" ht="12.5" x14ac:dyDescent="0.25">
      <c r="A2918" s="1">
        <v>271</v>
      </c>
      <c r="B2918" s="1" t="s">
        <v>1125</v>
      </c>
      <c r="C2918" s="1" t="s">
        <v>35</v>
      </c>
      <c r="D2918" s="1" t="s">
        <v>36</v>
      </c>
      <c r="E2918" s="1">
        <v>3418</v>
      </c>
      <c r="F2918" s="1" t="s">
        <v>9662</v>
      </c>
      <c r="G2918" s="1" t="s">
        <v>9663</v>
      </c>
      <c r="H2918" s="1" t="s">
        <v>16</v>
      </c>
      <c r="I2918" s="1" t="s">
        <v>20</v>
      </c>
      <c r="J2918" s="1" t="s">
        <v>9664</v>
      </c>
      <c r="K2918" s="1" t="b">
        <v>0</v>
      </c>
      <c r="L2918" s="1" t="s">
        <v>22</v>
      </c>
      <c r="M2918" s="1" t="s">
        <v>16</v>
      </c>
      <c r="N2918" s="1" t="s">
        <v>16</v>
      </c>
      <c r="O2918" s="1" t="s">
        <v>16</v>
      </c>
      <c r="P2918" s="1" t="s">
        <v>16</v>
      </c>
      <c r="Q2918" s="1">
        <v>100</v>
      </c>
    </row>
    <row r="2919" spans="1:19" ht="12.5" x14ac:dyDescent="0.25">
      <c r="A2919" s="1" t="s">
        <v>16</v>
      </c>
      <c r="B2919" s="1" t="s">
        <v>16</v>
      </c>
      <c r="C2919" s="1" t="s">
        <v>16</v>
      </c>
      <c r="D2919" s="1" t="s">
        <v>16</v>
      </c>
      <c r="E2919" s="1">
        <v>3419</v>
      </c>
      <c r="F2919" s="1" t="s">
        <v>9665</v>
      </c>
      <c r="G2919" s="1" t="s">
        <v>9666</v>
      </c>
      <c r="H2919" s="1" t="s">
        <v>16</v>
      </c>
      <c r="I2919" s="1" t="s">
        <v>20</v>
      </c>
      <c r="J2919" s="1" t="s">
        <v>9667</v>
      </c>
      <c r="K2919" s="1" t="b">
        <v>0</v>
      </c>
      <c r="L2919" s="1" t="s">
        <v>22</v>
      </c>
      <c r="M2919" s="1" t="s">
        <v>16</v>
      </c>
      <c r="N2919" s="1" t="s">
        <v>16</v>
      </c>
      <c r="O2919" s="1" t="s">
        <v>16</v>
      </c>
      <c r="P2919" s="1" t="s">
        <v>16</v>
      </c>
    </row>
    <row r="2920" spans="1:19" ht="12.5" x14ac:dyDescent="0.25">
      <c r="A2920" s="1">
        <v>1193</v>
      </c>
      <c r="B2920" s="1" t="s">
        <v>4056</v>
      </c>
      <c r="C2920" s="1" t="s">
        <v>35</v>
      </c>
      <c r="D2920" s="1" t="s">
        <v>152</v>
      </c>
      <c r="E2920" s="1">
        <v>3420</v>
      </c>
      <c r="F2920" s="1" t="s">
        <v>9668</v>
      </c>
      <c r="G2920" s="1" t="s">
        <v>9669</v>
      </c>
      <c r="H2920" s="1" t="s">
        <v>16</v>
      </c>
      <c r="I2920" s="1" t="s">
        <v>20</v>
      </c>
      <c r="J2920" s="1" t="s">
        <v>9670</v>
      </c>
      <c r="K2920" s="1" t="b">
        <v>0</v>
      </c>
      <c r="L2920" s="1" t="s">
        <v>22</v>
      </c>
      <c r="M2920" s="1" t="s">
        <v>16</v>
      </c>
      <c r="N2920" s="1" t="s">
        <v>16</v>
      </c>
      <c r="O2920" s="1" t="s">
        <v>16</v>
      </c>
      <c r="P2920" s="1" t="s">
        <v>16</v>
      </c>
      <c r="Q2920" s="1">
        <v>1</v>
      </c>
    </row>
    <row r="2921" spans="1:19" ht="12.5" x14ac:dyDescent="0.25">
      <c r="A2921" s="1">
        <v>1445</v>
      </c>
      <c r="B2921" s="1" t="s">
        <v>7023</v>
      </c>
      <c r="C2921" s="1" t="s">
        <v>35</v>
      </c>
      <c r="D2921" s="1" t="s">
        <v>152</v>
      </c>
      <c r="E2921" s="1">
        <v>3420</v>
      </c>
      <c r="F2921" s="1" t="s">
        <v>9668</v>
      </c>
      <c r="G2921" s="1" t="s">
        <v>9669</v>
      </c>
      <c r="H2921" s="1" t="s">
        <v>16</v>
      </c>
      <c r="I2921" s="1" t="s">
        <v>20</v>
      </c>
      <c r="J2921" s="1" t="s">
        <v>9670</v>
      </c>
      <c r="K2921" s="1" t="b">
        <v>0</v>
      </c>
      <c r="L2921" s="1" t="s">
        <v>22</v>
      </c>
      <c r="M2921" s="1" t="s">
        <v>16</v>
      </c>
      <c r="N2921" s="1" t="s">
        <v>16</v>
      </c>
      <c r="O2921" s="1" t="s">
        <v>16</v>
      </c>
      <c r="P2921" s="1" t="s">
        <v>16</v>
      </c>
      <c r="Q2921" s="1">
        <v>1</v>
      </c>
    </row>
    <row r="2922" spans="1:19" ht="12.5" x14ac:dyDescent="0.25">
      <c r="A2922" s="1">
        <v>4552</v>
      </c>
      <c r="B2922" s="1" t="s">
        <v>9671</v>
      </c>
      <c r="C2922" s="1" t="s">
        <v>35</v>
      </c>
      <c r="D2922" s="1" t="s">
        <v>36</v>
      </c>
      <c r="E2922" s="1">
        <v>3420</v>
      </c>
      <c r="F2922" s="1" t="s">
        <v>9668</v>
      </c>
      <c r="G2922" s="1" t="s">
        <v>9669</v>
      </c>
      <c r="H2922" s="1" t="s">
        <v>16</v>
      </c>
      <c r="I2922" s="1" t="s">
        <v>20</v>
      </c>
      <c r="J2922" s="1" t="s">
        <v>9670</v>
      </c>
      <c r="K2922" s="1" t="b">
        <v>0</v>
      </c>
      <c r="L2922" s="1" t="s">
        <v>22</v>
      </c>
      <c r="M2922" s="1" t="s">
        <v>16</v>
      </c>
      <c r="N2922" s="1" t="s">
        <v>16</v>
      </c>
      <c r="O2922" s="1" t="s">
        <v>16</v>
      </c>
      <c r="P2922" s="1" t="s">
        <v>16</v>
      </c>
      <c r="Q2922" s="1">
        <v>1</v>
      </c>
    </row>
    <row r="2923" spans="1:19" ht="12.5" x14ac:dyDescent="0.25">
      <c r="A2923" s="1" t="s">
        <v>16</v>
      </c>
      <c r="B2923" s="1" t="s">
        <v>16</v>
      </c>
      <c r="C2923" s="1" t="s">
        <v>16</v>
      </c>
      <c r="D2923" s="1" t="s">
        <v>16</v>
      </c>
      <c r="E2923" s="1">
        <v>3421</v>
      </c>
      <c r="F2923" s="1" t="s">
        <v>9672</v>
      </c>
      <c r="G2923" s="1" t="s">
        <v>9673</v>
      </c>
      <c r="H2923" s="1" t="s">
        <v>16</v>
      </c>
      <c r="I2923" s="1" t="s">
        <v>20</v>
      </c>
      <c r="J2923" s="1" t="s">
        <v>9674</v>
      </c>
      <c r="K2923" s="1" t="b">
        <v>0</v>
      </c>
      <c r="L2923" s="1" t="s">
        <v>22</v>
      </c>
      <c r="M2923" s="1" t="s">
        <v>16</v>
      </c>
      <c r="N2923" s="1" t="s">
        <v>16</v>
      </c>
      <c r="O2923" s="1" t="s">
        <v>16</v>
      </c>
      <c r="P2923" s="1" t="s">
        <v>16</v>
      </c>
    </row>
    <row r="2924" spans="1:19" ht="12.5" x14ac:dyDescent="0.25">
      <c r="A2924" s="1">
        <v>1195</v>
      </c>
      <c r="B2924" s="1" t="s">
        <v>4060</v>
      </c>
      <c r="C2924" s="1" t="s">
        <v>35</v>
      </c>
      <c r="D2924" s="1" t="s">
        <v>152</v>
      </c>
      <c r="E2924" s="1">
        <v>3422</v>
      </c>
      <c r="F2924" s="1" t="s">
        <v>9675</v>
      </c>
      <c r="G2924" s="1" t="s">
        <v>9676</v>
      </c>
      <c r="H2924" s="1" t="s">
        <v>16</v>
      </c>
      <c r="I2924" s="1" t="s">
        <v>20</v>
      </c>
      <c r="J2924" s="1" t="s">
        <v>9677</v>
      </c>
      <c r="K2924" s="1" t="b">
        <v>0</v>
      </c>
      <c r="L2924" s="1" t="s">
        <v>22</v>
      </c>
      <c r="M2924" s="1" t="s">
        <v>16</v>
      </c>
      <c r="N2924" s="1" t="s">
        <v>16</v>
      </c>
      <c r="O2924" s="1" t="s">
        <v>16</v>
      </c>
      <c r="P2924" s="1" t="s">
        <v>16</v>
      </c>
      <c r="Q2924" s="1">
        <v>1</v>
      </c>
    </row>
    <row r="2925" spans="1:19" ht="12.5" x14ac:dyDescent="0.25">
      <c r="A2925" s="1">
        <v>3029</v>
      </c>
      <c r="B2925" s="1" t="s">
        <v>9678</v>
      </c>
      <c r="C2925" s="1" t="s">
        <v>38</v>
      </c>
      <c r="D2925" s="1" t="s">
        <v>39</v>
      </c>
      <c r="E2925" s="1">
        <v>3423</v>
      </c>
      <c r="F2925" s="1" t="s">
        <v>9679</v>
      </c>
      <c r="G2925" s="1" t="s">
        <v>9680</v>
      </c>
      <c r="H2925" s="1" t="s">
        <v>16</v>
      </c>
      <c r="I2925" s="1" t="s">
        <v>20</v>
      </c>
      <c r="J2925" s="1" t="s">
        <v>9681</v>
      </c>
      <c r="K2925" s="1" t="b">
        <v>0</v>
      </c>
      <c r="L2925" s="1" t="s">
        <v>22</v>
      </c>
      <c r="M2925" s="1" t="s">
        <v>16</v>
      </c>
      <c r="N2925" s="1" t="s">
        <v>16</v>
      </c>
      <c r="O2925" s="1" t="s">
        <v>16</v>
      </c>
      <c r="P2925" s="1" t="s">
        <v>16</v>
      </c>
      <c r="Q2925" s="1">
        <v>1</v>
      </c>
    </row>
    <row r="2926" spans="1:19" ht="12.5" x14ac:dyDescent="0.25">
      <c r="A2926" s="1" t="s">
        <v>16</v>
      </c>
      <c r="B2926" s="1" t="s">
        <v>16</v>
      </c>
      <c r="C2926" s="1" t="s">
        <v>16</v>
      </c>
      <c r="D2926" s="1" t="s">
        <v>16</v>
      </c>
      <c r="E2926" s="1">
        <v>3424</v>
      </c>
      <c r="F2926" s="1" t="s">
        <v>9682</v>
      </c>
      <c r="G2926" s="1" t="s">
        <v>9683</v>
      </c>
      <c r="H2926" s="1" t="s">
        <v>16</v>
      </c>
      <c r="I2926" s="1" t="s">
        <v>20</v>
      </c>
      <c r="J2926" s="1" t="s">
        <v>9684</v>
      </c>
      <c r="K2926" s="1" t="b">
        <v>0</v>
      </c>
      <c r="L2926" s="1" t="s">
        <v>22</v>
      </c>
      <c r="M2926" s="1" t="s">
        <v>16</v>
      </c>
      <c r="N2926" s="1" t="s">
        <v>16</v>
      </c>
      <c r="O2926" s="1" t="s">
        <v>16</v>
      </c>
      <c r="P2926" s="1" t="s">
        <v>16</v>
      </c>
    </row>
    <row r="2927" spans="1:19" ht="12.5" x14ac:dyDescent="0.25">
      <c r="A2927" s="1" t="s">
        <v>16</v>
      </c>
      <c r="B2927" s="1" t="s">
        <v>16</v>
      </c>
      <c r="C2927" s="1" t="s">
        <v>16</v>
      </c>
      <c r="D2927" s="1" t="s">
        <v>16</v>
      </c>
      <c r="E2927" s="1">
        <v>3425</v>
      </c>
      <c r="F2927" s="1" t="s">
        <v>9685</v>
      </c>
      <c r="G2927" s="1" t="s">
        <v>9686</v>
      </c>
      <c r="H2927" s="1" t="s">
        <v>16</v>
      </c>
      <c r="I2927" s="1" t="s">
        <v>20</v>
      </c>
      <c r="J2927" s="1" t="s">
        <v>9687</v>
      </c>
      <c r="K2927" s="1" t="b">
        <v>0</v>
      </c>
      <c r="L2927" s="1" t="s">
        <v>22</v>
      </c>
      <c r="M2927" s="1" t="s">
        <v>16</v>
      </c>
      <c r="N2927" s="1" t="s">
        <v>16</v>
      </c>
      <c r="O2927" s="1" t="s">
        <v>16</v>
      </c>
      <c r="P2927" s="1" t="s">
        <v>16</v>
      </c>
    </row>
    <row r="2928" spans="1:19" ht="12.5" x14ac:dyDescent="0.25">
      <c r="A2928" s="1">
        <v>179</v>
      </c>
      <c r="B2928" s="1" t="s">
        <v>885</v>
      </c>
      <c r="C2928" s="1" t="s">
        <v>15</v>
      </c>
      <c r="D2928" s="1" t="s">
        <v>15</v>
      </c>
      <c r="E2928" s="1">
        <v>3426</v>
      </c>
      <c r="F2928" s="1" t="s">
        <v>9688</v>
      </c>
      <c r="G2928" s="1" t="s">
        <v>9689</v>
      </c>
      <c r="H2928" s="1" t="s">
        <v>16</v>
      </c>
      <c r="I2928" s="1" t="s">
        <v>20</v>
      </c>
      <c r="J2928" s="1" t="s">
        <v>9690</v>
      </c>
      <c r="K2928" s="1" t="b">
        <v>0</v>
      </c>
      <c r="L2928" s="1" t="s">
        <v>22</v>
      </c>
      <c r="M2928" s="1" t="s">
        <v>16</v>
      </c>
      <c r="N2928" s="1" t="s">
        <v>16</v>
      </c>
      <c r="O2928" s="1" t="s">
        <v>16</v>
      </c>
      <c r="P2928" s="1" t="s">
        <v>16</v>
      </c>
      <c r="Q2928" s="1">
        <v>10</v>
      </c>
    </row>
    <row r="2929" spans="1:17" ht="12.5" x14ac:dyDescent="0.25">
      <c r="A2929" s="1">
        <v>3562</v>
      </c>
      <c r="B2929" s="1" t="s">
        <v>9691</v>
      </c>
      <c r="C2929" s="1" t="s">
        <v>38</v>
      </c>
      <c r="D2929" s="1" t="s">
        <v>39</v>
      </c>
      <c r="E2929" s="1">
        <v>3426</v>
      </c>
      <c r="F2929" s="1" t="s">
        <v>9688</v>
      </c>
      <c r="G2929" s="1" t="s">
        <v>9689</v>
      </c>
      <c r="H2929" s="1" t="s">
        <v>16</v>
      </c>
      <c r="I2929" s="1" t="s">
        <v>20</v>
      </c>
      <c r="J2929" s="1" t="s">
        <v>9690</v>
      </c>
      <c r="K2929" s="1" t="b">
        <v>0</v>
      </c>
      <c r="L2929" s="1" t="s">
        <v>22</v>
      </c>
      <c r="M2929" s="1" t="s">
        <v>16</v>
      </c>
      <c r="N2929" s="1" t="s">
        <v>16</v>
      </c>
      <c r="O2929" s="1" t="s">
        <v>16</v>
      </c>
      <c r="P2929" s="1" t="s">
        <v>16</v>
      </c>
      <c r="Q2929" s="1">
        <v>1</v>
      </c>
    </row>
    <row r="2930" spans="1:17" ht="12.5" x14ac:dyDescent="0.25">
      <c r="A2930" s="1">
        <v>2239</v>
      </c>
      <c r="B2930" s="1" t="s">
        <v>9692</v>
      </c>
      <c r="C2930" s="1" t="s">
        <v>38</v>
      </c>
      <c r="D2930" s="1" t="s">
        <v>5701</v>
      </c>
      <c r="E2930" s="1">
        <v>3427</v>
      </c>
      <c r="F2930" s="1" t="s">
        <v>9693</v>
      </c>
      <c r="G2930" s="1" t="s">
        <v>9694</v>
      </c>
      <c r="H2930" s="1" t="s">
        <v>16</v>
      </c>
      <c r="I2930" s="1" t="s">
        <v>20</v>
      </c>
      <c r="J2930" s="1" t="s">
        <v>9695</v>
      </c>
      <c r="K2930" s="1" t="b">
        <v>0</v>
      </c>
      <c r="L2930" s="1" t="s">
        <v>22</v>
      </c>
      <c r="M2930" s="1" t="s">
        <v>16</v>
      </c>
      <c r="N2930" s="1" t="s">
        <v>16</v>
      </c>
      <c r="O2930" s="1" t="s">
        <v>16</v>
      </c>
      <c r="P2930" s="1" t="s">
        <v>16</v>
      </c>
      <c r="Q2930" s="1">
        <v>2</v>
      </c>
    </row>
    <row r="2931" spans="1:17" ht="12.5" x14ac:dyDescent="0.25">
      <c r="A2931" s="1">
        <v>4503</v>
      </c>
      <c r="B2931" s="1" t="s">
        <v>9696</v>
      </c>
      <c r="C2931" s="1" t="s">
        <v>35</v>
      </c>
      <c r="D2931" s="1" t="s">
        <v>36</v>
      </c>
      <c r="E2931" s="1">
        <v>3427</v>
      </c>
      <c r="F2931" s="1" t="s">
        <v>9693</v>
      </c>
      <c r="G2931" s="1" t="s">
        <v>9694</v>
      </c>
      <c r="H2931" s="1" t="s">
        <v>16</v>
      </c>
      <c r="I2931" s="1" t="s">
        <v>20</v>
      </c>
      <c r="J2931" s="1" t="s">
        <v>9695</v>
      </c>
      <c r="K2931" s="1" t="b">
        <v>0</v>
      </c>
      <c r="L2931" s="1" t="s">
        <v>22</v>
      </c>
      <c r="M2931" s="1" t="s">
        <v>16</v>
      </c>
      <c r="N2931" s="1" t="s">
        <v>16</v>
      </c>
      <c r="O2931" s="1" t="s">
        <v>16</v>
      </c>
      <c r="P2931" s="1" t="s">
        <v>16</v>
      </c>
      <c r="Q2931" s="1">
        <v>1</v>
      </c>
    </row>
    <row r="2932" spans="1:17" ht="12.5" x14ac:dyDescent="0.25">
      <c r="A2932" s="1">
        <v>92</v>
      </c>
      <c r="B2932" s="1" t="s">
        <v>472</v>
      </c>
      <c r="C2932" s="1" t="s">
        <v>15</v>
      </c>
      <c r="D2932" s="1" t="s">
        <v>15</v>
      </c>
      <c r="E2932" s="1">
        <v>3430</v>
      </c>
      <c r="F2932" s="1" t="s">
        <v>9697</v>
      </c>
      <c r="G2932" s="1" t="s">
        <v>9698</v>
      </c>
      <c r="H2932" s="1" t="s">
        <v>16</v>
      </c>
      <c r="I2932" s="1" t="s">
        <v>20</v>
      </c>
      <c r="J2932" s="1" t="s">
        <v>9699</v>
      </c>
      <c r="K2932" s="1" t="b">
        <v>0</v>
      </c>
      <c r="L2932" s="1" t="s">
        <v>22</v>
      </c>
      <c r="M2932" s="1" t="s">
        <v>16</v>
      </c>
      <c r="N2932" s="1" t="s">
        <v>16</v>
      </c>
      <c r="O2932" s="1" t="s">
        <v>16</v>
      </c>
      <c r="P2932" s="1" t="s">
        <v>16</v>
      </c>
      <c r="Q2932" s="1">
        <v>100</v>
      </c>
    </row>
    <row r="2933" spans="1:17" ht="12.5" x14ac:dyDescent="0.25">
      <c r="A2933" s="1" t="s">
        <v>16</v>
      </c>
      <c r="B2933" s="1" t="s">
        <v>16</v>
      </c>
      <c r="C2933" s="1" t="s">
        <v>16</v>
      </c>
      <c r="D2933" s="1" t="s">
        <v>16</v>
      </c>
      <c r="E2933" s="1">
        <v>3431</v>
      </c>
      <c r="F2933" s="1" t="s">
        <v>9700</v>
      </c>
      <c r="G2933" s="1" t="s">
        <v>9701</v>
      </c>
      <c r="H2933" s="1" t="s">
        <v>16</v>
      </c>
      <c r="I2933" s="1" t="s">
        <v>20</v>
      </c>
      <c r="J2933" s="1" t="s">
        <v>9702</v>
      </c>
      <c r="K2933" s="1" t="b">
        <v>0</v>
      </c>
      <c r="L2933" s="1" t="s">
        <v>22</v>
      </c>
      <c r="M2933" s="1" t="s">
        <v>16</v>
      </c>
      <c r="N2933" s="1" t="s">
        <v>16</v>
      </c>
      <c r="O2933" s="1" t="s">
        <v>16</v>
      </c>
      <c r="P2933" s="1" t="s">
        <v>16</v>
      </c>
    </row>
    <row r="2934" spans="1:17" ht="12.5" x14ac:dyDescent="0.25">
      <c r="A2934" s="1" t="s">
        <v>16</v>
      </c>
      <c r="B2934" s="1" t="s">
        <v>16</v>
      </c>
      <c r="C2934" s="1" t="s">
        <v>16</v>
      </c>
      <c r="D2934" s="1" t="s">
        <v>16</v>
      </c>
      <c r="E2934" s="1">
        <v>3432</v>
      </c>
      <c r="F2934" s="1" t="s">
        <v>9703</v>
      </c>
      <c r="G2934" s="1" t="s">
        <v>9704</v>
      </c>
      <c r="H2934" s="1" t="s">
        <v>16</v>
      </c>
      <c r="I2934" s="1" t="s">
        <v>20</v>
      </c>
      <c r="J2934" s="1" t="s">
        <v>9705</v>
      </c>
      <c r="K2934" s="1" t="b">
        <v>0</v>
      </c>
      <c r="L2934" s="1" t="s">
        <v>22</v>
      </c>
      <c r="M2934" s="1" t="s">
        <v>16</v>
      </c>
      <c r="N2934" s="1" t="s">
        <v>16</v>
      </c>
      <c r="O2934" s="1" t="s">
        <v>16</v>
      </c>
      <c r="P2934" s="1" t="s">
        <v>16</v>
      </c>
    </row>
    <row r="2935" spans="1:17" ht="12.5" x14ac:dyDescent="0.25">
      <c r="A2935" s="1">
        <v>125</v>
      </c>
      <c r="B2935" s="1" t="s">
        <v>623</v>
      </c>
      <c r="C2935" s="1" t="s">
        <v>15</v>
      </c>
      <c r="D2935" s="1" t="s">
        <v>15</v>
      </c>
      <c r="E2935" s="1">
        <v>3433</v>
      </c>
      <c r="F2935" s="1" t="s">
        <v>9706</v>
      </c>
      <c r="G2935" s="1" t="s">
        <v>9707</v>
      </c>
      <c r="H2935" s="1" t="s">
        <v>16</v>
      </c>
      <c r="I2935" s="1" t="s">
        <v>20</v>
      </c>
      <c r="J2935" s="1" t="s">
        <v>9708</v>
      </c>
      <c r="K2935" s="1" t="b">
        <v>0</v>
      </c>
      <c r="L2935" s="1" t="s">
        <v>22</v>
      </c>
      <c r="M2935" s="1" t="s">
        <v>16</v>
      </c>
      <c r="N2935" s="1" t="s">
        <v>16</v>
      </c>
      <c r="O2935" s="1" t="s">
        <v>16</v>
      </c>
      <c r="P2935" s="1" t="s">
        <v>16</v>
      </c>
      <c r="Q2935" s="1">
        <v>60</v>
      </c>
    </row>
    <row r="2936" spans="1:17" ht="12.5" x14ac:dyDescent="0.25">
      <c r="A2936" s="1" t="s">
        <v>16</v>
      </c>
      <c r="B2936" s="1" t="s">
        <v>16</v>
      </c>
      <c r="C2936" s="1" t="s">
        <v>16</v>
      </c>
      <c r="D2936" s="1" t="s">
        <v>16</v>
      </c>
      <c r="E2936" s="1">
        <v>3434</v>
      </c>
      <c r="F2936" s="1" t="s">
        <v>9709</v>
      </c>
      <c r="G2936" s="1" t="s">
        <v>9710</v>
      </c>
      <c r="H2936" s="1" t="s">
        <v>16</v>
      </c>
      <c r="I2936" s="1" t="s">
        <v>20</v>
      </c>
      <c r="J2936" s="1" t="s">
        <v>9711</v>
      </c>
      <c r="K2936" s="1" t="b">
        <v>0</v>
      </c>
      <c r="L2936" s="1" t="s">
        <v>22</v>
      </c>
      <c r="M2936" s="1" t="s">
        <v>16</v>
      </c>
      <c r="N2936" s="1" t="s">
        <v>16</v>
      </c>
      <c r="O2936" s="1" t="s">
        <v>16</v>
      </c>
      <c r="P2936" s="1" t="s">
        <v>16</v>
      </c>
    </row>
    <row r="2937" spans="1:17" ht="12.5" x14ac:dyDescent="0.25">
      <c r="A2937" s="1" t="s">
        <v>16</v>
      </c>
      <c r="B2937" s="1" t="s">
        <v>16</v>
      </c>
      <c r="C2937" s="1" t="s">
        <v>16</v>
      </c>
      <c r="D2937" s="1" t="s">
        <v>16</v>
      </c>
      <c r="E2937" s="1">
        <v>3435</v>
      </c>
      <c r="F2937" s="1" t="s">
        <v>9712</v>
      </c>
      <c r="G2937" s="1" t="s">
        <v>9713</v>
      </c>
      <c r="H2937" s="1" t="s">
        <v>16</v>
      </c>
      <c r="I2937" s="1" t="s">
        <v>20</v>
      </c>
      <c r="J2937" s="1" t="s">
        <v>9714</v>
      </c>
      <c r="K2937" s="1" t="b">
        <v>0</v>
      </c>
      <c r="L2937" s="1" t="s">
        <v>22</v>
      </c>
      <c r="M2937" s="1" t="s">
        <v>16</v>
      </c>
      <c r="N2937" s="1" t="s">
        <v>16</v>
      </c>
      <c r="O2937" s="1" t="s">
        <v>16</v>
      </c>
      <c r="P2937" s="1" t="s">
        <v>16</v>
      </c>
    </row>
    <row r="2938" spans="1:17" ht="12.5" x14ac:dyDescent="0.25">
      <c r="A2938" s="1" t="s">
        <v>16</v>
      </c>
      <c r="B2938" s="1" t="s">
        <v>16</v>
      </c>
      <c r="C2938" s="1" t="s">
        <v>16</v>
      </c>
      <c r="D2938" s="1" t="s">
        <v>16</v>
      </c>
      <c r="E2938" s="1">
        <v>3436</v>
      </c>
      <c r="F2938" s="1" t="s">
        <v>9715</v>
      </c>
      <c r="G2938" s="1" t="s">
        <v>9716</v>
      </c>
      <c r="H2938" s="1" t="s">
        <v>16</v>
      </c>
      <c r="I2938" s="1" t="s">
        <v>20</v>
      </c>
      <c r="J2938" s="1" t="s">
        <v>9717</v>
      </c>
      <c r="K2938" s="1" t="b">
        <v>0</v>
      </c>
      <c r="L2938" s="1" t="s">
        <v>22</v>
      </c>
      <c r="M2938" s="1" t="s">
        <v>16</v>
      </c>
      <c r="N2938" s="1" t="s">
        <v>16</v>
      </c>
      <c r="O2938" s="1" t="s">
        <v>16</v>
      </c>
      <c r="P2938" s="1" t="s">
        <v>16</v>
      </c>
    </row>
    <row r="2939" spans="1:17" ht="12.5" x14ac:dyDescent="0.25">
      <c r="A2939" s="1" t="s">
        <v>16</v>
      </c>
      <c r="B2939" s="1" t="s">
        <v>16</v>
      </c>
      <c r="C2939" s="1" t="s">
        <v>16</v>
      </c>
      <c r="D2939" s="1" t="s">
        <v>16</v>
      </c>
      <c r="E2939" s="1">
        <v>3437</v>
      </c>
      <c r="F2939" s="1" t="s">
        <v>9718</v>
      </c>
      <c r="G2939" s="1" t="s">
        <v>9719</v>
      </c>
      <c r="H2939" s="1" t="s">
        <v>16</v>
      </c>
      <c r="I2939" s="1" t="s">
        <v>20</v>
      </c>
      <c r="J2939" s="1" t="s">
        <v>9720</v>
      </c>
      <c r="K2939" s="1" t="b">
        <v>0</v>
      </c>
      <c r="L2939" s="1" t="s">
        <v>22</v>
      </c>
      <c r="M2939" s="1" t="s">
        <v>16</v>
      </c>
      <c r="N2939" s="1" t="s">
        <v>16</v>
      </c>
      <c r="O2939" s="1" t="s">
        <v>16</v>
      </c>
      <c r="P2939" s="1" t="s">
        <v>16</v>
      </c>
    </row>
    <row r="2940" spans="1:17" ht="12.5" x14ac:dyDescent="0.25">
      <c r="A2940" s="1" t="s">
        <v>16</v>
      </c>
      <c r="B2940" s="1" t="s">
        <v>16</v>
      </c>
      <c r="C2940" s="1" t="s">
        <v>16</v>
      </c>
      <c r="D2940" s="1" t="s">
        <v>16</v>
      </c>
      <c r="E2940" s="1">
        <v>3438</v>
      </c>
      <c r="F2940" s="1" t="s">
        <v>9721</v>
      </c>
      <c r="G2940" s="1" t="s">
        <v>9722</v>
      </c>
      <c r="H2940" s="1" t="s">
        <v>16</v>
      </c>
      <c r="I2940" s="1" t="s">
        <v>20</v>
      </c>
      <c r="J2940" s="1" t="s">
        <v>9723</v>
      </c>
      <c r="K2940" s="1" t="b">
        <v>0</v>
      </c>
      <c r="L2940" s="1" t="s">
        <v>22</v>
      </c>
      <c r="M2940" s="1" t="s">
        <v>16</v>
      </c>
      <c r="N2940" s="1" t="s">
        <v>16</v>
      </c>
      <c r="O2940" s="1" t="s">
        <v>16</v>
      </c>
      <c r="P2940" s="1" t="s">
        <v>16</v>
      </c>
    </row>
    <row r="2941" spans="1:17" ht="12.5" x14ac:dyDescent="0.25">
      <c r="A2941" s="1" t="s">
        <v>16</v>
      </c>
      <c r="B2941" s="1" t="s">
        <v>16</v>
      </c>
      <c r="C2941" s="1" t="s">
        <v>16</v>
      </c>
      <c r="D2941" s="1" t="s">
        <v>16</v>
      </c>
      <c r="E2941" s="1">
        <v>3442</v>
      </c>
      <c r="F2941" s="1" t="s">
        <v>9724</v>
      </c>
      <c r="G2941" s="1" t="s">
        <v>9725</v>
      </c>
      <c r="H2941" s="1" t="s">
        <v>16</v>
      </c>
      <c r="I2941" s="1" t="s">
        <v>20</v>
      </c>
      <c r="J2941" s="1" t="s">
        <v>9726</v>
      </c>
      <c r="K2941" s="1" t="b">
        <v>0</v>
      </c>
      <c r="L2941" s="1" t="s">
        <v>22</v>
      </c>
      <c r="M2941" s="1" t="s">
        <v>16</v>
      </c>
      <c r="N2941" s="1" t="s">
        <v>16</v>
      </c>
      <c r="O2941" s="1" t="s">
        <v>16</v>
      </c>
      <c r="P2941" s="1" t="s">
        <v>16</v>
      </c>
    </row>
    <row r="2942" spans="1:17" ht="12.5" x14ac:dyDescent="0.25">
      <c r="A2942" s="1" t="s">
        <v>16</v>
      </c>
      <c r="B2942" s="1" t="s">
        <v>16</v>
      </c>
      <c r="C2942" s="1" t="s">
        <v>16</v>
      </c>
      <c r="D2942" s="1" t="s">
        <v>16</v>
      </c>
      <c r="E2942" s="1">
        <v>3443</v>
      </c>
      <c r="F2942" s="1" t="s">
        <v>9727</v>
      </c>
      <c r="G2942" s="1" t="s">
        <v>9728</v>
      </c>
      <c r="H2942" s="1" t="s">
        <v>16</v>
      </c>
      <c r="I2942" s="1" t="s">
        <v>20</v>
      </c>
      <c r="J2942" s="1" t="s">
        <v>9729</v>
      </c>
      <c r="K2942" s="1" t="b">
        <v>0</v>
      </c>
      <c r="L2942" s="1" t="s">
        <v>22</v>
      </c>
      <c r="M2942" s="1" t="s">
        <v>16</v>
      </c>
      <c r="N2942" s="1" t="s">
        <v>16</v>
      </c>
      <c r="O2942" s="1" t="s">
        <v>16</v>
      </c>
      <c r="P2942" s="1" t="s">
        <v>16</v>
      </c>
    </row>
    <row r="2943" spans="1:17" ht="12.5" x14ac:dyDescent="0.25">
      <c r="A2943" s="1" t="s">
        <v>16</v>
      </c>
      <c r="B2943" s="1" t="s">
        <v>16</v>
      </c>
      <c r="C2943" s="1" t="s">
        <v>16</v>
      </c>
      <c r="D2943" s="1" t="s">
        <v>16</v>
      </c>
      <c r="E2943" s="1">
        <v>3444</v>
      </c>
      <c r="F2943" s="1" t="s">
        <v>9730</v>
      </c>
      <c r="G2943" s="1" t="s">
        <v>9731</v>
      </c>
      <c r="H2943" s="1" t="s">
        <v>16</v>
      </c>
      <c r="I2943" s="1" t="s">
        <v>20</v>
      </c>
      <c r="J2943" s="1" t="s">
        <v>9732</v>
      </c>
      <c r="K2943" s="1" t="b">
        <v>0</v>
      </c>
      <c r="L2943" s="1" t="s">
        <v>22</v>
      </c>
      <c r="M2943" s="1" t="s">
        <v>16</v>
      </c>
      <c r="N2943" s="1" t="s">
        <v>16</v>
      </c>
      <c r="O2943" s="1" t="s">
        <v>16</v>
      </c>
      <c r="P2943" s="1" t="s">
        <v>16</v>
      </c>
    </row>
    <row r="2944" spans="1:17" ht="12.5" x14ac:dyDescent="0.25">
      <c r="A2944" s="1" t="s">
        <v>16</v>
      </c>
      <c r="B2944" s="1" t="s">
        <v>16</v>
      </c>
      <c r="C2944" s="1" t="s">
        <v>16</v>
      </c>
      <c r="D2944" s="1" t="s">
        <v>16</v>
      </c>
      <c r="E2944" s="1">
        <v>3445</v>
      </c>
      <c r="F2944" s="1" t="s">
        <v>9733</v>
      </c>
      <c r="G2944" s="1" t="s">
        <v>9734</v>
      </c>
      <c r="H2944" s="1" t="s">
        <v>16</v>
      </c>
      <c r="I2944" s="1" t="s">
        <v>20</v>
      </c>
      <c r="J2944" s="1" t="s">
        <v>9735</v>
      </c>
      <c r="K2944" s="1" t="b">
        <v>0</v>
      </c>
      <c r="L2944" s="1" t="s">
        <v>22</v>
      </c>
      <c r="M2944" s="1" t="s">
        <v>16</v>
      </c>
      <c r="N2944" s="1" t="s">
        <v>16</v>
      </c>
      <c r="O2944" s="1" t="s">
        <v>16</v>
      </c>
      <c r="P2944" s="1" t="s">
        <v>16</v>
      </c>
    </row>
    <row r="2945" spans="1:19" ht="12.5" x14ac:dyDescent="0.25">
      <c r="A2945" s="1" t="s">
        <v>16</v>
      </c>
      <c r="B2945" s="1" t="s">
        <v>16</v>
      </c>
      <c r="C2945" s="1" t="s">
        <v>16</v>
      </c>
      <c r="D2945" s="1" t="s">
        <v>16</v>
      </c>
      <c r="E2945" s="1">
        <v>3446</v>
      </c>
      <c r="F2945" s="1" t="s">
        <v>9736</v>
      </c>
      <c r="G2945" s="1" t="s">
        <v>9737</v>
      </c>
      <c r="H2945" s="1" t="s">
        <v>16</v>
      </c>
      <c r="I2945" s="1" t="s">
        <v>20</v>
      </c>
      <c r="J2945" s="1" t="s">
        <v>9738</v>
      </c>
      <c r="K2945" s="1" t="b">
        <v>0</v>
      </c>
      <c r="L2945" s="1" t="s">
        <v>22</v>
      </c>
      <c r="M2945" s="1" t="s">
        <v>16</v>
      </c>
      <c r="N2945" s="1" t="s">
        <v>16</v>
      </c>
      <c r="O2945" s="1" t="s">
        <v>16</v>
      </c>
      <c r="P2945" s="1" t="s">
        <v>16</v>
      </c>
    </row>
    <row r="2946" spans="1:19" ht="12.5" x14ac:dyDescent="0.25">
      <c r="A2946" s="1" t="s">
        <v>16</v>
      </c>
      <c r="B2946" s="1" t="s">
        <v>16</v>
      </c>
      <c r="C2946" s="1" t="s">
        <v>16</v>
      </c>
      <c r="D2946" s="1" t="s">
        <v>16</v>
      </c>
      <c r="E2946" s="1">
        <v>3447</v>
      </c>
      <c r="F2946" s="1" t="s">
        <v>9739</v>
      </c>
      <c r="G2946" s="1" t="s">
        <v>9740</v>
      </c>
      <c r="H2946" s="1" t="s">
        <v>16</v>
      </c>
      <c r="I2946" s="1" t="s">
        <v>20</v>
      </c>
      <c r="J2946" s="1" t="s">
        <v>9741</v>
      </c>
      <c r="K2946" s="1" t="b">
        <v>0</v>
      </c>
      <c r="L2946" s="1" t="s">
        <v>22</v>
      </c>
      <c r="M2946" s="1" t="s">
        <v>16</v>
      </c>
      <c r="N2946" s="1" t="s">
        <v>16</v>
      </c>
      <c r="O2946" s="1" t="s">
        <v>16</v>
      </c>
      <c r="P2946" s="1" t="s">
        <v>16</v>
      </c>
    </row>
    <row r="2947" spans="1:19" ht="12.5" x14ac:dyDescent="0.25">
      <c r="A2947" s="1" t="s">
        <v>16</v>
      </c>
      <c r="B2947" s="1" t="s">
        <v>16</v>
      </c>
      <c r="C2947" s="1" t="s">
        <v>16</v>
      </c>
      <c r="D2947" s="1" t="s">
        <v>16</v>
      </c>
      <c r="E2947" s="1">
        <v>3448</v>
      </c>
      <c r="F2947" s="1" t="s">
        <v>9742</v>
      </c>
      <c r="G2947" s="1" t="s">
        <v>9743</v>
      </c>
      <c r="H2947" s="1" t="s">
        <v>16</v>
      </c>
      <c r="I2947" s="1" t="s">
        <v>20</v>
      </c>
      <c r="J2947" s="1" t="s">
        <v>9744</v>
      </c>
      <c r="K2947" s="1" t="b">
        <v>0</v>
      </c>
      <c r="L2947" s="1" t="s">
        <v>22</v>
      </c>
      <c r="M2947" s="1" t="s">
        <v>16</v>
      </c>
      <c r="N2947" s="1" t="s">
        <v>16</v>
      </c>
      <c r="O2947" s="1" t="s">
        <v>16</v>
      </c>
      <c r="P2947" s="1" t="s">
        <v>16</v>
      </c>
    </row>
    <row r="2948" spans="1:19" ht="12.5" x14ac:dyDescent="0.25">
      <c r="A2948" s="1" t="s">
        <v>16</v>
      </c>
      <c r="B2948" s="1" t="s">
        <v>16</v>
      </c>
      <c r="C2948" s="1" t="s">
        <v>16</v>
      </c>
      <c r="D2948" s="1" t="s">
        <v>16</v>
      </c>
      <c r="E2948" s="1">
        <v>3449</v>
      </c>
      <c r="F2948" s="1" t="s">
        <v>9745</v>
      </c>
      <c r="G2948" s="1" t="s">
        <v>9746</v>
      </c>
      <c r="H2948" s="1" t="s">
        <v>16</v>
      </c>
      <c r="I2948" s="1" t="s">
        <v>20</v>
      </c>
      <c r="J2948" s="1" t="s">
        <v>9747</v>
      </c>
      <c r="K2948" s="1" t="b">
        <v>0</v>
      </c>
      <c r="L2948" s="1" t="s">
        <v>22</v>
      </c>
      <c r="M2948" s="1" t="s">
        <v>16</v>
      </c>
      <c r="N2948" s="1" t="s">
        <v>16</v>
      </c>
      <c r="O2948" s="1" t="s">
        <v>16</v>
      </c>
      <c r="P2948" s="1" t="s">
        <v>16</v>
      </c>
    </row>
    <row r="2949" spans="1:19" ht="12.5" x14ac:dyDescent="0.25">
      <c r="A2949" s="1" t="s">
        <v>16</v>
      </c>
      <c r="B2949" s="1" t="s">
        <v>16</v>
      </c>
      <c r="C2949" s="1" t="s">
        <v>16</v>
      </c>
      <c r="D2949" s="1" t="s">
        <v>16</v>
      </c>
      <c r="E2949" s="1">
        <v>3450</v>
      </c>
      <c r="F2949" s="1" t="s">
        <v>9748</v>
      </c>
      <c r="G2949" s="1" t="s">
        <v>9749</v>
      </c>
      <c r="H2949" s="1" t="s">
        <v>16</v>
      </c>
      <c r="I2949" s="1" t="s">
        <v>20</v>
      </c>
      <c r="J2949" s="1" t="s">
        <v>9750</v>
      </c>
      <c r="K2949" s="1" t="b">
        <v>0</v>
      </c>
      <c r="L2949" s="1" t="s">
        <v>22</v>
      </c>
      <c r="M2949" s="1" t="s">
        <v>16</v>
      </c>
      <c r="N2949" s="1" t="s">
        <v>16</v>
      </c>
      <c r="O2949" s="1" t="s">
        <v>16</v>
      </c>
      <c r="P2949" s="1" t="s">
        <v>16</v>
      </c>
    </row>
    <row r="2950" spans="1:19" ht="12.5" x14ac:dyDescent="0.25">
      <c r="A2950" s="1">
        <v>148</v>
      </c>
      <c r="B2950" s="1" t="s">
        <v>738</v>
      </c>
      <c r="C2950" s="1" t="s">
        <v>15</v>
      </c>
      <c r="D2950" s="1" t="s">
        <v>15</v>
      </c>
      <c r="E2950" s="1">
        <v>3451</v>
      </c>
      <c r="F2950" s="1" t="s">
        <v>9751</v>
      </c>
      <c r="G2950" s="1" t="s">
        <v>9752</v>
      </c>
      <c r="H2950" s="1" t="s">
        <v>16</v>
      </c>
      <c r="I2950" s="1" t="s">
        <v>20</v>
      </c>
      <c r="J2950" s="1" t="s">
        <v>9753</v>
      </c>
      <c r="K2950" s="1" t="b">
        <v>0</v>
      </c>
      <c r="L2950" s="1" t="s">
        <v>22</v>
      </c>
      <c r="M2950" s="1" t="s">
        <v>16</v>
      </c>
      <c r="N2950" s="1" t="s">
        <v>16</v>
      </c>
      <c r="O2950" s="1" t="s">
        <v>16</v>
      </c>
      <c r="P2950" s="1" t="s">
        <v>16</v>
      </c>
      <c r="Q2950" s="1">
        <v>95</v>
      </c>
    </row>
    <row r="2951" spans="1:19" ht="12.5" x14ac:dyDescent="0.25">
      <c r="A2951" s="1">
        <v>2880</v>
      </c>
      <c r="B2951" s="1" t="s">
        <v>9754</v>
      </c>
      <c r="C2951" s="1" t="s">
        <v>38</v>
      </c>
      <c r="D2951" s="1" t="s">
        <v>39</v>
      </c>
      <c r="E2951" s="1">
        <v>3451</v>
      </c>
      <c r="F2951" s="1" t="s">
        <v>9751</v>
      </c>
      <c r="G2951" s="1" t="s">
        <v>9752</v>
      </c>
      <c r="H2951" s="1" t="s">
        <v>16</v>
      </c>
      <c r="I2951" s="1" t="s">
        <v>20</v>
      </c>
      <c r="J2951" s="1" t="s">
        <v>9753</v>
      </c>
      <c r="K2951" s="1" t="b">
        <v>0</v>
      </c>
      <c r="L2951" s="1" t="s">
        <v>22</v>
      </c>
      <c r="M2951" s="1" t="s">
        <v>16</v>
      </c>
      <c r="N2951" s="1" t="s">
        <v>16</v>
      </c>
      <c r="O2951" s="1" t="s">
        <v>16</v>
      </c>
      <c r="P2951" s="1" t="s">
        <v>16</v>
      </c>
      <c r="Q2951" s="1">
        <v>5</v>
      </c>
    </row>
    <row r="2952" spans="1:19" ht="12.5" x14ac:dyDescent="0.25">
      <c r="A2952" s="1" t="s">
        <v>16</v>
      </c>
      <c r="B2952" s="1" t="s">
        <v>16</v>
      </c>
      <c r="C2952" s="1" t="s">
        <v>16</v>
      </c>
      <c r="D2952" s="1" t="s">
        <v>16</v>
      </c>
      <c r="E2952" s="1">
        <v>3452</v>
      </c>
      <c r="F2952" s="1" t="s">
        <v>9755</v>
      </c>
      <c r="G2952" s="1" t="s">
        <v>9756</v>
      </c>
      <c r="H2952" s="1" t="s">
        <v>16</v>
      </c>
      <c r="I2952" s="1" t="s">
        <v>20</v>
      </c>
      <c r="J2952" s="1" t="s">
        <v>9757</v>
      </c>
      <c r="K2952" s="1" t="b">
        <v>0</v>
      </c>
      <c r="L2952" s="1" t="s">
        <v>22</v>
      </c>
      <c r="M2952" s="1" t="s">
        <v>16</v>
      </c>
      <c r="N2952" s="1" t="s">
        <v>16</v>
      </c>
      <c r="O2952" s="1" t="s">
        <v>16</v>
      </c>
      <c r="P2952" s="1" t="s">
        <v>16</v>
      </c>
    </row>
    <row r="2953" spans="1:19" ht="12.5" x14ac:dyDescent="0.25">
      <c r="A2953" s="1" t="s">
        <v>16</v>
      </c>
      <c r="B2953" s="1" t="s">
        <v>16</v>
      </c>
      <c r="C2953" s="1" t="s">
        <v>16</v>
      </c>
      <c r="D2953" s="1" t="s">
        <v>16</v>
      </c>
      <c r="E2953" s="1">
        <v>3453</v>
      </c>
      <c r="F2953" s="1" t="s">
        <v>9758</v>
      </c>
      <c r="G2953" s="1" t="s">
        <v>9759</v>
      </c>
      <c r="H2953" s="1" t="s">
        <v>16</v>
      </c>
      <c r="I2953" s="1" t="s">
        <v>20</v>
      </c>
      <c r="J2953" s="1" t="s">
        <v>9760</v>
      </c>
      <c r="K2953" s="1" t="b">
        <v>0</v>
      </c>
      <c r="L2953" s="1" t="s">
        <v>22</v>
      </c>
      <c r="M2953" s="1" t="s">
        <v>16</v>
      </c>
      <c r="N2953" s="1" t="s">
        <v>16</v>
      </c>
      <c r="O2953" s="1" t="s">
        <v>16</v>
      </c>
      <c r="P2953" s="1" t="s">
        <v>16</v>
      </c>
    </row>
    <row r="2954" spans="1:19" ht="12.5" x14ac:dyDescent="0.25">
      <c r="A2954" s="1" t="s">
        <v>16</v>
      </c>
      <c r="B2954" s="1" t="s">
        <v>16</v>
      </c>
      <c r="C2954" s="1" t="s">
        <v>16</v>
      </c>
      <c r="D2954" s="1" t="s">
        <v>16</v>
      </c>
      <c r="E2954" s="1">
        <v>3454</v>
      </c>
      <c r="F2954" s="1" t="s">
        <v>9761</v>
      </c>
      <c r="G2954" s="1" t="s">
        <v>9762</v>
      </c>
      <c r="H2954" s="1" t="s">
        <v>16</v>
      </c>
      <c r="I2954" s="1" t="s">
        <v>20</v>
      </c>
      <c r="J2954" s="1" t="s">
        <v>9763</v>
      </c>
      <c r="K2954" s="1" t="b">
        <v>0</v>
      </c>
      <c r="L2954" s="1" t="s">
        <v>22</v>
      </c>
      <c r="M2954" s="1" t="s">
        <v>16</v>
      </c>
      <c r="N2954" s="1" t="s">
        <v>16</v>
      </c>
      <c r="O2954" s="1" t="s">
        <v>16</v>
      </c>
      <c r="P2954" s="1" t="s">
        <v>16</v>
      </c>
    </row>
    <row r="2955" spans="1:19" ht="12.5" x14ac:dyDescent="0.25">
      <c r="A2955" s="1" t="s">
        <v>16</v>
      </c>
      <c r="B2955" s="1" t="s">
        <v>16</v>
      </c>
      <c r="C2955" s="1" t="s">
        <v>16</v>
      </c>
      <c r="D2955" s="1" t="s">
        <v>16</v>
      </c>
      <c r="E2955" s="1">
        <v>3455</v>
      </c>
      <c r="F2955" s="1" t="s">
        <v>9764</v>
      </c>
      <c r="G2955" s="1" t="s">
        <v>9765</v>
      </c>
      <c r="H2955" s="1" t="s">
        <v>16</v>
      </c>
      <c r="I2955" s="1" t="s">
        <v>20</v>
      </c>
      <c r="J2955" s="1" t="s">
        <v>9766</v>
      </c>
      <c r="K2955" s="1" t="b">
        <v>0</v>
      </c>
      <c r="L2955" s="1" t="s">
        <v>22</v>
      </c>
      <c r="M2955" s="1" t="s">
        <v>16</v>
      </c>
      <c r="N2955" s="1" t="s">
        <v>16</v>
      </c>
      <c r="O2955" s="1" t="s">
        <v>16</v>
      </c>
      <c r="P2955" s="1" t="s">
        <v>16</v>
      </c>
    </row>
    <row r="2956" spans="1:19" ht="12.5" x14ac:dyDescent="0.25">
      <c r="A2956" s="1" t="s">
        <v>16</v>
      </c>
      <c r="B2956" s="1" t="s">
        <v>16</v>
      </c>
      <c r="C2956" s="1" t="s">
        <v>16</v>
      </c>
      <c r="D2956" s="1" t="s">
        <v>16</v>
      </c>
      <c r="E2956" s="1">
        <v>3456</v>
      </c>
      <c r="F2956" s="1" t="s">
        <v>9767</v>
      </c>
      <c r="G2956" s="1" t="s">
        <v>9768</v>
      </c>
      <c r="H2956" s="1" t="s">
        <v>16</v>
      </c>
      <c r="I2956" s="1" t="s">
        <v>20</v>
      </c>
      <c r="J2956" s="1" t="s">
        <v>9769</v>
      </c>
      <c r="K2956" s="1" t="b">
        <v>0</v>
      </c>
      <c r="L2956" s="1" t="s">
        <v>22</v>
      </c>
      <c r="M2956" s="1" t="s">
        <v>16</v>
      </c>
      <c r="N2956" s="1" t="s">
        <v>16</v>
      </c>
      <c r="O2956" s="1" t="s">
        <v>16</v>
      </c>
      <c r="P2956" s="1" t="s">
        <v>16</v>
      </c>
    </row>
    <row r="2957" spans="1:19" ht="12.5" x14ac:dyDescent="0.25">
      <c r="A2957" s="1">
        <v>65</v>
      </c>
      <c r="B2957" s="1" t="s">
        <v>338</v>
      </c>
      <c r="C2957" s="1" t="s">
        <v>15</v>
      </c>
      <c r="D2957" s="1" t="s">
        <v>15</v>
      </c>
      <c r="E2957" s="1">
        <v>3457</v>
      </c>
      <c r="F2957" s="1" t="s">
        <v>9770</v>
      </c>
      <c r="G2957" s="1" t="s">
        <v>9771</v>
      </c>
      <c r="H2957" s="1" t="s">
        <v>16</v>
      </c>
      <c r="I2957" s="1" t="s">
        <v>20</v>
      </c>
      <c r="J2957" s="1" t="s">
        <v>9772</v>
      </c>
      <c r="K2957" s="1" t="b">
        <v>0</v>
      </c>
      <c r="L2957" s="1" t="s">
        <v>22</v>
      </c>
      <c r="M2957" s="1" t="s">
        <v>16</v>
      </c>
      <c r="N2957" s="1" t="s">
        <v>16</v>
      </c>
      <c r="O2957" s="1" t="s">
        <v>16</v>
      </c>
      <c r="P2957" s="1" t="s">
        <v>16</v>
      </c>
      <c r="Q2957" s="1">
        <v>75</v>
      </c>
    </row>
    <row r="2958" spans="1:19" ht="12.5" x14ac:dyDescent="0.25">
      <c r="A2958" s="1">
        <v>543</v>
      </c>
      <c r="B2958" s="1" t="s">
        <v>2231</v>
      </c>
      <c r="C2958" s="1" t="s">
        <v>35</v>
      </c>
      <c r="D2958" s="1" t="s">
        <v>36</v>
      </c>
      <c r="E2958" s="1">
        <v>3457</v>
      </c>
      <c r="F2958" s="1" t="s">
        <v>9770</v>
      </c>
      <c r="G2958" s="1" t="s">
        <v>9771</v>
      </c>
      <c r="H2958" s="1" t="s">
        <v>16</v>
      </c>
      <c r="I2958" s="1" t="s">
        <v>20</v>
      </c>
      <c r="J2958" s="1" t="s">
        <v>9772</v>
      </c>
      <c r="K2958" s="1" t="b">
        <v>0</v>
      </c>
      <c r="L2958" s="1" t="s">
        <v>22</v>
      </c>
      <c r="M2958" s="1" t="s">
        <v>16</v>
      </c>
      <c r="N2958" s="1" t="s">
        <v>16</v>
      </c>
      <c r="O2958" s="1" t="s">
        <v>16</v>
      </c>
      <c r="P2958" s="1" t="s">
        <v>16</v>
      </c>
      <c r="Q2958" s="1">
        <v>25</v>
      </c>
    </row>
    <row r="2959" spans="1:19" ht="12.5" x14ac:dyDescent="0.25">
      <c r="A2959" s="1" t="s">
        <v>16</v>
      </c>
      <c r="B2959" s="1" t="s">
        <v>16</v>
      </c>
      <c r="C2959" s="1" t="s">
        <v>16</v>
      </c>
      <c r="D2959" s="1" t="s">
        <v>16</v>
      </c>
      <c r="E2959" s="1">
        <v>3458</v>
      </c>
      <c r="F2959" s="1" t="s">
        <v>9773</v>
      </c>
      <c r="G2959" s="1" t="s">
        <v>9774</v>
      </c>
      <c r="H2959" s="1" t="s">
        <v>16</v>
      </c>
      <c r="I2959" s="1" t="s">
        <v>20</v>
      </c>
      <c r="J2959" s="1" t="s">
        <v>9775</v>
      </c>
      <c r="K2959" s="1" t="b">
        <v>0</v>
      </c>
      <c r="L2959" s="1" t="s">
        <v>22</v>
      </c>
      <c r="M2959" s="1" t="s">
        <v>16</v>
      </c>
      <c r="N2959" s="1" t="s">
        <v>16</v>
      </c>
      <c r="O2959" s="1" t="s">
        <v>16</v>
      </c>
      <c r="P2959" s="1" t="s">
        <v>16</v>
      </c>
    </row>
    <row r="2960" spans="1:19" ht="12.5" x14ac:dyDescent="0.25">
      <c r="A2960" s="1">
        <v>4706</v>
      </c>
      <c r="B2960" s="1" t="s">
        <v>9776</v>
      </c>
      <c r="C2960" s="1" t="s">
        <v>35</v>
      </c>
      <c r="D2960" s="1" t="s">
        <v>152</v>
      </c>
      <c r="E2960" s="1">
        <v>3459</v>
      </c>
      <c r="F2960" s="1" t="s">
        <v>9778</v>
      </c>
      <c r="G2960" s="1" t="s">
        <v>9779</v>
      </c>
      <c r="H2960" s="1" t="s">
        <v>9780</v>
      </c>
      <c r="I2960" s="1" t="s">
        <v>29</v>
      </c>
      <c r="J2960" s="1" t="s">
        <v>16</v>
      </c>
      <c r="K2960" s="1" t="b">
        <v>0</v>
      </c>
      <c r="L2960" s="1" t="s">
        <v>22</v>
      </c>
      <c r="M2960" s="1">
        <v>2023</v>
      </c>
      <c r="N2960" s="1" t="s">
        <v>32</v>
      </c>
      <c r="O2960" s="1" t="s">
        <v>9942</v>
      </c>
      <c r="P2960" s="1" t="s">
        <v>16</v>
      </c>
      <c r="Q2960" s="1">
        <v>100</v>
      </c>
      <c r="R2960" s="1">
        <v>50000</v>
      </c>
      <c r="S2960" s="1">
        <v>50000</v>
      </c>
    </row>
    <row r="2961" spans="1:19" ht="12.5" x14ac:dyDescent="0.25">
      <c r="A2961" s="1">
        <v>4706</v>
      </c>
      <c r="B2961" s="1" t="s">
        <v>9776</v>
      </c>
      <c r="C2961" s="1" t="s">
        <v>35</v>
      </c>
      <c r="D2961" s="1" t="s">
        <v>152</v>
      </c>
      <c r="E2961" s="1">
        <v>3459</v>
      </c>
      <c r="F2961" s="1" t="s">
        <v>9778</v>
      </c>
      <c r="G2961" s="1" t="s">
        <v>9779</v>
      </c>
      <c r="H2961" s="1" t="s">
        <v>9780</v>
      </c>
      <c r="I2961" s="1" t="s">
        <v>29</v>
      </c>
      <c r="J2961" s="1" t="s">
        <v>16</v>
      </c>
      <c r="K2961" s="1" t="b">
        <v>0</v>
      </c>
      <c r="L2961" s="1" t="s">
        <v>22</v>
      </c>
      <c r="M2961" s="1">
        <v>2023</v>
      </c>
      <c r="N2961" s="1" t="s">
        <v>32</v>
      </c>
      <c r="O2961" s="1" t="s">
        <v>9935</v>
      </c>
      <c r="P2961" s="1" t="s">
        <v>16</v>
      </c>
      <c r="Q2961" s="1">
        <v>100</v>
      </c>
      <c r="R2961" s="1">
        <v>100000</v>
      </c>
      <c r="S2961" s="1">
        <v>100000</v>
      </c>
    </row>
    <row r="2962" spans="1:19" ht="12.5" x14ac:dyDescent="0.25">
      <c r="A2962" s="1" t="s">
        <v>16</v>
      </c>
      <c r="B2962" s="1" t="s">
        <v>16</v>
      </c>
      <c r="C2962" s="1" t="s">
        <v>16</v>
      </c>
      <c r="D2962" s="1" t="s">
        <v>16</v>
      </c>
      <c r="E2962" s="1">
        <v>3460</v>
      </c>
      <c r="F2962" s="1" t="s">
        <v>9781</v>
      </c>
      <c r="G2962" s="1" t="s">
        <v>9782</v>
      </c>
      <c r="H2962" s="1" t="s">
        <v>16</v>
      </c>
      <c r="I2962" s="1" t="s">
        <v>20</v>
      </c>
      <c r="J2962" s="1" t="s">
        <v>9783</v>
      </c>
      <c r="K2962" s="1" t="b">
        <v>0</v>
      </c>
      <c r="L2962" s="1" t="s">
        <v>22</v>
      </c>
      <c r="M2962" s="1" t="s">
        <v>16</v>
      </c>
      <c r="N2962" s="1" t="s">
        <v>16</v>
      </c>
      <c r="O2962" s="1" t="s">
        <v>16</v>
      </c>
      <c r="P2962" s="1" t="s">
        <v>16</v>
      </c>
    </row>
    <row r="2963" spans="1:19" ht="12.5" x14ac:dyDescent="0.25">
      <c r="A2963" s="1" t="s">
        <v>16</v>
      </c>
      <c r="B2963" s="1" t="s">
        <v>16</v>
      </c>
      <c r="C2963" s="1" t="s">
        <v>16</v>
      </c>
      <c r="D2963" s="1" t="s">
        <v>16</v>
      </c>
      <c r="E2963" s="1">
        <v>3461</v>
      </c>
      <c r="F2963" s="1" t="s">
        <v>9784</v>
      </c>
      <c r="G2963" s="1" t="s">
        <v>9785</v>
      </c>
      <c r="H2963" s="1" t="s">
        <v>16</v>
      </c>
      <c r="I2963" s="1" t="s">
        <v>20</v>
      </c>
      <c r="J2963" s="1" t="s">
        <v>9786</v>
      </c>
      <c r="K2963" s="1" t="b">
        <v>0</v>
      </c>
      <c r="L2963" s="1" t="s">
        <v>22</v>
      </c>
      <c r="M2963" s="1" t="s">
        <v>16</v>
      </c>
      <c r="N2963" s="1" t="s">
        <v>16</v>
      </c>
      <c r="O2963" s="1" t="s">
        <v>16</v>
      </c>
      <c r="P2963" s="1" t="s">
        <v>16</v>
      </c>
    </row>
    <row r="2964" spans="1:19" ht="12.5" x14ac:dyDescent="0.25">
      <c r="A2964" s="1" t="s">
        <v>16</v>
      </c>
      <c r="B2964" s="1" t="s">
        <v>16</v>
      </c>
      <c r="C2964" s="1" t="s">
        <v>16</v>
      </c>
      <c r="D2964" s="1" t="s">
        <v>16</v>
      </c>
      <c r="E2964" s="1">
        <v>3462</v>
      </c>
      <c r="F2964" s="1" t="s">
        <v>9787</v>
      </c>
      <c r="G2964" s="1" t="s">
        <v>9788</v>
      </c>
      <c r="H2964" s="1" t="s">
        <v>16</v>
      </c>
      <c r="I2964" s="1" t="s">
        <v>20</v>
      </c>
      <c r="J2964" s="1" t="s">
        <v>9789</v>
      </c>
      <c r="K2964" s="1" t="b">
        <v>0</v>
      </c>
      <c r="L2964" s="1" t="s">
        <v>22</v>
      </c>
      <c r="M2964" s="1" t="s">
        <v>16</v>
      </c>
      <c r="N2964" s="1" t="s">
        <v>16</v>
      </c>
      <c r="O2964" s="1" t="s">
        <v>16</v>
      </c>
      <c r="P2964" s="1" t="s">
        <v>16</v>
      </c>
    </row>
    <row r="2965" spans="1:19" ht="12.5" x14ac:dyDescent="0.25">
      <c r="A2965" s="1" t="s">
        <v>16</v>
      </c>
      <c r="B2965" s="1" t="s">
        <v>16</v>
      </c>
      <c r="C2965" s="1" t="s">
        <v>16</v>
      </c>
      <c r="D2965" s="1" t="s">
        <v>16</v>
      </c>
      <c r="E2965" s="1">
        <v>3463</v>
      </c>
      <c r="F2965" s="1" t="s">
        <v>9790</v>
      </c>
      <c r="G2965" s="1" t="s">
        <v>9791</v>
      </c>
      <c r="H2965" s="1" t="s">
        <v>16</v>
      </c>
      <c r="I2965" s="1" t="s">
        <v>20</v>
      </c>
      <c r="J2965" s="1" t="s">
        <v>9792</v>
      </c>
      <c r="K2965" s="1" t="b">
        <v>0</v>
      </c>
      <c r="L2965" s="1" t="s">
        <v>22</v>
      </c>
      <c r="M2965" s="1" t="s">
        <v>16</v>
      </c>
      <c r="N2965" s="1" t="s">
        <v>16</v>
      </c>
      <c r="O2965" s="1" t="s">
        <v>16</v>
      </c>
      <c r="P2965" s="1" t="s">
        <v>16</v>
      </c>
    </row>
    <row r="2966" spans="1:19" ht="12.5" x14ac:dyDescent="0.25">
      <c r="A2966" s="1" t="s">
        <v>16</v>
      </c>
      <c r="B2966" s="1" t="s">
        <v>16</v>
      </c>
      <c r="C2966" s="1" t="s">
        <v>16</v>
      </c>
      <c r="D2966" s="1" t="s">
        <v>16</v>
      </c>
      <c r="E2966" s="1">
        <v>3464</v>
      </c>
      <c r="F2966" s="1" t="s">
        <v>9793</v>
      </c>
      <c r="G2966" s="1" t="s">
        <v>9794</v>
      </c>
      <c r="H2966" s="1" t="s">
        <v>16</v>
      </c>
      <c r="I2966" s="1" t="s">
        <v>20</v>
      </c>
      <c r="J2966" s="1" t="s">
        <v>9795</v>
      </c>
      <c r="K2966" s="1" t="b">
        <v>0</v>
      </c>
      <c r="L2966" s="1" t="s">
        <v>22</v>
      </c>
      <c r="M2966" s="1" t="s">
        <v>16</v>
      </c>
      <c r="N2966" s="1" t="s">
        <v>16</v>
      </c>
      <c r="O2966" s="1" t="s">
        <v>16</v>
      </c>
      <c r="P2966" s="1" t="s">
        <v>16</v>
      </c>
    </row>
    <row r="2967" spans="1:19" ht="12.5" x14ac:dyDescent="0.25">
      <c r="A2967" s="1" t="s">
        <v>16</v>
      </c>
      <c r="B2967" s="1" t="s">
        <v>16</v>
      </c>
      <c r="C2967" s="1" t="s">
        <v>16</v>
      </c>
      <c r="D2967" s="1" t="s">
        <v>16</v>
      </c>
      <c r="E2967" s="1">
        <v>3465</v>
      </c>
      <c r="F2967" s="1" t="s">
        <v>9796</v>
      </c>
      <c r="G2967" s="1" t="s">
        <v>9797</v>
      </c>
      <c r="H2967" s="1" t="s">
        <v>16</v>
      </c>
      <c r="I2967" s="1" t="s">
        <v>20</v>
      </c>
      <c r="J2967" s="1" t="s">
        <v>9798</v>
      </c>
      <c r="K2967" s="1" t="b">
        <v>0</v>
      </c>
      <c r="L2967" s="1" t="s">
        <v>22</v>
      </c>
      <c r="M2967" s="1" t="s">
        <v>16</v>
      </c>
      <c r="N2967" s="1" t="s">
        <v>16</v>
      </c>
      <c r="O2967" s="1" t="s">
        <v>16</v>
      </c>
      <c r="P2967" s="1" t="s">
        <v>16</v>
      </c>
    </row>
    <row r="2968" spans="1:19" ht="12.5" x14ac:dyDescent="0.25">
      <c r="A2968" s="1">
        <v>172</v>
      </c>
      <c r="B2968" s="1" t="s">
        <v>9799</v>
      </c>
      <c r="C2968" s="1" t="s">
        <v>15</v>
      </c>
      <c r="D2968" s="1" t="s">
        <v>15</v>
      </c>
      <c r="E2968" s="1">
        <v>3466</v>
      </c>
      <c r="F2968" s="1" t="s">
        <v>9800</v>
      </c>
      <c r="G2968" s="1" t="s">
        <v>856</v>
      </c>
      <c r="H2968" s="1" t="s">
        <v>16</v>
      </c>
      <c r="I2968" s="1" t="s">
        <v>20</v>
      </c>
      <c r="J2968" s="1" t="s">
        <v>857</v>
      </c>
      <c r="K2968" s="1" t="b">
        <v>0</v>
      </c>
      <c r="L2968" s="1" t="s">
        <v>22</v>
      </c>
      <c r="M2968" s="1" t="s">
        <v>16</v>
      </c>
      <c r="N2968" s="1" t="s">
        <v>16</v>
      </c>
      <c r="O2968" s="1" t="s">
        <v>16</v>
      </c>
      <c r="P2968" s="1" t="s">
        <v>16</v>
      </c>
      <c r="Q2968" s="1">
        <v>50</v>
      </c>
    </row>
    <row r="2969" spans="1:19" ht="12.5" x14ac:dyDescent="0.25">
      <c r="A2969" s="1">
        <v>331</v>
      </c>
      <c r="B2969" s="1" t="s">
        <v>9801</v>
      </c>
      <c r="C2969" s="1" t="s">
        <v>35</v>
      </c>
      <c r="D2969" s="1" t="s">
        <v>36</v>
      </c>
      <c r="E2969" s="1">
        <v>3467</v>
      </c>
      <c r="F2969" s="1" t="s">
        <v>9802</v>
      </c>
      <c r="G2969" s="1" t="s">
        <v>9803</v>
      </c>
      <c r="H2969" s="1" t="s">
        <v>16</v>
      </c>
      <c r="I2969" s="1" t="s">
        <v>20</v>
      </c>
      <c r="J2969" s="1" t="s">
        <v>9804</v>
      </c>
      <c r="K2969" s="1" t="b">
        <v>0</v>
      </c>
      <c r="L2969" s="1" t="s">
        <v>22</v>
      </c>
      <c r="M2969" s="1" t="s">
        <v>16</v>
      </c>
      <c r="N2969" s="1" t="s">
        <v>16</v>
      </c>
      <c r="O2969" s="1" t="s">
        <v>16</v>
      </c>
      <c r="P2969" s="1" t="s">
        <v>16</v>
      </c>
      <c r="Q2969" s="1">
        <v>5</v>
      </c>
    </row>
    <row r="2970" spans="1:19" ht="12.5" x14ac:dyDescent="0.25">
      <c r="A2970" s="1">
        <v>744</v>
      </c>
      <c r="B2970" s="1" t="s">
        <v>9805</v>
      </c>
      <c r="C2970" s="1" t="s">
        <v>35</v>
      </c>
      <c r="D2970" s="1" t="s">
        <v>36</v>
      </c>
      <c r="E2970" s="1">
        <v>3467</v>
      </c>
      <c r="F2970" s="1" t="s">
        <v>9802</v>
      </c>
      <c r="G2970" s="1" t="s">
        <v>9803</v>
      </c>
      <c r="H2970" s="1" t="s">
        <v>16</v>
      </c>
      <c r="I2970" s="1" t="s">
        <v>20</v>
      </c>
      <c r="J2970" s="1" t="s">
        <v>9804</v>
      </c>
      <c r="K2970" s="1" t="b">
        <v>0</v>
      </c>
      <c r="L2970" s="1" t="s">
        <v>22</v>
      </c>
      <c r="M2970" s="1" t="s">
        <v>16</v>
      </c>
      <c r="N2970" s="1" t="s">
        <v>16</v>
      </c>
      <c r="O2970" s="1" t="s">
        <v>16</v>
      </c>
      <c r="P2970" s="1" t="s">
        <v>16</v>
      </c>
      <c r="Q2970" s="1">
        <v>5</v>
      </c>
    </row>
    <row r="2971" spans="1:19" ht="12.5" x14ac:dyDescent="0.25">
      <c r="A2971" s="1" t="s">
        <v>16</v>
      </c>
      <c r="B2971" s="1" t="s">
        <v>16</v>
      </c>
      <c r="C2971" s="1" t="s">
        <v>16</v>
      </c>
      <c r="D2971" s="1" t="s">
        <v>16</v>
      </c>
      <c r="E2971" s="1">
        <v>3468</v>
      </c>
      <c r="F2971" s="1" t="s">
        <v>9806</v>
      </c>
      <c r="G2971" s="1" t="s">
        <v>9807</v>
      </c>
      <c r="H2971" s="1" t="s">
        <v>9807</v>
      </c>
      <c r="I2971" s="1" t="s">
        <v>29</v>
      </c>
      <c r="J2971" s="1" t="s">
        <v>16</v>
      </c>
      <c r="K2971" s="1" t="b">
        <v>0</v>
      </c>
      <c r="L2971" s="1" t="s">
        <v>22</v>
      </c>
      <c r="M2971" s="1" t="s">
        <v>16</v>
      </c>
      <c r="N2971" s="1" t="s">
        <v>16</v>
      </c>
      <c r="O2971" s="1" t="s">
        <v>16</v>
      </c>
      <c r="P2971" s="1" t="s">
        <v>16</v>
      </c>
    </row>
    <row r="2972" spans="1:19" ht="12.5" x14ac:dyDescent="0.25">
      <c r="A2972" s="1" t="s">
        <v>16</v>
      </c>
      <c r="B2972" s="1" t="s">
        <v>16</v>
      </c>
      <c r="C2972" s="1" t="s">
        <v>16</v>
      </c>
      <c r="D2972" s="1" t="s">
        <v>16</v>
      </c>
      <c r="E2972" s="1">
        <v>3469</v>
      </c>
      <c r="F2972" s="1" t="s">
        <v>9808</v>
      </c>
      <c r="G2972" s="1" t="s">
        <v>9809</v>
      </c>
      <c r="H2972" s="1" t="s">
        <v>16</v>
      </c>
      <c r="I2972" s="1" t="s">
        <v>20</v>
      </c>
      <c r="J2972" s="1" t="s">
        <v>9810</v>
      </c>
      <c r="K2972" s="1" t="b">
        <v>0</v>
      </c>
      <c r="L2972" s="1" t="s">
        <v>22</v>
      </c>
      <c r="M2972" s="1" t="s">
        <v>16</v>
      </c>
      <c r="N2972" s="1" t="s">
        <v>16</v>
      </c>
      <c r="O2972" s="1" t="s">
        <v>16</v>
      </c>
      <c r="P2972" s="1" t="s">
        <v>16</v>
      </c>
    </row>
    <row r="2973" spans="1:19" ht="12.5" x14ac:dyDescent="0.25">
      <c r="A2973" s="1">
        <v>4576</v>
      </c>
      <c r="B2973" s="1" t="s">
        <v>9811</v>
      </c>
      <c r="C2973" s="1" t="s">
        <v>35</v>
      </c>
      <c r="D2973" s="1" t="s">
        <v>36</v>
      </c>
      <c r="E2973" s="1">
        <v>3470</v>
      </c>
      <c r="F2973" s="1" t="s">
        <v>9812</v>
      </c>
      <c r="G2973" s="1" t="s">
        <v>9813</v>
      </c>
      <c r="H2973" s="1" t="s">
        <v>16</v>
      </c>
      <c r="I2973" s="1" t="s">
        <v>29</v>
      </c>
      <c r="J2973" s="1" t="s">
        <v>16</v>
      </c>
      <c r="K2973" s="1" t="b">
        <v>0</v>
      </c>
      <c r="L2973" s="1" t="s">
        <v>22</v>
      </c>
      <c r="M2973" s="1" t="s">
        <v>16</v>
      </c>
      <c r="N2973" s="1" t="s">
        <v>16</v>
      </c>
      <c r="O2973" s="1" t="s">
        <v>16</v>
      </c>
      <c r="P2973" s="1" t="s">
        <v>16</v>
      </c>
      <c r="Q2973" s="1">
        <v>100</v>
      </c>
    </row>
    <row r="2974" spans="1:19" ht="12.5" x14ac:dyDescent="0.25">
      <c r="A2974" s="1">
        <v>4552</v>
      </c>
      <c r="B2974" s="1" t="s">
        <v>9671</v>
      </c>
      <c r="C2974" s="1" t="s">
        <v>35</v>
      </c>
      <c r="D2974" s="1" t="s">
        <v>36</v>
      </c>
      <c r="E2974" s="1">
        <v>3471</v>
      </c>
      <c r="F2974" s="1" t="s">
        <v>9814</v>
      </c>
      <c r="G2974" s="1" t="s">
        <v>9815</v>
      </c>
      <c r="H2974" s="1" t="s">
        <v>16</v>
      </c>
      <c r="I2974" s="1" t="s">
        <v>29</v>
      </c>
      <c r="J2974" s="1" t="s">
        <v>16</v>
      </c>
      <c r="K2974" s="1" t="b">
        <v>0</v>
      </c>
      <c r="L2974" s="1" t="s">
        <v>22</v>
      </c>
      <c r="M2974" s="1" t="s">
        <v>16</v>
      </c>
      <c r="N2974" s="1" t="s">
        <v>16</v>
      </c>
      <c r="O2974" s="1" t="s">
        <v>16</v>
      </c>
      <c r="P2974" s="1" t="s">
        <v>16</v>
      </c>
      <c r="Q2974" s="1">
        <v>100</v>
      </c>
    </row>
    <row r="2975" spans="1:19" ht="12.5" x14ac:dyDescent="0.25">
      <c r="A2975" s="1">
        <v>4542</v>
      </c>
      <c r="B2975" s="1" t="s">
        <v>9816</v>
      </c>
      <c r="C2975" s="1" t="s">
        <v>35</v>
      </c>
      <c r="D2975" s="1" t="s">
        <v>36</v>
      </c>
      <c r="E2975" s="1">
        <v>3472</v>
      </c>
      <c r="F2975" s="1" t="s">
        <v>9817</v>
      </c>
      <c r="G2975" s="1" t="s">
        <v>9818</v>
      </c>
      <c r="H2975" s="1" t="s">
        <v>9819</v>
      </c>
      <c r="I2975" s="1" t="s">
        <v>29</v>
      </c>
      <c r="J2975" s="1" t="s">
        <v>16</v>
      </c>
      <c r="K2975" s="1" t="b">
        <v>0</v>
      </c>
      <c r="L2975" s="1" t="s">
        <v>22</v>
      </c>
      <c r="M2975" s="1" t="s">
        <v>16</v>
      </c>
      <c r="N2975" s="1" t="s">
        <v>16</v>
      </c>
      <c r="O2975" s="1" t="s">
        <v>16</v>
      </c>
      <c r="P2975" s="1" t="s">
        <v>16</v>
      </c>
      <c r="Q2975" s="1">
        <v>100</v>
      </c>
    </row>
    <row r="2976" spans="1:19" ht="12.5" x14ac:dyDescent="0.25">
      <c r="A2976" s="1" t="s">
        <v>16</v>
      </c>
      <c r="B2976" s="1" t="s">
        <v>16</v>
      </c>
      <c r="C2976" s="1" t="s">
        <v>16</v>
      </c>
      <c r="D2976" s="1" t="s">
        <v>16</v>
      </c>
      <c r="E2976" s="1">
        <v>3473</v>
      </c>
      <c r="F2976" s="1" t="s">
        <v>9820</v>
      </c>
      <c r="G2976" s="1" t="s">
        <v>9821</v>
      </c>
      <c r="H2976" s="1" t="s">
        <v>16</v>
      </c>
      <c r="I2976" s="1" t="s">
        <v>20</v>
      </c>
      <c r="J2976" s="1" t="s">
        <v>9822</v>
      </c>
      <c r="K2976" s="1" t="b">
        <v>0</v>
      </c>
      <c r="L2976" s="1" t="s">
        <v>22</v>
      </c>
      <c r="M2976" s="1" t="s">
        <v>16</v>
      </c>
      <c r="N2976" s="1" t="s">
        <v>16</v>
      </c>
      <c r="O2976" s="1" t="s">
        <v>16</v>
      </c>
      <c r="P2976" s="1" t="s">
        <v>16</v>
      </c>
    </row>
    <row r="2977" spans="1:17" ht="12.5" x14ac:dyDescent="0.25">
      <c r="A2977" s="1" t="s">
        <v>16</v>
      </c>
      <c r="B2977" s="1" t="s">
        <v>16</v>
      </c>
      <c r="C2977" s="1" t="s">
        <v>16</v>
      </c>
      <c r="D2977" s="1" t="s">
        <v>16</v>
      </c>
      <c r="E2977" s="1">
        <v>3474</v>
      </c>
      <c r="F2977" s="1" t="s">
        <v>9823</v>
      </c>
      <c r="G2977" s="1" t="s">
        <v>9824</v>
      </c>
      <c r="H2977" s="1" t="s">
        <v>16</v>
      </c>
      <c r="I2977" s="1" t="s">
        <v>20</v>
      </c>
      <c r="J2977" s="1" t="s">
        <v>9825</v>
      </c>
      <c r="K2977" s="1" t="b">
        <v>0</v>
      </c>
      <c r="L2977" s="1" t="s">
        <v>22</v>
      </c>
      <c r="M2977" s="1" t="s">
        <v>16</v>
      </c>
      <c r="N2977" s="1" t="s">
        <v>16</v>
      </c>
      <c r="O2977" s="1" t="s">
        <v>16</v>
      </c>
      <c r="P2977" s="1" t="s">
        <v>16</v>
      </c>
    </row>
    <row r="2978" spans="1:17" ht="12.5" x14ac:dyDescent="0.25">
      <c r="A2978" s="1">
        <v>777</v>
      </c>
      <c r="B2978" s="1" t="s">
        <v>9826</v>
      </c>
      <c r="C2978" s="1" t="s">
        <v>35</v>
      </c>
      <c r="D2978" s="1" t="s">
        <v>36</v>
      </c>
      <c r="E2978" s="1">
        <v>3475</v>
      </c>
      <c r="F2978" s="1" t="s">
        <v>9827</v>
      </c>
      <c r="G2978" s="1" t="s">
        <v>9828</v>
      </c>
      <c r="H2978" s="1" t="s">
        <v>16</v>
      </c>
      <c r="I2978" s="1" t="s">
        <v>29</v>
      </c>
      <c r="J2978" s="1" t="s">
        <v>16</v>
      </c>
      <c r="K2978" s="1" t="b">
        <v>0</v>
      </c>
      <c r="L2978" s="1" t="s">
        <v>22</v>
      </c>
      <c r="M2978" s="1" t="s">
        <v>16</v>
      </c>
      <c r="N2978" s="1" t="s">
        <v>16</v>
      </c>
      <c r="O2978" s="1" t="s">
        <v>16</v>
      </c>
      <c r="P2978" s="1" t="s">
        <v>16</v>
      </c>
      <c r="Q2978" s="1">
        <v>100</v>
      </c>
    </row>
    <row r="2979" spans="1:17" ht="12.5" x14ac:dyDescent="0.25">
      <c r="A2979" s="1" t="s">
        <v>16</v>
      </c>
      <c r="B2979" s="1" t="s">
        <v>16</v>
      </c>
      <c r="C2979" s="1" t="s">
        <v>16</v>
      </c>
      <c r="D2979" s="1" t="s">
        <v>16</v>
      </c>
      <c r="E2979" s="1">
        <v>3476</v>
      </c>
      <c r="F2979" s="1" t="s">
        <v>9829</v>
      </c>
      <c r="G2979" s="1" t="s">
        <v>9830</v>
      </c>
      <c r="H2979" s="1" t="s">
        <v>16</v>
      </c>
      <c r="I2979" s="1" t="s">
        <v>20</v>
      </c>
      <c r="J2979" s="1" t="s">
        <v>9831</v>
      </c>
      <c r="K2979" s="1" t="b">
        <v>0</v>
      </c>
      <c r="L2979" s="1" t="s">
        <v>22</v>
      </c>
      <c r="M2979" s="1" t="s">
        <v>16</v>
      </c>
      <c r="N2979" s="1" t="s">
        <v>16</v>
      </c>
      <c r="O2979" s="1" t="s">
        <v>16</v>
      </c>
      <c r="P2979" s="1" t="s">
        <v>16</v>
      </c>
    </row>
    <row r="2980" spans="1:17" ht="12.5" x14ac:dyDescent="0.25">
      <c r="A2980" s="1" t="s">
        <v>16</v>
      </c>
      <c r="B2980" s="1" t="s">
        <v>16</v>
      </c>
      <c r="C2980" s="1" t="s">
        <v>16</v>
      </c>
      <c r="D2980" s="1" t="s">
        <v>16</v>
      </c>
      <c r="E2980" s="1">
        <v>3477</v>
      </c>
      <c r="F2980" s="1" t="s">
        <v>9832</v>
      </c>
      <c r="G2980" s="1" t="s">
        <v>9833</v>
      </c>
      <c r="H2980" s="1" t="s">
        <v>16</v>
      </c>
      <c r="I2980" s="1" t="s">
        <v>20</v>
      </c>
      <c r="J2980" s="1" t="s">
        <v>9834</v>
      </c>
      <c r="K2980" s="1" t="b">
        <v>0</v>
      </c>
      <c r="L2980" s="1" t="s">
        <v>22</v>
      </c>
      <c r="M2980" s="1" t="s">
        <v>16</v>
      </c>
      <c r="N2980" s="1" t="s">
        <v>16</v>
      </c>
      <c r="O2980" s="1" t="s">
        <v>16</v>
      </c>
      <c r="P2980" s="1" t="s">
        <v>16</v>
      </c>
    </row>
    <row r="2981" spans="1:17" ht="12.5" x14ac:dyDescent="0.25">
      <c r="A2981" s="1" t="s">
        <v>16</v>
      </c>
      <c r="B2981" s="1" t="s">
        <v>16</v>
      </c>
      <c r="C2981" s="1" t="s">
        <v>16</v>
      </c>
      <c r="D2981" s="1" t="s">
        <v>16</v>
      </c>
      <c r="E2981" s="1">
        <v>3478</v>
      </c>
      <c r="F2981" s="1" t="s">
        <v>9835</v>
      </c>
      <c r="G2981" s="1" t="s">
        <v>9836</v>
      </c>
      <c r="H2981" s="1" t="s">
        <v>16</v>
      </c>
      <c r="I2981" s="1" t="s">
        <v>20</v>
      </c>
      <c r="J2981" s="1" t="s">
        <v>9837</v>
      </c>
      <c r="K2981" s="1" t="b">
        <v>0</v>
      </c>
      <c r="L2981" s="1" t="s">
        <v>22</v>
      </c>
      <c r="M2981" s="1" t="s">
        <v>16</v>
      </c>
      <c r="N2981" s="1" t="s">
        <v>16</v>
      </c>
      <c r="O2981" s="1" t="s">
        <v>16</v>
      </c>
      <c r="P2981" s="1" t="s">
        <v>16</v>
      </c>
    </row>
    <row r="2982" spans="1:17" ht="12.5" x14ac:dyDescent="0.25">
      <c r="A2982" s="1" t="s">
        <v>16</v>
      </c>
      <c r="B2982" s="1" t="s">
        <v>16</v>
      </c>
      <c r="C2982" s="1" t="s">
        <v>16</v>
      </c>
      <c r="D2982" s="1" t="s">
        <v>16</v>
      </c>
      <c r="E2982" s="1">
        <v>3479</v>
      </c>
      <c r="F2982" s="1" t="s">
        <v>9838</v>
      </c>
      <c r="G2982" s="1" t="s">
        <v>9839</v>
      </c>
      <c r="H2982" s="1" t="s">
        <v>16</v>
      </c>
      <c r="I2982" s="1" t="s">
        <v>20</v>
      </c>
      <c r="J2982" s="1" t="s">
        <v>9840</v>
      </c>
      <c r="K2982" s="1" t="b">
        <v>0</v>
      </c>
      <c r="L2982" s="1" t="s">
        <v>22</v>
      </c>
      <c r="M2982" s="1" t="s">
        <v>16</v>
      </c>
      <c r="N2982" s="1" t="s">
        <v>16</v>
      </c>
      <c r="O2982" s="1" t="s">
        <v>16</v>
      </c>
      <c r="P2982" s="1" t="s">
        <v>16</v>
      </c>
    </row>
    <row r="2983" spans="1:17" ht="12.5" x14ac:dyDescent="0.25">
      <c r="A2983" s="1" t="s">
        <v>16</v>
      </c>
      <c r="B2983" s="1" t="s">
        <v>16</v>
      </c>
      <c r="C2983" s="1" t="s">
        <v>16</v>
      </c>
      <c r="D2983" s="1" t="s">
        <v>16</v>
      </c>
      <c r="E2983" s="1">
        <v>3480</v>
      </c>
      <c r="F2983" s="1" t="s">
        <v>9841</v>
      </c>
      <c r="G2983" s="1" t="s">
        <v>9842</v>
      </c>
      <c r="H2983" s="1" t="s">
        <v>16</v>
      </c>
      <c r="I2983" s="1" t="s">
        <v>20</v>
      </c>
      <c r="J2983" s="1" t="s">
        <v>9843</v>
      </c>
      <c r="K2983" s="1" t="b">
        <v>0</v>
      </c>
      <c r="L2983" s="1" t="s">
        <v>22</v>
      </c>
      <c r="M2983" s="1" t="s">
        <v>16</v>
      </c>
      <c r="N2983" s="1" t="s">
        <v>16</v>
      </c>
      <c r="O2983" s="1" t="s">
        <v>16</v>
      </c>
      <c r="P2983" s="1" t="s">
        <v>16</v>
      </c>
    </row>
    <row r="2984" spans="1:17" ht="12.5" x14ac:dyDescent="0.25">
      <c r="A2984" s="1">
        <v>4249</v>
      </c>
      <c r="B2984" s="1" t="s">
        <v>9844</v>
      </c>
      <c r="C2984" s="1" t="s">
        <v>38</v>
      </c>
      <c r="D2984" s="1" t="s">
        <v>39</v>
      </c>
      <c r="E2984" s="1">
        <v>3481</v>
      </c>
      <c r="F2984" s="1" t="s">
        <v>9845</v>
      </c>
      <c r="G2984" s="1" t="s">
        <v>9846</v>
      </c>
      <c r="H2984" s="1" t="s">
        <v>16</v>
      </c>
      <c r="I2984" s="1" t="s">
        <v>20</v>
      </c>
      <c r="J2984" s="1" t="s">
        <v>9847</v>
      </c>
      <c r="K2984" s="1" t="b">
        <v>0</v>
      </c>
      <c r="L2984" s="1" t="s">
        <v>22</v>
      </c>
      <c r="M2984" s="1" t="s">
        <v>16</v>
      </c>
      <c r="N2984" s="1" t="s">
        <v>16</v>
      </c>
      <c r="O2984" s="1" t="s">
        <v>16</v>
      </c>
      <c r="P2984" s="1" t="s">
        <v>16</v>
      </c>
      <c r="Q2984" s="1">
        <v>0</v>
      </c>
    </row>
    <row r="2985" spans="1:17" ht="12.5" x14ac:dyDescent="0.25">
      <c r="A2985" s="1">
        <v>4218</v>
      </c>
      <c r="B2985" s="1" t="s">
        <v>9848</v>
      </c>
      <c r="C2985" s="1" t="s">
        <v>38</v>
      </c>
      <c r="D2985" s="1" t="s">
        <v>39</v>
      </c>
      <c r="E2985" s="1">
        <v>3482</v>
      </c>
      <c r="F2985" s="1" t="s">
        <v>9849</v>
      </c>
      <c r="G2985" s="1" t="s">
        <v>9850</v>
      </c>
      <c r="H2985" s="1" t="s">
        <v>16</v>
      </c>
      <c r="I2985" s="1" t="s">
        <v>20</v>
      </c>
      <c r="J2985" s="1" t="s">
        <v>9851</v>
      </c>
      <c r="K2985" s="1" t="b">
        <v>0</v>
      </c>
      <c r="L2985" s="1" t="s">
        <v>22</v>
      </c>
      <c r="M2985" s="1" t="s">
        <v>16</v>
      </c>
      <c r="N2985" s="1" t="s">
        <v>16</v>
      </c>
      <c r="O2985" s="1" t="s">
        <v>16</v>
      </c>
      <c r="P2985" s="1" t="s">
        <v>16</v>
      </c>
      <c r="Q2985" s="1">
        <v>0</v>
      </c>
    </row>
    <row r="2986" spans="1:17" ht="12.5" x14ac:dyDescent="0.25">
      <c r="A2986" s="1">
        <v>750</v>
      </c>
      <c r="B2986" s="1" t="s">
        <v>9852</v>
      </c>
      <c r="C2986" s="1" t="s">
        <v>35</v>
      </c>
      <c r="D2986" s="1" t="s">
        <v>36</v>
      </c>
      <c r="E2986" s="1">
        <v>3483</v>
      </c>
      <c r="F2986" s="1" t="s">
        <v>9853</v>
      </c>
      <c r="G2986" s="1" t="s">
        <v>9854</v>
      </c>
      <c r="H2986" s="1" t="s">
        <v>16</v>
      </c>
      <c r="I2986" s="1" t="s">
        <v>20</v>
      </c>
      <c r="J2986" s="1" t="s">
        <v>9855</v>
      </c>
      <c r="K2986" s="1" t="b">
        <v>0</v>
      </c>
      <c r="L2986" s="1" t="s">
        <v>22</v>
      </c>
      <c r="M2986" s="1" t="s">
        <v>16</v>
      </c>
      <c r="N2986" s="1" t="s">
        <v>16</v>
      </c>
      <c r="O2986" s="1" t="s">
        <v>16</v>
      </c>
      <c r="P2986" s="1" t="s">
        <v>16</v>
      </c>
      <c r="Q2986" s="1">
        <v>0</v>
      </c>
    </row>
    <row r="2987" spans="1:17" ht="12.5" x14ac:dyDescent="0.25">
      <c r="A2987" s="1">
        <v>2684</v>
      </c>
      <c r="B2987" s="1" t="s">
        <v>9856</v>
      </c>
      <c r="C2987" s="1" t="s">
        <v>38</v>
      </c>
      <c r="D2987" s="1" t="s">
        <v>39</v>
      </c>
      <c r="E2987" s="1">
        <v>3483</v>
      </c>
      <c r="F2987" s="1" t="s">
        <v>9853</v>
      </c>
      <c r="G2987" s="1" t="s">
        <v>9854</v>
      </c>
      <c r="H2987" s="1" t="s">
        <v>16</v>
      </c>
      <c r="I2987" s="1" t="s">
        <v>20</v>
      </c>
      <c r="J2987" s="1" t="s">
        <v>9855</v>
      </c>
      <c r="K2987" s="1" t="b">
        <v>0</v>
      </c>
      <c r="L2987" s="1" t="s">
        <v>22</v>
      </c>
      <c r="M2987" s="1" t="s">
        <v>16</v>
      </c>
      <c r="N2987" s="1" t="s">
        <v>16</v>
      </c>
      <c r="O2987" s="1" t="s">
        <v>16</v>
      </c>
      <c r="P2987" s="1" t="s">
        <v>16</v>
      </c>
      <c r="Q2987" s="1">
        <v>0</v>
      </c>
    </row>
    <row r="2988" spans="1:17" ht="12.5" x14ac:dyDescent="0.25">
      <c r="A2988" s="1">
        <v>4152</v>
      </c>
      <c r="B2988" s="1" t="s">
        <v>9857</v>
      </c>
      <c r="C2988" s="1" t="s">
        <v>38</v>
      </c>
      <c r="D2988" s="1" t="s">
        <v>39</v>
      </c>
      <c r="E2988" s="1">
        <v>3483</v>
      </c>
      <c r="F2988" s="1" t="s">
        <v>9853</v>
      </c>
      <c r="G2988" s="1" t="s">
        <v>9854</v>
      </c>
      <c r="H2988" s="1" t="s">
        <v>16</v>
      </c>
      <c r="I2988" s="1" t="s">
        <v>20</v>
      </c>
      <c r="J2988" s="1" t="s">
        <v>9855</v>
      </c>
      <c r="K2988" s="1" t="b">
        <v>0</v>
      </c>
      <c r="L2988" s="1" t="s">
        <v>22</v>
      </c>
      <c r="M2988" s="1" t="s">
        <v>16</v>
      </c>
      <c r="N2988" s="1" t="s">
        <v>16</v>
      </c>
      <c r="O2988" s="1" t="s">
        <v>16</v>
      </c>
      <c r="P2988" s="1" t="s">
        <v>16</v>
      </c>
      <c r="Q2988" s="1">
        <v>0</v>
      </c>
    </row>
    <row r="2989" spans="1:17" ht="12.5" x14ac:dyDescent="0.25">
      <c r="A2989" s="1">
        <v>3635</v>
      </c>
      <c r="B2989" s="1" t="s">
        <v>9858</v>
      </c>
      <c r="C2989" s="1" t="s">
        <v>38</v>
      </c>
      <c r="D2989" s="1" t="s">
        <v>39</v>
      </c>
      <c r="E2989" s="1">
        <v>3484</v>
      </c>
      <c r="F2989" s="1" t="s">
        <v>9859</v>
      </c>
      <c r="G2989" s="1" t="s">
        <v>9860</v>
      </c>
      <c r="H2989" s="1" t="s">
        <v>16</v>
      </c>
      <c r="I2989" s="1" t="s">
        <v>20</v>
      </c>
      <c r="J2989" s="1" t="s">
        <v>9861</v>
      </c>
      <c r="K2989" s="1" t="b">
        <v>0</v>
      </c>
      <c r="L2989" s="1" t="s">
        <v>22</v>
      </c>
      <c r="M2989" s="1" t="s">
        <v>16</v>
      </c>
      <c r="N2989" s="1" t="s">
        <v>16</v>
      </c>
      <c r="O2989" s="1" t="s">
        <v>16</v>
      </c>
      <c r="P2989" s="1" t="s">
        <v>16</v>
      </c>
      <c r="Q2989" s="1">
        <v>1</v>
      </c>
    </row>
    <row r="2990" spans="1:17" ht="12.5" x14ac:dyDescent="0.25">
      <c r="A2990" s="1">
        <v>3664</v>
      </c>
      <c r="B2990" s="1" t="s">
        <v>9862</v>
      </c>
      <c r="C2990" s="1" t="s">
        <v>38</v>
      </c>
      <c r="D2990" s="1" t="s">
        <v>39</v>
      </c>
      <c r="E2990" s="1">
        <v>3484</v>
      </c>
      <c r="F2990" s="1" t="s">
        <v>9859</v>
      </c>
      <c r="G2990" s="1" t="s">
        <v>9860</v>
      </c>
      <c r="H2990" s="1" t="s">
        <v>16</v>
      </c>
      <c r="I2990" s="1" t="s">
        <v>20</v>
      </c>
      <c r="J2990" s="1" t="s">
        <v>9861</v>
      </c>
      <c r="K2990" s="1" t="b">
        <v>0</v>
      </c>
      <c r="L2990" s="1" t="s">
        <v>22</v>
      </c>
      <c r="M2990" s="1" t="s">
        <v>16</v>
      </c>
      <c r="N2990" s="1" t="s">
        <v>16</v>
      </c>
      <c r="O2990" s="1" t="s">
        <v>16</v>
      </c>
      <c r="P2990" s="1" t="s">
        <v>16</v>
      </c>
      <c r="Q2990" s="1">
        <v>1</v>
      </c>
    </row>
    <row r="2991" spans="1:17" ht="12.5" x14ac:dyDescent="0.25">
      <c r="A2991" s="1">
        <v>2528</v>
      </c>
      <c r="B2991" s="1" t="s">
        <v>9863</v>
      </c>
      <c r="C2991" s="1" t="s">
        <v>38</v>
      </c>
      <c r="D2991" s="1" t="s">
        <v>39</v>
      </c>
      <c r="E2991" s="1">
        <v>3485</v>
      </c>
      <c r="F2991" s="1" t="s">
        <v>9864</v>
      </c>
      <c r="G2991" s="1" t="s">
        <v>9865</v>
      </c>
      <c r="H2991" s="1" t="s">
        <v>16</v>
      </c>
      <c r="I2991" s="1" t="s">
        <v>20</v>
      </c>
      <c r="J2991" s="1" t="s">
        <v>9866</v>
      </c>
      <c r="K2991" s="1" t="b">
        <v>0</v>
      </c>
      <c r="L2991" s="1" t="s">
        <v>22</v>
      </c>
      <c r="M2991" s="1" t="s">
        <v>16</v>
      </c>
      <c r="N2991" s="1" t="s">
        <v>16</v>
      </c>
      <c r="O2991" s="1" t="s">
        <v>16</v>
      </c>
      <c r="P2991" s="1" t="s">
        <v>16</v>
      </c>
      <c r="Q2991" s="1">
        <v>0</v>
      </c>
    </row>
    <row r="2992" spans="1:17" ht="12.5" x14ac:dyDescent="0.25">
      <c r="A2992" s="1">
        <v>2500</v>
      </c>
      <c r="B2992" s="1" t="s">
        <v>9867</v>
      </c>
      <c r="C2992" s="1" t="s">
        <v>38</v>
      </c>
      <c r="D2992" s="1" t="s">
        <v>39</v>
      </c>
      <c r="E2992" s="1">
        <v>3486</v>
      </c>
      <c r="F2992" s="1" t="s">
        <v>9868</v>
      </c>
      <c r="G2992" s="1" t="s">
        <v>9869</v>
      </c>
      <c r="H2992" s="1" t="s">
        <v>16</v>
      </c>
      <c r="I2992" s="1" t="s">
        <v>20</v>
      </c>
      <c r="J2992" s="1" t="s">
        <v>9870</v>
      </c>
      <c r="K2992" s="1" t="b">
        <v>0</v>
      </c>
      <c r="L2992" s="1" t="s">
        <v>22</v>
      </c>
      <c r="M2992" s="1" t="s">
        <v>16</v>
      </c>
      <c r="N2992" s="1" t="s">
        <v>16</v>
      </c>
      <c r="O2992" s="1" t="s">
        <v>16</v>
      </c>
      <c r="P2992" s="1" t="s">
        <v>16</v>
      </c>
      <c r="Q2992" s="1">
        <v>0</v>
      </c>
    </row>
    <row r="2993" spans="1:19" ht="12.5" x14ac:dyDescent="0.25">
      <c r="A2993" s="1">
        <v>4555</v>
      </c>
      <c r="B2993" s="1" t="s">
        <v>9871</v>
      </c>
      <c r="C2993" s="1" t="s">
        <v>35</v>
      </c>
      <c r="D2993" s="1" t="s">
        <v>36</v>
      </c>
      <c r="E2993" s="1">
        <v>3487</v>
      </c>
      <c r="F2993" s="1" t="s">
        <v>9872</v>
      </c>
      <c r="G2993" s="1" t="s">
        <v>9873</v>
      </c>
      <c r="H2993" s="1" t="s">
        <v>9874</v>
      </c>
      <c r="I2993" s="1" t="s">
        <v>29</v>
      </c>
      <c r="J2993" s="1" t="s">
        <v>9875</v>
      </c>
      <c r="K2993" s="1" t="b">
        <v>0</v>
      </c>
      <c r="L2993" s="1" t="s">
        <v>22</v>
      </c>
      <c r="M2993" s="1">
        <v>2022</v>
      </c>
      <c r="N2993" s="1" t="s">
        <v>32</v>
      </c>
      <c r="O2993" s="1" t="s">
        <v>9935</v>
      </c>
      <c r="P2993" s="1" t="s">
        <v>16</v>
      </c>
      <c r="Q2993" s="1">
        <v>100</v>
      </c>
      <c r="R2993" s="1">
        <v>1</v>
      </c>
      <c r="S2993" s="1">
        <v>1</v>
      </c>
    </row>
    <row r="2994" spans="1:19" ht="12.5" x14ac:dyDescent="0.25">
      <c r="A2994" s="1">
        <v>4570</v>
      </c>
      <c r="B2994" s="1" t="s">
        <v>9876</v>
      </c>
      <c r="C2994" s="1" t="s">
        <v>35</v>
      </c>
      <c r="D2994" s="1" t="s">
        <v>36</v>
      </c>
      <c r="E2994" s="1">
        <v>3488</v>
      </c>
      <c r="F2994" s="1" t="s">
        <v>9877</v>
      </c>
      <c r="G2994" s="1" t="s">
        <v>9878</v>
      </c>
      <c r="H2994" s="1" t="s">
        <v>9879</v>
      </c>
      <c r="I2994" s="1" t="s">
        <v>29</v>
      </c>
      <c r="J2994" s="1" t="s">
        <v>9880</v>
      </c>
      <c r="K2994" s="1" t="b">
        <v>0</v>
      </c>
      <c r="L2994" s="1" t="s">
        <v>22</v>
      </c>
      <c r="M2994" s="1">
        <v>2022</v>
      </c>
      <c r="N2994" s="1" t="s">
        <v>32</v>
      </c>
      <c r="O2994" s="1" t="s">
        <v>9935</v>
      </c>
      <c r="P2994" s="1" t="s">
        <v>10109</v>
      </c>
      <c r="Q2994" s="1">
        <v>100</v>
      </c>
      <c r="R2994" s="1">
        <v>11600</v>
      </c>
      <c r="S2994" s="1">
        <v>11600</v>
      </c>
    </row>
    <row r="2995" spans="1:19" ht="12.5" x14ac:dyDescent="0.25">
      <c r="A2995" s="1">
        <v>4574</v>
      </c>
      <c r="B2995" s="1" t="s">
        <v>9881</v>
      </c>
      <c r="C2995" s="1" t="s">
        <v>35</v>
      </c>
      <c r="D2995" s="1" t="s">
        <v>36</v>
      </c>
      <c r="E2995" s="1">
        <v>3489</v>
      </c>
      <c r="F2995" s="1" t="s">
        <v>9882</v>
      </c>
      <c r="G2995" s="1" t="s">
        <v>9883</v>
      </c>
      <c r="H2995" s="1" t="s">
        <v>9884</v>
      </c>
      <c r="I2995" s="1" t="s">
        <v>29</v>
      </c>
      <c r="J2995" s="1" t="s">
        <v>9885</v>
      </c>
      <c r="K2995" s="1" t="b">
        <v>0</v>
      </c>
      <c r="L2995" s="1" t="s">
        <v>22</v>
      </c>
      <c r="M2995" s="1">
        <v>2022</v>
      </c>
      <c r="N2995" s="1" t="s">
        <v>32</v>
      </c>
      <c r="O2995" s="1" t="s">
        <v>9942</v>
      </c>
      <c r="P2995" s="1" t="s">
        <v>10110</v>
      </c>
      <c r="Q2995" s="1">
        <v>100</v>
      </c>
      <c r="R2995" s="1">
        <v>1</v>
      </c>
      <c r="S2995" s="1">
        <v>1</v>
      </c>
    </row>
    <row r="2996" spans="1:19" ht="12.5" x14ac:dyDescent="0.25">
      <c r="A2996" s="1" t="s">
        <v>16</v>
      </c>
      <c r="B2996" s="1" t="s">
        <v>16</v>
      </c>
      <c r="C2996" s="1" t="s">
        <v>16</v>
      </c>
      <c r="D2996" s="1" t="s">
        <v>16</v>
      </c>
      <c r="E2996" s="1">
        <v>3490</v>
      </c>
      <c r="F2996" s="1" t="s">
        <v>9886</v>
      </c>
      <c r="G2996" s="1" t="s">
        <v>9887</v>
      </c>
      <c r="H2996" s="1" t="s">
        <v>16</v>
      </c>
      <c r="I2996" s="1" t="s">
        <v>20</v>
      </c>
      <c r="J2996" s="1" t="s">
        <v>9888</v>
      </c>
      <c r="K2996" s="1" t="b">
        <v>0</v>
      </c>
      <c r="L2996" s="1" t="s">
        <v>22</v>
      </c>
      <c r="M2996" s="1" t="s">
        <v>16</v>
      </c>
      <c r="N2996" s="1" t="s">
        <v>16</v>
      </c>
      <c r="O2996" s="1" t="s">
        <v>16</v>
      </c>
      <c r="P2996" s="1" t="s">
        <v>16</v>
      </c>
    </row>
    <row r="2997" spans="1:19" ht="12.5" x14ac:dyDescent="0.25">
      <c r="A2997" s="1" t="s">
        <v>16</v>
      </c>
      <c r="B2997" s="1" t="s">
        <v>16</v>
      </c>
      <c r="C2997" s="1" t="s">
        <v>16</v>
      </c>
      <c r="D2997" s="1" t="s">
        <v>16</v>
      </c>
      <c r="E2997" s="1">
        <v>3491</v>
      </c>
      <c r="F2997" s="1" t="s">
        <v>9889</v>
      </c>
      <c r="G2997" s="1" t="s">
        <v>9890</v>
      </c>
      <c r="H2997" s="1" t="s">
        <v>16</v>
      </c>
      <c r="I2997" s="1" t="s">
        <v>20</v>
      </c>
      <c r="J2997" s="1" t="s">
        <v>9891</v>
      </c>
      <c r="K2997" s="1" t="b">
        <v>0</v>
      </c>
      <c r="L2997" s="1" t="s">
        <v>22</v>
      </c>
      <c r="M2997" s="1" t="s">
        <v>16</v>
      </c>
      <c r="N2997" s="1" t="s">
        <v>16</v>
      </c>
      <c r="O2997" s="1" t="s">
        <v>16</v>
      </c>
      <c r="P2997" s="1" t="s">
        <v>16</v>
      </c>
    </row>
    <row r="2998" spans="1:19" ht="12.5" x14ac:dyDescent="0.25">
      <c r="A2998" s="1" t="s">
        <v>16</v>
      </c>
      <c r="B2998" s="1" t="s">
        <v>16</v>
      </c>
      <c r="C2998" s="1" t="s">
        <v>16</v>
      </c>
      <c r="D2998" s="1" t="s">
        <v>16</v>
      </c>
      <c r="E2998" s="1">
        <v>3492</v>
      </c>
      <c r="F2998" s="1" t="s">
        <v>9892</v>
      </c>
      <c r="G2998" s="1" t="s">
        <v>9893</v>
      </c>
      <c r="H2998" s="1" t="s">
        <v>16</v>
      </c>
      <c r="I2998" s="1" t="s">
        <v>20</v>
      </c>
      <c r="J2998" s="1" t="s">
        <v>9894</v>
      </c>
      <c r="K2998" s="1" t="b">
        <v>0</v>
      </c>
      <c r="L2998" s="1" t="s">
        <v>22</v>
      </c>
      <c r="M2998" s="1" t="s">
        <v>16</v>
      </c>
      <c r="N2998" s="1" t="s">
        <v>16</v>
      </c>
      <c r="O2998" s="1" t="s">
        <v>16</v>
      </c>
      <c r="P2998" s="1" t="s">
        <v>16</v>
      </c>
    </row>
    <row r="2999" spans="1:19" ht="12.5" x14ac:dyDescent="0.25">
      <c r="A2999" s="1">
        <v>1271</v>
      </c>
      <c r="B2999" s="1" t="s">
        <v>4260</v>
      </c>
      <c r="C2999" s="1" t="s">
        <v>35</v>
      </c>
      <c r="D2999" s="1" t="s">
        <v>152</v>
      </c>
      <c r="E2999" s="1">
        <v>3493</v>
      </c>
      <c r="F2999" s="1" t="s">
        <v>9895</v>
      </c>
      <c r="G2999" s="1" t="s">
        <v>9896</v>
      </c>
      <c r="H2999" s="1" t="s">
        <v>16</v>
      </c>
      <c r="I2999" s="1" t="s">
        <v>29</v>
      </c>
      <c r="J2999" s="1" t="s">
        <v>16</v>
      </c>
      <c r="K2999" s="1" t="b">
        <v>0</v>
      </c>
      <c r="L2999" s="1" t="s">
        <v>22</v>
      </c>
      <c r="M2999" s="1" t="s">
        <v>16</v>
      </c>
      <c r="N2999" s="1" t="s">
        <v>16</v>
      </c>
      <c r="O2999" s="1" t="s">
        <v>16</v>
      </c>
      <c r="P2999" s="1" t="s">
        <v>16</v>
      </c>
      <c r="Q2999" s="1">
        <v>100</v>
      </c>
    </row>
    <row r="3000" spans="1:19" ht="12.5" x14ac:dyDescent="0.25">
      <c r="A3000" s="1">
        <v>1216</v>
      </c>
      <c r="B3000" s="1" t="s">
        <v>4093</v>
      </c>
      <c r="C3000" s="1" t="s">
        <v>35</v>
      </c>
      <c r="D3000" s="1" t="s">
        <v>152</v>
      </c>
      <c r="E3000" s="1">
        <v>3494</v>
      </c>
      <c r="F3000" s="1" t="s">
        <v>9897</v>
      </c>
      <c r="G3000" s="1" t="s">
        <v>9896</v>
      </c>
      <c r="H3000" s="1" t="s">
        <v>16</v>
      </c>
      <c r="I3000" s="1" t="s">
        <v>29</v>
      </c>
      <c r="J3000" s="1" t="s">
        <v>16</v>
      </c>
      <c r="K3000" s="1" t="b">
        <v>0</v>
      </c>
      <c r="L3000" s="1" t="s">
        <v>22</v>
      </c>
      <c r="M3000" s="1" t="s">
        <v>16</v>
      </c>
      <c r="N3000" s="1" t="s">
        <v>16</v>
      </c>
      <c r="O3000" s="1" t="s">
        <v>16</v>
      </c>
      <c r="P3000" s="1" t="s">
        <v>16</v>
      </c>
      <c r="Q3000" s="1">
        <v>100</v>
      </c>
    </row>
    <row r="3001" spans="1:19" ht="12.5" x14ac:dyDescent="0.25">
      <c r="A3001" s="1">
        <v>982</v>
      </c>
      <c r="B3001" s="1" t="s">
        <v>9898</v>
      </c>
      <c r="C3001" s="1" t="s">
        <v>35</v>
      </c>
      <c r="D3001" s="1" t="s">
        <v>152</v>
      </c>
      <c r="E3001" s="1">
        <v>3495</v>
      </c>
      <c r="F3001" s="1" t="s">
        <v>9900</v>
      </c>
      <c r="G3001" s="1" t="s">
        <v>9901</v>
      </c>
      <c r="H3001" s="1" t="s">
        <v>9902</v>
      </c>
      <c r="I3001" s="1" t="s">
        <v>29</v>
      </c>
      <c r="J3001" s="1" t="s">
        <v>16</v>
      </c>
      <c r="K3001" s="1" t="b">
        <v>0</v>
      </c>
      <c r="L3001" s="1" t="s">
        <v>22</v>
      </c>
      <c r="M3001" s="1" t="s">
        <v>16</v>
      </c>
      <c r="N3001" s="1" t="s">
        <v>16</v>
      </c>
      <c r="O3001" s="1" t="s">
        <v>16</v>
      </c>
      <c r="P3001" s="1" t="s">
        <v>16</v>
      </c>
      <c r="Q3001" s="1">
        <v>100</v>
      </c>
    </row>
    <row r="3002" spans="1:19" ht="12.5" x14ac:dyDescent="0.25">
      <c r="A3002" s="1">
        <v>28</v>
      </c>
      <c r="B3002" s="1" t="s">
        <v>162</v>
      </c>
      <c r="C3002" s="1" t="s">
        <v>15</v>
      </c>
      <c r="D3002" s="1" t="s">
        <v>15</v>
      </c>
      <c r="E3002" s="1">
        <v>3496</v>
      </c>
      <c r="F3002" s="1" t="s">
        <v>9903</v>
      </c>
      <c r="G3002" s="1" t="s">
        <v>641</v>
      </c>
      <c r="H3002" s="1" t="s">
        <v>9904</v>
      </c>
      <c r="I3002" s="1" t="s">
        <v>29</v>
      </c>
      <c r="J3002" s="1" t="s">
        <v>9905</v>
      </c>
      <c r="K3002" s="1" t="b">
        <v>0</v>
      </c>
      <c r="L3002" s="1" t="s">
        <v>22</v>
      </c>
      <c r="M3002" s="1">
        <v>2022</v>
      </c>
      <c r="N3002" s="1" t="s">
        <v>32</v>
      </c>
      <c r="O3002" s="1" t="s">
        <v>9935</v>
      </c>
      <c r="P3002" s="1" t="s">
        <v>10111</v>
      </c>
      <c r="Q3002" s="1">
        <v>100</v>
      </c>
      <c r="R3002" s="1">
        <v>1365000</v>
      </c>
      <c r="S3002" s="1">
        <v>1365000</v>
      </c>
    </row>
    <row r="3003" spans="1:19" ht="12.5" x14ac:dyDescent="0.25">
      <c r="A3003" s="1">
        <v>1532</v>
      </c>
      <c r="B3003" s="1" t="s">
        <v>5024</v>
      </c>
      <c r="C3003" s="1" t="s">
        <v>35</v>
      </c>
      <c r="D3003" s="1" t="s">
        <v>152</v>
      </c>
      <c r="E3003" s="1">
        <v>3497</v>
      </c>
      <c r="F3003" s="1" t="s">
        <v>9906</v>
      </c>
      <c r="G3003" s="1" t="s">
        <v>9907</v>
      </c>
      <c r="H3003" s="1" t="s">
        <v>9907</v>
      </c>
      <c r="I3003" s="1" t="s">
        <v>29</v>
      </c>
      <c r="J3003" s="1" t="s">
        <v>16</v>
      </c>
      <c r="K3003" s="1" t="b">
        <v>0</v>
      </c>
      <c r="L3003" s="1" t="s">
        <v>22</v>
      </c>
      <c r="M3003" s="1" t="s">
        <v>16</v>
      </c>
      <c r="N3003" s="1" t="s">
        <v>16</v>
      </c>
      <c r="O3003" s="1" t="s">
        <v>16</v>
      </c>
      <c r="P3003" s="1" t="s">
        <v>16</v>
      </c>
      <c r="Q3003" s="1">
        <v>100</v>
      </c>
    </row>
    <row r="3004" spans="1:19" ht="12.5" x14ac:dyDescent="0.25">
      <c r="A3004" s="1">
        <v>455</v>
      </c>
      <c r="B3004" s="1" t="s">
        <v>1859</v>
      </c>
      <c r="C3004" s="1" t="s">
        <v>35</v>
      </c>
      <c r="D3004" s="1" t="s">
        <v>36</v>
      </c>
      <c r="E3004" s="1">
        <v>3498</v>
      </c>
      <c r="F3004" s="1" t="s">
        <v>9908</v>
      </c>
      <c r="G3004" s="1" t="s">
        <v>9909</v>
      </c>
      <c r="H3004" s="1" t="s">
        <v>1862</v>
      </c>
      <c r="I3004" s="1" t="s">
        <v>29</v>
      </c>
      <c r="J3004" s="1" t="s">
        <v>9910</v>
      </c>
      <c r="K3004" s="1" t="b">
        <v>0</v>
      </c>
      <c r="L3004" s="1" t="s">
        <v>22</v>
      </c>
      <c r="M3004" s="1">
        <v>2022</v>
      </c>
      <c r="N3004" s="1" t="s">
        <v>32</v>
      </c>
      <c r="O3004" s="1" t="s">
        <v>9935</v>
      </c>
      <c r="P3004" s="1" t="s">
        <v>10097</v>
      </c>
      <c r="Q3004" s="1">
        <v>100</v>
      </c>
      <c r="R3004" s="1">
        <v>1</v>
      </c>
      <c r="S3004" s="1">
        <v>1</v>
      </c>
    </row>
    <row r="3005" spans="1:19" ht="12.5" x14ac:dyDescent="0.25">
      <c r="A3005" s="1">
        <v>1632</v>
      </c>
      <c r="B3005" s="1" t="s">
        <v>9911</v>
      </c>
      <c r="C3005" s="1" t="s">
        <v>35</v>
      </c>
      <c r="D3005" s="1" t="s">
        <v>152</v>
      </c>
      <c r="E3005" s="1">
        <v>3499</v>
      </c>
      <c r="F3005" s="1" t="s">
        <v>9912</v>
      </c>
      <c r="G3005" s="1" t="s">
        <v>8052</v>
      </c>
      <c r="H3005" s="1" t="s">
        <v>16</v>
      </c>
      <c r="I3005" s="1" t="s">
        <v>29</v>
      </c>
      <c r="J3005" s="1" t="s">
        <v>9913</v>
      </c>
      <c r="K3005" s="1" t="b">
        <v>0</v>
      </c>
      <c r="L3005" s="1" t="s">
        <v>22</v>
      </c>
      <c r="M3005" s="1">
        <v>2022</v>
      </c>
      <c r="N3005" s="1" t="s">
        <v>32</v>
      </c>
      <c r="O3005" s="1" t="s">
        <v>9935</v>
      </c>
      <c r="P3005" s="1" t="s">
        <v>16</v>
      </c>
      <c r="Q3005" s="1">
        <v>100</v>
      </c>
      <c r="R3005" s="1">
        <v>1</v>
      </c>
      <c r="S3005" s="1">
        <v>1</v>
      </c>
    </row>
    <row r="3006" spans="1:19" ht="12.5" x14ac:dyDescent="0.25">
      <c r="A3006" s="1" t="s">
        <v>16</v>
      </c>
      <c r="B3006" s="1" t="s">
        <v>16</v>
      </c>
      <c r="C3006" s="1" t="s">
        <v>16</v>
      </c>
      <c r="D3006" s="1" t="s">
        <v>16</v>
      </c>
      <c r="E3006" s="1">
        <v>3500</v>
      </c>
      <c r="F3006" s="1" t="s">
        <v>9914</v>
      </c>
      <c r="G3006" s="1" t="s">
        <v>9915</v>
      </c>
      <c r="H3006" s="1" t="s">
        <v>9916</v>
      </c>
      <c r="I3006" s="1" t="s">
        <v>29</v>
      </c>
      <c r="J3006" s="1" t="s">
        <v>16</v>
      </c>
      <c r="K3006" s="1" t="b">
        <v>0</v>
      </c>
      <c r="L3006" s="1" t="s">
        <v>22</v>
      </c>
      <c r="M3006" s="1" t="s">
        <v>16</v>
      </c>
      <c r="N3006" s="1" t="s">
        <v>16</v>
      </c>
      <c r="O3006" s="1" t="s">
        <v>16</v>
      </c>
      <c r="P3006" s="1" t="s">
        <v>16</v>
      </c>
    </row>
    <row r="3007" spans="1:19" ht="12.5" x14ac:dyDescent="0.25">
      <c r="A3007" s="1" t="s">
        <v>16</v>
      </c>
      <c r="B3007" s="1" t="s">
        <v>16</v>
      </c>
      <c r="C3007" s="1" t="s">
        <v>16</v>
      </c>
      <c r="D3007" s="1" t="s">
        <v>16</v>
      </c>
      <c r="E3007" s="1">
        <v>3501</v>
      </c>
      <c r="F3007" s="1" t="s">
        <v>9917</v>
      </c>
      <c r="G3007" s="1" t="s">
        <v>9918</v>
      </c>
      <c r="H3007" s="1" t="s">
        <v>16</v>
      </c>
      <c r="I3007" s="1" t="s">
        <v>20</v>
      </c>
      <c r="J3007" s="1" t="s">
        <v>9919</v>
      </c>
      <c r="K3007" s="1" t="b">
        <v>0</v>
      </c>
      <c r="L3007" s="1" t="s">
        <v>22</v>
      </c>
      <c r="M3007" s="1" t="s">
        <v>16</v>
      </c>
      <c r="N3007" s="1" t="s">
        <v>16</v>
      </c>
      <c r="O3007" s="1" t="s">
        <v>16</v>
      </c>
      <c r="P3007" s="1" t="s">
        <v>16</v>
      </c>
    </row>
    <row r="3008" spans="1:19" ht="12.5" x14ac:dyDescent="0.25">
      <c r="A3008" s="1">
        <v>452</v>
      </c>
      <c r="B3008" s="1" t="s">
        <v>1846</v>
      </c>
      <c r="C3008" s="1" t="s">
        <v>35</v>
      </c>
      <c r="D3008" s="1" t="s">
        <v>36</v>
      </c>
      <c r="E3008" s="1">
        <v>3502</v>
      </c>
      <c r="F3008" s="1" t="s">
        <v>9920</v>
      </c>
      <c r="G3008" s="1" t="s">
        <v>9921</v>
      </c>
      <c r="H3008" s="1" t="s">
        <v>16</v>
      </c>
      <c r="I3008" s="1" t="s">
        <v>20</v>
      </c>
      <c r="J3008" s="1" t="s">
        <v>9922</v>
      </c>
      <c r="K3008" s="1" t="b">
        <v>0</v>
      </c>
      <c r="L3008" s="1" t="s">
        <v>22</v>
      </c>
      <c r="M3008" s="1" t="s">
        <v>16</v>
      </c>
      <c r="N3008" s="1" t="s">
        <v>16</v>
      </c>
      <c r="O3008" s="1" t="s">
        <v>16</v>
      </c>
      <c r="P3008" s="1" t="s">
        <v>16</v>
      </c>
      <c r="Q3008" s="1">
        <v>100</v>
      </c>
    </row>
    <row r="3009" spans="1:17" ht="12.5" x14ac:dyDescent="0.25">
      <c r="A3009" s="1">
        <v>512</v>
      </c>
      <c r="B3009" s="1" t="s">
        <v>2102</v>
      </c>
      <c r="C3009" s="1" t="s">
        <v>35</v>
      </c>
      <c r="D3009" s="1" t="s">
        <v>36</v>
      </c>
      <c r="E3009" s="1">
        <v>3503</v>
      </c>
      <c r="F3009" s="1" t="s">
        <v>9923</v>
      </c>
      <c r="G3009" s="1" t="s">
        <v>9924</v>
      </c>
      <c r="H3009" s="1" t="s">
        <v>16</v>
      </c>
      <c r="I3009" s="1" t="s">
        <v>20</v>
      </c>
      <c r="J3009" s="1" t="s">
        <v>9925</v>
      </c>
      <c r="K3009" s="1" t="b">
        <v>0</v>
      </c>
      <c r="L3009" s="1" t="s">
        <v>22</v>
      </c>
      <c r="M3009" s="1" t="s">
        <v>16</v>
      </c>
      <c r="N3009" s="1" t="s">
        <v>16</v>
      </c>
      <c r="O3009" s="1" t="s">
        <v>16</v>
      </c>
      <c r="P3009" s="1" t="s">
        <v>16</v>
      </c>
      <c r="Q3009" s="1">
        <v>100</v>
      </c>
    </row>
  </sheetData>
  <autoFilter ref="A1:Z3009" xr:uid="{00000000-0009-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662"/>
  <sheetViews>
    <sheetView workbookViewId="0"/>
  </sheetViews>
  <sheetFormatPr defaultColWidth="12.6328125" defaultRowHeight="15.75" customHeight="1" x14ac:dyDescent="0.25"/>
  <cols>
    <col min="2" max="2" width="13.36328125" customWidth="1"/>
    <col min="3" max="3" width="24.08984375" customWidth="1"/>
  </cols>
  <sheetData>
    <row r="1" spans="1:3" ht="15.75" customHeight="1" x14ac:dyDescent="0.25">
      <c r="A1" s="28" t="s">
        <v>3</v>
      </c>
      <c r="B1" s="29" t="s">
        <v>152</v>
      </c>
    </row>
    <row r="3" spans="1:3" ht="15.75" customHeight="1" x14ac:dyDescent="0.25">
      <c r="A3" s="21" t="s">
        <v>0</v>
      </c>
      <c r="B3" s="21" t="s">
        <v>1</v>
      </c>
      <c r="C3" s="22" t="s">
        <v>10112</v>
      </c>
    </row>
    <row r="4" spans="1:3" ht="15.75" customHeight="1" x14ac:dyDescent="0.25">
      <c r="A4" s="23">
        <v>852</v>
      </c>
      <c r="B4" s="23" t="s">
        <v>3068</v>
      </c>
      <c r="C4" s="24">
        <v>61500</v>
      </c>
    </row>
    <row r="5" spans="1:3" ht="15.75" customHeight="1" x14ac:dyDescent="0.25">
      <c r="A5" s="23">
        <v>853</v>
      </c>
      <c r="B5" s="23" t="s">
        <v>3073</v>
      </c>
      <c r="C5" s="24">
        <v>5000</v>
      </c>
    </row>
    <row r="6" spans="1:3" ht="15.75" customHeight="1" x14ac:dyDescent="0.25">
      <c r="A6" s="23">
        <v>854</v>
      </c>
      <c r="B6" s="23" t="s">
        <v>3078</v>
      </c>
      <c r="C6" s="24">
        <v>60000</v>
      </c>
    </row>
    <row r="7" spans="1:3" ht="15.75" customHeight="1" x14ac:dyDescent="0.25">
      <c r="A7" s="23">
        <v>855</v>
      </c>
      <c r="B7" s="23" t="s">
        <v>8063</v>
      </c>
      <c r="C7" s="24">
        <v>1</v>
      </c>
    </row>
    <row r="8" spans="1:3" ht="15.75" customHeight="1" x14ac:dyDescent="0.25">
      <c r="A8" s="23">
        <v>856</v>
      </c>
      <c r="B8" s="23" t="s">
        <v>3082</v>
      </c>
      <c r="C8" s="24">
        <v>200000</v>
      </c>
    </row>
    <row r="9" spans="1:3" ht="15.75" customHeight="1" x14ac:dyDescent="0.25">
      <c r="A9" s="23">
        <v>857</v>
      </c>
      <c r="B9" s="23" t="s">
        <v>3086</v>
      </c>
      <c r="C9" s="24">
        <v>75000</v>
      </c>
    </row>
    <row r="10" spans="1:3" ht="15.75" customHeight="1" x14ac:dyDescent="0.25">
      <c r="A10" s="23">
        <v>858</v>
      </c>
      <c r="B10" s="23" t="s">
        <v>3091</v>
      </c>
      <c r="C10" s="24">
        <v>75000</v>
      </c>
    </row>
    <row r="11" spans="1:3" ht="15.75" customHeight="1" x14ac:dyDescent="0.25">
      <c r="A11" s="23">
        <v>859</v>
      </c>
      <c r="B11" s="23" t="s">
        <v>6244</v>
      </c>
      <c r="C11" s="24">
        <v>82500</v>
      </c>
    </row>
    <row r="12" spans="1:3" ht="15.75" customHeight="1" x14ac:dyDescent="0.25">
      <c r="A12" s="23">
        <v>861</v>
      </c>
      <c r="B12" s="23" t="s">
        <v>7914</v>
      </c>
      <c r="C12" s="24">
        <v>310000</v>
      </c>
    </row>
    <row r="13" spans="1:3" ht="15.75" customHeight="1" x14ac:dyDescent="0.25">
      <c r="A13" s="23">
        <v>863</v>
      </c>
      <c r="B13" s="23" t="s">
        <v>7002</v>
      </c>
      <c r="C13" s="24">
        <v>250</v>
      </c>
    </row>
    <row r="14" spans="1:3" ht="15.75" customHeight="1" x14ac:dyDescent="0.25">
      <c r="A14" s="23">
        <v>864</v>
      </c>
      <c r="B14" s="23" t="s">
        <v>8945</v>
      </c>
      <c r="C14" s="24">
        <v>88115.67</v>
      </c>
    </row>
    <row r="15" spans="1:3" ht="15.75" customHeight="1" x14ac:dyDescent="0.25">
      <c r="A15" s="23">
        <v>866</v>
      </c>
      <c r="B15" s="23" t="s">
        <v>7564</v>
      </c>
      <c r="C15" s="24">
        <v>221507</v>
      </c>
    </row>
    <row r="16" spans="1:3" ht="15.75" customHeight="1" x14ac:dyDescent="0.25">
      <c r="A16" s="23">
        <v>867</v>
      </c>
      <c r="B16" s="23" t="s">
        <v>828</v>
      </c>
      <c r="C16" s="24">
        <v>0</v>
      </c>
    </row>
    <row r="17" spans="1:3" ht="15.75" customHeight="1" x14ac:dyDescent="0.25">
      <c r="A17" s="23">
        <v>868</v>
      </c>
      <c r="B17" s="23" t="s">
        <v>3098</v>
      </c>
      <c r="C17" s="24">
        <v>33341</v>
      </c>
    </row>
    <row r="18" spans="1:3" ht="15.75" customHeight="1" x14ac:dyDescent="0.25">
      <c r="A18" s="23">
        <v>869</v>
      </c>
      <c r="B18" s="23" t="s">
        <v>6658</v>
      </c>
      <c r="C18" s="24">
        <v>38765</v>
      </c>
    </row>
    <row r="19" spans="1:3" ht="15.75" customHeight="1" x14ac:dyDescent="0.25">
      <c r="A19" s="23">
        <v>871</v>
      </c>
      <c r="B19" s="23" t="s">
        <v>3103</v>
      </c>
      <c r="C19" s="24"/>
    </row>
    <row r="20" spans="1:3" ht="12.5" x14ac:dyDescent="0.25">
      <c r="A20" s="23">
        <v>872</v>
      </c>
      <c r="B20" s="23" t="s">
        <v>3108</v>
      </c>
      <c r="C20" s="24">
        <v>100000</v>
      </c>
    </row>
    <row r="21" spans="1:3" ht="12.5" x14ac:dyDescent="0.25">
      <c r="A21" s="23">
        <v>875</v>
      </c>
      <c r="B21" s="23" t="s">
        <v>3113</v>
      </c>
      <c r="C21" s="24">
        <v>33527.19</v>
      </c>
    </row>
    <row r="22" spans="1:3" ht="12.5" x14ac:dyDescent="0.25">
      <c r="A22" s="23">
        <v>877</v>
      </c>
      <c r="B22" s="23" t="s">
        <v>3119</v>
      </c>
      <c r="C22" s="24">
        <v>55000</v>
      </c>
    </row>
    <row r="23" spans="1:3" ht="12.5" x14ac:dyDescent="0.25">
      <c r="A23" s="23">
        <v>879</v>
      </c>
      <c r="B23" s="23" t="s">
        <v>3124</v>
      </c>
      <c r="C23" s="24">
        <v>300000</v>
      </c>
    </row>
    <row r="24" spans="1:3" ht="12.5" x14ac:dyDescent="0.25">
      <c r="A24" s="23">
        <v>880</v>
      </c>
      <c r="B24" s="23" t="s">
        <v>5442</v>
      </c>
      <c r="C24" s="24">
        <v>0</v>
      </c>
    </row>
    <row r="25" spans="1:3" ht="12.5" x14ac:dyDescent="0.25">
      <c r="A25" s="23">
        <v>881</v>
      </c>
      <c r="B25" s="23" t="s">
        <v>3128</v>
      </c>
      <c r="C25" s="24">
        <v>0</v>
      </c>
    </row>
    <row r="26" spans="1:3" ht="12.5" x14ac:dyDescent="0.25">
      <c r="A26" s="23">
        <v>882</v>
      </c>
      <c r="B26" s="23" t="s">
        <v>3133</v>
      </c>
      <c r="C26" s="24">
        <v>1000</v>
      </c>
    </row>
    <row r="27" spans="1:3" ht="12.5" x14ac:dyDescent="0.25">
      <c r="A27" s="23">
        <v>883</v>
      </c>
      <c r="B27" s="23" t="s">
        <v>6852</v>
      </c>
      <c r="C27" s="24">
        <v>200000</v>
      </c>
    </row>
    <row r="28" spans="1:3" ht="12.5" x14ac:dyDescent="0.25">
      <c r="A28" s="23">
        <v>884</v>
      </c>
      <c r="B28" s="23" t="s">
        <v>3138</v>
      </c>
      <c r="C28" s="24">
        <v>26235.96</v>
      </c>
    </row>
    <row r="29" spans="1:3" ht="12.5" x14ac:dyDescent="0.25">
      <c r="A29" s="23">
        <v>885</v>
      </c>
      <c r="B29" s="23" t="s">
        <v>3143</v>
      </c>
      <c r="C29" s="24">
        <v>50000</v>
      </c>
    </row>
    <row r="30" spans="1:3" ht="12.5" x14ac:dyDescent="0.25">
      <c r="A30" s="23">
        <v>886</v>
      </c>
      <c r="B30" s="23" t="s">
        <v>9242</v>
      </c>
      <c r="C30" s="24">
        <v>400000</v>
      </c>
    </row>
    <row r="31" spans="1:3" ht="12.5" x14ac:dyDescent="0.25">
      <c r="A31" s="23">
        <v>888</v>
      </c>
      <c r="B31" s="23" t="s">
        <v>3148</v>
      </c>
      <c r="C31" s="24">
        <v>71330</v>
      </c>
    </row>
    <row r="32" spans="1:3" ht="12.5" x14ac:dyDescent="0.25">
      <c r="A32" s="23">
        <v>889</v>
      </c>
      <c r="B32" s="23" t="s">
        <v>3154</v>
      </c>
      <c r="C32" s="24">
        <v>420</v>
      </c>
    </row>
    <row r="33" spans="1:3" ht="12.5" x14ac:dyDescent="0.25">
      <c r="A33" s="23">
        <v>891</v>
      </c>
      <c r="B33" s="23" t="s">
        <v>3160</v>
      </c>
      <c r="C33" s="24">
        <v>7500</v>
      </c>
    </row>
    <row r="34" spans="1:3" ht="12.5" x14ac:dyDescent="0.25">
      <c r="A34" s="23">
        <v>892</v>
      </c>
      <c r="B34" s="23" t="s">
        <v>3165</v>
      </c>
      <c r="C34" s="24">
        <v>0</v>
      </c>
    </row>
    <row r="35" spans="1:3" ht="12.5" x14ac:dyDescent="0.25">
      <c r="A35" s="23">
        <v>893</v>
      </c>
      <c r="B35" s="23" t="s">
        <v>3169</v>
      </c>
      <c r="C35" s="24">
        <v>7500</v>
      </c>
    </row>
    <row r="36" spans="1:3" ht="12.5" x14ac:dyDescent="0.25">
      <c r="A36" s="23">
        <v>894</v>
      </c>
      <c r="B36" s="23" t="s">
        <v>3174</v>
      </c>
      <c r="C36" s="24">
        <v>20000</v>
      </c>
    </row>
    <row r="37" spans="1:3" ht="12.5" x14ac:dyDescent="0.25">
      <c r="A37" s="23">
        <v>895</v>
      </c>
      <c r="B37" s="23" t="s">
        <v>8162</v>
      </c>
      <c r="C37" s="24">
        <v>5750.25</v>
      </c>
    </row>
    <row r="38" spans="1:3" ht="12.5" x14ac:dyDescent="0.25">
      <c r="A38" s="23">
        <v>896</v>
      </c>
      <c r="B38" s="23" t="s">
        <v>3180</v>
      </c>
      <c r="C38" s="24">
        <v>10000</v>
      </c>
    </row>
    <row r="39" spans="1:3" ht="12.5" x14ac:dyDescent="0.25">
      <c r="A39" s="23">
        <v>897</v>
      </c>
      <c r="B39" s="23" t="s">
        <v>3185</v>
      </c>
      <c r="C39" s="24">
        <v>50000</v>
      </c>
    </row>
    <row r="40" spans="1:3" ht="12.5" x14ac:dyDescent="0.25">
      <c r="A40" s="23">
        <v>898</v>
      </c>
      <c r="B40" s="23" t="s">
        <v>3191</v>
      </c>
      <c r="C40" s="24">
        <v>230</v>
      </c>
    </row>
    <row r="41" spans="1:3" ht="12.5" x14ac:dyDescent="0.25">
      <c r="A41" s="23">
        <v>899</v>
      </c>
      <c r="B41" s="23" t="s">
        <v>3196</v>
      </c>
      <c r="C41" s="24">
        <v>18555</v>
      </c>
    </row>
    <row r="42" spans="1:3" ht="12.5" x14ac:dyDescent="0.25">
      <c r="A42" s="23">
        <v>901</v>
      </c>
      <c r="B42" s="23" t="s">
        <v>3202</v>
      </c>
      <c r="C42" s="24">
        <v>170000</v>
      </c>
    </row>
    <row r="43" spans="1:3" ht="12.5" x14ac:dyDescent="0.25">
      <c r="A43" s="23">
        <v>904</v>
      </c>
      <c r="B43" s="23" t="s">
        <v>3208</v>
      </c>
      <c r="C43" s="24">
        <v>1500000</v>
      </c>
    </row>
    <row r="44" spans="1:3" ht="12.5" x14ac:dyDescent="0.25">
      <c r="A44" s="23">
        <v>905</v>
      </c>
      <c r="B44" s="23" t="s">
        <v>3213</v>
      </c>
      <c r="C44" s="24">
        <v>1000</v>
      </c>
    </row>
    <row r="45" spans="1:3" ht="12.5" x14ac:dyDescent="0.25">
      <c r="A45" s="23">
        <v>906</v>
      </c>
      <c r="B45" s="23" t="s">
        <v>3217</v>
      </c>
      <c r="C45" s="24">
        <v>35000</v>
      </c>
    </row>
    <row r="46" spans="1:3" ht="12.5" x14ac:dyDescent="0.25">
      <c r="A46" s="23">
        <v>907</v>
      </c>
      <c r="B46" s="23" t="s">
        <v>3221</v>
      </c>
      <c r="C46" s="24">
        <v>297500</v>
      </c>
    </row>
    <row r="47" spans="1:3" ht="12.5" x14ac:dyDescent="0.25">
      <c r="A47" s="23">
        <v>908</v>
      </c>
      <c r="B47" s="23" t="s">
        <v>3226</v>
      </c>
      <c r="C47" s="24">
        <v>35000</v>
      </c>
    </row>
    <row r="48" spans="1:3" ht="12.5" x14ac:dyDescent="0.25">
      <c r="A48" s="23">
        <v>909</v>
      </c>
      <c r="B48" s="23" t="s">
        <v>3230</v>
      </c>
      <c r="C48" s="24">
        <v>75000</v>
      </c>
    </row>
    <row r="49" spans="1:3" ht="12.5" x14ac:dyDescent="0.25">
      <c r="A49" s="23">
        <v>911</v>
      </c>
      <c r="B49" s="23" t="s">
        <v>6108</v>
      </c>
      <c r="C49" s="24">
        <v>50000</v>
      </c>
    </row>
    <row r="50" spans="1:3" ht="12.5" x14ac:dyDescent="0.25">
      <c r="A50" s="23">
        <v>914</v>
      </c>
      <c r="B50" s="23" t="s">
        <v>757</v>
      </c>
      <c r="C50" s="24">
        <v>0</v>
      </c>
    </row>
    <row r="51" spans="1:3" ht="12.5" x14ac:dyDescent="0.25">
      <c r="A51" s="23">
        <v>915</v>
      </c>
      <c r="B51" s="23" t="s">
        <v>8265</v>
      </c>
      <c r="C51" s="24">
        <v>10000</v>
      </c>
    </row>
    <row r="52" spans="1:3" ht="12.5" x14ac:dyDescent="0.25">
      <c r="A52" s="23">
        <v>916</v>
      </c>
      <c r="B52" s="23" t="s">
        <v>3236</v>
      </c>
      <c r="C52" s="24">
        <v>150000</v>
      </c>
    </row>
    <row r="53" spans="1:3" ht="12.5" x14ac:dyDescent="0.25">
      <c r="A53" s="23">
        <v>917</v>
      </c>
      <c r="B53" s="23" t="s">
        <v>3241</v>
      </c>
      <c r="C53" s="24">
        <v>0</v>
      </c>
    </row>
    <row r="54" spans="1:3" ht="12.5" x14ac:dyDescent="0.25">
      <c r="A54" s="23">
        <v>918</v>
      </c>
      <c r="B54" s="23" t="s">
        <v>3246</v>
      </c>
      <c r="C54" s="24">
        <v>2105</v>
      </c>
    </row>
    <row r="55" spans="1:3" ht="12.5" x14ac:dyDescent="0.25">
      <c r="A55" s="23">
        <v>919</v>
      </c>
      <c r="B55" s="23" t="s">
        <v>3251</v>
      </c>
      <c r="C55" s="24">
        <v>1</v>
      </c>
    </row>
    <row r="56" spans="1:3" ht="12.5" x14ac:dyDescent="0.25">
      <c r="A56" s="23">
        <v>920</v>
      </c>
      <c r="B56" s="23" t="s">
        <v>3257</v>
      </c>
      <c r="C56" s="24">
        <v>40000</v>
      </c>
    </row>
    <row r="57" spans="1:3" ht="12.5" x14ac:dyDescent="0.25">
      <c r="A57" s="23">
        <v>921</v>
      </c>
      <c r="B57" s="23" t="s">
        <v>3263</v>
      </c>
      <c r="C57" s="24">
        <v>100000</v>
      </c>
    </row>
    <row r="58" spans="1:3" ht="12.5" x14ac:dyDescent="0.25">
      <c r="A58" s="23">
        <v>922</v>
      </c>
      <c r="B58" s="23" t="s">
        <v>8167</v>
      </c>
      <c r="C58" s="24">
        <v>3500</v>
      </c>
    </row>
    <row r="59" spans="1:3" ht="12.5" x14ac:dyDescent="0.25">
      <c r="A59" s="23">
        <v>924</v>
      </c>
      <c r="B59" s="23" t="s">
        <v>3269</v>
      </c>
      <c r="C59" s="24">
        <v>7500</v>
      </c>
    </row>
    <row r="60" spans="1:3" ht="12.5" x14ac:dyDescent="0.25">
      <c r="A60" s="23">
        <v>925</v>
      </c>
      <c r="B60" s="23" t="s">
        <v>3273</v>
      </c>
      <c r="C60" s="24">
        <v>105000</v>
      </c>
    </row>
    <row r="61" spans="1:3" ht="12.5" x14ac:dyDescent="0.25">
      <c r="A61" s="23">
        <v>927</v>
      </c>
      <c r="B61" s="23" t="s">
        <v>3278</v>
      </c>
      <c r="C61" s="24">
        <v>35000</v>
      </c>
    </row>
    <row r="62" spans="1:3" ht="12.5" x14ac:dyDescent="0.25">
      <c r="A62" s="23">
        <v>928</v>
      </c>
      <c r="B62" s="23" t="s">
        <v>3283</v>
      </c>
      <c r="C62" s="24">
        <v>27800</v>
      </c>
    </row>
    <row r="63" spans="1:3" ht="12.5" x14ac:dyDescent="0.25">
      <c r="A63" s="23">
        <v>929</v>
      </c>
      <c r="B63" s="23" t="s">
        <v>8835</v>
      </c>
      <c r="C63" s="24"/>
    </row>
    <row r="64" spans="1:3" ht="12.5" x14ac:dyDescent="0.25">
      <c r="A64" s="23">
        <v>930</v>
      </c>
      <c r="B64" s="23" t="s">
        <v>3288</v>
      </c>
      <c r="C64" s="24">
        <v>4000</v>
      </c>
    </row>
    <row r="65" spans="1:3" ht="12.5" x14ac:dyDescent="0.25">
      <c r="A65" s="23">
        <v>931</v>
      </c>
      <c r="B65" s="23" t="s">
        <v>8158</v>
      </c>
      <c r="C65" s="24">
        <v>1</v>
      </c>
    </row>
    <row r="66" spans="1:3" ht="12.5" x14ac:dyDescent="0.25">
      <c r="A66" s="23">
        <v>933</v>
      </c>
      <c r="B66" s="23" t="s">
        <v>3292</v>
      </c>
      <c r="C66" s="24">
        <v>0</v>
      </c>
    </row>
    <row r="67" spans="1:3" ht="12.5" x14ac:dyDescent="0.25">
      <c r="A67" s="23">
        <v>934</v>
      </c>
      <c r="B67" s="23" t="s">
        <v>3297</v>
      </c>
      <c r="C67" s="24">
        <v>10467</v>
      </c>
    </row>
    <row r="68" spans="1:3" ht="12.5" x14ac:dyDescent="0.25">
      <c r="A68" s="23">
        <v>935</v>
      </c>
      <c r="B68" s="23" t="s">
        <v>3303</v>
      </c>
      <c r="C68" s="24">
        <v>0</v>
      </c>
    </row>
    <row r="69" spans="1:3" ht="12.5" x14ac:dyDescent="0.25">
      <c r="A69" s="23">
        <v>936</v>
      </c>
      <c r="B69" s="23" t="s">
        <v>3308</v>
      </c>
      <c r="C69" s="24">
        <v>225</v>
      </c>
    </row>
    <row r="70" spans="1:3" ht="12.5" x14ac:dyDescent="0.25">
      <c r="A70" s="23">
        <v>937</v>
      </c>
      <c r="B70" s="23" t="s">
        <v>3314</v>
      </c>
      <c r="C70" s="24">
        <v>125</v>
      </c>
    </row>
    <row r="71" spans="1:3" ht="12.5" x14ac:dyDescent="0.25">
      <c r="A71" s="23">
        <v>940</v>
      </c>
      <c r="B71" s="23" t="s">
        <v>3320</v>
      </c>
      <c r="C71" s="24">
        <v>35382</v>
      </c>
    </row>
    <row r="72" spans="1:3" ht="12.5" x14ac:dyDescent="0.25">
      <c r="A72" s="23">
        <v>941</v>
      </c>
      <c r="B72" s="23" t="s">
        <v>3324</v>
      </c>
      <c r="C72" s="24">
        <v>138</v>
      </c>
    </row>
    <row r="73" spans="1:3" ht="12.5" x14ac:dyDescent="0.25">
      <c r="A73" s="23">
        <v>942</v>
      </c>
      <c r="B73" s="23" t="s">
        <v>3329</v>
      </c>
      <c r="C73" s="24">
        <v>138</v>
      </c>
    </row>
    <row r="74" spans="1:3" ht="12.5" x14ac:dyDescent="0.25">
      <c r="A74" s="23">
        <v>943</v>
      </c>
      <c r="B74" s="23" t="s">
        <v>3333</v>
      </c>
      <c r="C74" s="24">
        <v>75000</v>
      </c>
    </row>
    <row r="75" spans="1:3" ht="12.5" x14ac:dyDescent="0.25">
      <c r="A75" s="23">
        <v>944</v>
      </c>
      <c r="B75" s="23" t="s">
        <v>2747</v>
      </c>
      <c r="C75" s="24">
        <v>1000</v>
      </c>
    </row>
    <row r="76" spans="1:3" ht="12.5" x14ac:dyDescent="0.25">
      <c r="A76" s="23">
        <v>946</v>
      </c>
      <c r="B76" s="23" t="s">
        <v>3338</v>
      </c>
      <c r="C76" s="24">
        <v>5000</v>
      </c>
    </row>
    <row r="77" spans="1:3" ht="12.5" x14ac:dyDescent="0.25">
      <c r="A77" s="23">
        <v>947</v>
      </c>
      <c r="B77" s="23" t="s">
        <v>3343</v>
      </c>
      <c r="C77" s="24">
        <v>15000</v>
      </c>
    </row>
    <row r="78" spans="1:3" ht="12.5" x14ac:dyDescent="0.25">
      <c r="A78" s="23">
        <v>948</v>
      </c>
      <c r="B78" s="23" t="s">
        <v>6832</v>
      </c>
      <c r="C78" s="24">
        <v>500</v>
      </c>
    </row>
    <row r="79" spans="1:3" ht="12.5" x14ac:dyDescent="0.25">
      <c r="A79" s="23">
        <v>949</v>
      </c>
      <c r="B79" s="23" t="s">
        <v>3349</v>
      </c>
      <c r="C79" s="24">
        <v>36000</v>
      </c>
    </row>
    <row r="80" spans="1:3" ht="12.5" x14ac:dyDescent="0.25">
      <c r="A80" s="23">
        <v>950</v>
      </c>
      <c r="B80" s="23" t="s">
        <v>3353</v>
      </c>
      <c r="C80" s="24">
        <v>31000</v>
      </c>
    </row>
    <row r="81" spans="1:3" ht="12.5" x14ac:dyDescent="0.25">
      <c r="A81" s="23">
        <v>951</v>
      </c>
      <c r="B81" s="23" t="s">
        <v>3359</v>
      </c>
      <c r="C81" s="24">
        <v>180000</v>
      </c>
    </row>
    <row r="82" spans="1:3" ht="12.5" x14ac:dyDescent="0.25">
      <c r="A82" s="23">
        <v>952</v>
      </c>
      <c r="B82" s="23" t="s">
        <v>3363</v>
      </c>
      <c r="C82" s="24">
        <v>3750</v>
      </c>
    </row>
    <row r="83" spans="1:3" ht="12.5" x14ac:dyDescent="0.25">
      <c r="A83" s="23">
        <v>954</v>
      </c>
      <c r="B83" s="23" t="s">
        <v>3367</v>
      </c>
      <c r="C83" s="24">
        <v>3750</v>
      </c>
    </row>
    <row r="84" spans="1:3" ht="12.5" x14ac:dyDescent="0.25">
      <c r="A84" s="23">
        <v>955</v>
      </c>
      <c r="B84" s="23" t="s">
        <v>3369</v>
      </c>
      <c r="C84" s="24">
        <v>0</v>
      </c>
    </row>
    <row r="85" spans="1:3" ht="12.5" x14ac:dyDescent="0.25">
      <c r="A85" s="23">
        <v>956</v>
      </c>
      <c r="B85" s="23" t="s">
        <v>3372</v>
      </c>
      <c r="C85" s="24">
        <v>100000</v>
      </c>
    </row>
    <row r="86" spans="1:3" ht="12.5" x14ac:dyDescent="0.25">
      <c r="A86" s="23">
        <v>957</v>
      </c>
      <c r="B86" s="23" t="s">
        <v>3376</v>
      </c>
      <c r="C86" s="24">
        <v>140</v>
      </c>
    </row>
    <row r="87" spans="1:3" ht="12.5" x14ac:dyDescent="0.25">
      <c r="A87" s="23">
        <v>958</v>
      </c>
      <c r="B87" s="23" t="s">
        <v>3381</v>
      </c>
      <c r="C87" s="24">
        <v>86583</v>
      </c>
    </row>
    <row r="88" spans="1:3" ht="12.5" x14ac:dyDescent="0.25">
      <c r="A88" s="23">
        <v>960</v>
      </c>
      <c r="B88" s="23" t="s">
        <v>3386</v>
      </c>
      <c r="C88" s="24">
        <v>47841.84</v>
      </c>
    </row>
    <row r="89" spans="1:3" ht="12.5" x14ac:dyDescent="0.25">
      <c r="A89" s="23">
        <v>961</v>
      </c>
      <c r="B89" s="23" t="s">
        <v>3392</v>
      </c>
      <c r="C89" s="24">
        <v>30000</v>
      </c>
    </row>
    <row r="90" spans="1:3" ht="12.5" x14ac:dyDescent="0.25">
      <c r="A90" s="23">
        <v>963</v>
      </c>
      <c r="B90" s="23" t="s">
        <v>3397</v>
      </c>
      <c r="C90" s="24">
        <v>0</v>
      </c>
    </row>
    <row r="91" spans="1:3" ht="12.5" x14ac:dyDescent="0.25">
      <c r="A91" s="23">
        <v>964</v>
      </c>
      <c r="B91" s="23" t="s">
        <v>6675</v>
      </c>
      <c r="C91" s="24">
        <v>5000</v>
      </c>
    </row>
    <row r="92" spans="1:3" ht="12.5" x14ac:dyDescent="0.25">
      <c r="A92" s="23">
        <v>966</v>
      </c>
      <c r="B92" s="23" t="s">
        <v>6683</v>
      </c>
      <c r="C92" s="24">
        <v>35800</v>
      </c>
    </row>
    <row r="93" spans="1:3" ht="12.5" x14ac:dyDescent="0.25">
      <c r="A93" s="23">
        <v>968</v>
      </c>
      <c r="B93" s="23" t="s">
        <v>3401</v>
      </c>
      <c r="C93" s="24">
        <v>75526.2</v>
      </c>
    </row>
    <row r="94" spans="1:3" ht="12.5" x14ac:dyDescent="0.25">
      <c r="A94" s="23">
        <v>969</v>
      </c>
      <c r="B94" s="23" t="s">
        <v>3407</v>
      </c>
      <c r="C94" s="24">
        <v>5320</v>
      </c>
    </row>
    <row r="95" spans="1:3" ht="12.5" x14ac:dyDescent="0.25">
      <c r="A95" s="23">
        <v>970</v>
      </c>
      <c r="B95" s="23" t="s">
        <v>3413</v>
      </c>
      <c r="C95" s="24">
        <v>12652</v>
      </c>
    </row>
    <row r="96" spans="1:3" ht="12.5" x14ac:dyDescent="0.25">
      <c r="A96" s="23">
        <v>971</v>
      </c>
      <c r="B96" s="23" t="s">
        <v>3419</v>
      </c>
      <c r="C96" s="24">
        <v>85000</v>
      </c>
    </row>
    <row r="97" spans="1:3" ht="12.5" x14ac:dyDescent="0.25">
      <c r="A97" s="23">
        <v>973</v>
      </c>
      <c r="B97" s="23" t="s">
        <v>3424</v>
      </c>
      <c r="C97" s="24">
        <v>20828</v>
      </c>
    </row>
    <row r="98" spans="1:3" ht="12.5" x14ac:dyDescent="0.25">
      <c r="A98" s="23">
        <v>974</v>
      </c>
      <c r="B98" s="23" t="s">
        <v>3430</v>
      </c>
      <c r="C98" s="24">
        <v>0</v>
      </c>
    </row>
    <row r="99" spans="1:3" ht="12.5" x14ac:dyDescent="0.25">
      <c r="A99" s="23">
        <v>976</v>
      </c>
      <c r="B99" s="23" t="s">
        <v>3435</v>
      </c>
      <c r="C99" s="24">
        <v>10000</v>
      </c>
    </row>
    <row r="100" spans="1:3" ht="12.5" x14ac:dyDescent="0.25">
      <c r="A100" s="23">
        <v>977</v>
      </c>
      <c r="B100" s="23" t="s">
        <v>7310</v>
      </c>
      <c r="C100" s="24">
        <v>155000</v>
      </c>
    </row>
    <row r="101" spans="1:3" ht="12.5" x14ac:dyDescent="0.25">
      <c r="A101" s="23">
        <v>978</v>
      </c>
      <c r="B101" s="23" t="s">
        <v>6695</v>
      </c>
      <c r="C101" s="24">
        <v>2276</v>
      </c>
    </row>
    <row r="102" spans="1:3" ht="12.5" x14ac:dyDescent="0.25">
      <c r="A102" s="23">
        <v>979</v>
      </c>
      <c r="B102" s="23" t="s">
        <v>3441</v>
      </c>
      <c r="C102" s="24">
        <v>100000</v>
      </c>
    </row>
    <row r="103" spans="1:3" ht="12.5" x14ac:dyDescent="0.25">
      <c r="A103" s="23">
        <v>980</v>
      </c>
      <c r="B103" s="23" t="s">
        <v>3446</v>
      </c>
      <c r="C103" s="24">
        <v>837</v>
      </c>
    </row>
    <row r="104" spans="1:3" ht="12.5" x14ac:dyDescent="0.25">
      <c r="A104" s="23">
        <v>982</v>
      </c>
      <c r="B104" s="23" t="s">
        <v>9898</v>
      </c>
      <c r="C104" s="24"/>
    </row>
    <row r="105" spans="1:3" ht="12.5" x14ac:dyDescent="0.25">
      <c r="A105" s="23">
        <v>983</v>
      </c>
      <c r="B105" s="23" t="s">
        <v>5867</v>
      </c>
      <c r="C105" s="24">
        <v>15111.39</v>
      </c>
    </row>
    <row r="106" spans="1:3" ht="12.5" x14ac:dyDescent="0.25">
      <c r="A106" s="23">
        <v>984</v>
      </c>
      <c r="B106" s="23" t="s">
        <v>3450</v>
      </c>
      <c r="C106" s="24">
        <v>30000</v>
      </c>
    </row>
    <row r="107" spans="1:3" ht="12.5" x14ac:dyDescent="0.25">
      <c r="A107" s="23">
        <v>986</v>
      </c>
      <c r="B107" s="23" t="s">
        <v>3460</v>
      </c>
      <c r="C107" s="24"/>
    </row>
    <row r="108" spans="1:3" ht="12.5" x14ac:dyDescent="0.25">
      <c r="A108" s="23">
        <v>987</v>
      </c>
      <c r="B108" s="23" t="s">
        <v>3454</v>
      </c>
      <c r="C108" s="24">
        <v>200000</v>
      </c>
    </row>
    <row r="109" spans="1:3" ht="12.5" x14ac:dyDescent="0.25">
      <c r="A109" s="23">
        <v>988</v>
      </c>
      <c r="B109" s="23" t="s">
        <v>3464</v>
      </c>
      <c r="C109" s="24"/>
    </row>
    <row r="110" spans="1:3" ht="12.5" x14ac:dyDescent="0.25">
      <c r="A110" s="23">
        <v>991</v>
      </c>
      <c r="B110" s="23" t="s">
        <v>3466</v>
      </c>
      <c r="C110" s="24">
        <v>245169</v>
      </c>
    </row>
    <row r="111" spans="1:3" ht="12.5" x14ac:dyDescent="0.25">
      <c r="A111" s="23">
        <v>992</v>
      </c>
      <c r="B111" s="23" t="s">
        <v>3472</v>
      </c>
      <c r="C111" s="24">
        <v>500</v>
      </c>
    </row>
    <row r="112" spans="1:3" ht="12.5" x14ac:dyDescent="0.25">
      <c r="A112" s="23">
        <v>993</v>
      </c>
      <c r="B112" s="23" t="s">
        <v>8153</v>
      </c>
      <c r="C112" s="24">
        <v>1</v>
      </c>
    </row>
    <row r="113" spans="1:3" ht="12.5" x14ac:dyDescent="0.25">
      <c r="A113" s="23">
        <v>994</v>
      </c>
      <c r="B113" s="23" t="s">
        <v>3477</v>
      </c>
      <c r="C113" s="24">
        <v>35000</v>
      </c>
    </row>
    <row r="114" spans="1:3" ht="12.5" x14ac:dyDescent="0.25">
      <c r="A114" s="23">
        <v>995</v>
      </c>
      <c r="B114" s="23" t="s">
        <v>3482</v>
      </c>
      <c r="C114" s="24">
        <v>35000</v>
      </c>
    </row>
    <row r="115" spans="1:3" ht="12.5" x14ac:dyDescent="0.25">
      <c r="A115" s="23">
        <v>996</v>
      </c>
      <c r="B115" s="23" t="s">
        <v>3487</v>
      </c>
      <c r="C115" s="24">
        <v>35000</v>
      </c>
    </row>
    <row r="116" spans="1:3" ht="12.5" x14ac:dyDescent="0.25">
      <c r="A116" s="23">
        <v>997</v>
      </c>
      <c r="B116" s="23" t="s">
        <v>3492</v>
      </c>
      <c r="C116" s="24">
        <v>500</v>
      </c>
    </row>
    <row r="117" spans="1:3" ht="12.5" x14ac:dyDescent="0.25">
      <c r="A117" s="23">
        <v>998</v>
      </c>
      <c r="B117" s="23" t="s">
        <v>3496</v>
      </c>
      <c r="C117" s="24">
        <v>2500</v>
      </c>
    </row>
    <row r="118" spans="1:3" ht="12.5" x14ac:dyDescent="0.25">
      <c r="A118" s="23">
        <v>999</v>
      </c>
      <c r="B118" s="23" t="s">
        <v>3501</v>
      </c>
      <c r="C118" s="24">
        <v>4000</v>
      </c>
    </row>
    <row r="119" spans="1:3" ht="12.5" x14ac:dyDescent="0.25">
      <c r="A119" s="23">
        <v>1000</v>
      </c>
      <c r="B119" s="23" t="s">
        <v>3505</v>
      </c>
      <c r="C119" s="24">
        <v>51000</v>
      </c>
    </row>
    <row r="120" spans="1:3" ht="12.5" x14ac:dyDescent="0.25">
      <c r="A120" s="23">
        <v>1001</v>
      </c>
      <c r="B120" s="23" t="s">
        <v>8148</v>
      </c>
      <c r="C120" s="24">
        <v>1</v>
      </c>
    </row>
    <row r="121" spans="1:3" ht="12.5" x14ac:dyDescent="0.25">
      <c r="A121" s="23">
        <v>1002</v>
      </c>
      <c r="B121" s="23" t="s">
        <v>3509</v>
      </c>
      <c r="C121" s="24">
        <v>49500</v>
      </c>
    </row>
    <row r="122" spans="1:3" ht="12.5" x14ac:dyDescent="0.25">
      <c r="A122" s="23">
        <v>1003</v>
      </c>
      <c r="B122" s="23" t="s">
        <v>3511</v>
      </c>
      <c r="C122" s="24">
        <v>49500</v>
      </c>
    </row>
    <row r="123" spans="1:3" ht="12.5" x14ac:dyDescent="0.25">
      <c r="A123" s="23">
        <v>1004</v>
      </c>
      <c r="B123" s="23" t="s">
        <v>3513</v>
      </c>
      <c r="C123" s="24">
        <v>2500</v>
      </c>
    </row>
    <row r="124" spans="1:3" ht="12.5" x14ac:dyDescent="0.25">
      <c r="A124" s="23">
        <v>1005</v>
      </c>
      <c r="B124" s="23" t="s">
        <v>5618</v>
      </c>
      <c r="C124" s="24"/>
    </row>
    <row r="125" spans="1:3" ht="12.5" x14ac:dyDescent="0.25">
      <c r="A125" s="23">
        <v>1006</v>
      </c>
      <c r="B125" s="23" t="s">
        <v>3518</v>
      </c>
      <c r="C125" s="24">
        <v>206745</v>
      </c>
    </row>
    <row r="126" spans="1:3" ht="12.5" x14ac:dyDescent="0.25">
      <c r="A126" s="23">
        <v>1007</v>
      </c>
      <c r="B126" s="23" t="s">
        <v>9100</v>
      </c>
      <c r="C126" s="24">
        <v>1</v>
      </c>
    </row>
    <row r="127" spans="1:3" ht="12.5" x14ac:dyDescent="0.25">
      <c r="A127" s="23">
        <v>1008</v>
      </c>
      <c r="B127" s="23" t="s">
        <v>3524</v>
      </c>
      <c r="C127" s="24">
        <v>150000</v>
      </c>
    </row>
    <row r="128" spans="1:3" ht="12.5" x14ac:dyDescent="0.25">
      <c r="A128" s="23">
        <v>1009</v>
      </c>
      <c r="B128" s="23" t="s">
        <v>9106</v>
      </c>
      <c r="C128" s="24">
        <v>1</v>
      </c>
    </row>
    <row r="129" spans="1:3" ht="12.5" x14ac:dyDescent="0.25">
      <c r="A129" s="23">
        <v>1010</v>
      </c>
      <c r="B129" s="23" t="s">
        <v>3530</v>
      </c>
      <c r="C129" s="24">
        <v>20000</v>
      </c>
    </row>
    <row r="130" spans="1:3" ht="12.5" x14ac:dyDescent="0.25">
      <c r="A130" s="23">
        <v>1011</v>
      </c>
      <c r="B130" s="23" t="s">
        <v>3536</v>
      </c>
      <c r="C130" s="24">
        <v>12000</v>
      </c>
    </row>
    <row r="131" spans="1:3" ht="12.5" x14ac:dyDescent="0.25">
      <c r="A131" s="23">
        <v>1012</v>
      </c>
      <c r="B131" s="23" t="s">
        <v>6608</v>
      </c>
      <c r="C131" s="24">
        <v>25000</v>
      </c>
    </row>
    <row r="132" spans="1:3" ht="12.5" x14ac:dyDescent="0.25">
      <c r="A132" s="23">
        <v>1013</v>
      </c>
      <c r="B132" s="23" t="s">
        <v>3543</v>
      </c>
      <c r="C132" s="24">
        <v>7730</v>
      </c>
    </row>
    <row r="133" spans="1:3" ht="12.5" x14ac:dyDescent="0.25">
      <c r="A133" s="23">
        <v>1014</v>
      </c>
      <c r="B133" s="23" t="s">
        <v>3548</v>
      </c>
      <c r="C133" s="24">
        <v>29423</v>
      </c>
    </row>
    <row r="134" spans="1:3" ht="12.5" x14ac:dyDescent="0.25">
      <c r="A134" s="23">
        <v>1015</v>
      </c>
      <c r="B134" s="23" t="s">
        <v>3553</v>
      </c>
      <c r="C134" s="24">
        <v>116870</v>
      </c>
    </row>
    <row r="135" spans="1:3" ht="12.5" x14ac:dyDescent="0.25">
      <c r="A135" s="23">
        <v>1016</v>
      </c>
      <c r="B135" s="23" t="s">
        <v>5517</v>
      </c>
      <c r="C135" s="24">
        <v>94297.092000000004</v>
      </c>
    </row>
    <row r="136" spans="1:3" ht="12.5" x14ac:dyDescent="0.25">
      <c r="A136" s="23">
        <v>1017</v>
      </c>
      <c r="B136" s="23" t="s">
        <v>3560</v>
      </c>
      <c r="C136" s="24">
        <v>14168</v>
      </c>
    </row>
    <row r="137" spans="1:3" ht="12.5" x14ac:dyDescent="0.25">
      <c r="A137" s="23">
        <v>1018</v>
      </c>
      <c r="B137" s="23" t="s">
        <v>3566</v>
      </c>
      <c r="C137" s="24">
        <v>292727</v>
      </c>
    </row>
    <row r="138" spans="1:3" ht="12.5" x14ac:dyDescent="0.25">
      <c r="A138" s="23">
        <v>1019</v>
      </c>
      <c r="B138" s="23" t="s">
        <v>3571</v>
      </c>
      <c r="C138" s="24">
        <v>282200</v>
      </c>
    </row>
    <row r="139" spans="1:3" ht="12.5" x14ac:dyDescent="0.25">
      <c r="A139" s="23">
        <v>1020</v>
      </c>
      <c r="B139" s="23" t="s">
        <v>3576</v>
      </c>
      <c r="C139" s="24">
        <v>25000</v>
      </c>
    </row>
    <row r="140" spans="1:3" ht="12.5" x14ac:dyDescent="0.25">
      <c r="A140" s="23">
        <v>1021</v>
      </c>
      <c r="B140" s="23" t="s">
        <v>3581</v>
      </c>
      <c r="C140" s="24">
        <v>25000</v>
      </c>
    </row>
    <row r="141" spans="1:3" ht="12.5" x14ac:dyDescent="0.25">
      <c r="A141" s="23">
        <v>1022</v>
      </c>
      <c r="B141" s="23" t="s">
        <v>3586</v>
      </c>
      <c r="C141" s="24">
        <v>25000</v>
      </c>
    </row>
    <row r="142" spans="1:3" ht="12.5" x14ac:dyDescent="0.25">
      <c r="A142" s="23">
        <v>1023</v>
      </c>
      <c r="B142" s="23" t="s">
        <v>3591</v>
      </c>
      <c r="C142" s="24">
        <v>25000</v>
      </c>
    </row>
    <row r="143" spans="1:3" ht="12.5" x14ac:dyDescent="0.25">
      <c r="A143" s="23">
        <v>1024</v>
      </c>
      <c r="B143" s="23" t="s">
        <v>3596</v>
      </c>
      <c r="C143" s="24">
        <v>15440</v>
      </c>
    </row>
    <row r="144" spans="1:3" ht="12.5" x14ac:dyDescent="0.25">
      <c r="A144" s="23">
        <v>1025</v>
      </c>
      <c r="B144" s="23" t="s">
        <v>8601</v>
      </c>
      <c r="C144" s="24">
        <v>3500</v>
      </c>
    </row>
    <row r="145" spans="1:3" ht="12.5" x14ac:dyDescent="0.25">
      <c r="A145" s="23">
        <v>1026</v>
      </c>
      <c r="B145" s="23" t="s">
        <v>3601</v>
      </c>
      <c r="C145" s="24">
        <v>4000</v>
      </c>
    </row>
    <row r="146" spans="1:3" ht="12.5" x14ac:dyDescent="0.25">
      <c r="A146" s="23">
        <v>1027</v>
      </c>
      <c r="B146" s="23" t="s">
        <v>7255</v>
      </c>
      <c r="C146" s="24"/>
    </row>
    <row r="147" spans="1:3" ht="12.5" x14ac:dyDescent="0.25">
      <c r="A147" s="23">
        <v>1028</v>
      </c>
      <c r="B147" s="23" t="s">
        <v>3606</v>
      </c>
      <c r="C147" s="24">
        <v>35000</v>
      </c>
    </row>
    <row r="148" spans="1:3" ht="12.5" x14ac:dyDescent="0.25">
      <c r="A148" s="23">
        <v>1029</v>
      </c>
      <c r="B148" s="23" t="s">
        <v>3611</v>
      </c>
      <c r="C148" s="24">
        <v>3000</v>
      </c>
    </row>
    <row r="149" spans="1:3" ht="12.5" x14ac:dyDescent="0.25">
      <c r="A149" s="23">
        <v>1030</v>
      </c>
      <c r="B149" s="23" t="s">
        <v>3616</v>
      </c>
      <c r="C149" s="24">
        <v>3000</v>
      </c>
    </row>
    <row r="150" spans="1:3" ht="12.5" x14ac:dyDescent="0.25">
      <c r="A150" s="23">
        <v>1031</v>
      </c>
      <c r="B150" s="23" t="s">
        <v>3621</v>
      </c>
      <c r="C150" s="24">
        <v>3500</v>
      </c>
    </row>
    <row r="151" spans="1:3" ht="12.5" x14ac:dyDescent="0.25">
      <c r="A151" s="23">
        <v>1032</v>
      </c>
      <c r="B151" s="23" t="s">
        <v>6708</v>
      </c>
      <c r="C151" s="24">
        <v>16000</v>
      </c>
    </row>
    <row r="152" spans="1:3" ht="12.5" x14ac:dyDescent="0.25">
      <c r="A152" s="23">
        <v>1034</v>
      </c>
      <c r="B152" s="23" t="s">
        <v>3626</v>
      </c>
      <c r="C152" s="24">
        <v>50000</v>
      </c>
    </row>
    <row r="153" spans="1:3" ht="12.5" x14ac:dyDescent="0.25">
      <c r="A153" s="23">
        <v>1035</v>
      </c>
      <c r="B153" s="23" t="s">
        <v>5536</v>
      </c>
      <c r="C153" s="24">
        <v>13000</v>
      </c>
    </row>
    <row r="154" spans="1:3" ht="12.5" x14ac:dyDescent="0.25">
      <c r="A154" s="23">
        <v>1036</v>
      </c>
      <c r="B154" s="23" t="s">
        <v>5741</v>
      </c>
      <c r="C154" s="24">
        <v>1</v>
      </c>
    </row>
    <row r="155" spans="1:3" ht="12.5" x14ac:dyDescent="0.25">
      <c r="A155" s="23">
        <v>1037</v>
      </c>
      <c r="B155" s="23" t="s">
        <v>3631</v>
      </c>
      <c r="C155" s="24">
        <v>50000</v>
      </c>
    </row>
    <row r="156" spans="1:3" ht="12.5" x14ac:dyDescent="0.25">
      <c r="A156" s="23">
        <v>1038</v>
      </c>
      <c r="B156" s="23" t="s">
        <v>3637</v>
      </c>
      <c r="C156" s="24">
        <v>204225</v>
      </c>
    </row>
    <row r="157" spans="1:3" ht="12.5" x14ac:dyDescent="0.25">
      <c r="A157" s="23">
        <v>1039</v>
      </c>
      <c r="B157" s="23" t="s">
        <v>3643</v>
      </c>
      <c r="C157" s="24">
        <v>680</v>
      </c>
    </row>
    <row r="158" spans="1:3" ht="12.5" x14ac:dyDescent="0.25">
      <c r="A158" s="23">
        <v>1040</v>
      </c>
      <c r="B158" s="23" t="s">
        <v>3649</v>
      </c>
      <c r="C158" s="24">
        <v>250000</v>
      </c>
    </row>
    <row r="159" spans="1:3" ht="12.5" x14ac:dyDescent="0.25">
      <c r="A159" s="23">
        <v>1041</v>
      </c>
      <c r="B159" s="23" t="s">
        <v>3654</v>
      </c>
      <c r="C159" s="24">
        <v>15000</v>
      </c>
    </row>
    <row r="160" spans="1:3" ht="12.5" x14ac:dyDescent="0.25">
      <c r="A160" s="23">
        <v>1042</v>
      </c>
      <c r="B160" s="23" t="s">
        <v>6322</v>
      </c>
      <c r="C160" s="24"/>
    </row>
    <row r="161" spans="1:3" ht="12.5" x14ac:dyDescent="0.25">
      <c r="A161" s="23">
        <v>1043</v>
      </c>
      <c r="B161" s="23" t="s">
        <v>3659</v>
      </c>
      <c r="C161" s="24">
        <v>7500</v>
      </c>
    </row>
    <row r="162" spans="1:3" ht="12.5" x14ac:dyDescent="0.25">
      <c r="A162" s="23">
        <v>1044</v>
      </c>
      <c r="B162" s="23" t="s">
        <v>3663</v>
      </c>
      <c r="C162" s="24"/>
    </row>
    <row r="163" spans="1:3" ht="12.5" x14ac:dyDescent="0.25">
      <c r="A163" s="23">
        <v>1049</v>
      </c>
      <c r="B163" s="23" t="s">
        <v>9238</v>
      </c>
      <c r="C163" s="24"/>
    </row>
    <row r="164" spans="1:3" ht="12.5" x14ac:dyDescent="0.25">
      <c r="A164" s="23">
        <v>1050</v>
      </c>
      <c r="B164" s="23" t="s">
        <v>3668</v>
      </c>
      <c r="C164" s="24">
        <v>50000</v>
      </c>
    </row>
    <row r="165" spans="1:3" ht="12.5" x14ac:dyDescent="0.25">
      <c r="A165" s="23">
        <v>1051</v>
      </c>
      <c r="B165" s="23" t="s">
        <v>3673</v>
      </c>
      <c r="C165" s="24">
        <v>50000</v>
      </c>
    </row>
    <row r="166" spans="1:3" ht="12.5" x14ac:dyDescent="0.25">
      <c r="A166" s="23">
        <v>1052</v>
      </c>
      <c r="B166" s="23" t="s">
        <v>3679</v>
      </c>
      <c r="C166" s="24">
        <v>35000</v>
      </c>
    </row>
    <row r="167" spans="1:3" ht="12.5" x14ac:dyDescent="0.25">
      <c r="A167" s="23">
        <v>1053</v>
      </c>
      <c r="B167" s="23" t="s">
        <v>3684</v>
      </c>
      <c r="C167" s="24">
        <v>0</v>
      </c>
    </row>
    <row r="168" spans="1:3" ht="12.5" x14ac:dyDescent="0.25">
      <c r="A168" s="23">
        <v>1054</v>
      </c>
      <c r="B168" s="23" t="s">
        <v>3690</v>
      </c>
      <c r="C168" s="24"/>
    </row>
    <row r="169" spans="1:3" ht="12.5" x14ac:dyDescent="0.25">
      <c r="A169" s="23">
        <v>1055</v>
      </c>
      <c r="B169" s="23" t="s">
        <v>3694</v>
      </c>
      <c r="C169" s="24">
        <v>265000</v>
      </c>
    </row>
    <row r="170" spans="1:3" ht="12.5" x14ac:dyDescent="0.25">
      <c r="A170" s="23">
        <v>1056</v>
      </c>
      <c r="B170" s="23" t="s">
        <v>3699</v>
      </c>
      <c r="C170" s="24">
        <v>40000</v>
      </c>
    </row>
    <row r="171" spans="1:3" ht="12.5" x14ac:dyDescent="0.25">
      <c r="A171" s="23">
        <v>1057</v>
      </c>
      <c r="B171" s="23" t="s">
        <v>3705</v>
      </c>
      <c r="C171" s="24">
        <v>24494.38</v>
      </c>
    </row>
    <row r="172" spans="1:3" ht="12.5" x14ac:dyDescent="0.25">
      <c r="A172" s="23">
        <v>1060</v>
      </c>
      <c r="B172" s="23" t="s">
        <v>3710</v>
      </c>
      <c r="C172" s="24">
        <v>153565</v>
      </c>
    </row>
    <row r="173" spans="1:3" ht="12.5" x14ac:dyDescent="0.25">
      <c r="A173" s="23">
        <v>1063</v>
      </c>
      <c r="B173" s="23" t="s">
        <v>3715</v>
      </c>
      <c r="C173" s="24">
        <v>567982.84</v>
      </c>
    </row>
    <row r="174" spans="1:3" ht="12.5" x14ac:dyDescent="0.25">
      <c r="A174" s="23">
        <v>1064</v>
      </c>
      <c r="B174" s="23" t="s">
        <v>3721</v>
      </c>
      <c r="C174" s="24">
        <v>20367.03</v>
      </c>
    </row>
    <row r="175" spans="1:3" ht="12.5" x14ac:dyDescent="0.25">
      <c r="A175" s="23">
        <v>1066</v>
      </c>
      <c r="B175" s="23" t="s">
        <v>3727</v>
      </c>
      <c r="C175" s="24">
        <v>40000</v>
      </c>
    </row>
    <row r="176" spans="1:3" ht="12.5" x14ac:dyDescent="0.25">
      <c r="A176" s="23">
        <v>1067</v>
      </c>
      <c r="B176" s="23" t="s">
        <v>3732</v>
      </c>
      <c r="C176" s="24">
        <v>6000</v>
      </c>
    </row>
    <row r="177" spans="1:3" ht="12.5" x14ac:dyDescent="0.25">
      <c r="A177" s="23">
        <v>1068</v>
      </c>
      <c r="B177" s="23" t="s">
        <v>2280</v>
      </c>
      <c r="C177" s="24">
        <v>360000</v>
      </c>
    </row>
    <row r="178" spans="1:3" ht="12.5" x14ac:dyDescent="0.25">
      <c r="A178" s="23">
        <v>1071</v>
      </c>
      <c r="B178" s="23" t="s">
        <v>3738</v>
      </c>
      <c r="C178" s="24">
        <v>50000</v>
      </c>
    </row>
    <row r="179" spans="1:3" ht="12.5" x14ac:dyDescent="0.25">
      <c r="A179" s="23">
        <v>1074</v>
      </c>
      <c r="B179" s="23" t="s">
        <v>3743</v>
      </c>
      <c r="C179" s="24">
        <v>65000</v>
      </c>
    </row>
    <row r="180" spans="1:3" ht="12.5" x14ac:dyDescent="0.25">
      <c r="A180" s="23">
        <v>1075</v>
      </c>
      <c r="B180" s="23" t="s">
        <v>3748</v>
      </c>
      <c r="C180" s="24">
        <v>5000</v>
      </c>
    </row>
    <row r="181" spans="1:3" ht="12.5" x14ac:dyDescent="0.25">
      <c r="A181" s="23">
        <v>1076</v>
      </c>
      <c r="B181" s="23" t="s">
        <v>8144</v>
      </c>
      <c r="C181" s="24">
        <v>1</v>
      </c>
    </row>
    <row r="182" spans="1:3" ht="12.5" x14ac:dyDescent="0.25">
      <c r="A182" s="23">
        <v>1078</v>
      </c>
      <c r="B182" s="23" t="s">
        <v>8139</v>
      </c>
      <c r="C182" s="24">
        <v>1</v>
      </c>
    </row>
    <row r="183" spans="1:3" ht="12.5" x14ac:dyDescent="0.25">
      <c r="A183" s="23">
        <v>1079</v>
      </c>
      <c r="B183" s="23" t="s">
        <v>3753</v>
      </c>
      <c r="C183" s="24">
        <v>34540</v>
      </c>
    </row>
    <row r="184" spans="1:3" ht="12.5" x14ac:dyDescent="0.25">
      <c r="A184" s="23">
        <v>1080</v>
      </c>
      <c r="B184" s="23" t="s">
        <v>3759</v>
      </c>
      <c r="C184" s="24">
        <v>75000</v>
      </c>
    </row>
    <row r="185" spans="1:3" ht="12.5" x14ac:dyDescent="0.25">
      <c r="A185" s="23">
        <v>1081</v>
      </c>
      <c r="B185" s="23" t="s">
        <v>3764</v>
      </c>
      <c r="C185" s="24">
        <v>240000</v>
      </c>
    </row>
    <row r="186" spans="1:3" ht="12.5" x14ac:dyDescent="0.25">
      <c r="A186" s="23">
        <v>1082</v>
      </c>
      <c r="B186" s="23" t="s">
        <v>3768</v>
      </c>
      <c r="C186" s="24">
        <v>75000</v>
      </c>
    </row>
    <row r="187" spans="1:3" ht="12.5" x14ac:dyDescent="0.25">
      <c r="A187" s="23">
        <v>1083</v>
      </c>
      <c r="B187" s="23" t="s">
        <v>3772</v>
      </c>
      <c r="C187" s="24">
        <v>62500</v>
      </c>
    </row>
    <row r="188" spans="1:3" ht="12.5" x14ac:dyDescent="0.25">
      <c r="A188" s="23">
        <v>1084</v>
      </c>
      <c r="B188" s="23" t="s">
        <v>6916</v>
      </c>
      <c r="C188" s="24"/>
    </row>
    <row r="189" spans="1:3" ht="12.5" x14ac:dyDescent="0.25">
      <c r="A189" s="23">
        <v>1085</v>
      </c>
      <c r="B189" s="23" t="s">
        <v>3777</v>
      </c>
      <c r="C189" s="24">
        <v>2500</v>
      </c>
    </row>
    <row r="190" spans="1:3" ht="12.5" x14ac:dyDescent="0.25">
      <c r="A190" s="23">
        <v>1086</v>
      </c>
      <c r="B190" s="23" t="s">
        <v>3782</v>
      </c>
      <c r="C190" s="24"/>
    </row>
    <row r="191" spans="1:3" ht="12.5" x14ac:dyDescent="0.25">
      <c r="A191" s="23">
        <v>1088</v>
      </c>
      <c r="B191" s="23" t="s">
        <v>3788</v>
      </c>
      <c r="C191" s="24">
        <v>1000</v>
      </c>
    </row>
    <row r="192" spans="1:3" ht="12.5" x14ac:dyDescent="0.25">
      <c r="A192" s="23">
        <v>1089</v>
      </c>
      <c r="B192" s="23" t="s">
        <v>3793</v>
      </c>
      <c r="C192" s="24">
        <v>120000</v>
      </c>
    </row>
    <row r="193" spans="1:3" ht="12.5" x14ac:dyDescent="0.25">
      <c r="A193" s="23">
        <v>1090</v>
      </c>
      <c r="B193" s="23" t="s">
        <v>3798</v>
      </c>
      <c r="C193" s="24">
        <v>45000</v>
      </c>
    </row>
    <row r="194" spans="1:3" ht="12.5" x14ac:dyDescent="0.25">
      <c r="A194" s="23">
        <v>1091</v>
      </c>
      <c r="B194" s="23" t="s">
        <v>3013</v>
      </c>
      <c r="C194" s="24">
        <v>0</v>
      </c>
    </row>
    <row r="195" spans="1:3" ht="12.5" x14ac:dyDescent="0.25">
      <c r="A195" s="23">
        <v>1092</v>
      </c>
      <c r="B195" s="23" t="s">
        <v>3015</v>
      </c>
      <c r="C195" s="24">
        <v>0</v>
      </c>
    </row>
    <row r="196" spans="1:3" ht="12.5" x14ac:dyDescent="0.25">
      <c r="A196" s="23">
        <v>1093</v>
      </c>
      <c r="B196" s="23" t="s">
        <v>3017</v>
      </c>
      <c r="C196" s="24">
        <v>0</v>
      </c>
    </row>
    <row r="197" spans="1:3" ht="12.5" x14ac:dyDescent="0.25">
      <c r="A197" s="23">
        <v>1095</v>
      </c>
      <c r="B197" s="23" t="s">
        <v>3810</v>
      </c>
      <c r="C197" s="24">
        <v>0</v>
      </c>
    </row>
    <row r="198" spans="1:3" ht="12.5" x14ac:dyDescent="0.25">
      <c r="A198" s="23">
        <v>1096</v>
      </c>
      <c r="B198" s="23" t="s">
        <v>3815</v>
      </c>
      <c r="C198" s="24">
        <v>43542</v>
      </c>
    </row>
    <row r="199" spans="1:3" ht="12.5" x14ac:dyDescent="0.25">
      <c r="A199" s="23">
        <v>1099</v>
      </c>
      <c r="B199" s="23" t="s">
        <v>821</v>
      </c>
      <c r="C199" s="24">
        <v>27487.814493000002</v>
      </c>
    </row>
    <row r="200" spans="1:3" ht="12.5" x14ac:dyDescent="0.25">
      <c r="A200" s="23">
        <v>1103</v>
      </c>
      <c r="B200" s="23" t="s">
        <v>3824</v>
      </c>
      <c r="C200" s="24">
        <v>10000</v>
      </c>
    </row>
    <row r="201" spans="1:3" ht="12.5" x14ac:dyDescent="0.25">
      <c r="A201" s="23">
        <v>1104</v>
      </c>
      <c r="B201" s="23" t="s">
        <v>3829</v>
      </c>
      <c r="C201" s="24">
        <v>0</v>
      </c>
    </row>
    <row r="202" spans="1:3" ht="12.5" x14ac:dyDescent="0.25">
      <c r="A202" s="23">
        <v>1105</v>
      </c>
      <c r="B202" s="23" t="s">
        <v>234</v>
      </c>
      <c r="C202" s="24">
        <v>0</v>
      </c>
    </row>
    <row r="203" spans="1:3" ht="12.5" x14ac:dyDescent="0.25">
      <c r="A203" s="23">
        <v>1106</v>
      </c>
      <c r="B203" s="23" t="s">
        <v>236</v>
      </c>
      <c r="C203" s="24">
        <v>0</v>
      </c>
    </row>
    <row r="204" spans="1:3" ht="12.5" x14ac:dyDescent="0.25">
      <c r="A204" s="23">
        <v>1107</v>
      </c>
      <c r="B204" s="23" t="s">
        <v>3839</v>
      </c>
      <c r="C204" s="24">
        <v>150000</v>
      </c>
    </row>
    <row r="205" spans="1:3" ht="12.5" x14ac:dyDescent="0.25">
      <c r="A205" s="23">
        <v>1110</v>
      </c>
      <c r="B205" s="23" t="s">
        <v>9222</v>
      </c>
      <c r="C205" s="24">
        <v>20000</v>
      </c>
    </row>
    <row r="206" spans="1:3" ht="12.5" x14ac:dyDescent="0.25">
      <c r="A206" s="23">
        <v>1111</v>
      </c>
      <c r="B206" s="23" t="s">
        <v>9193</v>
      </c>
      <c r="C206" s="24">
        <v>10000</v>
      </c>
    </row>
    <row r="207" spans="1:3" ht="12.5" x14ac:dyDescent="0.25">
      <c r="A207" s="23">
        <v>1113</v>
      </c>
      <c r="B207" s="23" t="s">
        <v>3844</v>
      </c>
      <c r="C207" s="24">
        <v>14245</v>
      </c>
    </row>
    <row r="208" spans="1:3" ht="12.5" x14ac:dyDescent="0.25">
      <c r="A208" s="23">
        <v>1114</v>
      </c>
      <c r="B208" s="23" t="s">
        <v>3849</v>
      </c>
      <c r="C208" s="24">
        <v>80000</v>
      </c>
    </row>
    <row r="209" spans="1:3" ht="12.5" x14ac:dyDescent="0.25">
      <c r="A209" s="23">
        <v>1115</v>
      </c>
      <c r="B209" s="23" t="s">
        <v>3854</v>
      </c>
      <c r="C209" s="24">
        <v>50000</v>
      </c>
    </row>
    <row r="210" spans="1:3" ht="12.5" x14ac:dyDescent="0.25">
      <c r="A210" s="23">
        <v>1116</v>
      </c>
      <c r="B210" s="23" t="s">
        <v>3859</v>
      </c>
      <c r="C210" s="24">
        <v>2000</v>
      </c>
    </row>
    <row r="211" spans="1:3" ht="12.5" x14ac:dyDescent="0.25">
      <c r="A211" s="23">
        <v>1118</v>
      </c>
      <c r="B211" s="23" t="s">
        <v>3863</v>
      </c>
      <c r="C211" s="24">
        <v>35000</v>
      </c>
    </row>
    <row r="212" spans="1:3" ht="12.5" x14ac:dyDescent="0.25">
      <c r="A212" s="23">
        <v>1119</v>
      </c>
      <c r="B212" s="23" t="s">
        <v>3868</v>
      </c>
      <c r="C212" s="24">
        <v>35000</v>
      </c>
    </row>
    <row r="213" spans="1:3" ht="12.5" x14ac:dyDescent="0.25">
      <c r="A213" s="23">
        <v>1120</v>
      </c>
      <c r="B213" s="23" t="s">
        <v>3873</v>
      </c>
      <c r="C213" s="24">
        <v>27200</v>
      </c>
    </row>
    <row r="214" spans="1:3" ht="12.5" x14ac:dyDescent="0.25">
      <c r="A214" s="23">
        <v>1122</v>
      </c>
      <c r="B214" s="23" t="s">
        <v>3878</v>
      </c>
      <c r="C214" s="24">
        <v>2500</v>
      </c>
    </row>
    <row r="215" spans="1:3" ht="12.5" x14ac:dyDescent="0.25">
      <c r="A215" s="23">
        <v>1123</v>
      </c>
      <c r="B215" s="23" t="s">
        <v>3883</v>
      </c>
      <c r="C215" s="24">
        <v>2500</v>
      </c>
    </row>
    <row r="216" spans="1:3" ht="12.5" x14ac:dyDescent="0.25">
      <c r="A216" s="23">
        <v>1124</v>
      </c>
      <c r="B216" s="23" t="s">
        <v>3888</v>
      </c>
      <c r="C216" s="24">
        <v>4000</v>
      </c>
    </row>
    <row r="217" spans="1:3" ht="12.5" x14ac:dyDescent="0.25">
      <c r="A217" s="23">
        <v>1125</v>
      </c>
      <c r="B217" s="23" t="s">
        <v>3892</v>
      </c>
      <c r="C217" s="24">
        <v>193</v>
      </c>
    </row>
    <row r="218" spans="1:3" ht="12.5" x14ac:dyDescent="0.25">
      <c r="A218" s="23">
        <v>1126</v>
      </c>
      <c r="B218" s="23" t="s">
        <v>3897</v>
      </c>
      <c r="C218" s="24">
        <v>150000</v>
      </c>
    </row>
    <row r="219" spans="1:3" ht="12.5" x14ac:dyDescent="0.25">
      <c r="A219" s="23">
        <v>1128</v>
      </c>
      <c r="B219" s="23" t="s">
        <v>6534</v>
      </c>
      <c r="C219" s="24">
        <v>0</v>
      </c>
    </row>
    <row r="220" spans="1:3" ht="12.5" x14ac:dyDescent="0.25">
      <c r="A220" s="23">
        <v>1129</v>
      </c>
      <c r="B220" s="23" t="s">
        <v>3902</v>
      </c>
      <c r="C220" s="24">
        <v>63701</v>
      </c>
    </row>
    <row r="221" spans="1:3" ht="12.5" x14ac:dyDescent="0.25">
      <c r="A221" s="23">
        <v>1131</v>
      </c>
      <c r="B221" s="23" t="s">
        <v>3907</v>
      </c>
      <c r="C221" s="24">
        <v>110000</v>
      </c>
    </row>
    <row r="222" spans="1:3" ht="12.5" x14ac:dyDescent="0.25">
      <c r="A222" s="23">
        <v>1132</v>
      </c>
      <c r="B222" s="23" t="s">
        <v>2782</v>
      </c>
      <c r="C222" s="24">
        <v>0</v>
      </c>
    </row>
    <row r="223" spans="1:3" ht="12.5" x14ac:dyDescent="0.25">
      <c r="A223" s="23">
        <v>1133</v>
      </c>
      <c r="B223" s="23" t="s">
        <v>3912</v>
      </c>
      <c r="C223" s="24">
        <v>40000</v>
      </c>
    </row>
    <row r="224" spans="1:3" ht="12.5" x14ac:dyDescent="0.25">
      <c r="A224" s="23">
        <v>1134</v>
      </c>
      <c r="B224" s="23" t="s">
        <v>7734</v>
      </c>
      <c r="C224" s="24">
        <v>2500</v>
      </c>
    </row>
    <row r="225" spans="1:3" ht="12.5" x14ac:dyDescent="0.25">
      <c r="A225" s="23">
        <v>1135</v>
      </c>
      <c r="B225" s="23" t="s">
        <v>9140</v>
      </c>
      <c r="C225" s="24">
        <v>15000</v>
      </c>
    </row>
    <row r="226" spans="1:3" ht="12.5" x14ac:dyDescent="0.25">
      <c r="A226" s="23">
        <v>1137</v>
      </c>
      <c r="B226" s="23" t="s">
        <v>9199</v>
      </c>
      <c r="C226" s="24">
        <v>2000</v>
      </c>
    </row>
    <row r="227" spans="1:3" ht="12.5" x14ac:dyDescent="0.25">
      <c r="A227" s="23">
        <v>1138</v>
      </c>
      <c r="B227" s="23" t="s">
        <v>3917</v>
      </c>
      <c r="C227" s="24">
        <v>0</v>
      </c>
    </row>
    <row r="228" spans="1:3" ht="12.5" x14ac:dyDescent="0.25">
      <c r="A228" s="23">
        <v>1140</v>
      </c>
      <c r="B228" s="23" t="s">
        <v>8134</v>
      </c>
      <c r="C228" s="24">
        <v>1</v>
      </c>
    </row>
    <row r="229" spans="1:3" ht="12.5" x14ac:dyDescent="0.25">
      <c r="A229" s="23">
        <v>1142</v>
      </c>
      <c r="B229" s="23" t="s">
        <v>3921</v>
      </c>
      <c r="C229" s="24">
        <v>61000</v>
      </c>
    </row>
    <row r="230" spans="1:3" ht="12.5" x14ac:dyDescent="0.25">
      <c r="A230" s="23">
        <v>1143</v>
      </c>
      <c r="B230" s="23" t="s">
        <v>3925</v>
      </c>
      <c r="C230" s="24">
        <v>25000</v>
      </c>
    </row>
    <row r="231" spans="1:3" ht="12.5" x14ac:dyDescent="0.25">
      <c r="A231" s="23">
        <v>1144</v>
      </c>
      <c r="B231" s="23" t="s">
        <v>3930</v>
      </c>
      <c r="C231" s="24">
        <v>75000</v>
      </c>
    </row>
    <row r="232" spans="1:3" ht="12.5" x14ac:dyDescent="0.25">
      <c r="A232" s="23">
        <v>1145</v>
      </c>
      <c r="B232" s="23" t="s">
        <v>3934</v>
      </c>
      <c r="C232" s="24">
        <v>100000</v>
      </c>
    </row>
    <row r="233" spans="1:3" ht="12.5" x14ac:dyDescent="0.25">
      <c r="A233" s="23">
        <v>1146</v>
      </c>
      <c r="B233" s="23" t="s">
        <v>3939</v>
      </c>
      <c r="C233" s="24">
        <v>13541</v>
      </c>
    </row>
    <row r="234" spans="1:3" ht="12.5" x14ac:dyDescent="0.25">
      <c r="A234" s="23">
        <v>1147</v>
      </c>
      <c r="B234" s="23" t="s">
        <v>3944</v>
      </c>
      <c r="C234" s="24">
        <v>35000</v>
      </c>
    </row>
    <row r="235" spans="1:3" ht="12.5" x14ac:dyDescent="0.25">
      <c r="A235" s="23">
        <v>1148</v>
      </c>
      <c r="B235" s="23" t="s">
        <v>6434</v>
      </c>
      <c r="C235" s="24"/>
    </row>
    <row r="236" spans="1:3" ht="12.5" x14ac:dyDescent="0.25">
      <c r="A236" s="23">
        <v>1149</v>
      </c>
      <c r="B236" s="23" t="s">
        <v>3951</v>
      </c>
      <c r="C236" s="24">
        <v>75000</v>
      </c>
    </row>
    <row r="237" spans="1:3" ht="12.5" x14ac:dyDescent="0.25">
      <c r="A237" s="23">
        <v>1150</v>
      </c>
      <c r="B237" s="23" t="s">
        <v>6813</v>
      </c>
      <c r="C237" s="24">
        <v>40000</v>
      </c>
    </row>
    <row r="238" spans="1:3" ht="12.5" x14ac:dyDescent="0.25">
      <c r="A238" s="23">
        <v>1151</v>
      </c>
      <c r="B238" s="23" t="s">
        <v>3955</v>
      </c>
      <c r="C238" s="24">
        <v>20000</v>
      </c>
    </row>
    <row r="239" spans="1:3" ht="12.5" x14ac:dyDescent="0.25">
      <c r="A239" s="23">
        <v>1152</v>
      </c>
      <c r="B239" s="23" t="s">
        <v>3960</v>
      </c>
      <c r="C239" s="24">
        <v>108358</v>
      </c>
    </row>
    <row r="240" spans="1:3" ht="12.5" x14ac:dyDescent="0.25">
      <c r="A240" s="23">
        <v>1153</v>
      </c>
      <c r="B240" s="23" t="s">
        <v>3965</v>
      </c>
      <c r="C240" s="24">
        <v>1500</v>
      </c>
    </row>
    <row r="241" spans="1:3" ht="12.5" x14ac:dyDescent="0.25">
      <c r="A241" s="23">
        <v>1154</v>
      </c>
      <c r="B241" s="23" t="s">
        <v>3970</v>
      </c>
      <c r="C241" s="24">
        <v>200000</v>
      </c>
    </row>
    <row r="242" spans="1:3" ht="12.5" x14ac:dyDescent="0.25">
      <c r="A242" s="23">
        <v>1155</v>
      </c>
      <c r="B242" s="23" t="s">
        <v>716</v>
      </c>
      <c r="C242" s="24">
        <v>0</v>
      </c>
    </row>
    <row r="243" spans="1:3" ht="12.5" x14ac:dyDescent="0.25">
      <c r="A243" s="23">
        <v>1156</v>
      </c>
      <c r="B243" s="23" t="s">
        <v>3977</v>
      </c>
      <c r="C243" s="24"/>
    </row>
    <row r="244" spans="1:3" ht="12.5" x14ac:dyDescent="0.25">
      <c r="A244" s="23">
        <v>1159</v>
      </c>
      <c r="B244" s="23" t="s">
        <v>8129</v>
      </c>
      <c r="C244" s="24">
        <v>1</v>
      </c>
    </row>
    <row r="245" spans="1:3" ht="12.5" x14ac:dyDescent="0.25">
      <c r="A245" s="23">
        <v>1160</v>
      </c>
      <c r="B245" s="23" t="s">
        <v>718</v>
      </c>
      <c r="C245" s="24">
        <v>0</v>
      </c>
    </row>
    <row r="246" spans="1:3" ht="12.5" x14ac:dyDescent="0.25">
      <c r="A246" s="23">
        <v>1163</v>
      </c>
      <c r="B246" s="23" t="s">
        <v>3982</v>
      </c>
      <c r="C246" s="24">
        <v>0</v>
      </c>
    </row>
    <row r="247" spans="1:3" ht="12.5" x14ac:dyDescent="0.25">
      <c r="A247" s="23">
        <v>1164</v>
      </c>
      <c r="B247" s="23" t="s">
        <v>3987</v>
      </c>
      <c r="C247" s="24">
        <v>2500</v>
      </c>
    </row>
    <row r="248" spans="1:3" ht="12.5" x14ac:dyDescent="0.25">
      <c r="A248" s="23">
        <v>1166</v>
      </c>
      <c r="B248" s="23" t="s">
        <v>9233</v>
      </c>
      <c r="C248" s="24"/>
    </row>
    <row r="249" spans="1:3" ht="12.5" x14ac:dyDescent="0.25">
      <c r="A249" s="23">
        <v>1169</v>
      </c>
      <c r="B249" s="23" t="s">
        <v>3996</v>
      </c>
      <c r="C249" s="24">
        <v>25000</v>
      </c>
    </row>
    <row r="250" spans="1:3" ht="12.5" x14ac:dyDescent="0.25">
      <c r="A250" s="23">
        <v>1171</v>
      </c>
      <c r="B250" s="23" t="s">
        <v>3998</v>
      </c>
      <c r="C250" s="24">
        <v>100000</v>
      </c>
    </row>
    <row r="251" spans="1:3" ht="12.5" x14ac:dyDescent="0.25">
      <c r="A251" s="23">
        <v>1173</v>
      </c>
      <c r="B251" s="23" t="s">
        <v>4002</v>
      </c>
      <c r="C251" s="24">
        <v>256476</v>
      </c>
    </row>
    <row r="252" spans="1:3" ht="12.5" x14ac:dyDescent="0.25">
      <c r="A252" s="23">
        <v>1174</v>
      </c>
      <c r="B252" s="23" t="s">
        <v>4007</v>
      </c>
      <c r="C252" s="24">
        <v>20625</v>
      </c>
    </row>
    <row r="253" spans="1:3" ht="12.5" x14ac:dyDescent="0.25">
      <c r="A253" s="23">
        <v>1175</v>
      </c>
      <c r="B253" s="23" t="s">
        <v>7282</v>
      </c>
      <c r="C253" s="24">
        <v>27680</v>
      </c>
    </row>
    <row r="254" spans="1:3" ht="12.5" x14ac:dyDescent="0.25">
      <c r="A254" s="23">
        <v>1176</v>
      </c>
      <c r="B254" s="23" t="s">
        <v>5531</v>
      </c>
      <c r="C254" s="24">
        <v>232887</v>
      </c>
    </row>
    <row r="255" spans="1:3" ht="12.5" x14ac:dyDescent="0.25">
      <c r="A255" s="23">
        <v>1177</v>
      </c>
      <c r="B255" s="23" t="s">
        <v>4012</v>
      </c>
      <c r="C255" s="24">
        <v>50000</v>
      </c>
    </row>
    <row r="256" spans="1:3" ht="12.5" x14ac:dyDescent="0.25">
      <c r="A256" s="23">
        <v>1179</v>
      </c>
      <c r="B256" s="23" t="s">
        <v>4017</v>
      </c>
      <c r="C256" s="24">
        <v>1227</v>
      </c>
    </row>
    <row r="257" spans="1:3" ht="12.5" x14ac:dyDescent="0.25">
      <c r="A257" s="23">
        <v>1180</v>
      </c>
      <c r="B257" s="23" t="s">
        <v>4022</v>
      </c>
      <c r="C257" s="24">
        <v>1500</v>
      </c>
    </row>
    <row r="258" spans="1:3" ht="12.5" x14ac:dyDescent="0.25">
      <c r="A258" s="23">
        <v>1182</v>
      </c>
      <c r="B258" s="23" t="s">
        <v>238</v>
      </c>
      <c r="C258" s="24">
        <v>0</v>
      </c>
    </row>
    <row r="259" spans="1:3" ht="12.5" x14ac:dyDescent="0.25">
      <c r="A259" s="23">
        <v>1183</v>
      </c>
      <c r="B259" s="23" t="s">
        <v>4029</v>
      </c>
      <c r="C259" s="24">
        <v>1000</v>
      </c>
    </row>
    <row r="260" spans="1:3" ht="12.5" x14ac:dyDescent="0.25">
      <c r="A260" s="23">
        <v>1187</v>
      </c>
      <c r="B260" s="23" t="s">
        <v>6168</v>
      </c>
      <c r="C260" s="24">
        <v>40000</v>
      </c>
    </row>
    <row r="261" spans="1:3" ht="12.5" x14ac:dyDescent="0.25">
      <c r="A261" s="23">
        <v>1188</v>
      </c>
      <c r="B261" s="23" t="s">
        <v>4034</v>
      </c>
      <c r="C261" s="24">
        <v>2500</v>
      </c>
    </row>
    <row r="262" spans="1:3" ht="12.5" x14ac:dyDescent="0.25">
      <c r="A262" s="23">
        <v>1189</v>
      </c>
      <c r="B262" s="23" t="s">
        <v>4038</v>
      </c>
      <c r="C262" s="24">
        <v>1000</v>
      </c>
    </row>
    <row r="263" spans="1:3" ht="12.5" x14ac:dyDescent="0.25">
      <c r="A263" s="23">
        <v>1190</v>
      </c>
      <c r="B263" s="23" t="s">
        <v>4043</v>
      </c>
      <c r="C263" s="24">
        <v>50000</v>
      </c>
    </row>
    <row r="264" spans="1:3" ht="12.5" x14ac:dyDescent="0.25">
      <c r="A264" s="23">
        <v>1191</v>
      </c>
      <c r="B264" s="23" t="s">
        <v>4047</v>
      </c>
      <c r="C264" s="24">
        <v>10000</v>
      </c>
    </row>
    <row r="265" spans="1:3" ht="12.5" x14ac:dyDescent="0.25">
      <c r="A265" s="23">
        <v>1192</v>
      </c>
      <c r="B265" s="23" t="s">
        <v>4051</v>
      </c>
      <c r="C265" s="24">
        <v>0</v>
      </c>
    </row>
    <row r="266" spans="1:3" ht="12.5" x14ac:dyDescent="0.25">
      <c r="A266" s="23">
        <v>1193</v>
      </c>
      <c r="B266" s="23" t="s">
        <v>4056</v>
      </c>
      <c r="C266" s="24">
        <v>450000</v>
      </c>
    </row>
    <row r="267" spans="1:3" ht="12.5" x14ac:dyDescent="0.25">
      <c r="A267" s="23">
        <v>1194</v>
      </c>
      <c r="B267" s="23" t="s">
        <v>2997</v>
      </c>
      <c r="C267" s="24"/>
    </row>
    <row r="268" spans="1:3" ht="12.5" x14ac:dyDescent="0.25">
      <c r="A268" s="23">
        <v>1195</v>
      </c>
      <c r="B268" s="23" t="s">
        <v>4060</v>
      </c>
      <c r="C268" s="24">
        <v>100000</v>
      </c>
    </row>
    <row r="269" spans="1:3" ht="12.5" x14ac:dyDescent="0.25">
      <c r="A269" s="23">
        <v>1196</v>
      </c>
      <c r="B269" s="23" t="s">
        <v>4065</v>
      </c>
      <c r="C269" s="24">
        <v>7000</v>
      </c>
    </row>
    <row r="270" spans="1:3" ht="12.5" x14ac:dyDescent="0.25">
      <c r="A270" s="23">
        <v>1197</v>
      </c>
      <c r="B270" s="23" t="s">
        <v>4070</v>
      </c>
      <c r="C270" s="24">
        <v>26235.96</v>
      </c>
    </row>
    <row r="271" spans="1:3" ht="12.5" x14ac:dyDescent="0.25">
      <c r="A271" s="23">
        <v>1200</v>
      </c>
      <c r="B271" s="23" t="s">
        <v>8637</v>
      </c>
      <c r="C271" s="24">
        <v>250000</v>
      </c>
    </row>
    <row r="272" spans="1:3" ht="12.5" x14ac:dyDescent="0.25">
      <c r="A272" s="23">
        <v>1202</v>
      </c>
      <c r="B272" s="23" t="s">
        <v>4075</v>
      </c>
      <c r="C272" s="24">
        <v>2000</v>
      </c>
    </row>
    <row r="273" spans="1:3" ht="12.5" x14ac:dyDescent="0.25">
      <c r="A273" s="23">
        <v>1203</v>
      </c>
      <c r="B273" s="23" t="s">
        <v>4079</v>
      </c>
      <c r="C273" s="24">
        <v>27226</v>
      </c>
    </row>
    <row r="274" spans="1:3" ht="12.5" x14ac:dyDescent="0.25">
      <c r="A274" s="23">
        <v>1204</v>
      </c>
      <c r="B274" s="23" t="s">
        <v>8123</v>
      </c>
      <c r="C274" s="24">
        <v>1</v>
      </c>
    </row>
    <row r="275" spans="1:3" ht="12.5" x14ac:dyDescent="0.25">
      <c r="A275" s="23">
        <v>1205</v>
      </c>
      <c r="B275" s="23" t="s">
        <v>8118</v>
      </c>
      <c r="C275" s="24">
        <v>1</v>
      </c>
    </row>
    <row r="276" spans="1:3" ht="12.5" x14ac:dyDescent="0.25">
      <c r="A276" s="23">
        <v>1208</v>
      </c>
      <c r="B276" s="23" t="s">
        <v>4083</v>
      </c>
      <c r="C276" s="24">
        <v>34000</v>
      </c>
    </row>
    <row r="277" spans="1:3" ht="12.5" x14ac:dyDescent="0.25">
      <c r="A277" s="23">
        <v>1210</v>
      </c>
      <c r="B277" s="23" t="s">
        <v>6735</v>
      </c>
      <c r="C277" s="24">
        <v>45440</v>
      </c>
    </row>
    <row r="278" spans="1:3" ht="12.5" x14ac:dyDescent="0.25">
      <c r="A278" s="23">
        <v>1211</v>
      </c>
      <c r="B278" s="23" t="s">
        <v>7514</v>
      </c>
      <c r="C278" s="24"/>
    </row>
    <row r="279" spans="1:3" ht="12.5" x14ac:dyDescent="0.25">
      <c r="A279" s="23">
        <v>1213</v>
      </c>
      <c r="B279" s="23" t="s">
        <v>4088</v>
      </c>
      <c r="C279" s="24">
        <v>1000</v>
      </c>
    </row>
    <row r="280" spans="1:3" ht="12.5" x14ac:dyDescent="0.25">
      <c r="A280" s="23">
        <v>1214</v>
      </c>
      <c r="B280" s="23" t="s">
        <v>8113</v>
      </c>
      <c r="C280" s="24">
        <v>1</v>
      </c>
    </row>
    <row r="281" spans="1:3" ht="12.5" x14ac:dyDescent="0.25">
      <c r="A281" s="23">
        <v>1216</v>
      </c>
      <c r="B281" s="23" t="s">
        <v>4093</v>
      </c>
      <c r="C281" s="24">
        <v>0</v>
      </c>
    </row>
    <row r="282" spans="1:3" ht="12.5" x14ac:dyDescent="0.25">
      <c r="A282" s="23">
        <v>1220</v>
      </c>
      <c r="B282" s="23" t="s">
        <v>4097</v>
      </c>
      <c r="C282" s="24">
        <v>40000</v>
      </c>
    </row>
    <row r="283" spans="1:3" ht="12.5" x14ac:dyDescent="0.25">
      <c r="A283" s="23">
        <v>1221</v>
      </c>
      <c r="B283" s="23" t="s">
        <v>4101</v>
      </c>
      <c r="C283" s="24">
        <v>10000</v>
      </c>
    </row>
    <row r="284" spans="1:3" ht="12.5" x14ac:dyDescent="0.25">
      <c r="A284" s="23">
        <v>1223</v>
      </c>
      <c r="B284" s="23" t="s">
        <v>4107</v>
      </c>
      <c r="C284" s="24">
        <v>80594</v>
      </c>
    </row>
    <row r="285" spans="1:3" ht="12.5" x14ac:dyDescent="0.25">
      <c r="A285" s="23">
        <v>1224</v>
      </c>
      <c r="B285" s="23" t="s">
        <v>4113</v>
      </c>
      <c r="C285" s="24">
        <v>1000</v>
      </c>
    </row>
    <row r="286" spans="1:3" ht="12.5" x14ac:dyDescent="0.25">
      <c r="A286" s="23">
        <v>1225</v>
      </c>
      <c r="B286" s="23" t="s">
        <v>4118</v>
      </c>
      <c r="C286" s="24">
        <v>65000</v>
      </c>
    </row>
    <row r="287" spans="1:3" ht="12.5" x14ac:dyDescent="0.25">
      <c r="A287" s="23">
        <v>1226</v>
      </c>
      <c r="B287" s="23" t="s">
        <v>4123</v>
      </c>
      <c r="C287" s="24">
        <v>15000</v>
      </c>
    </row>
    <row r="288" spans="1:3" ht="12.5" x14ac:dyDescent="0.25">
      <c r="A288" s="23">
        <v>1227</v>
      </c>
      <c r="B288" s="23" t="s">
        <v>4128</v>
      </c>
      <c r="C288" s="24">
        <v>20000</v>
      </c>
    </row>
    <row r="289" spans="1:3" ht="12.5" x14ac:dyDescent="0.25">
      <c r="A289" s="23">
        <v>1228</v>
      </c>
      <c r="B289" s="23" t="s">
        <v>4133</v>
      </c>
      <c r="C289" s="24">
        <v>100000</v>
      </c>
    </row>
    <row r="290" spans="1:3" ht="12.5" x14ac:dyDescent="0.25">
      <c r="A290" s="23">
        <v>1229</v>
      </c>
      <c r="B290" s="23" t="s">
        <v>151</v>
      </c>
      <c r="C290" s="24">
        <v>20000</v>
      </c>
    </row>
    <row r="291" spans="1:3" ht="12.5" x14ac:dyDescent="0.25">
      <c r="A291" s="23">
        <v>1230</v>
      </c>
      <c r="B291" s="23" t="s">
        <v>4141</v>
      </c>
      <c r="C291" s="24">
        <v>383</v>
      </c>
    </row>
    <row r="292" spans="1:3" ht="12.5" x14ac:dyDescent="0.25">
      <c r="A292" s="23">
        <v>1231</v>
      </c>
      <c r="B292" s="23" t="s">
        <v>4147</v>
      </c>
      <c r="C292" s="24">
        <v>33771.300000000003</v>
      </c>
    </row>
    <row r="293" spans="1:3" ht="12.5" x14ac:dyDescent="0.25">
      <c r="A293" s="23">
        <v>1232</v>
      </c>
      <c r="B293" s="23" t="s">
        <v>8108</v>
      </c>
      <c r="C293" s="24">
        <v>1</v>
      </c>
    </row>
    <row r="294" spans="1:3" ht="12.5" x14ac:dyDescent="0.25">
      <c r="A294" s="23">
        <v>1235</v>
      </c>
      <c r="B294" s="23" t="s">
        <v>6842</v>
      </c>
      <c r="C294" s="24">
        <v>400000</v>
      </c>
    </row>
    <row r="295" spans="1:3" ht="12.5" x14ac:dyDescent="0.25">
      <c r="A295" s="23">
        <v>1240</v>
      </c>
      <c r="B295" s="23" t="s">
        <v>4157</v>
      </c>
      <c r="C295" s="24">
        <v>4000</v>
      </c>
    </row>
    <row r="296" spans="1:3" ht="12.5" x14ac:dyDescent="0.25">
      <c r="A296" s="23">
        <v>1243</v>
      </c>
      <c r="B296" s="23" t="s">
        <v>4162</v>
      </c>
      <c r="C296" s="24">
        <v>28000</v>
      </c>
    </row>
    <row r="297" spans="1:3" ht="12.5" x14ac:dyDescent="0.25">
      <c r="A297" s="23">
        <v>1244</v>
      </c>
      <c r="B297" s="23" t="s">
        <v>4167</v>
      </c>
      <c r="C297" s="24">
        <v>30000</v>
      </c>
    </row>
    <row r="298" spans="1:3" ht="12.5" x14ac:dyDescent="0.25">
      <c r="A298" s="23">
        <v>1245</v>
      </c>
      <c r="B298" s="23" t="s">
        <v>4173</v>
      </c>
      <c r="C298" s="24">
        <v>7500</v>
      </c>
    </row>
    <row r="299" spans="1:3" ht="12.5" x14ac:dyDescent="0.25">
      <c r="A299" s="23">
        <v>1246</v>
      </c>
      <c r="B299" s="23" t="s">
        <v>4178</v>
      </c>
      <c r="C299" s="24">
        <v>150000</v>
      </c>
    </row>
    <row r="300" spans="1:3" ht="12.5" x14ac:dyDescent="0.25">
      <c r="A300" s="23">
        <v>1247</v>
      </c>
      <c r="B300" s="23" t="s">
        <v>8103</v>
      </c>
      <c r="C300" s="24">
        <v>1</v>
      </c>
    </row>
    <row r="301" spans="1:3" ht="12.5" x14ac:dyDescent="0.25">
      <c r="A301" s="23">
        <v>1248</v>
      </c>
      <c r="B301" s="23" t="s">
        <v>4182</v>
      </c>
      <c r="C301" s="24">
        <v>30000</v>
      </c>
    </row>
    <row r="302" spans="1:3" ht="12.5" x14ac:dyDescent="0.25">
      <c r="A302" s="23">
        <v>1249</v>
      </c>
      <c r="B302" s="23" t="s">
        <v>4187</v>
      </c>
      <c r="C302" s="24">
        <v>28000</v>
      </c>
    </row>
    <row r="303" spans="1:3" ht="12.5" x14ac:dyDescent="0.25">
      <c r="A303" s="23">
        <v>1250</v>
      </c>
      <c r="B303" s="23" t="s">
        <v>4192</v>
      </c>
      <c r="C303" s="24">
        <v>60000</v>
      </c>
    </row>
    <row r="304" spans="1:3" ht="12.5" x14ac:dyDescent="0.25">
      <c r="A304" s="23">
        <v>1251</v>
      </c>
      <c r="B304" s="23" t="s">
        <v>8097</v>
      </c>
      <c r="C304" s="24">
        <v>4000</v>
      </c>
    </row>
    <row r="305" spans="1:3" ht="12.5" x14ac:dyDescent="0.25">
      <c r="A305" s="23">
        <v>1252</v>
      </c>
      <c r="B305" s="23" t="s">
        <v>4197</v>
      </c>
      <c r="C305" s="24">
        <v>930000</v>
      </c>
    </row>
    <row r="306" spans="1:3" ht="12.5" x14ac:dyDescent="0.25">
      <c r="A306" s="23">
        <v>1254</v>
      </c>
      <c r="B306" s="23" t="s">
        <v>4202</v>
      </c>
      <c r="C306" s="24">
        <v>600000</v>
      </c>
    </row>
    <row r="307" spans="1:3" ht="12.5" x14ac:dyDescent="0.25">
      <c r="A307" s="23">
        <v>1255</v>
      </c>
      <c r="B307" s="23" t="s">
        <v>4205</v>
      </c>
      <c r="C307" s="24">
        <v>600</v>
      </c>
    </row>
    <row r="308" spans="1:3" ht="12.5" x14ac:dyDescent="0.25">
      <c r="A308" s="23">
        <v>1256</v>
      </c>
      <c r="B308" s="23" t="s">
        <v>4210</v>
      </c>
      <c r="C308" s="24">
        <v>431</v>
      </c>
    </row>
    <row r="309" spans="1:3" ht="12.5" x14ac:dyDescent="0.25">
      <c r="A309" s="23">
        <v>1257</v>
      </c>
      <c r="B309" s="23" t="s">
        <v>4216</v>
      </c>
      <c r="C309" s="24"/>
    </row>
    <row r="310" spans="1:3" ht="12.5" x14ac:dyDescent="0.25">
      <c r="A310" s="23">
        <v>1258</v>
      </c>
      <c r="B310" s="23" t="s">
        <v>4221</v>
      </c>
      <c r="C310" s="24">
        <v>45000</v>
      </c>
    </row>
    <row r="311" spans="1:3" ht="12.5" x14ac:dyDescent="0.25">
      <c r="A311" s="23">
        <v>1259</v>
      </c>
      <c r="B311" s="23" t="s">
        <v>4226</v>
      </c>
      <c r="C311" s="24">
        <v>35000</v>
      </c>
    </row>
    <row r="312" spans="1:3" ht="12.5" x14ac:dyDescent="0.25">
      <c r="A312" s="23">
        <v>1260</v>
      </c>
      <c r="B312" s="23" t="s">
        <v>5495</v>
      </c>
      <c r="C312" s="24">
        <v>6075</v>
      </c>
    </row>
    <row r="313" spans="1:3" ht="12.5" x14ac:dyDescent="0.25">
      <c r="A313" s="23">
        <v>1261</v>
      </c>
      <c r="B313" s="23" t="s">
        <v>4231</v>
      </c>
      <c r="C313" s="24">
        <v>100000</v>
      </c>
    </row>
    <row r="314" spans="1:3" ht="12.5" x14ac:dyDescent="0.25">
      <c r="A314" s="23">
        <v>1262</v>
      </c>
      <c r="B314" s="23" t="s">
        <v>1333</v>
      </c>
      <c r="C314" s="24">
        <v>0</v>
      </c>
    </row>
    <row r="315" spans="1:3" ht="12.5" x14ac:dyDescent="0.25">
      <c r="A315" s="23">
        <v>1263</v>
      </c>
      <c r="B315" s="23" t="s">
        <v>1284</v>
      </c>
      <c r="C315" s="24">
        <v>0</v>
      </c>
    </row>
    <row r="316" spans="1:3" ht="12.5" x14ac:dyDescent="0.25">
      <c r="A316" s="23">
        <v>1264</v>
      </c>
      <c r="B316" s="23" t="s">
        <v>1310</v>
      </c>
      <c r="C316" s="24">
        <v>35000</v>
      </c>
    </row>
    <row r="317" spans="1:3" ht="12.5" x14ac:dyDescent="0.25">
      <c r="A317" s="23">
        <v>1266</v>
      </c>
      <c r="B317" s="23" t="s">
        <v>4243</v>
      </c>
      <c r="C317" s="24">
        <v>15000</v>
      </c>
    </row>
    <row r="318" spans="1:3" ht="12.5" x14ac:dyDescent="0.25">
      <c r="A318" s="23">
        <v>1267</v>
      </c>
      <c r="B318" s="23" t="s">
        <v>4249</v>
      </c>
      <c r="C318" s="24">
        <v>106788.32</v>
      </c>
    </row>
    <row r="319" spans="1:3" ht="12.5" x14ac:dyDescent="0.25">
      <c r="A319" s="23">
        <v>1268</v>
      </c>
      <c r="B319" s="23" t="s">
        <v>4254</v>
      </c>
      <c r="C319" s="24">
        <v>25000</v>
      </c>
    </row>
    <row r="320" spans="1:3" ht="12.5" x14ac:dyDescent="0.25">
      <c r="A320" s="23">
        <v>1270</v>
      </c>
      <c r="B320" s="23" t="s">
        <v>6648</v>
      </c>
      <c r="C320" s="24">
        <v>500000</v>
      </c>
    </row>
    <row r="321" spans="1:3" ht="12.5" x14ac:dyDescent="0.25">
      <c r="A321" s="23">
        <v>1271</v>
      </c>
      <c r="B321" s="23" t="s">
        <v>4260</v>
      </c>
      <c r="C321" s="24">
        <v>100000</v>
      </c>
    </row>
    <row r="322" spans="1:3" ht="12.5" x14ac:dyDescent="0.25">
      <c r="A322" s="23">
        <v>1272</v>
      </c>
      <c r="B322" s="23" t="s">
        <v>4264</v>
      </c>
      <c r="C322" s="24">
        <v>275000</v>
      </c>
    </row>
    <row r="323" spans="1:3" ht="12.5" x14ac:dyDescent="0.25">
      <c r="A323" s="23">
        <v>1273</v>
      </c>
      <c r="B323" s="23" t="s">
        <v>4269</v>
      </c>
      <c r="C323" s="24">
        <v>255425</v>
      </c>
    </row>
    <row r="324" spans="1:3" ht="12.5" x14ac:dyDescent="0.25">
      <c r="A324" s="23">
        <v>1274</v>
      </c>
      <c r="B324" s="23" t="s">
        <v>4275</v>
      </c>
      <c r="C324" s="24">
        <v>285985</v>
      </c>
    </row>
    <row r="325" spans="1:3" ht="12.5" x14ac:dyDescent="0.25">
      <c r="A325" s="23">
        <v>1275</v>
      </c>
      <c r="B325" s="23" t="s">
        <v>4281</v>
      </c>
      <c r="C325" s="24">
        <v>200000</v>
      </c>
    </row>
    <row r="326" spans="1:3" ht="12.5" x14ac:dyDescent="0.25">
      <c r="A326" s="23">
        <v>1276</v>
      </c>
      <c r="B326" s="23" t="s">
        <v>4286</v>
      </c>
      <c r="C326" s="24">
        <v>20000</v>
      </c>
    </row>
    <row r="327" spans="1:3" ht="12.5" x14ac:dyDescent="0.25">
      <c r="A327" s="23">
        <v>1277</v>
      </c>
      <c r="B327" s="23" t="s">
        <v>4292</v>
      </c>
      <c r="C327" s="24">
        <v>2500</v>
      </c>
    </row>
    <row r="328" spans="1:3" ht="12.5" x14ac:dyDescent="0.25">
      <c r="A328" s="23">
        <v>1278</v>
      </c>
      <c r="B328" s="23" t="s">
        <v>4298</v>
      </c>
      <c r="C328" s="24">
        <v>7500</v>
      </c>
    </row>
    <row r="329" spans="1:3" ht="12.5" x14ac:dyDescent="0.25">
      <c r="A329" s="23">
        <v>1281</v>
      </c>
      <c r="B329" s="23" t="s">
        <v>4304</v>
      </c>
      <c r="C329" s="24"/>
    </row>
    <row r="330" spans="1:3" ht="12.5" x14ac:dyDescent="0.25">
      <c r="A330" s="23">
        <v>1283</v>
      </c>
      <c r="B330" s="23" t="s">
        <v>4309</v>
      </c>
      <c r="C330" s="24">
        <v>0</v>
      </c>
    </row>
    <row r="331" spans="1:3" ht="12.5" x14ac:dyDescent="0.25">
      <c r="A331" s="23">
        <v>1284</v>
      </c>
      <c r="B331" s="23" t="s">
        <v>4313</v>
      </c>
      <c r="C331" s="24">
        <v>47841.84</v>
      </c>
    </row>
    <row r="332" spans="1:3" ht="12.5" x14ac:dyDescent="0.25">
      <c r="A332" s="23">
        <v>1285</v>
      </c>
      <c r="B332" s="23" t="s">
        <v>4317</v>
      </c>
      <c r="C332" s="24">
        <v>3333</v>
      </c>
    </row>
    <row r="333" spans="1:3" ht="12.5" x14ac:dyDescent="0.25">
      <c r="A333" s="23">
        <v>1286</v>
      </c>
      <c r="B333" s="23" t="s">
        <v>4322</v>
      </c>
      <c r="C333" s="24">
        <v>300000</v>
      </c>
    </row>
    <row r="334" spans="1:3" ht="12.5" x14ac:dyDescent="0.25">
      <c r="A334" s="23">
        <v>1287</v>
      </c>
      <c r="B334" s="23" t="s">
        <v>4325</v>
      </c>
      <c r="C334" s="24">
        <v>15000</v>
      </c>
    </row>
    <row r="335" spans="1:3" ht="12.5" x14ac:dyDescent="0.25">
      <c r="A335" s="23">
        <v>1291</v>
      </c>
      <c r="B335" s="23" t="s">
        <v>4330</v>
      </c>
      <c r="C335" s="24">
        <v>85000</v>
      </c>
    </row>
    <row r="336" spans="1:3" ht="12.5" x14ac:dyDescent="0.25">
      <c r="A336" s="23">
        <v>1292</v>
      </c>
      <c r="B336" s="23" t="s">
        <v>4335</v>
      </c>
      <c r="C336" s="24">
        <v>35000</v>
      </c>
    </row>
    <row r="337" spans="1:3" ht="12.5" x14ac:dyDescent="0.25">
      <c r="A337" s="23">
        <v>1293</v>
      </c>
      <c r="B337" s="23" t="s">
        <v>4340</v>
      </c>
      <c r="C337" s="24">
        <v>35000</v>
      </c>
    </row>
    <row r="338" spans="1:3" ht="12.5" x14ac:dyDescent="0.25">
      <c r="A338" s="23">
        <v>1295</v>
      </c>
      <c r="B338" s="23" t="s">
        <v>4345</v>
      </c>
      <c r="C338" s="24">
        <v>40403</v>
      </c>
    </row>
    <row r="339" spans="1:3" ht="12.5" x14ac:dyDescent="0.25">
      <c r="A339" s="23">
        <v>1296</v>
      </c>
      <c r="B339" s="23" t="s">
        <v>4351</v>
      </c>
      <c r="C339" s="24">
        <v>5000</v>
      </c>
    </row>
    <row r="340" spans="1:3" ht="12.5" x14ac:dyDescent="0.25">
      <c r="A340" s="23">
        <v>1298</v>
      </c>
      <c r="B340" s="23" t="s">
        <v>4356</v>
      </c>
      <c r="C340" s="24">
        <v>42027</v>
      </c>
    </row>
    <row r="341" spans="1:3" ht="12.5" x14ac:dyDescent="0.25">
      <c r="A341" s="23">
        <v>1299</v>
      </c>
      <c r="B341" s="23" t="s">
        <v>8091</v>
      </c>
      <c r="C341" s="24">
        <v>1</v>
      </c>
    </row>
    <row r="342" spans="1:3" ht="12.5" x14ac:dyDescent="0.25">
      <c r="A342" s="23">
        <v>1301</v>
      </c>
      <c r="B342" s="23" t="s">
        <v>4362</v>
      </c>
      <c r="C342" s="24">
        <v>75000</v>
      </c>
    </row>
    <row r="343" spans="1:3" ht="12.5" x14ac:dyDescent="0.25">
      <c r="A343" s="23">
        <v>1302</v>
      </c>
      <c r="B343" s="23" t="s">
        <v>8086</v>
      </c>
      <c r="C343" s="24">
        <v>1</v>
      </c>
    </row>
    <row r="344" spans="1:3" ht="12.5" x14ac:dyDescent="0.25">
      <c r="A344" s="23">
        <v>1304</v>
      </c>
      <c r="B344" s="23" t="s">
        <v>4368</v>
      </c>
      <c r="C344" s="24">
        <v>2500</v>
      </c>
    </row>
    <row r="345" spans="1:3" ht="12.5" x14ac:dyDescent="0.25">
      <c r="A345" s="23">
        <v>1305</v>
      </c>
      <c r="B345" s="23" t="s">
        <v>4373</v>
      </c>
      <c r="C345" s="24">
        <v>8000</v>
      </c>
    </row>
    <row r="346" spans="1:3" ht="12.5" x14ac:dyDescent="0.25">
      <c r="A346" s="23">
        <v>1306</v>
      </c>
      <c r="B346" s="23" t="s">
        <v>4377</v>
      </c>
      <c r="C346" s="24">
        <v>0</v>
      </c>
    </row>
    <row r="347" spans="1:3" ht="12.5" x14ac:dyDescent="0.25">
      <c r="A347" s="23">
        <v>1308</v>
      </c>
      <c r="B347" s="23" t="s">
        <v>4381</v>
      </c>
      <c r="C347" s="24">
        <v>2500</v>
      </c>
    </row>
    <row r="348" spans="1:3" ht="12.5" x14ac:dyDescent="0.25">
      <c r="A348" s="23">
        <v>1309</v>
      </c>
      <c r="B348" s="23" t="s">
        <v>4386</v>
      </c>
      <c r="C348" s="24">
        <v>2500</v>
      </c>
    </row>
    <row r="349" spans="1:3" ht="12.5" x14ac:dyDescent="0.25">
      <c r="A349" s="23">
        <v>1310</v>
      </c>
      <c r="B349" s="23" t="s">
        <v>4390</v>
      </c>
      <c r="C349" s="24">
        <v>1719.16</v>
      </c>
    </row>
    <row r="350" spans="1:3" ht="12.5" x14ac:dyDescent="0.25">
      <c r="A350" s="23">
        <v>1311</v>
      </c>
      <c r="B350" s="23" t="s">
        <v>4396</v>
      </c>
      <c r="C350" s="24">
        <v>200000</v>
      </c>
    </row>
    <row r="351" spans="1:3" ht="12.5" x14ac:dyDescent="0.25">
      <c r="A351" s="23">
        <v>1313</v>
      </c>
      <c r="B351" s="23" t="s">
        <v>786</v>
      </c>
      <c r="C351" s="24">
        <v>7500</v>
      </c>
    </row>
    <row r="352" spans="1:3" ht="12.5" x14ac:dyDescent="0.25">
      <c r="A352" s="23">
        <v>1314</v>
      </c>
      <c r="B352" s="23" t="s">
        <v>788</v>
      </c>
      <c r="C352" s="24">
        <v>0</v>
      </c>
    </row>
    <row r="353" spans="1:3" ht="12.5" x14ac:dyDescent="0.25">
      <c r="A353" s="23">
        <v>1315</v>
      </c>
      <c r="B353" s="23" t="s">
        <v>4407</v>
      </c>
      <c r="C353" s="24">
        <v>50000</v>
      </c>
    </row>
    <row r="354" spans="1:3" ht="12.5" x14ac:dyDescent="0.25">
      <c r="A354" s="23">
        <v>1316</v>
      </c>
      <c r="B354" s="23" t="s">
        <v>4411</v>
      </c>
      <c r="C354" s="24">
        <v>0</v>
      </c>
    </row>
    <row r="355" spans="1:3" ht="12.5" x14ac:dyDescent="0.25">
      <c r="A355" s="23">
        <v>1319</v>
      </c>
      <c r="B355" s="23" t="s">
        <v>4415</v>
      </c>
      <c r="C355" s="24">
        <v>150000</v>
      </c>
    </row>
    <row r="356" spans="1:3" ht="12.5" x14ac:dyDescent="0.25">
      <c r="A356" s="23">
        <v>1322</v>
      </c>
      <c r="B356" s="23" t="s">
        <v>4421</v>
      </c>
      <c r="C356" s="24">
        <v>1500</v>
      </c>
    </row>
    <row r="357" spans="1:3" ht="12.5" x14ac:dyDescent="0.25">
      <c r="A357" s="23">
        <v>1323</v>
      </c>
      <c r="B357" s="23" t="s">
        <v>4426</v>
      </c>
      <c r="C357" s="24">
        <v>1500</v>
      </c>
    </row>
    <row r="358" spans="1:3" ht="12.5" x14ac:dyDescent="0.25">
      <c r="A358" s="23">
        <v>1324</v>
      </c>
      <c r="B358" s="23" t="s">
        <v>4430</v>
      </c>
      <c r="C358" s="24">
        <v>1500</v>
      </c>
    </row>
    <row r="359" spans="1:3" ht="12.5" x14ac:dyDescent="0.25">
      <c r="A359" s="23">
        <v>1325</v>
      </c>
      <c r="B359" s="23" t="s">
        <v>4433</v>
      </c>
      <c r="C359" s="24">
        <v>1500</v>
      </c>
    </row>
    <row r="360" spans="1:3" ht="12.5" x14ac:dyDescent="0.25">
      <c r="A360" s="23">
        <v>1326</v>
      </c>
      <c r="B360" s="23" t="s">
        <v>4437</v>
      </c>
      <c r="C360" s="24">
        <v>1500</v>
      </c>
    </row>
    <row r="361" spans="1:3" ht="12.5" x14ac:dyDescent="0.25">
      <c r="A361" s="23">
        <v>1327</v>
      </c>
      <c r="B361" s="23" t="s">
        <v>4440</v>
      </c>
      <c r="C361" s="24">
        <v>1500</v>
      </c>
    </row>
    <row r="362" spans="1:3" ht="12.5" x14ac:dyDescent="0.25">
      <c r="A362" s="23">
        <v>1328</v>
      </c>
      <c r="B362" s="23" t="s">
        <v>4444</v>
      </c>
      <c r="C362" s="24">
        <v>7500</v>
      </c>
    </row>
    <row r="363" spans="1:3" ht="12.5" x14ac:dyDescent="0.25">
      <c r="A363" s="23">
        <v>1331</v>
      </c>
      <c r="B363" s="23" t="s">
        <v>4449</v>
      </c>
      <c r="C363" s="24">
        <v>100000</v>
      </c>
    </row>
    <row r="364" spans="1:3" ht="12.5" x14ac:dyDescent="0.25">
      <c r="A364" s="23">
        <v>1333</v>
      </c>
      <c r="B364" s="23" t="s">
        <v>4454</v>
      </c>
      <c r="C364" s="24">
        <v>2500</v>
      </c>
    </row>
    <row r="365" spans="1:3" ht="12.5" x14ac:dyDescent="0.25">
      <c r="A365" s="23">
        <v>1335</v>
      </c>
      <c r="B365" s="23" t="s">
        <v>4458</v>
      </c>
      <c r="C365" s="24">
        <v>120000</v>
      </c>
    </row>
    <row r="366" spans="1:3" ht="12.5" x14ac:dyDescent="0.25">
      <c r="A366" s="23">
        <v>1336</v>
      </c>
      <c r="B366" s="23" t="s">
        <v>1558</v>
      </c>
      <c r="C366" s="24">
        <v>0</v>
      </c>
    </row>
    <row r="367" spans="1:3" ht="12.5" x14ac:dyDescent="0.25">
      <c r="A367" s="23">
        <v>1338</v>
      </c>
      <c r="B367" s="23" t="s">
        <v>7662</v>
      </c>
      <c r="C367" s="24">
        <v>250000</v>
      </c>
    </row>
    <row r="368" spans="1:3" ht="12.5" x14ac:dyDescent="0.25">
      <c r="A368" s="23">
        <v>1339</v>
      </c>
      <c r="B368" s="23" t="s">
        <v>4462</v>
      </c>
      <c r="C368" s="24">
        <v>40000</v>
      </c>
    </row>
    <row r="369" spans="1:3" ht="12.5" x14ac:dyDescent="0.25">
      <c r="A369" s="23">
        <v>1340</v>
      </c>
      <c r="B369" s="23" t="s">
        <v>9228</v>
      </c>
      <c r="C369" s="24"/>
    </row>
    <row r="370" spans="1:3" ht="12.5" x14ac:dyDescent="0.25">
      <c r="A370" s="23">
        <v>1341</v>
      </c>
      <c r="B370" s="23" t="s">
        <v>4468</v>
      </c>
      <c r="C370" s="24">
        <v>28809</v>
      </c>
    </row>
    <row r="371" spans="1:3" ht="12.5" x14ac:dyDescent="0.25">
      <c r="A371" s="23">
        <v>1345</v>
      </c>
      <c r="B371" s="23" t="s">
        <v>4474</v>
      </c>
      <c r="C371" s="24">
        <v>20000</v>
      </c>
    </row>
    <row r="372" spans="1:3" ht="12.5" x14ac:dyDescent="0.25">
      <c r="A372" s="23">
        <v>1346</v>
      </c>
      <c r="B372" s="23" t="s">
        <v>4479</v>
      </c>
      <c r="C372" s="24">
        <v>111732</v>
      </c>
    </row>
    <row r="373" spans="1:3" ht="12.5" x14ac:dyDescent="0.25">
      <c r="A373" s="23">
        <v>1349</v>
      </c>
      <c r="B373" s="23" t="s">
        <v>4484</v>
      </c>
      <c r="C373" s="24">
        <v>7500</v>
      </c>
    </row>
    <row r="374" spans="1:3" ht="12.5" x14ac:dyDescent="0.25">
      <c r="A374" s="23">
        <v>1350</v>
      </c>
      <c r="B374" s="23" t="s">
        <v>4490</v>
      </c>
      <c r="C374" s="24">
        <v>120000</v>
      </c>
    </row>
    <row r="375" spans="1:3" ht="12.5" x14ac:dyDescent="0.25">
      <c r="A375" s="23">
        <v>1351</v>
      </c>
      <c r="B375" s="23" t="s">
        <v>5724</v>
      </c>
      <c r="C375" s="24">
        <v>300</v>
      </c>
    </row>
    <row r="376" spans="1:3" ht="12.5" x14ac:dyDescent="0.25">
      <c r="A376" s="23">
        <v>1354</v>
      </c>
      <c r="B376" s="23" t="s">
        <v>4495</v>
      </c>
      <c r="C376" s="24">
        <v>0</v>
      </c>
    </row>
    <row r="377" spans="1:3" ht="12.5" x14ac:dyDescent="0.25">
      <c r="A377" s="23">
        <v>1355</v>
      </c>
      <c r="B377" s="23" t="s">
        <v>8081</v>
      </c>
      <c r="C377" s="24">
        <v>6279.8</v>
      </c>
    </row>
    <row r="378" spans="1:3" ht="12.5" x14ac:dyDescent="0.25">
      <c r="A378" s="23">
        <v>1356</v>
      </c>
      <c r="B378" s="23" t="s">
        <v>4500</v>
      </c>
      <c r="C378" s="24">
        <v>300000</v>
      </c>
    </row>
    <row r="379" spans="1:3" ht="12.5" x14ac:dyDescent="0.25">
      <c r="A379" s="23">
        <v>1357</v>
      </c>
      <c r="B379" s="23" t="s">
        <v>4505</v>
      </c>
      <c r="C379" s="24">
        <v>11948.74</v>
      </c>
    </row>
    <row r="380" spans="1:3" ht="12.5" x14ac:dyDescent="0.25">
      <c r="A380" s="23">
        <v>1359</v>
      </c>
      <c r="B380" s="23" t="s">
        <v>4511</v>
      </c>
      <c r="C380" s="24">
        <v>3454.34</v>
      </c>
    </row>
    <row r="381" spans="1:3" ht="12.5" x14ac:dyDescent="0.25">
      <c r="A381" s="23">
        <v>1360</v>
      </c>
      <c r="B381" s="23" t="s">
        <v>4517</v>
      </c>
      <c r="C381" s="24">
        <v>16968.3</v>
      </c>
    </row>
    <row r="382" spans="1:3" ht="12.5" x14ac:dyDescent="0.25">
      <c r="A382" s="23">
        <v>1362</v>
      </c>
      <c r="B382" s="23" t="s">
        <v>5880</v>
      </c>
      <c r="C382" s="24">
        <v>20000</v>
      </c>
    </row>
    <row r="383" spans="1:3" ht="12.5" x14ac:dyDescent="0.25">
      <c r="A383" s="23">
        <v>1363</v>
      </c>
      <c r="B383" s="23" t="s">
        <v>4521</v>
      </c>
      <c r="C383" s="24">
        <v>0</v>
      </c>
    </row>
    <row r="384" spans="1:3" ht="12.5" x14ac:dyDescent="0.25">
      <c r="A384" s="23">
        <v>1364</v>
      </c>
      <c r="B384" s="23" t="s">
        <v>4525</v>
      </c>
      <c r="C384" s="24">
        <v>0</v>
      </c>
    </row>
    <row r="385" spans="1:3" ht="12.5" x14ac:dyDescent="0.25">
      <c r="A385" s="23">
        <v>1365</v>
      </c>
      <c r="B385" s="23" t="s">
        <v>4529</v>
      </c>
      <c r="C385" s="24">
        <v>0</v>
      </c>
    </row>
    <row r="386" spans="1:3" ht="12.5" x14ac:dyDescent="0.25">
      <c r="A386" s="23">
        <v>1366</v>
      </c>
      <c r="B386" s="23" t="s">
        <v>4533</v>
      </c>
      <c r="C386" s="24">
        <v>36000</v>
      </c>
    </row>
    <row r="387" spans="1:3" ht="12.5" x14ac:dyDescent="0.25">
      <c r="A387" s="23">
        <v>1367</v>
      </c>
      <c r="B387" s="23" t="s">
        <v>4537</v>
      </c>
      <c r="C387" s="24">
        <v>35000</v>
      </c>
    </row>
    <row r="388" spans="1:3" ht="12.5" x14ac:dyDescent="0.25">
      <c r="A388" s="23">
        <v>1368</v>
      </c>
      <c r="B388" s="23" t="s">
        <v>4542</v>
      </c>
      <c r="C388" s="24">
        <v>0</v>
      </c>
    </row>
    <row r="389" spans="1:3" ht="12.5" x14ac:dyDescent="0.25">
      <c r="A389" s="23">
        <v>1369</v>
      </c>
      <c r="B389" s="23" t="s">
        <v>4546</v>
      </c>
      <c r="C389" s="24">
        <v>50000</v>
      </c>
    </row>
    <row r="390" spans="1:3" ht="12.5" x14ac:dyDescent="0.25">
      <c r="A390" s="23">
        <v>1370</v>
      </c>
      <c r="B390" s="23" t="s">
        <v>4551</v>
      </c>
      <c r="C390" s="24">
        <v>7500</v>
      </c>
    </row>
    <row r="391" spans="1:3" ht="12.5" x14ac:dyDescent="0.25">
      <c r="A391" s="23">
        <v>1371</v>
      </c>
      <c r="B391" s="23" t="s">
        <v>4556</v>
      </c>
      <c r="C391" s="24">
        <v>0</v>
      </c>
    </row>
    <row r="392" spans="1:3" ht="12.5" x14ac:dyDescent="0.25">
      <c r="A392" s="23">
        <v>1372</v>
      </c>
      <c r="B392" s="23" t="s">
        <v>4561</v>
      </c>
      <c r="C392" s="24">
        <v>130000</v>
      </c>
    </row>
    <row r="393" spans="1:3" ht="12.5" x14ac:dyDescent="0.25">
      <c r="A393" s="23">
        <v>1373</v>
      </c>
      <c r="B393" s="23" t="s">
        <v>4566</v>
      </c>
      <c r="C393" s="24">
        <v>0</v>
      </c>
    </row>
    <row r="394" spans="1:3" ht="12.5" x14ac:dyDescent="0.25">
      <c r="A394" s="23">
        <v>1374</v>
      </c>
      <c r="B394" s="23" t="s">
        <v>4570</v>
      </c>
      <c r="C394" s="24">
        <v>0</v>
      </c>
    </row>
    <row r="395" spans="1:3" ht="12.5" x14ac:dyDescent="0.25">
      <c r="A395" s="23">
        <v>1375</v>
      </c>
      <c r="B395" s="23" t="s">
        <v>4575</v>
      </c>
      <c r="C395" s="24">
        <v>15000</v>
      </c>
    </row>
    <row r="396" spans="1:3" ht="12.5" x14ac:dyDescent="0.25">
      <c r="A396" s="23">
        <v>1376</v>
      </c>
      <c r="B396" s="23" t="s">
        <v>9208</v>
      </c>
      <c r="C396" s="24">
        <v>15000</v>
      </c>
    </row>
    <row r="397" spans="1:3" ht="12.5" x14ac:dyDescent="0.25">
      <c r="A397" s="23">
        <v>1377</v>
      </c>
      <c r="B397" s="23" t="s">
        <v>8075</v>
      </c>
      <c r="C397" s="24">
        <v>1</v>
      </c>
    </row>
    <row r="398" spans="1:3" ht="12.5" x14ac:dyDescent="0.25">
      <c r="A398" s="23">
        <v>1378</v>
      </c>
      <c r="B398" s="23" t="s">
        <v>7269</v>
      </c>
      <c r="C398" s="24">
        <v>34000</v>
      </c>
    </row>
    <row r="399" spans="1:3" ht="12.5" x14ac:dyDescent="0.25">
      <c r="A399" s="23">
        <v>1379</v>
      </c>
      <c r="B399" s="23" t="s">
        <v>720</v>
      </c>
      <c r="C399" s="24">
        <v>0</v>
      </c>
    </row>
    <row r="400" spans="1:3" ht="12.5" x14ac:dyDescent="0.25">
      <c r="A400" s="23">
        <v>1380</v>
      </c>
      <c r="B400" s="23" t="s">
        <v>240</v>
      </c>
      <c r="C400" s="24">
        <v>0</v>
      </c>
    </row>
    <row r="401" spans="1:3" ht="12.5" x14ac:dyDescent="0.25">
      <c r="A401" s="23">
        <v>1381</v>
      </c>
      <c r="B401" s="23" t="s">
        <v>4584</v>
      </c>
      <c r="C401" s="24">
        <v>75000</v>
      </c>
    </row>
    <row r="402" spans="1:3" ht="12.5" x14ac:dyDescent="0.25">
      <c r="A402" s="23">
        <v>1382</v>
      </c>
      <c r="B402" s="23" t="s">
        <v>4588</v>
      </c>
      <c r="C402" s="24">
        <v>1580</v>
      </c>
    </row>
    <row r="403" spans="1:3" ht="12.5" x14ac:dyDescent="0.25">
      <c r="A403" s="23">
        <v>1383</v>
      </c>
      <c r="B403" s="23" t="s">
        <v>4594</v>
      </c>
      <c r="C403" s="24">
        <v>50000</v>
      </c>
    </row>
    <row r="404" spans="1:3" ht="12.5" x14ac:dyDescent="0.25">
      <c r="A404" s="23">
        <v>1384</v>
      </c>
      <c r="B404" s="23" t="s">
        <v>4599</v>
      </c>
      <c r="C404" s="24">
        <v>458</v>
      </c>
    </row>
    <row r="405" spans="1:3" ht="12.5" x14ac:dyDescent="0.25">
      <c r="A405" s="23">
        <v>1386</v>
      </c>
      <c r="B405" s="23" t="s">
        <v>4603</v>
      </c>
      <c r="C405" s="24">
        <v>150000</v>
      </c>
    </row>
    <row r="406" spans="1:3" ht="12.5" x14ac:dyDescent="0.25">
      <c r="A406" s="23">
        <v>1387</v>
      </c>
      <c r="B406" s="23" t="s">
        <v>4608</v>
      </c>
      <c r="C406" s="24">
        <v>6000</v>
      </c>
    </row>
    <row r="407" spans="1:3" ht="12.5" x14ac:dyDescent="0.25">
      <c r="A407" s="23">
        <v>1388</v>
      </c>
      <c r="B407" s="23" t="s">
        <v>795</v>
      </c>
      <c r="C407" s="24">
        <v>0</v>
      </c>
    </row>
    <row r="408" spans="1:3" ht="12.5" x14ac:dyDescent="0.25">
      <c r="A408" s="23">
        <v>1389</v>
      </c>
      <c r="B408" s="23" t="s">
        <v>6113</v>
      </c>
      <c r="C408" s="24">
        <v>25000</v>
      </c>
    </row>
    <row r="409" spans="1:3" ht="12.5" x14ac:dyDescent="0.25">
      <c r="A409" s="23">
        <v>1390</v>
      </c>
      <c r="B409" s="23" t="s">
        <v>4613</v>
      </c>
      <c r="C409" s="24">
        <v>300000</v>
      </c>
    </row>
    <row r="410" spans="1:3" ht="12.5" x14ac:dyDescent="0.25">
      <c r="A410" s="23">
        <v>1391</v>
      </c>
      <c r="B410" s="23" t="s">
        <v>4618</v>
      </c>
      <c r="C410" s="24"/>
    </row>
    <row r="411" spans="1:3" ht="12.5" x14ac:dyDescent="0.25">
      <c r="A411" s="23">
        <v>1392</v>
      </c>
      <c r="B411" s="23" t="s">
        <v>4622</v>
      </c>
      <c r="C411" s="24">
        <v>4430</v>
      </c>
    </row>
    <row r="412" spans="1:3" ht="12.5" x14ac:dyDescent="0.25">
      <c r="A412" s="23">
        <v>1393</v>
      </c>
      <c r="B412" s="23" t="s">
        <v>4628</v>
      </c>
      <c r="C412" s="24">
        <v>9130</v>
      </c>
    </row>
    <row r="413" spans="1:3" ht="12.5" x14ac:dyDescent="0.25">
      <c r="A413" s="23">
        <v>1394</v>
      </c>
      <c r="B413" s="23" t="s">
        <v>4633</v>
      </c>
      <c r="C413" s="24">
        <v>2220</v>
      </c>
    </row>
    <row r="414" spans="1:3" ht="12.5" x14ac:dyDescent="0.25">
      <c r="A414" s="23">
        <v>1395</v>
      </c>
      <c r="B414" s="23" t="s">
        <v>4637</v>
      </c>
      <c r="C414" s="24">
        <v>2000</v>
      </c>
    </row>
    <row r="415" spans="1:3" ht="12.5" x14ac:dyDescent="0.25">
      <c r="A415" s="23">
        <v>1397</v>
      </c>
      <c r="B415" s="23" t="s">
        <v>8068</v>
      </c>
      <c r="C415" s="24">
        <v>1</v>
      </c>
    </row>
    <row r="416" spans="1:3" ht="12.5" x14ac:dyDescent="0.25">
      <c r="A416" s="23">
        <v>1398</v>
      </c>
      <c r="B416" s="23" t="s">
        <v>4643</v>
      </c>
      <c r="C416" s="24"/>
    </row>
    <row r="417" spans="1:3" ht="12.5" x14ac:dyDescent="0.25">
      <c r="A417" s="23">
        <v>1399</v>
      </c>
      <c r="B417" s="23" t="s">
        <v>4649</v>
      </c>
      <c r="C417" s="24">
        <v>2000</v>
      </c>
    </row>
    <row r="418" spans="1:3" ht="12.5" x14ac:dyDescent="0.25">
      <c r="A418" s="23">
        <v>1400</v>
      </c>
      <c r="B418" s="23" t="s">
        <v>4653</v>
      </c>
      <c r="C418" s="24">
        <v>71011</v>
      </c>
    </row>
    <row r="419" spans="1:3" ht="12.5" x14ac:dyDescent="0.25">
      <c r="A419" s="23">
        <v>1403</v>
      </c>
      <c r="B419" s="23" t="s">
        <v>4658</v>
      </c>
      <c r="C419" s="24">
        <v>0</v>
      </c>
    </row>
    <row r="420" spans="1:3" ht="12.5" x14ac:dyDescent="0.25">
      <c r="A420" s="23">
        <v>1407</v>
      </c>
      <c r="B420" s="23" t="s">
        <v>4662</v>
      </c>
      <c r="C420" s="24">
        <v>200000</v>
      </c>
    </row>
    <row r="421" spans="1:3" ht="12.5" x14ac:dyDescent="0.25">
      <c r="A421" s="23">
        <v>1408</v>
      </c>
      <c r="B421" s="23" t="s">
        <v>4667</v>
      </c>
      <c r="C421" s="24">
        <v>81500</v>
      </c>
    </row>
    <row r="422" spans="1:3" ht="12.5" x14ac:dyDescent="0.25">
      <c r="A422" s="23">
        <v>1409</v>
      </c>
      <c r="B422" s="23" t="s">
        <v>6741</v>
      </c>
      <c r="C422" s="24">
        <v>50000</v>
      </c>
    </row>
    <row r="423" spans="1:3" ht="12.5" x14ac:dyDescent="0.25">
      <c r="A423" s="23">
        <v>1410</v>
      </c>
      <c r="B423" s="23" t="s">
        <v>4672</v>
      </c>
      <c r="C423" s="24">
        <v>465500</v>
      </c>
    </row>
    <row r="424" spans="1:3" ht="12.5" x14ac:dyDescent="0.25">
      <c r="A424" s="23">
        <v>1411</v>
      </c>
      <c r="B424" s="23" t="s">
        <v>4677</v>
      </c>
      <c r="C424" s="24">
        <v>25000</v>
      </c>
    </row>
    <row r="425" spans="1:3" ht="12.5" x14ac:dyDescent="0.25">
      <c r="A425" s="23">
        <v>1412</v>
      </c>
      <c r="B425" s="23" t="s">
        <v>4680</v>
      </c>
      <c r="C425" s="24">
        <v>20000</v>
      </c>
    </row>
    <row r="426" spans="1:3" ht="12.5" x14ac:dyDescent="0.25">
      <c r="A426" s="23">
        <v>1413</v>
      </c>
      <c r="B426" s="23" t="s">
        <v>6863</v>
      </c>
      <c r="C426" s="24">
        <v>25000</v>
      </c>
    </row>
    <row r="427" spans="1:3" ht="12.5" x14ac:dyDescent="0.25">
      <c r="A427" s="23">
        <v>1414</v>
      </c>
      <c r="B427" s="23" t="s">
        <v>6868</v>
      </c>
      <c r="C427" s="24">
        <v>50000</v>
      </c>
    </row>
    <row r="428" spans="1:3" ht="12.5" x14ac:dyDescent="0.25">
      <c r="A428" s="23">
        <v>1415</v>
      </c>
      <c r="B428" s="23" t="s">
        <v>4685</v>
      </c>
      <c r="C428" s="24">
        <v>5000</v>
      </c>
    </row>
    <row r="429" spans="1:3" ht="12.5" x14ac:dyDescent="0.25">
      <c r="A429" s="23">
        <v>1416</v>
      </c>
      <c r="B429" s="23" t="s">
        <v>4691</v>
      </c>
      <c r="C429" s="24">
        <v>1000</v>
      </c>
    </row>
    <row r="430" spans="1:3" ht="12.5" x14ac:dyDescent="0.25">
      <c r="A430" s="23">
        <v>1417</v>
      </c>
      <c r="B430" s="23" t="s">
        <v>5488</v>
      </c>
      <c r="C430" s="24">
        <v>7000</v>
      </c>
    </row>
    <row r="431" spans="1:3" ht="12.5" x14ac:dyDescent="0.25">
      <c r="A431" s="23">
        <v>1418</v>
      </c>
      <c r="B431" s="23" t="s">
        <v>4695</v>
      </c>
      <c r="C431" s="24">
        <v>5000</v>
      </c>
    </row>
    <row r="432" spans="1:3" ht="12.5" x14ac:dyDescent="0.25">
      <c r="A432" s="23">
        <v>1419</v>
      </c>
      <c r="B432" s="23" t="s">
        <v>4699</v>
      </c>
      <c r="C432" s="24">
        <v>7500</v>
      </c>
    </row>
    <row r="433" spans="1:3" ht="12.5" x14ac:dyDescent="0.25">
      <c r="A433" s="23">
        <v>1420</v>
      </c>
      <c r="B433" s="23" t="s">
        <v>5392</v>
      </c>
      <c r="C433" s="24"/>
    </row>
    <row r="434" spans="1:3" ht="12.5" x14ac:dyDescent="0.25">
      <c r="A434" s="23">
        <v>1421</v>
      </c>
      <c r="B434" s="23" t="s">
        <v>3534</v>
      </c>
      <c r="C434" s="24">
        <v>0</v>
      </c>
    </row>
    <row r="435" spans="1:3" ht="12.5" x14ac:dyDescent="0.25">
      <c r="A435" s="23">
        <v>1423</v>
      </c>
      <c r="B435" s="23" t="s">
        <v>3019</v>
      </c>
      <c r="C435" s="24">
        <v>431250</v>
      </c>
    </row>
    <row r="436" spans="1:3" ht="12.5" x14ac:dyDescent="0.25">
      <c r="A436" s="23">
        <v>1424</v>
      </c>
      <c r="B436" s="23" t="s">
        <v>3021</v>
      </c>
      <c r="C436" s="24">
        <v>0</v>
      </c>
    </row>
    <row r="437" spans="1:3" ht="12.5" x14ac:dyDescent="0.25">
      <c r="A437" s="23">
        <v>1425</v>
      </c>
      <c r="B437" s="23" t="s">
        <v>4709</v>
      </c>
      <c r="C437" s="24">
        <v>76000</v>
      </c>
    </row>
    <row r="438" spans="1:3" ht="12.5" x14ac:dyDescent="0.25">
      <c r="A438" s="23">
        <v>1426</v>
      </c>
      <c r="B438" s="23" t="s">
        <v>4714</v>
      </c>
      <c r="C438" s="24"/>
    </row>
    <row r="439" spans="1:3" ht="12.5" x14ac:dyDescent="0.25">
      <c r="A439" s="23">
        <v>1427</v>
      </c>
      <c r="B439" s="23" t="s">
        <v>4719</v>
      </c>
      <c r="C439" s="24">
        <v>5000</v>
      </c>
    </row>
    <row r="440" spans="1:3" ht="12.5" x14ac:dyDescent="0.25">
      <c r="A440" s="23">
        <v>1428</v>
      </c>
      <c r="B440" s="23" t="s">
        <v>4723</v>
      </c>
      <c r="C440" s="24"/>
    </row>
    <row r="441" spans="1:3" ht="12.5" x14ac:dyDescent="0.25">
      <c r="A441" s="23">
        <v>1429</v>
      </c>
      <c r="B441" s="23" t="s">
        <v>4728</v>
      </c>
      <c r="C441" s="24">
        <v>38453</v>
      </c>
    </row>
    <row r="442" spans="1:3" ht="12.5" x14ac:dyDescent="0.25">
      <c r="A442" s="23">
        <v>1430</v>
      </c>
      <c r="B442" s="23" t="s">
        <v>5396</v>
      </c>
      <c r="C442" s="24">
        <v>1</v>
      </c>
    </row>
    <row r="443" spans="1:3" ht="12.5" x14ac:dyDescent="0.25">
      <c r="A443" s="23">
        <v>1431</v>
      </c>
      <c r="B443" s="23" t="s">
        <v>4734</v>
      </c>
      <c r="C443" s="24">
        <v>182860</v>
      </c>
    </row>
    <row r="444" spans="1:3" ht="12.5" x14ac:dyDescent="0.25">
      <c r="A444" s="23">
        <v>1432</v>
      </c>
      <c r="B444" s="23" t="s">
        <v>4739</v>
      </c>
      <c r="C444" s="24">
        <v>42620</v>
      </c>
    </row>
    <row r="445" spans="1:3" ht="12.5" x14ac:dyDescent="0.25">
      <c r="A445" s="23">
        <v>1433</v>
      </c>
      <c r="B445" s="23" t="s">
        <v>4745</v>
      </c>
      <c r="C445" s="24">
        <v>120000</v>
      </c>
    </row>
    <row r="446" spans="1:3" ht="12.5" x14ac:dyDescent="0.25">
      <c r="A446" s="23">
        <v>1435</v>
      </c>
      <c r="B446" s="23" t="s">
        <v>8633</v>
      </c>
      <c r="C446" s="24"/>
    </row>
    <row r="447" spans="1:3" ht="12.5" x14ac:dyDescent="0.25">
      <c r="A447" s="23">
        <v>1436</v>
      </c>
      <c r="B447" s="23" t="s">
        <v>5712</v>
      </c>
      <c r="C447" s="24">
        <v>30000</v>
      </c>
    </row>
    <row r="448" spans="1:3" ht="12.5" x14ac:dyDescent="0.25">
      <c r="A448" s="23">
        <v>1437</v>
      </c>
      <c r="B448" s="23" t="s">
        <v>5706</v>
      </c>
      <c r="C448" s="24">
        <v>30000</v>
      </c>
    </row>
    <row r="449" spans="1:3" ht="12.5" x14ac:dyDescent="0.25">
      <c r="A449" s="23">
        <v>1438</v>
      </c>
      <c r="B449" s="23" t="s">
        <v>4750</v>
      </c>
      <c r="C449" s="24">
        <v>40000</v>
      </c>
    </row>
    <row r="450" spans="1:3" ht="12.5" x14ac:dyDescent="0.25">
      <c r="A450" s="23">
        <v>1439</v>
      </c>
      <c r="B450" s="23" t="s">
        <v>4755</v>
      </c>
      <c r="C450" s="24">
        <v>135000</v>
      </c>
    </row>
    <row r="451" spans="1:3" ht="12.5" x14ac:dyDescent="0.25">
      <c r="A451" s="23">
        <v>1440</v>
      </c>
      <c r="B451" s="23" t="s">
        <v>4761</v>
      </c>
      <c r="C451" s="24">
        <v>510000</v>
      </c>
    </row>
    <row r="452" spans="1:3" ht="12.5" x14ac:dyDescent="0.25">
      <c r="A452" s="23">
        <v>1441</v>
      </c>
      <c r="B452" s="23" t="s">
        <v>4767</v>
      </c>
      <c r="C452" s="24">
        <v>353122</v>
      </c>
    </row>
    <row r="453" spans="1:3" ht="12.5" x14ac:dyDescent="0.25">
      <c r="A453" s="23">
        <v>1442</v>
      </c>
      <c r="B453" s="23" t="s">
        <v>4772</v>
      </c>
      <c r="C453" s="24">
        <v>75000</v>
      </c>
    </row>
    <row r="454" spans="1:3" ht="12.5" x14ac:dyDescent="0.25">
      <c r="A454" s="23">
        <v>1443</v>
      </c>
      <c r="B454" s="23" t="s">
        <v>4776</v>
      </c>
      <c r="C454" s="24">
        <v>300000</v>
      </c>
    </row>
    <row r="455" spans="1:3" ht="12.5" x14ac:dyDescent="0.25">
      <c r="A455" s="23">
        <v>1444</v>
      </c>
      <c r="B455" s="23" t="s">
        <v>6932</v>
      </c>
      <c r="C455" s="24"/>
    </row>
    <row r="456" spans="1:3" ht="12.5" x14ac:dyDescent="0.25">
      <c r="A456" s="23">
        <v>1445</v>
      </c>
      <c r="B456" s="23" t="s">
        <v>7023</v>
      </c>
      <c r="C456" s="24">
        <v>1</v>
      </c>
    </row>
    <row r="457" spans="1:3" ht="12.5" x14ac:dyDescent="0.25">
      <c r="A457" s="23">
        <v>1446</v>
      </c>
      <c r="B457" s="23" t="s">
        <v>4781</v>
      </c>
      <c r="C457" s="24">
        <v>0</v>
      </c>
    </row>
    <row r="458" spans="1:3" ht="12.5" x14ac:dyDescent="0.25">
      <c r="A458" s="23">
        <v>1447</v>
      </c>
      <c r="B458" s="23" t="s">
        <v>4785</v>
      </c>
      <c r="C458" s="24">
        <v>0</v>
      </c>
    </row>
    <row r="459" spans="1:3" ht="12.5" x14ac:dyDescent="0.25">
      <c r="A459" s="23">
        <v>1448</v>
      </c>
      <c r="B459" s="23" t="s">
        <v>4789</v>
      </c>
      <c r="C459" s="24">
        <v>0</v>
      </c>
    </row>
    <row r="460" spans="1:3" ht="12.5" x14ac:dyDescent="0.25">
      <c r="A460" s="23">
        <v>1449</v>
      </c>
      <c r="B460" s="23" t="s">
        <v>4793</v>
      </c>
      <c r="C460" s="24">
        <v>300000</v>
      </c>
    </row>
    <row r="461" spans="1:3" ht="12.5" x14ac:dyDescent="0.25">
      <c r="A461" s="23">
        <v>1450</v>
      </c>
      <c r="B461" s="23" t="s">
        <v>4795</v>
      </c>
      <c r="C461" s="24">
        <v>76936.25</v>
      </c>
    </row>
    <row r="462" spans="1:3" ht="12.5" x14ac:dyDescent="0.25">
      <c r="A462" s="23">
        <v>1451</v>
      </c>
      <c r="B462" s="23" t="s">
        <v>4800</v>
      </c>
      <c r="C462" s="24">
        <v>10000</v>
      </c>
    </row>
    <row r="463" spans="1:3" ht="12.5" x14ac:dyDescent="0.25">
      <c r="A463" s="23">
        <v>1453</v>
      </c>
      <c r="B463" s="23" t="s">
        <v>4805</v>
      </c>
      <c r="C463" s="24">
        <v>10000</v>
      </c>
    </row>
    <row r="464" spans="1:3" ht="12.5" x14ac:dyDescent="0.25">
      <c r="A464" s="23">
        <v>1454</v>
      </c>
      <c r="B464" s="23" t="s">
        <v>4810</v>
      </c>
      <c r="C464" s="24">
        <v>10000</v>
      </c>
    </row>
    <row r="465" spans="1:3" ht="12.5" x14ac:dyDescent="0.25">
      <c r="A465" s="23">
        <v>1455</v>
      </c>
      <c r="B465" s="23" t="s">
        <v>4814</v>
      </c>
      <c r="C465" s="24">
        <v>10000</v>
      </c>
    </row>
    <row r="466" spans="1:3" ht="12.5" x14ac:dyDescent="0.25">
      <c r="A466" s="23">
        <v>1456</v>
      </c>
      <c r="B466" s="23" t="s">
        <v>4818</v>
      </c>
      <c r="C466" s="24">
        <v>5000</v>
      </c>
    </row>
    <row r="467" spans="1:3" ht="12.5" x14ac:dyDescent="0.25">
      <c r="A467" s="23">
        <v>1457</v>
      </c>
      <c r="B467" s="23" t="s">
        <v>4822</v>
      </c>
      <c r="C467" s="24"/>
    </row>
    <row r="468" spans="1:3" ht="12.5" x14ac:dyDescent="0.25">
      <c r="A468" s="23">
        <v>1458</v>
      </c>
      <c r="B468" s="23" t="s">
        <v>4827</v>
      </c>
      <c r="C468" s="24">
        <v>40000</v>
      </c>
    </row>
    <row r="469" spans="1:3" ht="12.5" x14ac:dyDescent="0.25">
      <c r="A469" s="23">
        <v>1459</v>
      </c>
      <c r="B469" s="23" t="s">
        <v>4832</v>
      </c>
      <c r="C469" s="24">
        <v>500</v>
      </c>
    </row>
    <row r="470" spans="1:3" ht="12.5" x14ac:dyDescent="0.25">
      <c r="A470" s="23">
        <v>1460</v>
      </c>
      <c r="B470" s="23" t="s">
        <v>8828</v>
      </c>
      <c r="C470" s="24"/>
    </row>
    <row r="471" spans="1:3" ht="12.5" x14ac:dyDescent="0.25">
      <c r="A471" s="23">
        <v>1461</v>
      </c>
      <c r="B471" s="23" t="s">
        <v>4837</v>
      </c>
      <c r="C471" s="24">
        <v>7475</v>
      </c>
    </row>
    <row r="472" spans="1:3" ht="12.5" x14ac:dyDescent="0.25">
      <c r="A472" s="23">
        <v>1462</v>
      </c>
      <c r="B472" s="23" t="s">
        <v>5501</v>
      </c>
      <c r="C472" s="24">
        <v>6075</v>
      </c>
    </row>
    <row r="473" spans="1:3" ht="12.5" x14ac:dyDescent="0.25">
      <c r="A473" s="23">
        <v>1463</v>
      </c>
      <c r="B473" s="23" t="s">
        <v>7550</v>
      </c>
      <c r="C473" s="24"/>
    </row>
    <row r="474" spans="1:3" ht="12.5" x14ac:dyDescent="0.25">
      <c r="A474" s="23">
        <v>1464</v>
      </c>
      <c r="B474" s="23" t="s">
        <v>4842</v>
      </c>
      <c r="C474" s="24"/>
    </row>
    <row r="475" spans="1:3" ht="12.5" x14ac:dyDescent="0.25">
      <c r="A475" s="23">
        <v>1465</v>
      </c>
      <c r="B475" s="23" t="s">
        <v>1214</v>
      </c>
      <c r="C475" s="24">
        <v>0</v>
      </c>
    </row>
    <row r="476" spans="1:3" ht="12.5" x14ac:dyDescent="0.25">
      <c r="A476" s="23">
        <v>1467</v>
      </c>
      <c r="B476" s="23" t="s">
        <v>4846</v>
      </c>
      <c r="C476" s="24">
        <v>24000</v>
      </c>
    </row>
    <row r="477" spans="1:3" ht="12.5" x14ac:dyDescent="0.25">
      <c r="A477" s="23">
        <v>1468</v>
      </c>
      <c r="B477" s="23" t="s">
        <v>4849</v>
      </c>
      <c r="C477" s="24">
        <v>15000</v>
      </c>
    </row>
    <row r="478" spans="1:3" ht="12.5" x14ac:dyDescent="0.25">
      <c r="A478" s="23">
        <v>1469</v>
      </c>
      <c r="B478" s="23" t="s">
        <v>4855</v>
      </c>
      <c r="C478" s="24">
        <v>150000</v>
      </c>
    </row>
    <row r="479" spans="1:3" ht="12.5" x14ac:dyDescent="0.25">
      <c r="A479" s="23">
        <v>1470</v>
      </c>
      <c r="B479" s="23" t="s">
        <v>8942</v>
      </c>
      <c r="C479" s="24"/>
    </row>
    <row r="480" spans="1:3" ht="12.5" x14ac:dyDescent="0.25">
      <c r="A480" s="23">
        <v>1471</v>
      </c>
      <c r="B480" s="23" t="s">
        <v>8938</v>
      </c>
      <c r="C480" s="24"/>
    </row>
    <row r="481" spans="1:3" ht="12.5" x14ac:dyDescent="0.25">
      <c r="A481" s="23">
        <v>1472</v>
      </c>
      <c r="B481" s="23" t="s">
        <v>8934</v>
      </c>
      <c r="C481" s="24"/>
    </row>
    <row r="482" spans="1:3" ht="12.5" x14ac:dyDescent="0.25">
      <c r="A482" s="23">
        <v>1473</v>
      </c>
      <c r="B482" s="23" t="s">
        <v>6750</v>
      </c>
      <c r="C482" s="24">
        <v>400000</v>
      </c>
    </row>
    <row r="483" spans="1:3" ht="12.5" x14ac:dyDescent="0.25">
      <c r="A483" s="23">
        <v>1474</v>
      </c>
      <c r="B483" s="23" t="s">
        <v>4860</v>
      </c>
      <c r="C483" s="24">
        <v>199566</v>
      </c>
    </row>
    <row r="484" spans="1:3" ht="12.5" x14ac:dyDescent="0.25">
      <c r="A484" s="23">
        <v>1475</v>
      </c>
      <c r="B484" s="23" t="s">
        <v>4864</v>
      </c>
      <c r="C484" s="24">
        <v>15000</v>
      </c>
    </row>
    <row r="485" spans="1:3" ht="12.5" x14ac:dyDescent="0.25">
      <c r="A485" s="23">
        <v>1476</v>
      </c>
      <c r="B485" s="23" t="s">
        <v>4869</v>
      </c>
      <c r="C485" s="24">
        <v>30000</v>
      </c>
    </row>
    <row r="486" spans="1:3" ht="12.5" x14ac:dyDescent="0.25">
      <c r="A486" s="23">
        <v>1477</v>
      </c>
      <c r="B486" s="23" t="s">
        <v>4874</v>
      </c>
      <c r="C486" s="24">
        <v>30000</v>
      </c>
    </row>
    <row r="487" spans="1:3" ht="12.5" x14ac:dyDescent="0.25">
      <c r="A487" s="23">
        <v>1478</v>
      </c>
      <c r="B487" s="23" t="s">
        <v>4878</v>
      </c>
      <c r="C487" s="24">
        <v>2500</v>
      </c>
    </row>
    <row r="488" spans="1:3" ht="12.5" x14ac:dyDescent="0.25">
      <c r="A488" s="23">
        <v>1479</v>
      </c>
      <c r="B488" s="23" t="s">
        <v>4884</v>
      </c>
      <c r="C488" s="24">
        <v>48780</v>
      </c>
    </row>
    <row r="489" spans="1:3" ht="12.5" x14ac:dyDescent="0.25">
      <c r="A489" s="23">
        <v>1480</v>
      </c>
      <c r="B489" s="23" t="s">
        <v>4889</v>
      </c>
      <c r="C489" s="24"/>
    </row>
    <row r="490" spans="1:3" ht="12.5" x14ac:dyDescent="0.25">
      <c r="A490" s="23">
        <v>1481</v>
      </c>
      <c r="B490" s="23" t="s">
        <v>4894</v>
      </c>
      <c r="C490" s="24"/>
    </row>
    <row r="491" spans="1:3" ht="12.5" x14ac:dyDescent="0.25">
      <c r="A491" s="23">
        <v>1482</v>
      </c>
      <c r="B491" s="23" t="s">
        <v>4899</v>
      </c>
      <c r="C491" s="24">
        <v>275000</v>
      </c>
    </row>
    <row r="492" spans="1:3" ht="12.5" x14ac:dyDescent="0.25">
      <c r="A492" s="23">
        <v>1483</v>
      </c>
      <c r="B492" s="23" t="s">
        <v>4904</v>
      </c>
      <c r="C492" s="24">
        <v>40000</v>
      </c>
    </row>
    <row r="493" spans="1:3" ht="12.5" x14ac:dyDescent="0.25">
      <c r="A493" s="23">
        <v>1484</v>
      </c>
      <c r="B493" s="23" t="s">
        <v>6873</v>
      </c>
      <c r="C493" s="24">
        <v>25000</v>
      </c>
    </row>
    <row r="494" spans="1:3" ht="12.5" x14ac:dyDescent="0.25">
      <c r="A494" s="23">
        <v>1485</v>
      </c>
      <c r="B494" s="23" t="s">
        <v>4909</v>
      </c>
      <c r="C494" s="24"/>
    </row>
    <row r="495" spans="1:3" ht="12.5" x14ac:dyDescent="0.25">
      <c r="A495" s="23">
        <v>1486</v>
      </c>
      <c r="B495" s="23" t="s">
        <v>4914</v>
      </c>
      <c r="C495" s="24"/>
    </row>
    <row r="496" spans="1:3" ht="12.5" x14ac:dyDescent="0.25">
      <c r="A496" s="23">
        <v>1487</v>
      </c>
      <c r="B496" s="23" t="s">
        <v>8058</v>
      </c>
      <c r="C496" s="24">
        <v>1</v>
      </c>
    </row>
    <row r="497" spans="1:3" ht="12.5" x14ac:dyDescent="0.25">
      <c r="A497" s="23">
        <v>1490</v>
      </c>
      <c r="B497" s="23" t="s">
        <v>4920</v>
      </c>
      <c r="C497" s="24">
        <v>5880</v>
      </c>
    </row>
    <row r="498" spans="1:3" ht="12.5" x14ac:dyDescent="0.25">
      <c r="A498" s="23">
        <v>1491</v>
      </c>
      <c r="B498" s="23" t="s">
        <v>4925</v>
      </c>
      <c r="C498" s="24">
        <v>165000</v>
      </c>
    </row>
    <row r="499" spans="1:3" ht="12.5" x14ac:dyDescent="0.25">
      <c r="A499" s="23">
        <v>1492</v>
      </c>
      <c r="B499" s="23" t="s">
        <v>4929</v>
      </c>
      <c r="C499" s="24">
        <v>242500</v>
      </c>
    </row>
    <row r="500" spans="1:3" ht="12.5" x14ac:dyDescent="0.25">
      <c r="A500" s="23">
        <v>1493</v>
      </c>
      <c r="B500" s="23" t="s">
        <v>4932</v>
      </c>
      <c r="C500" s="24">
        <v>30000</v>
      </c>
    </row>
    <row r="501" spans="1:3" ht="12.5" x14ac:dyDescent="0.25">
      <c r="A501" s="23">
        <v>1494</v>
      </c>
      <c r="B501" s="23" t="s">
        <v>4935</v>
      </c>
      <c r="C501" s="24">
        <v>165000</v>
      </c>
    </row>
    <row r="502" spans="1:3" ht="12.5" x14ac:dyDescent="0.25">
      <c r="A502" s="23">
        <v>1495</v>
      </c>
      <c r="B502" s="23" t="s">
        <v>4939</v>
      </c>
      <c r="C502" s="24">
        <v>5000</v>
      </c>
    </row>
    <row r="503" spans="1:3" ht="12.5" x14ac:dyDescent="0.25">
      <c r="A503" s="23">
        <v>1496</v>
      </c>
      <c r="B503" s="23" t="s">
        <v>4942</v>
      </c>
      <c r="C503" s="24">
        <v>165000</v>
      </c>
    </row>
    <row r="504" spans="1:3" ht="12.5" x14ac:dyDescent="0.25">
      <c r="A504" s="23">
        <v>1497</v>
      </c>
      <c r="B504" s="23" t="s">
        <v>4947</v>
      </c>
      <c r="C504" s="24">
        <v>80000</v>
      </c>
    </row>
    <row r="505" spans="1:3" ht="12.5" x14ac:dyDescent="0.25">
      <c r="A505" s="23">
        <v>1498</v>
      </c>
      <c r="B505" s="23" t="s">
        <v>4952</v>
      </c>
      <c r="C505" s="24">
        <v>32000</v>
      </c>
    </row>
    <row r="506" spans="1:3" ht="12.5" x14ac:dyDescent="0.25">
      <c r="A506" s="23">
        <v>1499</v>
      </c>
      <c r="B506" s="23" t="s">
        <v>4955</v>
      </c>
      <c r="C506" s="24">
        <v>5000</v>
      </c>
    </row>
    <row r="507" spans="1:3" ht="12.5" x14ac:dyDescent="0.25">
      <c r="A507" s="23">
        <v>1500</v>
      </c>
      <c r="B507" s="23" t="s">
        <v>4958</v>
      </c>
      <c r="C507" s="24">
        <v>165000</v>
      </c>
    </row>
    <row r="508" spans="1:3" ht="12.5" x14ac:dyDescent="0.25">
      <c r="A508" s="23">
        <v>1501</v>
      </c>
      <c r="B508" s="23" t="s">
        <v>4963</v>
      </c>
      <c r="C508" s="24">
        <v>30000</v>
      </c>
    </row>
    <row r="509" spans="1:3" ht="12.5" x14ac:dyDescent="0.25">
      <c r="A509" s="23">
        <v>1502</v>
      </c>
      <c r="B509" s="23" t="s">
        <v>4966</v>
      </c>
      <c r="C509" s="24">
        <v>45000</v>
      </c>
    </row>
    <row r="510" spans="1:3" ht="12.5" x14ac:dyDescent="0.25">
      <c r="A510" s="23">
        <v>1504</v>
      </c>
      <c r="B510" s="23" t="s">
        <v>7124</v>
      </c>
      <c r="C510" s="24"/>
    </row>
    <row r="511" spans="1:3" ht="12.5" x14ac:dyDescent="0.25">
      <c r="A511" s="23">
        <v>1505</v>
      </c>
      <c r="B511" s="23" t="s">
        <v>4969</v>
      </c>
      <c r="C511" s="24">
        <v>18000</v>
      </c>
    </row>
    <row r="512" spans="1:3" ht="12.5" x14ac:dyDescent="0.25">
      <c r="A512" s="23">
        <v>1506</v>
      </c>
      <c r="B512" s="23" t="s">
        <v>4974</v>
      </c>
      <c r="C512" s="24">
        <v>68000</v>
      </c>
    </row>
    <row r="513" spans="1:3" ht="12.5" x14ac:dyDescent="0.25">
      <c r="A513" s="23">
        <v>1507</v>
      </c>
      <c r="B513" s="23" t="s">
        <v>4978</v>
      </c>
      <c r="C513" s="24">
        <v>0</v>
      </c>
    </row>
    <row r="514" spans="1:3" ht="12.5" x14ac:dyDescent="0.25">
      <c r="A514" s="23">
        <v>1508</v>
      </c>
      <c r="B514" s="23" t="s">
        <v>6828</v>
      </c>
      <c r="C514" s="24"/>
    </row>
    <row r="515" spans="1:3" ht="12.5" x14ac:dyDescent="0.25">
      <c r="A515" s="23">
        <v>1509</v>
      </c>
      <c r="B515" s="23" t="s">
        <v>4984</v>
      </c>
      <c r="C515" s="24">
        <v>140000</v>
      </c>
    </row>
    <row r="516" spans="1:3" ht="12.5" x14ac:dyDescent="0.25">
      <c r="A516" s="23">
        <v>1510</v>
      </c>
      <c r="B516" s="23" t="s">
        <v>4989</v>
      </c>
      <c r="C516" s="24">
        <v>260000</v>
      </c>
    </row>
    <row r="517" spans="1:3" ht="12.5" x14ac:dyDescent="0.25">
      <c r="A517" s="23">
        <v>1511</v>
      </c>
      <c r="B517" s="23" t="s">
        <v>5386</v>
      </c>
      <c r="C517" s="24">
        <v>40000</v>
      </c>
    </row>
    <row r="518" spans="1:3" ht="12.5" x14ac:dyDescent="0.25">
      <c r="A518" s="23">
        <v>1512</v>
      </c>
      <c r="B518" s="23" t="s">
        <v>4994</v>
      </c>
      <c r="C518" s="24">
        <v>28500</v>
      </c>
    </row>
    <row r="519" spans="1:3" ht="12.5" x14ac:dyDescent="0.25">
      <c r="A519" s="23">
        <v>1513</v>
      </c>
      <c r="B519" s="23" t="s">
        <v>4998</v>
      </c>
      <c r="C519" s="24"/>
    </row>
    <row r="520" spans="1:3" ht="12.5" x14ac:dyDescent="0.25">
      <c r="A520" s="23">
        <v>1514</v>
      </c>
      <c r="B520" s="23" t="s">
        <v>7277</v>
      </c>
      <c r="C520" s="24">
        <v>32500</v>
      </c>
    </row>
    <row r="521" spans="1:3" ht="12.5" x14ac:dyDescent="0.25">
      <c r="A521" s="23">
        <v>1515</v>
      </c>
      <c r="B521" s="23" t="s">
        <v>5002</v>
      </c>
      <c r="C521" s="24">
        <v>4000</v>
      </c>
    </row>
    <row r="522" spans="1:3" ht="12.5" x14ac:dyDescent="0.25">
      <c r="A522" s="23">
        <v>1520</v>
      </c>
      <c r="B522" s="23" t="s">
        <v>5006</v>
      </c>
      <c r="C522" s="24">
        <v>6500</v>
      </c>
    </row>
    <row r="523" spans="1:3" ht="12.5" x14ac:dyDescent="0.25">
      <c r="A523" s="23">
        <v>1521</v>
      </c>
      <c r="B523" s="23" t="s">
        <v>5010</v>
      </c>
      <c r="C523" s="24">
        <v>2500</v>
      </c>
    </row>
    <row r="524" spans="1:3" ht="12.5" x14ac:dyDescent="0.25">
      <c r="A524" s="23">
        <v>1526</v>
      </c>
      <c r="B524" s="23" t="s">
        <v>5783</v>
      </c>
      <c r="C524" s="24"/>
    </row>
    <row r="525" spans="1:3" ht="12.5" x14ac:dyDescent="0.25">
      <c r="A525" s="23">
        <v>1527</v>
      </c>
      <c r="B525" s="23" t="s">
        <v>5014</v>
      </c>
      <c r="C525" s="24">
        <v>0</v>
      </c>
    </row>
    <row r="526" spans="1:3" ht="12.5" x14ac:dyDescent="0.25">
      <c r="A526" s="23">
        <v>1528</v>
      </c>
      <c r="B526" s="23" t="s">
        <v>5020</v>
      </c>
      <c r="C526" s="24">
        <v>0</v>
      </c>
    </row>
    <row r="527" spans="1:3" ht="12.5" x14ac:dyDescent="0.25">
      <c r="A527" s="23">
        <v>1529</v>
      </c>
      <c r="B527" s="23" t="s">
        <v>5790</v>
      </c>
      <c r="C527" s="24"/>
    </row>
    <row r="528" spans="1:3" ht="12.5" x14ac:dyDescent="0.25">
      <c r="A528" s="23">
        <v>1530</v>
      </c>
      <c r="B528" s="23" t="s">
        <v>5021</v>
      </c>
      <c r="C528" s="24">
        <v>0</v>
      </c>
    </row>
    <row r="529" spans="1:3" ht="12.5" x14ac:dyDescent="0.25">
      <c r="A529" s="23">
        <v>1532</v>
      </c>
      <c r="B529" s="23" t="s">
        <v>5024</v>
      </c>
      <c r="C529" s="24"/>
    </row>
    <row r="530" spans="1:3" ht="12.5" x14ac:dyDescent="0.25">
      <c r="A530" s="23">
        <v>1533</v>
      </c>
      <c r="B530" s="23" t="s">
        <v>8657</v>
      </c>
      <c r="C530" s="24">
        <v>35000</v>
      </c>
    </row>
    <row r="531" spans="1:3" ht="12.5" x14ac:dyDescent="0.25">
      <c r="A531" s="23">
        <v>1534</v>
      </c>
      <c r="B531" s="23" t="s">
        <v>5027</v>
      </c>
      <c r="C531" s="24">
        <v>9000</v>
      </c>
    </row>
    <row r="532" spans="1:3" ht="12.5" x14ac:dyDescent="0.25">
      <c r="A532" s="23">
        <v>1536</v>
      </c>
      <c r="B532" s="23" t="s">
        <v>5031</v>
      </c>
      <c r="C532" s="24"/>
    </row>
    <row r="533" spans="1:3" ht="12.5" x14ac:dyDescent="0.25">
      <c r="A533" s="23">
        <v>1537</v>
      </c>
      <c r="B533" s="23" t="s">
        <v>5035</v>
      </c>
      <c r="C533" s="24">
        <v>0</v>
      </c>
    </row>
    <row r="534" spans="1:3" ht="12.5" x14ac:dyDescent="0.25">
      <c r="A534" s="23">
        <v>1538</v>
      </c>
      <c r="B534" s="23" t="s">
        <v>5040</v>
      </c>
      <c r="C534" s="24">
        <v>0</v>
      </c>
    </row>
    <row r="535" spans="1:3" ht="12.5" x14ac:dyDescent="0.25">
      <c r="A535" s="23">
        <v>1539</v>
      </c>
      <c r="B535" s="23" t="s">
        <v>5043</v>
      </c>
      <c r="C535" s="24">
        <v>0</v>
      </c>
    </row>
    <row r="536" spans="1:3" ht="12.5" x14ac:dyDescent="0.25">
      <c r="A536" s="23">
        <v>1540</v>
      </c>
      <c r="B536" s="23" t="s">
        <v>5046</v>
      </c>
      <c r="C536" s="24">
        <v>6000</v>
      </c>
    </row>
    <row r="537" spans="1:3" ht="12.5" x14ac:dyDescent="0.25">
      <c r="A537" s="23">
        <v>1542</v>
      </c>
      <c r="B537" s="23" t="s">
        <v>7174</v>
      </c>
      <c r="C537" s="24">
        <v>242000</v>
      </c>
    </row>
    <row r="538" spans="1:3" ht="12.5" x14ac:dyDescent="0.25">
      <c r="A538" s="23">
        <v>1543</v>
      </c>
      <c r="B538" s="23" t="s">
        <v>5050</v>
      </c>
      <c r="C538" s="24">
        <v>6099.39</v>
      </c>
    </row>
    <row r="539" spans="1:3" ht="12.5" x14ac:dyDescent="0.25">
      <c r="A539" s="23">
        <v>1544</v>
      </c>
      <c r="B539" s="23" t="s">
        <v>5054</v>
      </c>
      <c r="C539" s="24">
        <v>6099.39</v>
      </c>
    </row>
    <row r="540" spans="1:3" ht="12.5" x14ac:dyDescent="0.25">
      <c r="A540" s="23">
        <v>1545</v>
      </c>
      <c r="B540" s="23" t="s">
        <v>5055</v>
      </c>
      <c r="C540" s="24">
        <v>6101.22</v>
      </c>
    </row>
    <row r="541" spans="1:3" ht="12.5" x14ac:dyDescent="0.25">
      <c r="A541" s="23">
        <v>1546</v>
      </c>
      <c r="B541" s="23" t="s">
        <v>5060</v>
      </c>
      <c r="C541" s="24">
        <v>0</v>
      </c>
    </row>
    <row r="542" spans="1:3" ht="12.5" x14ac:dyDescent="0.25">
      <c r="A542" s="23">
        <v>1548</v>
      </c>
      <c r="B542" s="23" t="s">
        <v>5063</v>
      </c>
      <c r="C542" s="24">
        <v>3300</v>
      </c>
    </row>
    <row r="543" spans="1:3" ht="12.5" x14ac:dyDescent="0.25">
      <c r="A543" s="23">
        <v>1549</v>
      </c>
      <c r="B543" s="23" t="s">
        <v>5570</v>
      </c>
      <c r="C543" s="24">
        <v>2000</v>
      </c>
    </row>
    <row r="544" spans="1:3" ht="12.5" x14ac:dyDescent="0.25">
      <c r="A544" s="23">
        <v>1551</v>
      </c>
      <c r="B544" s="23" t="s">
        <v>5069</v>
      </c>
      <c r="C544" s="24">
        <v>40000</v>
      </c>
    </row>
    <row r="545" spans="1:3" ht="12.5" x14ac:dyDescent="0.25">
      <c r="A545" s="23">
        <v>1552</v>
      </c>
      <c r="B545" s="23" t="s">
        <v>5073</v>
      </c>
      <c r="C545" s="24">
        <v>40000</v>
      </c>
    </row>
    <row r="546" spans="1:3" ht="12.5" x14ac:dyDescent="0.25">
      <c r="A546" s="23">
        <v>1553</v>
      </c>
      <c r="B546" s="23" t="s">
        <v>5077</v>
      </c>
      <c r="C546" s="24">
        <v>40000</v>
      </c>
    </row>
    <row r="547" spans="1:3" ht="12.5" x14ac:dyDescent="0.25">
      <c r="A547" s="23">
        <v>1554</v>
      </c>
      <c r="B547" s="23" t="s">
        <v>5082</v>
      </c>
      <c r="C547" s="24">
        <v>40000</v>
      </c>
    </row>
    <row r="548" spans="1:3" ht="12.5" x14ac:dyDescent="0.25">
      <c r="A548" s="23">
        <v>1555</v>
      </c>
      <c r="B548" s="23" t="s">
        <v>5087</v>
      </c>
      <c r="C548" s="24">
        <v>20000</v>
      </c>
    </row>
    <row r="549" spans="1:3" ht="12.5" x14ac:dyDescent="0.25">
      <c r="A549" s="23">
        <v>1556</v>
      </c>
      <c r="B549" s="23" t="s">
        <v>5092</v>
      </c>
      <c r="C549" s="24">
        <v>1500</v>
      </c>
    </row>
    <row r="550" spans="1:3" ht="12.5" x14ac:dyDescent="0.25">
      <c r="A550" s="23">
        <v>1557</v>
      </c>
      <c r="B550" s="23" t="s">
        <v>5096</v>
      </c>
      <c r="C550" s="24">
        <v>1500</v>
      </c>
    </row>
    <row r="551" spans="1:3" ht="12.5" x14ac:dyDescent="0.25">
      <c r="A551" s="23">
        <v>1558</v>
      </c>
      <c r="B551" s="23" t="s">
        <v>5100</v>
      </c>
      <c r="C551" s="24">
        <v>1500</v>
      </c>
    </row>
    <row r="552" spans="1:3" ht="12.5" x14ac:dyDescent="0.25">
      <c r="A552" s="23">
        <v>1559</v>
      </c>
      <c r="B552" s="23" t="s">
        <v>5104</v>
      </c>
      <c r="C552" s="24">
        <v>1500</v>
      </c>
    </row>
    <row r="553" spans="1:3" ht="12.5" x14ac:dyDescent="0.25">
      <c r="A553" s="23">
        <v>1560</v>
      </c>
      <c r="B553" s="23" t="s">
        <v>5108</v>
      </c>
      <c r="C553" s="24">
        <v>1500</v>
      </c>
    </row>
    <row r="554" spans="1:3" ht="12.5" x14ac:dyDescent="0.25">
      <c r="A554" s="23">
        <v>1561</v>
      </c>
      <c r="B554" s="23" t="s">
        <v>5112</v>
      </c>
      <c r="C554" s="24">
        <v>24000</v>
      </c>
    </row>
    <row r="555" spans="1:3" ht="12.5" x14ac:dyDescent="0.25">
      <c r="A555" s="23">
        <v>1562</v>
      </c>
      <c r="B555" s="23" t="s">
        <v>5115</v>
      </c>
      <c r="C555" s="24">
        <v>0</v>
      </c>
    </row>
    <row r="556" spans="1:3" ht="12.5" x14ac:dyDescent="0.25">
      <c r="A556" s="23">
        <v>1564</v>
      </c>
      <c r="B556" s="23" t="s">
        <v>5119</v>
      </c>
      <c r="C556" s="24">
        <v>400000</v>
      </c>
    </row>
    <row r="557" spans="1:3" ht="12.5" x14ac:dyDescent="0.25">
      <c r="A557" s="23">
        <v>1566</v>
      </c>
      <c r="B557" s="23" t="s">
        <v>5123</v>
      </c>
      <c r="C557" s="24">
        <v>40000</v>
      </c>
    </row>
    <row r="558" spans="1:3" ht="12.5" x14ac:dyDescent="0.25">
      <c r="A558" s="23">
        <v>1567</v>
      </c>
      <c r="B558" s="23" t="s">
        <v>5127</v>
      </c>
      <c r="C558" s="24">
        <v>37200</v>
      </c>
    </row>
    <row r="559" spans="1:3" ht="12.5" x14ac:dyDescent="0.25">
      <c r="A559" s="23">
        <v>1568</v>
      </c>
      <c r="B559" s="23" t="s">
        <v>5131</v>
      </c>
      <c r="C559" s="24">
        <v>0</v>
      </c>
    </row>
    <row r="560" spans="1:3" ht="12.5" x14ac:dyDescent="0.25">
      <c r="A560" s="23">
        <v>1569</v>
      </c>
      <c r="B560" s="23" t="s">
        <v>5135</v>
      </c>
      <c r="C560" s="24">
        <v>5000</v>
      </c>
    </row>
    <row r="561" spans="1:3" ht="12.5" x14ac:dyDescent="0.25">
      <c r="A561" s="23">
        <v>1570</v>
      </c>
      <c r="B561" s="23" t="s">
        <v>5139</v>
      </c>
      <c r="C561" s="24">
        <v>4000</v>
      </c>
    </row>
    <row r="562" spans="1:3" ht="12.5" x14ac:dyDescent="0.25">
      <c r="A562" s="23">
        <v>1571</v>
      </c>
      <c r="B562" s="23" t="s">
        <v>6981</v>
      </c>
      <c r="C562" s="24">
        <v>165000</v>
      </c>
    </row>
    <row r="563" spans="1:3" ht="12.5" x14ac:dyDescent="0.25">
      <c r="A563" s="23">
        <v>1573</v>
      </c>
      <c r="B563" s="23" t="s">
        <v>5142</v>
      </c>
      <c r="C563" s="24"/>
    </row>
    <row r="564" spans="1:3" ht="12.5" x14ac:dyDescent="0.25">
      <c r="A564" s="23">
        <v>1574</v>
      </c>
      <c r="B564" s="23" t="s">
        <v>5145</v>
      </c>
      <c r="C564" s="24">
        <v>70000</v>
      </c>
    </row>
    <row r="565" spans="1:3" ht="12.5" x14ac:dyDescent="0.25">
      <c r="A565" s="23">
        <v>1575</v>
      </c>
      <c r="B565" s="23" t="s">
        <v>5150</v>
      </c>
      <c r="C565" s="24">
        <v>72000</v>
      </c>
    </row>
    <row r="566" spans="1:3" ht="12.5" x14ac:dyDescent="0.25">
      <c r="A566" s="23">
        <v>1576</v>
      </c>
      <c r="B566" s="23" t="s">
        <v>5151</v>
      </c>
      <c r="C566" s="24"/>
    </row>
    <row r="567" spans="1:3" ht="12.5" x14ac:dyDescent="0.25">
      <c r="A567" s="23">
        <v>1577</v>
      </c>
      <c r="B567" s="23" t="s">
        <v>5155</v>
      </c>
      <c r="C567" s="24">
        <v>3000</v>
      </c>
    </row>
    <row r="568" spans="1:3" ht="12.5" x14ac:dyDescent="0.25">
      <c r="A568" s="23">
        <v>1578</v>
      </c>
      <c r="B568" s="23" t="s">
        <v>5159</v>
      </c>
      <c r="C568" s="24">
        <v>1500</v>
      </c>
    </row>
    <row r="569" spans="1:3" ht="12.5" x14ac:dyDescent="0.25">
      <c r="A569" s="23">
        <v>1582</v>
      </c>
      <c r="B569" s="23" t="s">
        <v>8053</v>
      </c>
      <c r="C569" s="24">
        <v>5000</v>
      </c>
    </row>
    <row r="570" spans="1:3" ht="12.5" x14ac:dyDescent="0.25">
      <c r="A570" s="23">
        <v>1583</v>
      </c>
      <c r="B570" s="23" t="s">
        <v>5163</v>
      </c>
      <c r="C570" s="24">
        <v>26000</v>
      </c>
    </row>
    <row r="571" spans="1:3" ht="12.5" x14ac:dyDescent="0.25">
      <c r="A571" s="23">
        <v>1586</v>
      </c>
      <c r="B571" s="23" t="s">
        <v>5167</v>
      </c>
      <c r="C571" s="24">
        <v>0</v>
      </c>
    </row>
    <row r="572" spans="1:3" ht="12.5" x14ac:dyDescent="0.25">
      <c r="A572" s="23">
        <v>1588</v>
      </c>
      <c r="B572" s="23" t="s">
        <v>5170</v>
      </c>
      <c r="C572" s="24">
        <v>110000</v>
      </c>
    </row>
    <row r="573" spans="1:3" ht="12.5" x14ac:dyDescent="0.25">
      <c r="A573" s="23">
        <v>1589</v>
      </c>
      <c r="B573" s="23" t="s">
        <v>7615</v>
      </c>
      <c r="C573" s="24">
        <v>5000</v>
      </c>
    </row>
    <row r="574" spans="1:3" ht="12.5" x14ac:dyDescent="0.25">
      <c r="A574" s="23">
        <v>1591</v>
      </c>
      <c r="B574" s="23" t="s">
        <v>9177</v>
      </c>
      <c r="C574" s="24"/>
    </row>
    <row r="575" spans="1:3" ht="12.5" x14ac:dyDescent="0.25">
      <c r="A575" s="23">
        <v>1592</v>
      </c>
      <c r="B575" s="23" t="s">
        <v>5174</v>
      </c>
      <c r="C575" s="24">
        <v>15000</v>
      </c>
    </row>
    <row r="576" spans="1:3" ht="12.5" x14ac:dyDescent="0.25">
      <c r="A576" s="23">
        <v>1593</v>
      </c>
      <c r="B576" s="23" t="s">
        <v>5177</v>
      </c>
      <c r="C576" s="24">
        <v>5000</v>
      </c>
    </row>
    <row r="577" spans="1:3" ht="12.5" x14ac:dyDescent="0.25">
      <c r="A577" s="23">
        <v>1594</v>
      </c>
      <c r="B577" s="23" t="s">
        <v>5181</v>
      </c>
      <c r="C577" s="24">
        <v>9000</v>
      </c>
    </row>
    <row r="578" spans="1:3" ht="12.5" x14ac:dyDescent="0.25">
      <c r="A578" s="23">
        <v>1596</v>
      </c>
      <c r="B578" s="23" t="s">
        <v>5185</v>
      </c>
      <c r="C578" s="24">
        <v>35000</v>
      </c>
    </row>
    <row r="579" spans="1:3" ht="12.5" x14ac:dyDescent="0.25">
      <c r="A579" s="23">
        <v>1599</v>
      </c>
      <c r="B579" s="23" t="s">
        <v>5189</v>
      </c>
      <c r="C579" s="24"/>
    </row>
    <row r="580" spans="1:3" ht="12.5" x14ac:dyDescent="0.25">
      <c r="A580" s="23">
        <v>1600</v>
      </c>
      <c r="B580" s="23" t="s">
        <v>5192</v>
      </c>
      <c r="C580" s="24">
        <v>75000</v>
      </c>
    </row>
    <row r="581" spans="1:3" ht="12.5" x14ac:dyDescent="0.25">
      <c r="A581" s="23">
        <v>1602</v>
      </c>
      <c r="B581" s="23" t="s">
        <v>5197</v>
      </c>
      <c r="C581" s="24">
        <v>40000</v>
      </c>
    </row>
    <row r="582" spans="1:3" ht="12.5" x14ac:dyDescent="0.25">
      <c r="A582" s="23">
        <v>1604</v>
      </c>
      <c r="B582" s="23" t="s">
        <v>5201</v>
      </c>
      <c r="C582" s="24">
        <v>2000</v>
      </c>
    </row>
    <row r="583" spans="1:3" ht="12.5" x14ac:dyDescent="0.25">
      <c r="A583" s="23">
        <v>1605</v>
      </c>
      <c r="B583" s="23" t="s">
        <v>5205</v>
      </c>
      <c r="C583" s="24"/>
    </row>
    <row r="584" spans="1:3" ht="12.5" x14ac:dyDescent="0.25">
      <c r="A584" s="23">
        <v>1606</v>
      </c>
      <c r="B584" s="23" t="s">
        <v>5208</v>
      </c>
      <c r="C584" s="24"/>
    </row>
    <row r="585" spans="1:3" ht="12.5" x14ac:dyDescent="0.25">
      <c r="A585" s="23">
        <v>1609</v>
      </c>
      <c r="B585" s="23" t="s">
        <v>5212</v>
      </c>
      <c r="C585" s="24">
        <v>10000</v>
      </c>
    </row>
    <row r="586" spans="1:3" ht="12.5" x14ac:dyDescent="0.25">
      <c r="A586" s="23">
        <v>1611</v>
      </c>
      <c r="B586" s="23" t="s">
        <v>8047</v>
      </c>
      <c r="C586" s="24">
        <v>3000</v>
      </c>
    </row>
    <row r="587" spans="1:3" ht="12.5" x14ac:dyDescent="0.25">
      <c r="A587" s="23">
        <v>1615</v>
      </c>
      <c r="B587" s="23" t="s">
        <v>5216</v>
      </c>
      <c r="C587" s="24">
        <v>120000</v>
      </c>
    </row>
    <row r="588" spans="1:3" ht="12.5" x14ac:dyDescent="0.25">
      <c r="A588" s="23">
        <v>1618</v>
      </c>
      <c r="B588" s="23" t="s">
        <v>5976</v>
      </c>
      <c r="C588" s="24"/>
    </row>
    <row r="589" spans="1:3" ht="12.5" x14ac:dyDescent="0.25">
      <c r="A589" s="23">
        <v>1621</v>
      </c>
      <c r="B589" s="23" t="s">
        <v>5221</v>
      </c>
      <c r="C589" s="24">
        <v>3300</v>
      </c>
    </row>
    <row r="590" spans="1:3" ht="12.5" x14ac:dyDescent="0.25">
      <c r="A590" s="23">
        <v>1623</v>
      </c>
      <c r="B590" s="23" t="s">
        <v>666</v>
      </c>
      <c r="C590" s="24">
        <v>97665.366999999998</v>
      </c>
    </row>
    <row r="591" spans="1:3" ht="12.5" x14ac:dyDescent="0.25">
      <c r="A591" s="23">
        <v>1624</v>
      </c>
      <c r="B591" s="23" t="s">
        <v>5903</v>
      </c>
      <c r="C591" s="24">
        <v>32500</v>
      </c>
    </row>
    <row r="592" spans="1:3" ht="12.5" x14ac:dyDescent="0.25">
      <c r="A592" s="23">
        <v>1626</v>
      </c>
      <c r="B592" s="23" t="s">
        <v>5225</v>
      </c>
      <c r="C592" s="24">
        <v>1500</v>
      </c>
    </row>
    <row r="593" spans="1:3" ht="12.5" x14ac:dyDescent="0.25">
      <c r="A593" s="23">
        <v>1627</v>
      </c>
      <c r="B593" s="23" t="s">
        <v>5229</v>
      </c>
      <c r="C593" s="24">
        <v>1500</v>
      </c>
    </row>
    <row r="594" spans="1:3" ht="12.5" x14ac:dyDescent="0.25">
      <c r="A594" s="23">
        <v>1628</v>
      </c>
      <c r="B594" s="23" t="s">
        <v>5233</v>
      </c>
      <c r="C594" s="24">
        <v>1500</v>
      </c>
    </row>
    <row r="595" spans="1:3" ht="12.5" x14ac:dyDescent="0.25">
      <c r="A595" s="23">
        <v>1629</v>
      </c>
      <c r="B595" s="23" t="s">
        <v>8043</v>
      </c>
      <c r="C595" s="24">
        <v>1500</v>
      </c>
    </row>
    <row r="596" spans="1:3" ht="12.5" x14ac:dyDescent="0.25">
      <c r="A596" s="23">
        <v>1630</v>
      </c>
      <c r="B596" s="23" t="s">
        <v>8039</v>
      </c>
      <c r="C596" s="24">
        <v>500</v>
      </c>
    </row>
    <row r="597" spans="1:3" ht="12.5" x14ac:dyDescent="0.25">
      <c r="A597" s="23">
        <v>1631</v>
      </c>
      <c r="B597" s="23" t="s">
        <v>8035</v>
      </c>
      <c r="C597" s="24">
        <v>1200</v>
      </c>
    </row>
    <row r="598" spans="1:3" ht="12.5" x14ac:dyDescent="0.25">
      <c r="A598" s="23">
        <v>1632</v>
      </c>
      <c r="B598" s="23" t="s">
        <v>9911</v>
      </c>
      <c r="C598" s="24">
        <v>1</v>
      </c>
    </row>
    <row r="599" spans="1:3" ht="12.5" x14ac:dyDescent="0.25">
      <c r="A599" s="23">
        <v>1633</v>
      </c>
      <c r="B599" s="23" t="s">
        <v>5238</v>
      </c>
      <c r="C599" s="24">
        <v>15000</v>
      </c>
    </row>
    <row r="600" spans="1:3" ht="12.5" x14ac:dyDescent="0.25">
      <c r="A600" s="23">
        <v>1634</v>
      </c>
      <c r="B600" s="23" t="s">
        <v>8031</v>
      </c>
      <c r="C600" s="24">
        <v>1300</v>
      </c>
    </row>
    <row r="601" spans="1:3" ht="12.5" x14ac:dyDescent="0.25">
      <c r="A601" s="23">
        <v>1635</v>
      </c>
      <c r="B601" s="23" t="s">
        <v>5241</v>
      </c>
      <c r="C601" s="24">
        <v>0</v>
      </c>
    </row>
    <row r="602" spans="1:3" ht="12.5" x14ac:dyDescent="0.25">
      <c r="A602" s="23">
        <v>1636</v>
      </c>
      <c r="B602" s="23" t="s">
        <v>5247</v>
      </c>
      <c r="C602" s="24">
        <v>0</v>
      </c>
    </row>
    <row r="603" spans="1:3" ht="12.5" x14ac:dyDescent="0.25">
      <c r="A603" s="23">
        <v>1639</v>
      </c>
      <c r="B603" s="23" t="s">
        <v>8027</v>
      </c>
      <c r="C603" s="24">
        <v>900</v>
      </c>
    </row>
    <row r="604" spans="1:3" ht="12.5" x14ac:dyDescent="0.25">
      <c r="A604" s="23">
        <v>1640</v>
      </c>
      <c r="B604" s="23" t="s">
        <v>8023</v>
      </c>
      <c r="C604" s="24">
        <v>800</v>
      </c>
    </row>
    <row r="605" spans="1:3" ht="12.5" x14ac:dyDescent="0.25">
      <c r="A605" s="23">
        <v>1641</v>
      </c>
      <c r="B605" s="23" t="s">
        <v>5249</v>
      </c>
      <c r="C605" s="24"/>
    </row>
    <row r="606" spans="1:3" ht="12.5" x14ac:dyDescent="0.25">
      <c r="A606" s="23">
        <v>1642</v>
      </c>
      <c r="B606" s="23" t="s">
        <v>8019</v>
      </c>
      <c r="C606" s="24">
        <v>200</v>
      </c>
    </row>
    <row r="607" spans="1:3" ht="12.5" x14ac:dyDescent="0.25">
      <c r="A607" s="23">
        <v>1643</v>
      </c>
      <c r="B607" s="23" t="s">
        <v>5253</v>
      </c>
      <c r="C607" s="24">
        <v>16500</v>
      </c>
    </row>
    <row r="608" spans="1:3" ht="12.5" x14ac:dyDescent="0.25">
      <c r="A608" s="23">
        <v>1644</v>
      </c>
      <c r="B608" s="23" t="s">
        <v>5256</v>
      </c>
      <c r="C608" s="24">
        <v>50200</v>
      </c>
    </row>
    <row r="609" spans="1:3" ht="12.5" x14ac:dyDescent="0.25">
      <c r="A609" s="23">
        <v>1646</v>
      </c>
      <c r="B609" s="23" t="s">
        <v>5260</v>
      </c>
      <c r="C609" s="24">
        <v>42500</v>
      </c>
    </row>
    <row r="610" spans="1:3" ht="12.5" x14ac:dyDescent="0.25">
      <c r="A610" s="23">
        <v>1648</v>
      </c>
      <c r="B610" s="23" t="s">
        <v>5264</v>
      </c>
      <c r="C610" s="24">
        <v>1500</v>
      </c>
    </row>
    <row r="611" spans="1:3" ht="12.5" x14ac:dyDescent="0.25">
      <c r="A611" s="23">
        <v>1649</v>
      </c>
      <c r="B611" s="23" t="s">
        <v>5268</v>
      </c>
      <c r="C611" s="24">
        <v>1500</v>
      </c>
    </row>
    <row r="612" spans="1:3" ht="12.5" x14ac:dyDescent="0.25">
      <c r="A612" s="23">
        <v>1655</v>
      </c>
      <c r="B612" s="23" t="s">
        <v>8015</v>
      </c>
      <c r="C612" s="24">
        <v>1</v>
      </c>
    </row>
    <row r="613" spans="1:3" ht="12.5" x14ac:dyDescent="0.25">
      <c r="A613" s="23">
        <v>1656</v>
      </c>
      <c r="B613" s="23" t="s">
        <v>8011</v>
      </c>
      <c r="C613" s="24">
        <v>1100</v>
      </c>
    </row>
    <row r="614" spans="1:3" ht="12.5" x14ac:dyDescent="0.25">
      <c r="A614" s="23">
        <v>1658</v>
      </c>
      <c r="B614" s="23" t="s">
        <v>8006</v>
      </c>
      <c r="C614" s="24">
        <v>2100</v>
      </c>
    </row>
    <row r="615" spans="1:3" ht="12.5" x14ac:dyDescent="0.25">
      <c r="A615" s="23">
        <v>1659</v>
      </c>
      <c r="B615" s="23" t="s">
        <v>8002</v>
      </c>
      <c r="C615" s="24">
        <v>900</v>
      </c>
    </row>
    <row r="616" spans="1:3" ht="12.5" x14ac:dyDescent="0.25">
      <c r="A616" s="23">
        <v>1660</v>
      </c>
      <c r="B616" s="23" t="s">
        <v>5271</v>
      </c>
      <c r="C616" s="24"/>
    </row>
    <row r="617" spans="1:3" ht="12.5" x14ac:dyDescent="0.25">
      <c r="A617" s="23">
        <v>1661</v>
      </c>
      <c r="B617" s="23" t="s">
        <v>5275</v>
      </c>
      <c r="C617" s="24">
        <v>0</v>
      </c>
    </row>
    <row r="618" spans="1:3" ht="12.5" x14ac:dyDescent="0.25">
      <c r="A618" s="23">
        <v>1664</v>
      </c>
      <c r="B618" s="23" t="s">
        <v>7998</v>
      </c>
      <c r="C618" s="24">
        <v>700</v>
      </c>
    </row>
    <row r="619" spans="1:3" ht="12.5" x14ac:dyDescent="0.25">
      <c r="A619" s="23">
        <v>1666</v>
      </c>
      <c r="B619" s="23" t="s">
        <v>5279</v>
      </c>
      <c r="C619" s="24">
        <v>5000</v>
      </c>
    </row>
    <row r="620" spans="1:3" ht="12.5" x14ac:dyDescent="0.25">
      <c r="A620" s="23">
        <v>1667</v>
      </c>
      <c r="B620" s="23" t="s">
        <v>5282</v>
      </c>
      <c r="C620" s="24">
        <v>1000</v>
      </c>
    </row>
    <row r="621" spans="1:3" ht="12.5" x14ac:dyDescent="0.25">
      <c r="A621" s="23">
        <v>1668</v>
      </c>
      <c r="B621" s="23" t="s">
        <v>7994</v>
      </c>
      <c r="C621" s="24">
        <v>200</v>
      </c>
    </row>
    <row r="622" spans="1:3" ht="12.5" x14ac:dyDescent="0.25">
      <c r="A622" s="23">
        <v>1670</v>
      </c>
      <c r="B622" s="23" t="s">
        <v>5286</v>
      </c>
      <c r="C622" s="24"/>
    </row>
    <row r="623" spans="1:3" ht="12.5" x14ac:dyDescent="0.25">
      <c r="A623" s="23">
        <v>1671</v>
      </c>
      <c r="B623" s="23" t="s">
        <v>5289</v>
      </c>
      <c r="C623" s="24"/>
    </row>
    <row r="624" spans="1:3" ht="12.5" x14ac:dyDescent="0.25">
      <c r="A624" s="23">
        <v>1672</v>
      </c>
      <c r="B624" s="23" t="s">
        <v>5293</v>
      </c>
      <c r="C624" s="24">
        <v>500</v>
      </c>
    </row>
    <row r="625" spans="1:3" ht="12.5" x14ac:dyDescent="0.25">
      <c r="A625" s="23">
        <v>1674</v>
      </c>
      <c r="B625" s="23" t="s">
        <v>5297</v>
      </c>
      <c r="C625" s="24"/>
    </row>
    <row r="626" spans="1:3" ht="12.5" x14ac:dyDescent="0.25">
      <c r="A626" s="23">
        <v>1675</v>
      </c>
      <c r="B626" s="23" t="s">
        <v>5301</v>
      </c>
      <c r="C626" s="24"/>
    </row>
    <row r="627" spans="1:3" ht="12.5" x14ac:dyDescent="0.25">
      <c r="A627" s="23">
        <v>1676</v>
      </c>
      <c r="B627" s="23" t="s">
        <v>5304</v>
      </c>
      <c r="C627" s="24"/>
    </row>
    <row r="628" spans="1:3" ht="12.5" x14ac:dyDescent="0.25">
      <c r="A628" s="23">
        <v>1677</v>
      </c>
      <c r="B628" s="23" t="s">
        <v>5308</v>
      </c>
      <c r="C628" s="24"/>
    </row>
    <row r="629" spans="1:3" ht="12.5" x14ac:dyDescent="0.25">
      <c r="A629" s="23">
        <v>1678</v>
      </c>
      <c r="B629" s="23" t="s">
        <v>5312</v>
      </c>
      <c r="C629" s="24"/>
    </row>
    <row r="630" spans="1:3" ht="12.5" x14ac:dyDescent="0.25">
      <c r="A630" s="23">
        <v>1679</v>
      </c>
      <c r="B630" s="23" t="s">
        <v>5316</v>
      </c>
      <c r="C630" s="24"/>
    </row>
    <row r="631" spans="1:3" ht="12.5" x14ac:dyDescent="0.25">
      <c r="A631" s="23">
        <v>1680</v>
      </c>
      <c r="B631" s="23" t="s">
        <v>5319</v>
      </c>
      <c r="C631" s="24">
        <v>1700</v>
      </c>
    </row>
    <row r="632" spans="1:3" ht="12.5" x14ac:dyDescent="0.25">
      <c r="A632" s="23">
        <v>1681</v>
      </c>
      <c r="B632" s="23" t="s">
        <v>5323</v>
      </c>
      <c r="C632" s="24"/>
    </row>
    <row r="633" spans="1:3" ht="12.5" x14ac:dyDescent="0.25">
      <c r="A633" s="23">
        <v>1683</v>
      </c>
      <c r="B633" s="23" t="s">
        <v>5326</v>
      </c>
      <c r="C633" s="24"/>
    </row>
    <row r="634" spans="1:3" ht="12.5" x14ac:dyDescent="0.25">
      <c r="A634" s="23">
        <v>1684</v>
      </c>
      <c r="B634" s="23" t="s">
        <v>5330</v>
      </c>
      <c r="C634" s="24">
        <v>200000</v>
      </c>
    </row>
    <row r="635" spans="1:3" ht="12.5" x14ac:dyDescent="0.25">
      <c r="A635" s="23">
        <v>1685</v>
      </c>
      <c r="B635" s="23" t="s">
        <v>5334</v>
      </c>
      <c r="C635" s="24">
        <v>100000</v>
      </c>
    </row>
    <row r="636" spans="1:3" ht="12.5" x14ac:dyDescent="0.25">
      <c r="A636" s="23">
        <v>1686</v>
      </c>
      <c r="B636" s="23" t="s">
        <v>7610</v>
      </c>
      <c r="C636" s="24">
        <v>1600</v>
      </c>
    </row>
    <row r="637" spans="1:3" ht="12.5" x14ac:dyDescent="0.25">
      <c r="A637" s="23">
        <v>1687</v>
      </c>
      <c r="B637" s="23" t="s">
        <v>6305</v>
      </c>
      <c r="C637" s="24">
        <v>2000</v>
      </c>
    </row>
    <row r="638" spans="1:3" ht="12.5" x14ac:dyDescent="0.25">
      <c r="A638" s="23">
        <v>1688</v>
      </c>
      <c r="B638" s="23" t="s">
        <v>5338</v>
      </c>
      <c r="C638" s="24">
        <v>120000</v>
      </c>
    </row>
    <row r="639" spans="1:3" ht="12.5" x14ac:dyDescent="0.25">
      <c r="A639" s="23">
        <v>1690</v>
      </c>
      <c r="B639" s="23" t="s">
        <v>5342</v>
      </c>
      <c r="C639" s="24">
        <v>50000</v>
      </c>
    </row>
    <row r="640" spans="1:3" ht="12.5" x14ac:dyDescent="0.25">
      <c r="A640" s="23">
        <v>1691</v>
      </c>
      <c r="B640" s="23" t="s">
        <v>5631</v>
      </c>
      <c r="C640" s="24">
        <v>3500</v>
      </c>
    </row>
    <row r="641" spans="1:3" ht="12.5" x14ac:dyDescent="0.25">
      <c r="A641" s="23">
        <v>1692</v>
      </c>
      <c r="B641" s="23" t="s">
        <v>5349</v>
      </c>
      <c r="C641" s="24">
        <v>6390</v>
      </c>
    </row>
    <row r="642" spans="1:3" ht="12.5" x14ac:dyDescent="0.25">
      <c r="A642" s="23">
        <v>1693</v>
      </c>
      <c r="B642" s="23" t="s">
        <v>5353</v>
      </c>
      <c r="C642" s="24">
        <v>8500</v>
      </c>
    </row>
    <row r="643" spans="1:3" ht="12.5" x14ac:dyDescent="0.25">
      <c r="A643" s="23">
        <v>1694</v>
      </c>
      <c r="B643" s="23" t="s">
        <v>6797</v>
      </c>
      <c r="C643" s="24">
        <v>5150</v>
      </c>
    </row>
    <row r="644" spans="1:3" ht="12.5" x14ac:dyDescent="0.25">
      <c r="A644" s="23">
        <v>1695</v>
      </c>
      <c r="B644" s="23" t="s">
        <v>6802</v>
      </c>
      <c r="C644" s="24">
        <v>150</v>
      </c>
    </row>
    <row r="645" spans="1:3" ht="12.5" x14ac:dyDescent="0.25">
      <c r="A645" s="23">
        <v>1696</v>
      </c>
      <c r="B645" s="23" t="s">
        <v>5359</v>
      </c>
      <c r="C645" s="24">
        <v>5000</v>
      </c>
    </row>
    <row r="646" spans="1:3" ht="12.5" x14ac:dyDescent="0.25">
      <c r="A646" s="23">
        <v>1697</v>
      </c>
      <c r="B646" s="23" t="s">
        <v>5362</v>
      </c>
      <c r="C646" s="24">
        <v>11000</v>
      </c>
    </row>
    <row r="647" spans="1:3" ht="12.5" x14ac:dyDescent="0.25">
      <c r="A647" s="23">
        <v>1698</v>
      </c>
      <c r="B647" s="23" t="s">
        <v>5365</v>
      </c>
      <c r="C647" s="24">
        <v>500</v>
      </c>
    </row>
    <row r="648" spans="1:3" ht="12.5" x14ac:dyDescent="0.25">
      <c r="A648" s="23">
        <v>1699</v>
      </c>
      <c r="B648" s="23" t="s">
        <v>8898</v>
      </c>
      <c r="C648" s="24">
        <v>250000</v>
      </c>
    </row>
    <row r="649" spans="1:3" ht="12.5" x14ac:dyDescent="0.25">
      <c r="A649" s="23">
        <v>1701</v>
      </c>
      <c r="B649" s="23" t="s">
        <v>5248</v>
      </c>
      <c r="C649" s="24">
        <v>0</v>
      </c>
    </row>
    <row r="650" spans="1:3" ht="12.5" x14ac:dyDescent="0.25">
      <c r="A650" s="23">
        <v>1702</v>
      </c>
      <c r="B650" s="23" t="s">
        <v>5369</v>
      </c>
      <c r="C650" s="24">
        <v>1500</v>
      </c>
    </row>
    <row r="651" spans="1:3" ht="12.5" x14ac:dyDescent="0.25">
      <c r="A651" s="23">
        <v>1705</v>
      </c>
      <c r="B651" s="23" t="s">
        <v>7989</v>
      </c>
      <c r="C651" s="24">
        <v>250</v>
      </c>
    </row>
    <row r="652" spans="1:3" ht="12.5" x14ac:dyDescent="0.25">
      <c r="A652" s="23">
        <v>1710</v>
      </c>
      <c r="B652" s="23" t="s">
        <v>5373</v>
      </c>
      <c r="C652" s="24"/>
    </row>
    <row r="653" spans="1:3" ht="12.5" x14ac:dyDescent="0.25">
      <c r="A653" s="23">
        <v>1711</v>
      </c>
      <c r="B653" s="23" t="s">
        <v>5377</v>
      </c>
      <c r="C653" s="24"/>
    </row>
    <row r="654" spans="1:3" ht="12.5" x14ac:dyDescent="0.25">
      <c r="A654" s="23">
        <v>1712</v>
      </c>
      <c r="B654" s="23" t="s">
        <v>5382</v>
      </c>
      <c r="C654" s="24"/>
    </row>
    <row r="655" spans="1:3" ht="12.5" x14ac:dyDescent="0.25">
      <c r="A655" s="23">
        <v>1713</v>
      </c>
      <c r="B655" s="23" t="s">
        <v>5609</v>
      </c>
      <c r="C655" s="24">
        <v>45000</v>
      </c>
    </row>
    <row r="656" spans="1:3" ht="12.5" x14ac:dyDescent="0.25">
      <c r="A656" s="23">
        <v>1716</v>
      </c>
      <c r="B656" s="23" t="s">
        <v>6367</v>
      </c>
      <c r="C656" s="24"/>
    </row>
    <row r="657" spans="1:3" ht="12.5" x14ac:dyDescent="0.25">
      <c r="A657" s="23">
        <v>1717</v>
      </c>
      <c r="B657" s="23" t="s">
        <v>5607</v>
      </c>
      <c r="C657" s="24">
        <v>202300</v>
      </c>
    </row>
    <row r="658" spans="1:3" ht="12.5" x14ac:dyDescent="0.25">
      <c r="A658" s="23">
        <v>2265</v>
      </c>
      <c r="B658" s="23" t="s">
        <v>1261</v>
      </c>
      <c r="C658" s="24">
        <v>25000</v>
      </c>
    </row>
    <row r="659" spans="1:3" ht="12.5" x14ac:dyDescent="0.25">
      <c r="A659" s="23">
        <v>2311</v>
      </c>
      <c r="B659" s="23" t="s">
        <v>7670</v>
      </c>
      <c r="C659" s="24">
        <v>212250</v>
      </c>
    </row>
    <row r="660" spans="1:3" ht="12.5" x14ac:dyDescent="0.25">
      <c r="A660" s="23">
        <v>4359</v>
      </c>
      <c r="B660" s="23" t="s">
        <v>7948</v>
      </c>
      <c r="C660" s="24">
        <v>165000</v>
      </c>
    </row>
    <row r="661" spans="1:3" ht="15.75" customHeight="1" x14ac:dyDescent="0.25">
      <c r="A661" s="23">
        <v>4706</v>
      </c>
      <c r="B661" s="23" t="s">
        <v>9776</v>
      </c>
      <c r="C661" s="24">
        <v>150000</v>
      </c>
    </row>
    <row r="662" spans="1:3" ht="15.75" customHeight="1" x14ac:dyDescent="0.25">
      <c r="A662" s="25" t="s">
        <v>11106</v>
      </c>
      <c r="B662" s="26"/>
      <c r="C662" s="27">
        <v>33402407.033493001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E724"/>
  <sheetViews>
    <sheetView workbookViewId="0"/>
  </sheetViews>
  <sheetFormatPr defaultColWidth="12.6328125" defaultRowHeight="15.75" customHeight="1" x14ac:dyDescent="0.25"/>
  <cols>
    <col min="2" max="2" width="13.36328125" customWidth="1"/>
    <col min="3" max="3" width="44.6328125" customWidth="1"/>
    <col min="4" max="4" width="43.08984375" customWidth="1"/>
  </cols>
  <sheetData>
    <row r="1" spans="1:5" ht="15.75" customHeight="1" x14ac:dyDescent="0.25">
      <c r="A1" s="19" t="s">
        <v>3</v>
      </c>
      <c r="B1" s="20" t="s">
        <v>152</v>
      </c>
    </row>
    <row r="3" spans="1:5" ht="15.75" customHeight="1" x14ac:dyDescent="0.25">
      <c r="A3" s="4"/>
      <c r="B3" s="5"/>
      <c r="C3" s="5"/>
      <c r="D3" s="6" t="s">
        <v>11105</v>
      </c>
      <c r="E3" s="7"/>
    </row>
    <row r="4" spans="1:5" ht="15.75" customHeight="1" x14ac:dyDescent="0.25">
      <c r="A4" s="6" t="s">
        <v>0</v>
      </c>
      <c r="B4" s="6" t="s">
        <v>1</v>
      </c>
      <c r="C4" s="6" t="s">
        <v>10113</v>
      </c>
      <c r="D4" s="4" t="s">
        <v>10131</v>
      </c>
      <c r="E4" s="8" t="s">
        <v>10132</v>
      </c>
    </row>
    <row r="5" spans="1:5" ht="15.75" customHeight="1" x14ac:dyDescent="0.25">
      <c r="A5" s="4">
        <v>852</v>
      </c>
      <c r="B5" s="4" t="s">
        <v>3068</v>
      </c>
      <c r="C5" s="4" t="s">
        <v>10118</v>
      </c>
      <c r="D5" s="9">
        <v>7500</v>
      </c>
      <c r="E5" s="10">
        <v>0</v>
      </c>
    </row>
    <row r="6" spans="1:5" ht="15.75" customHeight="1" x14ac:dyDescent="0.25">
      <c r="A6" s="11"/>
      <c r="B6" s="11"/>
      <c r="C6" s="12" t="s">
        <v>10116</v>
      </c>
      <c r="D6" s="13">
        <v>25000</v>
      </c>
      <c r="E6" s="14">
        <v>0</v>
      </c>
    </row>
    <row r="7" spans="1:5" ht="15.75" customHeight="1" x14ac:dyDescent="0.25">
      <c r="A7" s="4">
        <v>853</v>
      </c>
      <c r="B7" s="4" t="s">
        <v>3073</v>
      </c>
      <c r="C7" s="4" t="s">
        <v>10120</v>
      </c>
      <c r="D7" s="9">
        <v>2361.15</v>
      </c>
      <c r="E7" s="10">
        <v>0</v>
      </c>
    </row>
    <row r="8" spans="1:5" ht="15.75" customHeight="1" x14ac:dyDescent="0.25">
      <c r="A8" s="4">
        <v>854</v>
      </c>
      <c r="B8" s="4" t="s">
        <v>3078</v>
      </c>
      <c r="C8" s="4" t="s">
        <v>16</v>
      </c>
      <c r="D8" s="9"/>
      <c r="E8" s="10"/>
    </row>
    <row r="9" spans="1:5" ht="15.75" customHeight="1" x14ac:dyDescent="0.25">
      <c r="A9" s="4">
        <v>855</v>
      </c>
      <c r="B9" s="4" t="s">
        <v>8063</v>
      </c>
      <c r="C9" s="4" t="s">
        <v>16</v>
      </c>
      <c r="D9" s="9"/>
      <c r="E9" s="10"/>
    </row>
    <row r="10" spans="1:5" ht="15.75" customHeight="1" x14ac:dyDescent="0.25">
      <c r="A10" s="4">
        <v>856</v>
      </c>
      <c r="B10" s="4" t="s">
        <v>3082</v>
      </c>
      <c r="C10" s="4" t="s">
        <v>16</v>
      </c>
      <c r="D10" s="9"/>
      <c r="E10" s="10"/>
    </row>
    <row r="11" spans="1:5" ht="15.75" customHeight="1" x14ac:dyDescent="0.25">
      <c r="A11" s="4">
        <v>857</v>
      </c>
      <c r="B11" s="4" t="s">
        <v>3086</v>
      </c>
      <c r="C11" s="4" t="s">
        <v>10123</v>
      </c>
      <c r="D11" s="9">
        <v>370</v>
      </c>
      <c r="E11" s="10">
        <v>0</v>
      </c>
    </row>
    <row r="12" spans="1:5" ht="15.75" customHeight="1" x14ac:dyDescent="0.25">
      <c r="A12" s="4">
        <v>858</v>
      </c>
      <c r="B12" s="4" t="s">
        <v>3091</v>
      </c>
      <c r="C12" s="4" t="s">
        <v>16</v>
      </c>
      <c r="D12" s="9"/>
      <c r="E12" s="10"/>
    </row>
    <row r="13" spans="1:5" ht="15.75" customHeight="1" x14ac:dyDescent="0.25">
      <c r="A13" s="4">
        <v>859</v>
      </c>
      <c r="B13" s="4" t="s">
        <v>6244</v>
      </c>
      <c r="C13" s="4" t="s">
        <v>10121</v>
      </c>
      <c r="D13" s="9">
        <v>82500</v>
      </c>
      <c r="E13" s="10">
        <v>32099</v>
      </c>
    </row>
    <row r="14" spans="1:5" ht="15.75" customHeight="1" x14ac:dyDescent="0.25">
      <c r="A14" s="4">
        <v>861</v>
      </c>
      <c r="B14" s="4" t="s">
        <v>7914</v>
      </c>
      <c r="C14" s="4" t="s">
        <v>16</v>
      </c>
      <c r="D14" s="9"/>
      <c r="E14" s="10"/>
    </row>
    <row r="15" spans="1:5" ht="15.75" customHeight="1" x14ac:dyDescent="0.25">
      <c r="A15" s="4">
        <v>863</v>
      </c>
      <c r="B15" s="4" t="s">
        <v>7002</v>
      </c>
      <c r="C15" s="4" t="s">
        <v>16</v>
      </c>
      <c r="D15" s="9"/>
      <c r="E15" s="10"/>
    </row>
    <row r="16" spans="1:5" ht="15.75" customHeight="1" x14ac:dyDescent="0.25">
      <c r="A16" s="4">
        <v>864</v>
      </c>
      <c r="B16" s="4" t="s">
        <v>8945</v>
      </c>
      <c r="C16" s="4" t="s">
        <v>16</v>
      </c>
      <c r="D16" s="9"/>
      <c r="E16" s="10"/>
    </row>
    <row r="17" spans="1:5" ht="15.75" customHeight="1" x14ac:dyDescent="0.25">
      <c r="A17" s="4">
        <v>866</v>
      </c>
      <c r="B17" s="4" t="s">
        <v>7564</v>
      </c>
      <c r="C17" s="4" t="s">
        <v>16</v>
      </c>
      <c r="D17" s="9"/>
      <c r="E17" s="10"/>
    </row>
    <row r="18" spans="1:5" ht="15.75" customHeight="1" x14ac:dyDescent="0.25">
      <c r="A18" s="4">
        <v>867</v>
      </c>
      <c r="B18" s="4" t="s">
        <v>828</v>
      </c>
      <c r="C18" s="4" t="s">
        <v>10115</v>
      </c>
      <c r="D18" s="9">
        <v>0</v>
      </c>
      <c r="E18" s="10">
        <v>0</v>
      </c>
    </row>
    <row r="19" spans="1:5" ht="15.75" customHeight="1" x14ac:dyDescent="0.25">
      <c r="A19" s="11"/>
      <c r="B19" s="11"/>
      <c r="C19" s="12" t="s">
        <v>16</v>
      </c>
      <c r="D19" s="13"/>
      <c r="E19" s="14"/>
    </row>
    <row r="20" spans="1:5" ht="12.5" x14ac:dyDescent="0.25">
      <c r="A20" s="4">
        <v>868</v>
      </c>
      <c r="B20" s="4" t="s">
        <v>3098</v>
      </c>
      <c r="C20" s="4" t="s">
        <v>10122</v>
      </c>
      <c r="D20" s="9">
        <v>50000</v>
      </c>
      <c r="E20" s="10">
        <v>0</v>
      </c>
    </row>
    <row r="21" spans="1:5" ht="12.5" x14ac:dyDescent="0.25">
      <c r="A21" s="4">
        <v>869</v>
      </c>
      <c r="B21" s="4" t="s">
        <v>6658</v>
      </c>
      <c r="C21" s="4" t="s">
        <v>10122</v>
      </c>
      <c r="D21" s="9">
        <v>50000</v>
      </c>
      <c r="E21" s="10">
        <v>0</v>
      </c>
    </row>
    <row r="22" spans="1:5" ht="12.5" x14ac:dyDescent="0.25">
      <c r="A22" s="4">
        <v>871</v>
      </c>
      <c r="B22" s="4" t="s">
        <v>3103</v>
      </c>
      <c r="C22" s="4" t="s">
        <v>16</v>
      </c>
      <c r="D22" s="9"/>
      <c r="E22" s="10"/>
    </row>
    <row r="23" spans="1:5" ht="12.5" x14ac:dyDescent="0.25">
      <c r="A23" s="4">
        <v>872</v>
      </c>
      <c r="B23" s="4" t="s">
        <v>3108</v>
      </c>
      <c r="C23" s="4" t="s">
        <v>16</v>
      </c>
      <c r="D23" s="9"/>
      <c r="E23" s="10"/>
    </row>
    <row r="24" spans="1:5" ht="12.5" x14ac:dyDescent="0.25">
      <c r="A24" s="4">
        <v>875</v>
      </c>
      <c r="B24" s="4" t="s">
        <v>3113</v>
      </c>
      <c r="C24" s="4" t="s">
        <v>10124</v>
      </c>
      <c r="D24" s="9">
        <v>33527.19</v>
      </c>
      <c r="E24" s="10">
        <v>0</v>
      </c>
    </row>
    <row r="25" spans="1:5" ht="12.5" x14ac:dyDescent="0.25">
      <c r="A25" s="4">
        <v>877</v>
      </c>
      <c r="B25" s="4" t="s">
        <v>3119</v>
      </c>
      <c r="C25" s="4" t="s">
        <v>16</v>
      </c>
      <c r="D25" s="9"/>
      <c r="E25" s="10"/>
    </row>
    <row r="26" spans="1:5" ht="12.5" x14ac:dyDescent="0.25">
      <c r="A26" s="4">
        <v>879</v>
      </c>
      <c r="B26" s="4" t="s">
        <v>3124</v>
      </c>
      <c r="C26" s="4" t="s">
        <v>16</v>
      </c>
      <c r="D26" s="9"/>
      <c r="E26" s="10"/>
    </row>
    <row r="27" spans="1:5" ht="12.5" x14ac:dyDescent="0.25">
      <c r="A27" s="4">
        <v>880</v>
      </c>
      <c r="B27" s="4" t="s">
        <v>5442</v>
      </c>
      <c r="C27" s="4" t="s">
        <v>10115</v>
      </c>
      <c r="D27" s="9">
        <v>0</v>
      </c>
      <c r="E27" s="10">
        <v>0</v>
      </c>
    </row>
    <row r="28" spans="1:5" ht="12.5" x14ac:dyDescent="0.25">
      <c r="A28" s="4">
        <v>881</v>
      </c>
      <c r="B28" s="4" t="s">
        <v>3128</v>
      </c>
      <c r="C28" s="4" t="s">
        <v>16</v>
      </c>
      <c r="D28" s="9"/>
      <c r="E28" s="10"/>
    </row>
    <row r="29" spans="1:5" ht="12.5" x14ac:dyDescent="0.25">
      <c r="A29" s="4">
        <v>882</v>
      </c>
      <c r="B29" s="4" t="s">
        <v>3133</v>
      </c>
      <c r="C29" s="4" t="s">
        <v>16</v>
      </c>
      <c r="D29" s="9"/>
      <c r="E29" s="10"/>
    </row>
    <row r="30" spans="1:5" ht="12.5" x14ac:dyDescent="0.25">
      <c r="A30" s="4">
        <v>883</v>
      </c>
      <c r="B30" s="4" t="s">
        <v>6852</v>
      </c>
      <c r="C30" s="4" t="s">
        <v>16</v>
      </c>
      <c r="D30" s="9"/>
      <c r="E30" s="10"/>
    </row>
    <row r="31" spans="1:5" ht="12.5" x14ac:dyDescent="0.25">
      <c r="A31" s="4">
        <v>884</v>
      </c>
      <c r="B31" s="4" t="s">
        <v>3138</v>
      </c>
      <c r="C31" s="4" t="s">
        <v>10118</v>
      </c>
      <c r="D31" s="9">
        <v>26235.96</v>
      </c>
      <c r="E31" s="10">
        <v>0</v>
      </c>
    </row>
    <row r="32" spans="1:5" ht="12.5" x14ac:dyDescent="0.25">
      <c r="A32" s="4">
        <v>885</v>
      </c>
      <c r="B32" s="4" t="s">
        <v>3143</v>
      </c>
      <c r="C32" s="4" t="s">
        <v>10120</v>
      </c>
      <c r="D32" s="9">
        <v>42000</v>
      </c>
      <c r="E32" s="10">
        <v>0</v>
      </c>
    </row>
    <row r="33" spans="1:5" ht="12.5" x14ac:dyDescent="0.25">
      <c r="A33" s="4">
        <v>886</v>
      </c>
      <c r="B33" s="4" t="s">
        <v>9242</v>
      </c>
      <c r="C33" s="4" t="s">
        <v>16</v>
      </c>
      <c r="D33" s="9"/>
      <c r="E33" s="10"/>
    </row>
    <row r="34" spans="1:5" ht="12.5" x14ac:dyDescent="0.25">
      <c r="A34" s="4">
        <v>888</v>
      </c>
      <c r="B34" s="4" t="s">
        <v>3148</v>
      </c>
      <c r="C34" s="4" t="s">
        <v>16</v>
      </c>
      <c r="D34" s="9"/>
      <c r="E34" s="10"/>
    </row>
    <row r="35" spans="1:5" ht="12.5" x14ac:dyDescent="0.25">
      <c r="A35" s="4">
        <v>889</v>
      </c>
      <c r="B35" s="4" t="s">
        <v>3154</v>
      </c>
      <c r="C35" s="4" t="s">
        <v>10125</v>
      </c>
      <c r="D35" s="9">
        <v>420</v>
      </c>
      <c r="E35" s="10">
        <v>420</v>
      </c>
    </row>
    <row r="36" spans="1:5" ht="12.5" x14ac:dyDescent="0.25">
      <c r="A36" s="4">
        <v>891</v>
      </c>
      <c r="B36" s="4" t="s">
        <v>3160</v>
      </c>
      <c r="C36" s="4" t="s">
        <v>10120</v>
      </c>
      <c r="D36" s="9">
        <v>8265</v>
      </c>
      <c r="E36" s="10">
        <v>0</v>
      </c>
    </row>
    <row r="37" spans="1:5" ht="12.5" x14ac:dyDescent="0.25">
      <c r="A37" s="4">
        <v>892</v>
      </c>
      <c r="B37" s="4" t="s">
        <v>3165</v>
      </c>
      <c r="C37" s="4" t="s">
        <v>16</v>
      </c>
      <c r="D37" s="9"/>
      <c r="E37" s="10"/>
    </row>
    <row r="38" spans="1:5" ht="12.5" x14ac:dyDescent="0.25">
      <c r="A38" s="4">
        <v>893</v>
      </c>
      <c r="B38" s="4" t="s">
        <v>3169</v>
      </c>
      <c r="C38" s="4" t="s">
        <v>10120</v>
      </c>
      <c r="D38" s="9">
        <v>62000</v>
      </c>
      <c r="E38" s="10">
        <v>0</v>
      </c>
    </row>
    <row r="39" spans="1:5" ht="12.5" x14ac:dyDescent="0.25">
      <c r="A39" s="4">
        <v>894</v>
      </c>
      <c r="B39" s="4" t="s">
        <v>3174</v>
      </c>
      <c r="C39" s="4" t="s">
        <v>16</v>
      </c>
      <c r="D39" s="9"/>
      <c r="E39" s="10"/>
    </row>
    <row r="40" spans="1:5" ht="12.5" x14ac:dyDescent="0.25">
      <c r="A40" s="4">
        <v>895</v>
      </c>
      <c r="B40" s="4" t="s">
        <v>8162</v>
      </c>
      <c r="C40" s="4" t="s">
        <v>16</v>
      </c>
      <c r="D40" s="9"/>
      <c r="E40" s="10"/>
    </row>
    <row r="41" spans="1:5" ht="12.5" x14ac:dyDescent="0.25">
      <c r="A41" s="4">
        <v>896</v>
      </c>
      <c r="B41" s="4" t="s">
        <v>3180</v>
      </c>
      <c r="C41" s="4" t="s">
        <v>16</v>
      </c>
      <c r="D41" s="9"/>
      <c r="E41" s="10"/>
    </row>
    <row r="42" spans="1:5" ht="12.5" x14ac:dyDescent="0.25">
      <c r="A42" s="4">
        <v>897</v>
      </c>
      <c r="B42" s="4" t="s">
        <v>3185</v>
      </c>
      <c r="C42" s="4" t="s">
        <v>16</v>
      </c>
      <c r="D42" s="9"/>
      <c r="E42" s="10"/>
    </row>
    <row r="43" spans="1:5" ht="12.5" x14ac:dyDescent="0.25">
      <c r="A43" s="4">
        <v>898</v>
      </c>
      <c r="B43" s="4" t="s">
        <v>3191</v>
      </c>
      <c r="C43" s="4" t="s">
        <v>10123</v>
      </c>
      <c r="D43" s="9">
        <v>230</v>
      </c>
      <c r="E43" s="10">
        <v>230</v>
      </c>
    </row>
    <row r="44" spans="1:5" ht="12.5" x14ac:dyDescent="0.25">
      <c r="A44" s="4">
        <v>899</v>
      </c>
      <c r="B44" s="4" t="s">
        <v>3196</v>
      </c>
      <c r="C44" s="4" t="s">
        <v>10123</v>
      </c>
      <c r="D44" s="9">
        <v>18555</v>
      </c>
      <c r="E44" s="10">
        <v>18555</v>
      </c>
    </row>
    <row r="45" spans="1:5" ht="12.5" x14ac:dyDescent="0.25">
      <c r="A45" s="4">
        <v>901</v>
      </c>
      <c r="B45" s="4" t="s">
        <v>3202</v>
      </c>
      <c r="C45" s="4" t="s">
        <v>16</v>
      </c>
      <c r="D45" s="9"/>
      <c r="E45" s="10"/>
    </row>
    <row r="46" spans="1:5" ht="12.5" x14ac:dyDescent="0.25">
      <c r="A46" s="4">
        <v>904</v>
      </c>
      <c r="B46" s="4" t="s">
        <v>3208</v>
      </c>
      <c r="C46" s="4" t="s">
        <v>16</v>
      </c>
      <c r="D46" s="9"/>
      <c r="E46" s="10"/>
    </row>
    <row r="47" spans="1:5" ht="12.5" x14ac:dyDescent="0.25">
      <c r="A47" s="4">
        <v>905</v>
      </c>
      <c r="B47" s="4" t="s">
        <v>3213</v>
      </c>
      <c r="C47" s="4" t="s">
        <v>16</v>
      </c>
      <c r="D47" s="9"/>
      <c r="E47" s="10"/>
    </row>
    <row r="48" spans="1:5" ht="12.5" x14ac:dyDescent="0.25">
      <c r="A48" s="4">
        <v>906</v>
      </c>
      <c r="B48" s="4" t="s">
        <v>3217</v>
      </c>
      <c r="C48" s="4" t="s">
        <v>16</v>
      </c>
      <c r="D48" s="9"/>
      <c r="E48" s="10"/>
    </row>
    <row r="49" spans="1:5" ht="12.5" x14ac:dyDescent="0.25">
      <c r="A49" s="4">
        <v>907</v>
      </c>
      <c r="B49" s="4" t="s">
        <v>3221</v>
      </c>
      <c r="C49" s="4" t="s">
        <v>16</v>
      </c>
      <c r="D49" s="9"/>
      <c r="E49" s="10"/>
    </row>
    <row r="50" spans="1:5" ht="12.5" x14ac:dyDescent="0.25">
      <c r="A50" s="4">
        <v>908</v>
      </c>
      <c r="B50" s="4" t="s">
        <v>3226</v>
      </c>
      <c r="C50" s="4" t="s">
        <v>16</v>
      </c>
      <c r="D50" s="9"/>
      <c r="E50" s="10"/>
    </row>
    <row r="51" spans="1:5" ht="12.5" x14ac:dyDescent="0.25">
      <c r="A51" s="4">
        <v>909</v>
      </c>
      <c r="B51" s="4" t="s">
        <v>3230</v>
      </c>
      <c r="C51" s="4" t="s">
        <v>16</v>
      </c>
      <c r="D51" s="9"/>
      <c r="E51" s="10"/>
    </row>
    <row r="52" spans="1:5" ht="12.5" x14ac:dyDescent="0.25">
      <c r="A52" s="4">
        <v>911</v>
      </c>
      <c r="B52" s="4" t="s">
        <v>6108</v>
      </c>
      <c r="C52" s="4" t="s">
        <v>16</v>
      </c>
      <c r="D52" s="9"/>
      <c r="E52" s="10"/>
    </row>
    <row r="53" spans="1:5" ht="12.5" x14ac:dyDescent="0.25">
      <c r="A53" s="4">
        <v>914</v>
      </c>
      <c r="B53" s="4" t="s">
        <v>757</v>
      </c>
      <c r="C53" s="4" t="s">
        <v>16</v>
      </c>
      <c r="D53" s="9"/>
      <c r="E53" s="10"/>
    </row>
    <row r="54" spans="1:5" ht="12.5" x14ac:dyDescent="0.25">
      <c r="A54" s="4">
        <v>915</v>
      </c>
      <c r="B54" s="4" t="s">
        <v>8265</v>
      </c>
      <c r="C54" s="4" t="s">
        <v>10120</v>
      </c>
      <c r="D54" s="9">
        <v>10000</v>
      </c>
      <c r="E54" s="10">
        <v>0</v>
      </c>
    </row>
    <row r="55" spans="1:5" ht="12.5" x14ac:dyDescent="0.25">
      <c r="A55" s="4">
        <v>916</v>
      </c>
      <c r="B55" s="4" t="s">
        <v>3236</v>
      </c>
      <c r="C55" s="4" t="s">
        <v>16</v>
      </c>
      <c r="D55" s="9"/>
      <c r="E55" s="10"/>
    </row>
    <row r="56" spans="1:5" ht="12.5" x14ac:dyDescent="0.25">
      <c r="A56" s="4">
        <v>917</v>
      </c>
      <c r="B56" s="4" t="s">
        <v>3241</v>
      </c>
      <c r="C56" s="4" t="s">
        <v>16</v>
      </c>
      <c r="D56" s="9"/>
      <c r="E56" s="10"/>
    </row>
    <row r="57" spans="1:5" ht="12.5" x14ac:dyDescent="0.25">
      <c r="A57" s="4">
        <v>918</v>
      </c>
      <c r="B57" s="4" t="s">
        <v>3246</v>
      </c>
      <c r="C57" s="4" t="s">
        <v>16</v>
      </c>
      <c r="D57" s="9"/>
      <c r="E57" s="10"/>
    </row>
    <row r="58" spans="1:5" ht="12.5" x14ac:dyDescent="0.25">
      <c r="A58" s="4">
        <v>919</v>
      </c>
      <c r="B58" s="4" t="s">
        <v>3251</v>
      </c>
      <c r="C58" s="4" t="s">
        <v>16</v>
      </c>
      <c r="D58" s="9"/>
      <c r="E58" s="10"/>
    </row>
    <row r="59" spans="1:5" ht="12.5" x14ac:dyDescent="0.25">
      <c r="A59" s="4">
        <v>920</v>
      </c>
      <c r="B59" s="4" t="s">
        <v>3257</v>
      </c>
      <c r="C59" s="4" t="s">
        <v>10116</v>
      </c>
      <c r="D59" s="9">
        <v>32000</v>
      </c>
      <c r="E59" s="10">
        <v>0</v>
      </c>
    </row>
    <row r="60" spans="1:5" ht="12.5" x14ac:dyDescent="0.25">
      <c r="A60" s="11"/>
      <c r="B60" s="11"/>
      <c r="C60" s="12" t="s">
        <v>16</v>
      </c>
      <c r="D60" s="13"/>
      <c r="E60" s="14"/>
    </row>
    <row r="61" spans="1:5" ht="12.5" x14ac:dyDescent="0.25">
      <c r="A61" s="4">
        <v>921</v>
      </c>
      <c r="B61" s="4" t="s">
        <v>3263</v>
      </c>
      <c r="C61" s="4" t="s">
        <v>10120</v>
      </c>
      <c r="D61" s="9">
        <v>82644</v>
      </c>
      <c r="E61" s="10">
        <v>0</v>
      </c>
    </row>
    <row r="62" spans="1:5" ht="12.5" x14ac:dyDescent="0.25">
      <c r="A62" s="4">
        <v>922</v>
      </c>
      <c r="B62" s="4" t="s">
        <v>8167</v>
      </c>
      <c r="C62" s="4" t="s">
        <v>16</v>
      </c>
      <c r="D62" s="9"/>
      <c r="E62" s="10"/>
    </row>
    <row r="63" spans="1:5" ht="12.5" x14ac:dyDescent="0.25">
      <c r="A63" s="4">
        <v>924</v>
      </c>
      <c r="B63" s="4" t="s">
        <v>3269</v>
      </c>
      <c r="C63" s="4" t="s">
        <v>16</v>
      </c>
      <c r="D63" s="9"/>
      <c r="E63" s="10"/>
    </row>
    <row r="64" spans="1:5" ht="12.5" x14ac:dyDescent="0.25">
      <c r="A64" s="4">
        <v>925</v>
      </c>
      <c r="B64" s="4" t="s">
        <v>3273</v>
      </c>
      <c r="C64" s="4" t="s">
        <v>16</v>
      </c>
      <c r="D64" s="9"/>
      <c r="E64" s="10"/>
    </row>
    <row r="65" spans="1:5" ht="12.5" x14ac:dyDescent="0.25">
      <c r="A65" s="4">
        <v>927</v>
      </c>
      <c r="B65" s="4" t="s">
        <v>3278</v>
      </c>
      <c r="C65" s="4" t="s">
        <v>16</v>
      </c>
      <c r="D65" s="9"/>
      <c r="E65" s="10"/>
    </row>
    <row r="66" spans="1:5" ht="12.5" x14ac:dyDescent="0.25">
      <c r="A66" s="4">
        <v>928</v>
      </c>
      <c r="B66" s="4" t="s">
        <v>3283</v>
      </c>
      <c r="C66" s="4" t="s">
        <v>16</v>
      </c>
      <c r="D66" s="9"/>
      <c r="E66" s="10"/>
    </row>
    <row r="67" spans="1:5" ht="12.5" x14ac:dyDescent="0.25">
      <c r="A67" s="4">
        <v>929</v>
      </c>
      <c r="B67" s="4" t="s">
        <v>8835</v>
      </c>
      <c r="C67" s="4" t="s">
        <v>16</v>
      </c>
      <c r="D67" s="9"/>
      <c r="E67" s="10"/>
    </row>
    <row r="68" spans="1:5" ht="12.5" x14ac:dyDescent="0.25">
      <c r="A68" s="4">
        <v>930</v>
      </c>
      <c r="B68" s="4" t="s">
        <v>3288</v>
      </c>
      <c r="C68" s="4" t="s">
        <v>10120</v>
      </c>
      <c r="D68" s="9">
        <v>41322</v>
      </c>
      <c r="E68" s="10">
        <v>0</v>
      </c>
    </row>
    <row r="69" spans="1:5" ht="12.5" x14ac:dyDescent="0.25">
      <c r="A69" s="11"/>
      <c r="B69" s="11"/>
      <c r="C69" s="12" t="s">
        <v>16</v>
      </c>
      <c r="D69" s="13"/>
      <c r="E69" s="14"/>
    </row>
    <row r="70" spans="1:5" ht="12.5" x14ac:dyDescent="0.25">
      <c r="A70" s="4">
        <v>931</v>
      </c>
      <c r="B70" s="4" t="s">
        <v>8158</v>
      </c>
      <c r="C70" s="4" t="s">
        <v>16</v>
      </c>
      <c r="D70" s="9"/>
      <c r="E70" s="10"/>
    </row>
    <row r="71" spans="1:5" ht="12.5" x14ac:dyDescent="0.25">
      <c r="A71" s="4">
        <v>933</v>
      </c>
      <c r="B71" s="4" t="s">
        <v>3292</v>
      </c>
      <c r="C71" s="4" t="s">
        <v>10125</v>
      </c>
      <c r="D71" s="9">
        <v>540.6</v>
      </c>
      <c r="E71" s="10">
        <v>540.6</v>
      </c>
    </row>
    <row r="72" spans="1:5" ht="12.5" x14ac:dyDescent="0.25">
      <c r="A72" s="4">
        <v>934</v>
      </c>
      <c r="B72" s="4" t="s">
        <v>3297</v>
      </c>
      <c r="C72" s="4" t="s">
        <v>16</v>
      </c>
      <c r="D72" s="9"/>
      <c r="E72" s="10"/>
    </row>
    <row r="73" spans="1:5" ht="12.5" x14ac:dyDescent="0.25">
      <c r="A73" s="4">
        <v>935</v>
      </c>
      <c r="B73" s="4" t="s">
        <v>3303</v>
      </c>
      <c r="C73" s="4" t="s">
        <v>16</v>
      </c>
      <c r="D73" s="9"/>
      <c r="E73" s="10"/>
    </row>
    <row r="74" spans="1:5" ht="12.5" x14ac:dyDescent="0.25">
      <c r="A74" s="4">
        <v>936</v>
      </c>
      <c r="B74" s="4" t="s">
        <v>3308</v>
      </c>
      <c r="C74" s="4" t="s">
        <v>16</v>
      </c>
      <c r="D74" s="9"/>
      <c r="E74" s="10"/>
    </row>
    <row r="75" spans="1:5" ht="12.5" x14ac:dyDescent="0.25">
      <c r="A75" s="4">
        <v>937</v>
      </c>
      <c r="B75" s="4" t="s">
        <v>3314</v>
      </c>
      <c r="C75" s="4" t="s">
        <v>10126</v>
      </c>
      <c r="D75" s="9">
        <v>125</v>
      </c>
      <c r="E75" s="10">
        <v>124.867</v>
      </c>
    </row>
    <row r="76" spans="1:5" ht="12.5" x14ac:dyDescent="0.25">
      <c r="A76" s="4">
        <v>940</v>
      </c>
      <c r="B76" s="4" t="s">
        <v>3320</v>
      </c>
      <c r="C76" s="4" t="s">
        <v>16</v>
      </c>
      <c r="D76" s="9"/>
      <c r="E76" s="10"/>
    </row>
    <row r="77" spans="1:5" ht="12.5" x14ac:dyDescent="0.25">
      <c r="A77" s="4">
        <v>941</v>
      </c>
      <c r="B77" s="4" t="s">
        <v>3324</v>
      </c>
      <c r="C77" s="4" t="s">
        <v>16</v>
      </c>
      <c r="D77" s="9">
        <v>140</v>
      </c>
      <c r="E77" s="10">
        <v>140</v>
      </c>
    </row>
    <row r="78" spans="1:5" ht="12.5" x14ac:dyDescent="0.25">
      <c r="A78" s="4">
        <v>942</v>
      </c>
      <c r="B78" s="4" t="s">
        <v>3329</v>
      </c>
      <c r="C78" s="4" t="s">
        <v>16</v>
      </c>
      <c r="D78" s="9"/>
      <c r="E78" s="10"/>
    </row>
    <row r="79" spans="1:5" ht="12.5" x14ac:dyDescent="0.25">
      <c r="A79" s="4">
        <v>943</v>
      </c>
      <c r="B79" s="4" t="s">
        <v>3333</v>
      </c>
      <c r="C79" s="4" t="s">
        <v>16</v>
      </c>
      <c r="D79" s="9"/>
      <c r="E79" s="10"/>
    </row>
    <row r="80" spans="1:5" ht="12.5" x14ac:dyDescent="0.25">
      <c r="A80" s="4">
        <v>944</v>
      </c>
      <c r="B80" s="4" t="s">
        <v>2747</v>
      </c>
      <c r="C80" s="4" t="s">
        <v>16</v>
      </c>
      <c r="D80" s="9"/>
      <c r="E80" s="10"/>
    </row>
    <row r="81" spans="1:5" ht="12.5" x14ac:dyDescent="0.25">
      <c r="A81" s="4">
        <v>946</v>
      </c>
      <c r="B81" s="4" t="s">
        <v>3338</v>
      </c>
      <c r="C81" s="4" t="s">
        <v>16</v>
      </c>
      <c r="D81" s="9"/>
      <c r="E81" s="10"/>
    </row>
    <row r="82" spans="1:5" ht="12.5" x14ac:dyDescent="0.25">
      <c r="A82" s="4">
        <v>947</v>
      </c>
      <c r="B82" s="4" t="s">
        <v>3343</v>
      </c>
      <c r="C82" s="4" t="s">
        <v>16</v>
      </c>
      <c r="D82" s="9"/>
      <c r="E82" s="10"/>
    </row>
    <row r="83" spans="1:5" ht="12.5" x14ac:dyDescent="0.25">
      <c r="A83" s="4">
        <v>948</v>
      </c>
      <c r="B83" s="4" t="s">
        <v>6832</v>
      </c>
      <c r="C83" s="4" t="s">
        <v>16</v>
      </c>
      <c r="D83" s="9"/>
      <c r="E83" s="10"/>
    </row>
    <row r="84" spans="1:5" ht="12.5" x14ac:dyDescent="0.25">
      <c r="A84" s="4">
        <v>949</v>
      </c>
      <c r="B84" s="4" t="s">
        <v>3349</v>
      </c>
      <c r="C84" s="4" t="s">
        <v>10118</v>
      </c>
      <c r="D84" s="9">
        <v>25000</v>
      </c>
      <c r="E84" s="10">
        <v>0</v>
      </c>
    </row>
    <row r="85" spans="1:5" ht="12.5" x14ac:dyDescent="0.25">
      <c r="A85" s="11"/>
      <c r="B85" s="11"/>
      <c r="C85" s="12" t="s">
        <v>16</v>
      </c>
      <c r="D85" s="13"/>
      <c r="E85" s="14"/>
    </row>
    <row r="86" spans="1:5" ht="12.5" x14ac:dyDescent="0.25">
      <c r="A86" s="4">
        <v>950</v>
      </c>
      <c r="B86" s="4" t="s">
        <v>3353</v>
      </c>
      <c r="C86" s="4" t="s">
        <v>10116</v>
      </c>
      <c r="D86" s="9">
        <v>20688.57</v>
      </c>
      <c r="E86" s="10">
        <v>0</v>
      </c>
    </row>
    <row r="87" spans="1:5" ht="12.5" x14ac:dyDescent="0.25">
      <c r="A87" s="11"/>
      <c r="B87" s="11"/>
      <c r="C87" s="12" t="s">
        <v>10120</v>
      </c>
      <c r="D87" s="13">
        <v>4960</v>
      </c>
      <c r="E87" s="14">
        <v>0</v>
      </c>
    </row>
    <row r="88" spans="1:5" ht="12.5" x14ac:dyDescent="0.25">
      <c r="A88" s="4">
        <v>951</v>
      </c>
      <c r="B88" s="4" t="s">
        <v>3359</v>
      </c>
      <c r="C88" s="4" t="s">
        <v>16</v>
      </c>
      <c r="D88" s="9"/>
      <c r="E88" s="10"/>
    </row>
    <row r="89" spans="1:5" ht="12.5" x14ac:dyDescent="0.25">
      <c r="A89" s="4">
        <v>952</v>
      </c>
      <c r="B89" s="4" t="s">
        <v>3363</v>
      </c>
      <c r="C89" s="4" t="s">
        <v>16</v>
      </c>
      <c r="D89" s="9"/>
      <c r="E89" s="10"/>
    </row>
    <row r="90" spans="1:5" ht="12.5" x14ac:dyDescent="0.25">
      <c r="A90" s="4">
        <v>954</v>
      </c>
      <c r="B90" s="4" t="s">
        <v>3367</v>
      </c>
      <c r="C90" s="4" t="s">
        <v>16</v>
      </c>
      <c r="D90" s="9"/>
      <c r="E90" s="10"/>
    </row>
    <row r="91" spans="1:5" ht="12.5" x14ac:dyDescent="0.25">
      <c r="A91" s="4">
        <v>955</v>
      </c>
      <c r="B91" s="4" t="s">
        <v>3369</v>
      </c>
      <c r="C91" s="4" t="s">
        <v>16</v>
      </c>
      <c r="D91" s="9"/>
      <c r="E91" s="10"/>
    </row>
    <row r="92" spans="1:5" ht="12.5" x14ac:dyDescent="0.25">
      <c r="A92" s="4">
        <v>956</v>
      </c>
      <c r="B92" s="4" t="s">
        <v>3372</v>
      </c>
      <c r="C92" s="4" t="s">
        <v>10122</v>
      </c>
      <c r="D92" s="9">
        <v>50000</v>
      </c>
      <c r="E92" s="10">
        <v>0</v>
      </c>
    </row>
    <row r="93" spans="1:5" ht="12.5" x14ac:dyDescent="0.25">
      <c r="A93" s="4">
        <v>957</v>
      </c>
      <c r="B93" s="4" t="s">
        <v>3376</v>
      </c>
      <c r="C93" s="4" t="s">
        <v>10127</v>
      </c>
      <c r="D93" s="9">
        <v>140</v>
      </c>
      <c r="E93" s="10">
        <v>139.5</v>
      </c>
    </row>
    <row r="94" spans="1:5" ht="12.5" x14ac:dyDescent="0.25">
      <c r="A94" s="4">
        <v>958</v>
      </c>
      <c r="B94" s="4" t="s">
        <v>3381</v>
      </c>
      <c r="C94" s="4" t="s">
        <v>16</v>
      </c>
      <c r="D94" s="9"/>
      <c r="E94" s="10"/>
    </row>
    <row r="95" spans="1:5" ht="12.5" x14ac:dyDescent="0.25">
      <c r="A95" s="4">
        <v>960</v>
      </c>
      <c r="B95" s="4" t="s">
        <v>3386</v>
      </c>
      <c r="C95" s="4" t="s">
        <v>10118</v>
      </c>
      <c r="D95" s="9">
        <v>47841.84</v>
      </c>
      <c r="E95" s="10">
        <v>0</v>
      </c>
    </row>
    <row r="96" spans="1:5" ht="12.5" x14ac:dyDescent="0.25">
      <c r="A96" s="4">
        <v>961</v>
      </c>
      <c r="B96" s="4" t="s">
        <v>3392</v>
      </c>
      <c r="C96" s="4" t="s">
        <v>10127</v>
      </c>
      <c r="D96" s="9">
        <v>1450</v>
      </c>
      <c r="E96" s="10">
        <v>998</v>
      </c>
    </row>
    <row r="97" spans="1:5" ht="12.5" x14ac:dyDescent="0.25">
      <c r="A97" s="4">
        <v>963</v>
      </c>
      <c r="B97" s="4" t="s">
        <v>3397</v>
      </c>
      <c r="C97" s="4" t="s">
        <v>16</v>
      </c>
      <c r="D97" s="9"/>
      <c r="E97" s="10"/>
    </row>
    <row r="98" spans="1:5" ht="12.5" x14ac:dyDescent="0.25">
      <c r="A98" s="4">
        <v>964</v>
      </c>
      <c r="B98" s="4" t="s">
        <v>6675</v>
      </c>
      <c r="C98" s="4" t="s">
        <v>16</v>
      </c>
      <c r="D98" s="9"/>
      <c r="E98" s="10"/>
    </row>
    <row r="99" spans="1:5" ht="12.5" x14ac:dyDescent="0.25">
      <c r="A99" s="4">
        <v>966</v>
      </c>
      <c r="B99" s="4" t="s">
        <v>6683</v>
      </c>
      <c r="C99" s="4" t="s">
        <v>16</v>
      </c>
      <c r="D99" s="9"/>
      <c r="E99" s="10"/>
    </row>
    <row r="100" spans="1:5" ht="12.5" x14ac:dyDescent="0.25">
      <c r="A100" s="4">
        <v>968</v>
      </c>
      <c r="B100" s="4" t="s">
        <v>3401</v>
      </c>
      <c r="C100" s="4" t="s">
        <v>10123</v>
      </c>
      <c r="D100" s="9">
        <v>527</v>
      </c>
      <c r="E100" s="10">
        <v>527</v>
      </c>
    </row>
    <row r="101" spans="1:5" ht="12.5" x14ac:dyDescent="0.25">
      <c r="A101" s="11"/>
      <c r="B101" s="11"/>
      <c r="C101" s="12" t="s">
        <v>10127</v>
      </c>
      <c r="D101" s="13">
        <v>175</v>
      </c>
      <c r="E101" s="14">
        <v>175</v>
      </c>
    </row>
    <row r="102" spans="1:5" ht="12.5" x14ac:dyDescent="0.25">
      <c r="A102" s="11"/>
      <c r="B102" s="11"/>
      <c r="C102" s="12" t="s">
        <v>16</v>
      </c>
      <c r="D102" s="13"/>
      <c r="E102" s="14"/>
    </row>
    <row r="103" spans="1:5" ht="12.5" x14ac:dyDescent="0.25">
      <c r="A103" s="4">
        <v>969</v>
      </c>
      <c r="B103" s="4" t="s">
        <v>3407</v>
      </c>
      <c r="C103" s="4" t="s">
        <v>10123</v>
      </c>
      <c r="D103" s="9">
        <v>1215</v>
      </c>
      <c r="E103" s="10">
        <v>0</v>
      </c>
    </row>
    <row r="104" spans="1:5" ht="12.5" x14ac:dyDescent="0.25">
      <c r="A104" s="11"/>
      <c r="B104" s="11"/>
      <c r="C104" s="12" t="s">
        <v>10115</v>
      </c>
      <c r="D104" s="13">
        <v>5320</v>
      </c>
      <c r="E104" s="14">
        <v>4959.3999999999996</v>
      </c>
    </row>
    <row r="105" spans="1:5" ht="12.5" x14ac:dyDescent="0.25">
      <c r="A105" s="4">
        <v>970</v>
      </c>
      <c r="B105" s="4" t="s">
        <v>3413</v>
      </c>
      <c r="C105" s="4" t="s">
        <v>10127</v>
      </c>
      <c r="D105" s="9">
        <v>370</v>
      </c>
      <c r="E105" s="10">
        <v>0</v>
      </c>
    </row>
    <row r="106" spans="1:5" ht="12.5" x14ac:dyDescent="0.25">
      <c r="A106" s="11"/>
      <c r="B106" s="11"/>
      <c r="C106" s="12" t="s">
        <v>10115</v>
      </c>
      <c r="D106" s="13">
        <v>12700</v>
      </c>
      <c r="E106" s="14">
        <v>9276.6</v>
      </c>
    </row>
    <row r="107" spans="1:5" ht="12.5" x14ac:dyDescent="0.25">
      <c r="A107" s="4">
        <v>971</v>
      </c>
      <c r="B107" s="4" t="s">
        <v>3419</v>
      </c>
      <c r="C107" s="4" t="s">
        <v>10122</v>
      </c>
      <c r="D107" s="9">
        <v>50000</v>
      </c>
      <c r="E107" s="10">
        <v>0</v>
      </c>
    </row>
    <row r="108" spans="1:5" ht="12.5" x14ac:dyDescent="0.25">
      <c r="A108" s="11"/>
      <c r="B108" s="11"/>
      <c r="C108" s="12" t="s">
        <v>16</v>
      </c>
      <c r="D108" s="13"/>
      <c r="E108" s="14"/>
    </row>
    <row r="109" spans="1:5" ht="12.5" x14ac:dyDescent="0.25">
      <c r="A109" s="4">
        <v>973</v>
      </c>
      <c r="B109" s="4" t="s">
        <v>3424</v>
      </c>
      <c r="C109" s="4" t="s">
        <v>10127</v>
      </c>
      <c r="D109" s="9">
        <v>1660</v>
      </c>
      <c r="E109" s="10">
        <v>1660</v>
      </c>
    </row>
    <row r="110" spans="1:5" ht="12.5" x14ac:dyDescent="0.25">
      <c r="A110" s="11"/>
      <c r="B110" s="11"/>
      <c r="C110" s="12" t="s">
        <v>10122</v>
      </c>
      <c r="D110" s="13">
        <v>50000</v>
      </c>
      <c r="E110" s="14">
        <v>0</v>
      </c>
    </row>
    <row r="111" spans="1:5" ht="12.5" x14ac:dyDescent="0.25">
      <c r="A111" s="4">
        <v>974</v>
      </c>
      <c r="B111" s="4" t="s">
        <v>3430</v>
      </c>
      <c r="C111" s="4" t="s">
        <v>10127</v>
      </c>
      <c r="D111" s="9">
        <v>1660</v>
      </c>
      <c r="E111" s="10">
        <v>1660</v>
      </c>
    </row>
    <row r="112" spans="1:5" ht="12.5" x14ac:dyDescent="0.25">
      <c r="A112" s="4">
        <v>976</v>
      </c>
      <c r="B112" s="4" t="s">
        <v>3435</v>
      </c>
      <c r="C112" s="4" t="s">
        <v>16</v>
      </c>
      <c r="D112" s="9"/>
      <c r="E112" s="10"/>
    </row>
    <row r="113" spans="1:5" ht="12.5" x14ac:dyDescent="0.25">
      <c r="A113" s="4">
        <v>977</v>
      </c>
      <c r="B113" s="4" t="s">
        <v>7310</v>
      </c>
      <c r="C113" s="4" t="s">
        <v>10122</v>
      </c>
      <c r="D113" s="9">
        <v>5000</v>
      </c>
      <c r="E113" s="10">
        <v>0</v>
      </c>
    </row>
    <row r="114" spans="1:5" ht="12.5" x14ac:dyDescent="0.25">
      <c r="A114" s="11"/>
      <c r="B114" s="11"/>
      <c r="C114" s="12" t="s">
        <v>16</v>
      </c>
      <c r="D114" s="13"/>
      <c r="E114" s="14"/>
    </row>
    <row r="115" spans="1:5" ht="12.5" x14ac:dyDescent="0.25">
      <c r="A115" s="4">
        <v>978</v>
      </c>
      <c r="B115" s="4" t="s">
        <v>6695</v>
      </c>
      <c r="C115" s="4" t="s">
        <v>10115</v>
      </c>
      <c r="D115" s="9">
        <v>2300</v>
      </c>
      <c r="E115" s="10">
        <v>0</v>
      </c>
    </row>
    <row r="116" spans="1:5" ht="12.5" x14ac:dyDescent="0.25">
      <c r="A116" s="4">
        <v>979</v>
      </c>
      <c r="B116" s="4" t="s">
        <v>3441</v>
      </c>
      <c r="C116" s="4" t="s">
        <v>16</v>
      </c>
      <c r="D116" s="9"/>
      <c r="E116" s="10"/>
    </row>
    <row r="117" spans="1:5" ht="12.5" x14ac:dyDescent="0.25">
      <c r="A117" s="4">
        <v>980</v>
      </c>
      <c r="B117" s="4" t="s">
        <v>3446</v>
      </c>
      <c r="C117" s="4" t="s">
        <v>10126</v>
      </c>
      <c r="D117" s="9">
        <v>840</v>
      </c>
      <c r="E117" s="10">
        <v>0</v>
      </c>
    </row>
    <row r="118" spans="1:5" ht="12.5" x14ac:dyDescent="0.25">
      <c r="A118" s="11"/>
      <c r="B118" s="11"/>
      <c r="C118" s="12" t="s">
        <v>16</v>
      </c>
      <c r="D118" s="13"/>
      <c r="E118" s="14"/>
    </row>
    <row r="119" spans="1:5" ht="12.5" x14ac:dyDescent="0.25">
      <c r="A119" s="4">
        <v>982</v>
      </c>
      <c r="B119" s="4" t="s">
        <v>9898</v>
      </c>
      <c r="C119" s="4" t="s">
        <v>16</v>
      </c>
      <c r="D119" s="9"/>
      <c r="E119" s="10"/>
    </row>
    <row r="120" spans="1:5" ht="12.5" x14ac:dyDescent="0.25">
      <c r="A120" s="4">
        <v>983</v>
      </c>
      <c r="B120" s="4" t="s">
        <v>5867</v>
      </c>
      <c r="C120" s="4" t="s">
        <v>10124</v>
      </c>
      <c r="D120" s="9">
        <v>254689.15</v>
      </c>
      <c r="E120" s="10">
        <v>5631.8</v>
      </c>
    </row>
    <row r="121" spans="1:5" ht="12.5" x14ac:dyDescent="0.25">
      <c r="A121" s="4">
        <v>984</v>
      </c>
      <c r="B121" s="4" t="s">
        <v>3450</v>
      </c>
      <c r="C121" s="4" t="s">
        <v>10124</v>
      </c>
      <c r="D121" s="9">
        <v>21995.14</v>
      </c>
      <c r="E121" s="10">
        <v>0</v>
      </c>
    </row>
    <row r="122" spans="1:5" ht="12.5" x14ac:dyDescent="0.25">
      <c r="A122" s="4">
        <v>986</v>
      </c>
      <c r="B122" s="4" t="s">
        <v>3460</v>
      </c>
      <c r="C122" s="4" t="s">
        <v>16</v>
      </c>
      <c r="D122" s="9"/>
      <c r="E122" s="10"/>
    </row>
    <row r="123" spans="1:5" ht="12.5" x14ac:dyDescent="0.25">
      <c r="A123" s="4">
        <v>987</v>
      </c>
      <c r="B123" s="4" t="s">
        <v>3454</v>
      </c>
      <c r="C123" s="4" t="s">
        <v>16</v>
      </c>
      <c r="D123" s="9"/>
      <c r="E123" s="10"/>
    </row>
    <row r="124" spans="1:5" ht="12.5" x14ac:dyDescent="0.25">
      <c r="A124" s="4">
        <v>988</v>
      </c>
      <c r="B124" s="4" t="s">
        <v>3464</v>
      </c>
      <c r="C124" s="4" t="s">
        <v>16</v>
      </c>
      <c r="D124" s="9"/>
      <c r="E124" s="10"/>
    </row>
    <row r="125" spans="1:5" ht="12.5" x14ac:dyDescent="0.25">
      <c r="A125" s="4">
        <v>991</v>
      </c>
      <c r="B125" s="4" t="s">
        <v>3466</v>
      </c>
      <c r="C125" s="4" t="s">
        <v>16</v>
      </c>
      <c r="D125" s="9"/>
      <c r="E125" s="10"/>
    </row>
    <row r="126" spans="1:5" ht="12.5" x14ac:dyDescent="0.25">
      <c r="A126" s="4">
        <v>992</v>
      </c>
      <c r="B126" s="4" t="s">
        <v>3472</v>
      </c>
      <c r="C126" s="4" t="s">
        <v>16</v>
      </c>
      <c r="D126" s="9"/>
      <c r="E126" s="10"/>
    </row>
    <row r="127" spans="1:5" ht="12.5" x14ac:dyDescent="0.25">
      <c r="A127" s="4">
        <v>993</v>
      </c>
      <c r="B127" s="4" t="s">
        <v>8153</v>
      </c>
      <c r="C127" s="4" t="s">
        <v>16</v>
      </c>
      <c r="D127" s="9"/>
      <c r="E127" s="10"/>
    </row>
    <row r="128" spans="1:5" ht="12.5" x14ac:dyDescent="0.25">
      <c r="A128" s="4">
        <v>994</v>
      </c>
      <c r="B128" s="4" t="s">
        <v>3477</v>
      </c>
      <c r="C128" s="4" t="s">
        <v>16</v>
      </c>
      <c r="D128" s="9"/>
      <c r="E128" s="10"/>
    </row>
    <row r="129" spans="1:5" ht="12.5" x14ac:dyDescent="0.25">
      <c r="A129" s="4">
        <v>995</v>
      </c>
      <c r="B129" s="4" t="s">
        <v>3482</v>
      </c>
      <c r="C129" s="4" t="s">
        <v>16</v>
      </c>
      <c r="D129" s="9"/>
      <c r="E129" s="10"/>
    </row>
    <row r="130" spans="1:5" ht="12.5" x14ac:dyDescent="0.25">
      <c r="A130" s="4">
        <v>996</v>
      </c>
      <c r="B130" s="4" t="s">
        <v>3487</v>
      </c>
      <c r="C130" s="4" t="s">
        <v>16</v>
      </c>
      <c r="D130" s="9"/>
      <c r="E130" s="10"/>
    </row>
    <row r="131" spans="1:5" ht="12.5" x14ac:dyDescent="0.25">
      <c r="A131" s="4">
        <v>997</v>
      </c>
      <c r="B131" s="4" t="s">
        <v>3492</v>
      </c>
      <c r="C131" s="4" t="s">
        <v>16</v>
      </c>
      <c r="D131" s="9"/>
      <c r="E131" s="10"/>
    </row>
    <row r="132" spans="1:5" ht="12.5" x14ac:dyDescent="0.25">
      <c r="A132" s="4">
        <v>998</v>
      </c>
      <c r="B132" s="4" t="s">
        <v>3496</v>
      </c>
      <c r="C132" s="4" t="s">
        <v>16</v>
      </c>
      <c r="D132" s="9"/>
      <c r="E132" s="10"/>
    </row>
    <row r="133" spans="1:5" ht="12.5" x14ac:dyDescent="0.25">
      <c r="A133" s="4">
        <v>999</v>
      </c>
      <c r="B133" s="4" t="s">
        <v>3501</v>
      </c>
      <c r="C133" s="4" t="s">
        <v>16</v>
      </c>
      <c r="D133" s="9"/>
      <c r="E133" s="10"/>
    </row>
    <row r="134" spans="1:5" ht="12.5" x14ac:dyDescent="0.25">
      <c r="A134" s="4">
        <v>1000</v>
      </c>
      <c r="B134" s="4" t="s">
        <v>3505</v>
      </c>
      <c r="C134" s="4" t="s">
        <v>16</v>
      </c>
      <c r="D134" s="9"/>
      <c r="E134" s="10"/>
    </row>
    <row r="135" spans="1:5" ht="12.5" x14ac:dyDescent="0.25">
      <c r="A135" s="4">
        <v>1001</v>
      </c>
      <c r="B135" s="4" t="s">
        <v>8148</v>
      </c>
      <c r="C135" s="4" t="s">
        <v>16</v>
      </c>
      <c r="D135" s="9"/>
      <c r="E135" s="10"/>
    </row>
    <row r="136" spans="1:5" ht="12.5" x14ac:dyDescent="0.25">
      <c r="A136" s="4">
        <v>1002</v>
      </c>
      <c r="B136" s="4" t="s">
        <v>3509</v>
      </c>
      <c r="C136" s="4" t="s">
        <v>16</v>
      </c>
      <c r="D136" s="9"/>
      <c r="E136" s="10"/>
    </row>
    <row r="137" spans="1:5" ht="12.5" x14ac:dyDescent="0.25">
      <c r="A137" s="4">
        <v>1003</v>
      </c>
      <c r="B137" s="4" t="s">
        <v>3511</v>
      </c>
      <c r="C137" s="4" t="s">
        <v>16</v>
      </c>
      <c r="D137" s="9"/>
      <c r="E137" s="10"/>
    </row>
    <row r="138" spans="1:5" ht="12.5" x14ac:dyDescent="0.25">
      <c r="A138" s="4">
        <v>1004</v>
      </c>
      <c r="B138" s="4" t="s">
        <v>3513</v>
      </c>
      <c r="C138" s="4" t="s">
        <v>16</v>
      </c>
      <c r="D138" s="9"/>
      <c r="E138" s="10"/>
    </row>
    <row r="139" spans="1:5" ht="12.5" x14ac:dyDescent="0.25">
      <c r="A139" s="4">
        <v>1005</v>
      </c>
      <c r="B139" s="4" t="s">
        <v>5618</v>
      </c>
      <c r="C139" s="4" t="s">
        <v>16</v>
      </c>
      <c r="D139" s="9"/>
      <c r="E139" s="10"/>
    </row>
    <row r="140" spans="1:5" ht="12.5" x14ac:dyDescent="0.25">
      <c r="A140" s="4">
        <v>1006</v>
      </c>
      <c r="B140" s="4" t="s">
        <v>3518</v>
      </c>
      <c r="C140" s="4" t="s">
        <v>10115</v>
      </c>
      <c r="D140" s="9">
        <v>125934</v>
      </c>
      <c r="E140" s="10">
        <v>0</v>
      </c>
    </row>
    <row r="141" spans="1:5" ht="12.5" x14ac:dyDescent="0.25">
      <c r="A141" s="4">
        <v>1007</v>
      </c>
      <c r="B141" s="4" t="s">
        <v>9100</v>
      </c>
      <c r="C141" s="4" t="s">
        <v>16</v>
      </c>
      <c r="D141" s="9"/>
      <c r="E141" s="10"/>
    </row>
    <row r="142" spans="1:5" ht="12.5" x14ac:dyDescent="0.25">
      <c r="A142" s="4">
        <v>1008</v>
      </c>
      <c r="B142" s="4" t="s">
        <v>3524</v>
      </c>
      <c r="C142" s="4" t="s">
        <v>16</v>
      </c>
      <c r="D142" s="9"/>
      <c r="E142" s="10"/>
    </row>
    <row r="143" spans="1:5" ht="12.5" x14ac:dyDescent="0.25">
      <c r="A143" s="4">
        <v>1009</v>
      </c>
      <c r="B143" s="4" t="s">
        <v>9106</v>
      </c>
      <c r="C143" s="4" t="s">
        <v>16</v>
      </c>
      <c r="D143" s="9"/>
      <c r="E143" s="10"/>
    </row>
    <row r="144" spans="1:5" ht="12.5" x14ac:dyDescent="0.25">
      <c r="A144" s="4">
        <v>1010</v>
      </c>
      <c r="B144" s="4" t="s">
        <v>3530</v>
      </c>
      <c r="C144" s="4" t="s">
        <v>16</v>
      </c>
      <c r="D144" s="9"/>
      <c r="E144" s="10"/>
    </row>
    <row r="145" spans="1:5" ht="12.5" x14ac:dyDescent="0.25">
      <c r="A145" s="4">
        <v>1011</v>
      </c>
      <c r="B145" s="4" t="s">
        <v>3536</v>
      </c>
      <c r="C145" s="4" t="s">
        <v>10120</v>
      </c>
      <c r="D145" s="9">
        <v>20000</v>
      </c>
      <c r="E145" s="10">
        <v>0</v>
      </c>
    </row>
    <row r="146" spans="1:5" ht="12.5" x14ac:dyDescent="0.25">
      <c r="A146" s="4">
        <v>1012</v>
      </c>
      <c r="B146" s="4" t="s">
        <v>6608</v>
      </c>
      <c r="C146" s="4" t="s">
        <v>10120</v>
      </c>
      <c r="D146" s="9">
        <v>32000</v>
      </c>
      <c r="E146" s="10">
        <v>0</v>
      </c>
    </row>
    <row r="147" spans="1:5" ht="12.5" x14ac:dyDescent="0.25">
      <c r="A147" s="4">
        <v>1013</v>
      </c>
      <c r="B147" s="4" t="s">
        <v>3543</v>
      </c>
      <c r="C147" s="4" t="s">
        <v>16</v>
      </c>
      <c r="D147" s="9"/>
      <c r="E147" s="10"/>
    </row>
    <row r="148" spans="1:5" ht="12.5" x14ac:dyDescent="0.25">
      <c r="A148" s="4">
        <v>1014</v>
      </c>
      <c r="B148" s="4" t="s">
        <v>3548</v>
      </c>
      <c r="C148" s="4" t="s">
        <v>16</v>
      </c>
      <c r="D148" s="9"/>
      <c r="E148" s="10"/>
    </row>
    <row r="149" spans="1:5" ht="12.5" x14ac:dyDescent="0.25">
      <c r="A149" s="4">
        <v>1015</v>
      </c>
      <c r="B149" s="4" t="s">
        <v>3553</v>
      </c>
      <c r="C149" s="4" t="s">
        <v>16</v>
      </c>
      <c r="D149" s="9"/>
      <c r="E149" s="10"/>
    </row>
    <row r="150" spans="1:5" ht="12.5" x14ac:dyDescent="0.25">
      <c r="A150" s="4">
        <v>1016</v>
      </c>
      <c r="B150" s="4" t="s">
        <v>5517</v>
      </c>
      <c r="C150" s="4" t="s">
        <v>10120</v>
      </c>
      <c r="D150" s="9">
        <v>150000</v>
      </c>
      <c r="E150" s="10">
        <v>0</v>
      </c>
    </row>
    <row r="151" spans="1:5" ht="12.5" x14ac:dyDescent="0.25">
      <c r="A151" s="4">
        <v>1017</v>
      </c>
      <c r="B151" s="4" t="s">
        <v>3560</v>
      </c>
      <c r="C151" s="4" t="s">
        <v>16</v>
      </c>
      <c r="D151" s="9"/>
      <c r="E151" s="10"/>
    </row>
    <row r="152" spans="1:5" ht="12.5" x14ac:dyDescent="0.25">
      <c r="A152" s="4">
        <v>1018</v>
      </c>
      <c r="B152" s="4" t="s">
        <v>3566</v>
      </c>
      <c r="C152" s="4" t="s">
        <v>16</v>
      </c>
      <c r="D152" s="9"/>
      <c r="E152" s="10"/>
    </row>
    <row r="153" spans="1:5" ht="12.5" x14ac:dyDescent="0.25">
      <c r="A153" s="4">
        <v>1019</v>
      </c>
      <c r="B153" s="4" t="s">
        <v>3571</v>
      </c>
      <c r="C153" s="4" t="s">
        <v>16</v>
      </c>
      <c r="D153" s="9"/>
      <c r="E153" s="10"/>
    </row>
    <row r="154" spans="1:5" ht="12.5" x14ac:dyDescent="0.25">
      <c r="A154" s="4">
        <v>1020</v>
      </c>
      <c r="B154" s="4" t="s">
        <v>3576</v>
      </c>
      <c r="C154" s="4" t="s">
        <v>10120</v>
      </c>
      <c r="D154" s="9">
        <v>26047.39</v>
      </c>
      <c r="E154" s="10">
        <v>26047.387599999998</v>
      </c>
    </row>
    <row r="155" spans="1:5" ht="12.5" x14ac:dyDescent="0.25">
      <c r="A155" s="4">
        <v>1021</v>
      </c>
      <c r="B155" s="4" t="s">
        <v>3581</v>
      </c>
      <c r="C155" s="4" t="s">
        <v>10120</v>
      </c>
      <c r="D155" s="9">
        <v>25087.27</v>
      </c>
      <c r="E155" s="10">
        <v>25087.272199999999</v>
      </c>
    </row>
    <row r="156" spans="1:5" ht="12.5" x14ac:dyDescent="0.25">
      <c r="A156" s="4">
        <v>1022</v>
      </c>
      <c r="B156" s="4" t="s">
        <v>3586</v>
      </c>
      <c r="C156" s="4" t="s">
        <v>10120</v>
      </c>
      <c r="D156" s="9">
        <v>32999.17</v>
      </c>
      <c r="E156" s="10">
        <v>32999.169800000003</v>
      </c>
    </row>
    <row r="157" spans="1:5" ht="12.5" x14ac:dyDescent="0.25">
      <c r="A157" s="4">
        <v>1023</v>
      </c>
      <c r="B157" s="4" t="s">
        <v>3591</v>
      </c>
      <c r="C157" s="4" t="s">
        <v>10120</v>
      </c>
      <c r="D157" s="9">
        <v>15866.17</v>
      </c>
      <c r="E157" s="10">
        <v>15700.052299999999</v>
      </c>
    </row>
    <row r="158" spans="1:5" ht="12.5" x14ac:dyDescent="0.25">
      <c r="A158" s="4">
        <v>1024</v>
      </c>
      <c r="B158" s="4" t="s">
        <v>3596</v>
      </c>
      <c r="C158" s="4" t="s">
        <v>10122</v>
      </c>
      <c r="D158" s="9">
        <v>50000</v>
      </c>
      <c r="E158" s="10">
        <v>0</v>
      </c>
    </row>
    <row r="159" spans="1:5" ht="12.5" x14ac:dyDescent="0.25">
      <c r="A159" s="4">
        <v>1025</v>
      </c>
      <c r="B159" s="4" t="s">
        <v>8601</v>
      </c>
      <c r="C159" s="4" t="s">
        <v>16</v>
      </c>
      <c r="D159" s="9"/>
      <c r="E159" s="10"/>
    </row>
    <row r="160" spans="1:5" ht="12.5" x14ac:dyDescent="0.25">
      <c r="A160" s="4">
        <v>1026</v>
      </c>
      <c r="B160" s="4" t="s">
        <v>3601</v>
      </c>
      <c r="C160" s="4" t="s">
        <v>10120</v>
      </c>
      <c r="D160" s="9">
        <v>5491</v>
      </c>
      <c r="E160" s="10">
        <v>0</v>
      </c>
    </row>
    <row r="161" spans="1:5" ht="12.5" x14ac:dyDescent="0.25">
      <c r="A161" s="4">
        <v>1027</v>
      </c>
      <c r="B161" s="4" t="s">
        <v>7255</v>
      </c>
      <c r="C161" s="4" t="s">
        <v>16</v>
      </c>
      <c r="D161" s="9"/>
      <c r="E161" s="10"/>
    </row>
    <row r="162" spans="1:5" ht="12.5" x14ac:dyDescent="0.25">
      <c r="A162" s="4">
        <v>1028</v>
      </c>
      <c r="B162" s="4" t="s">
        <v>3606</v>
      </c>
      <c r="C162" s="4" t="s">
        <v>16</v>
      </c>
      <c r="D162" s="9"/>
      <c r="E162" s="10"/>
    </row>
    <row r="163" spans="1:5" ht="12.5" x14ac:dyDescent="0.25">
      <c r="A163" s="4">
        <v>1029</v>
      </c>
      <c r="B163" s="4" t="s">
        <v>3611</v>
      </c>
      <c r="C163" s="4" t="s">
        <v>16</v>
      </c>
      <c r="D163" s="9"/>
      <c r="E163" s="10"/>
    </row>
    <row r="164" spans="1:5" ht="12.5" x14ac:dyDescent="0.25">
      <c r="A164" s="4">
        <v>1030</v>
      </c>
      <c r="B164" s="4" t="s">
        <v>3616</v>
      </c>
      <c r="C164" s="4" t="s">
        <v>16</v>
      </c>
      <c r="D164" s="9"/>
      <c r="E164" s="10"/>
    </row>
    <row r="165" spans="1:5" ht="12.5" x14ac:dyDescent="0.25">
      <c r="A165" s="4">
        <v>1031</v>
      </c>
      <c r="B165" s="4" t="s">
        <v>3621</v>
      </c>
      <c r="C165" s="4" t="s">
        <v>10122</v>
      </c>
      <c r="D165" s="9">
        <v>3100</v>
      </c>
      <c r="E165" s="10">
        <v>0</v>
      </c>
    </row>
    <row r="166" spans="1:5" ht="12.5" x14ac:dyDescent="0.25">
      <c r="A166" s="4">
        <v>1032</v>
      </c>
      <c r="B166" s="4" t="s">
        <v>6708</v>
      </c>
      <c r="C166" s="4" t="s">
        <v>10122</v>
      </c>
      <c r="D166" s="9">
        <v>16000</v>
      </c>
      <c r="E166" s="10">
        <v>0</v>
      </c>
    </row>
    <row r="167" spans="1:5" ht="12.5" x14ac:dyDescent="0.25">
      <c r="A167" s="4">
        <v>1034</v>
      </c>
      <c r="B167" s="4" t="s">
        <v>3626</v>
      </c>
      <c r="C167" s="4" t="s">
        <v>10122</v>
      </c>
      <c r="D167" s="9">
        <v>50000</v>
      </c>
      <c r="E167" s="10">
        <v>0</v>
      </c>
    </row>
    <row r="168" spans="1:5" ht="12.5" x14ac:dyDescent="0.25">
      <c r="A168" s="4">
        <v>1035</v>
      </c>
      <c r="B168" s="4" t="s">
        <v>5536</v>
      </c>
      <c r="C168" s="4" t="s">
        <v>10122</v>
      </c>
      <c r="D168" s="9">
        <v>13000</v>
      </c>
      <c r="E168" s="10">
        <v>0</v>
      </c>
    </row>
    <row r="169" spans="1:5" ht="12.5" x14ac:dyDescent="0.25">
      <c r="A169" s="4">
        <v>1036</v>
      </c>
      <c r="B169" s="4" t="s">
        <v>5741</v>
      </c>
      <c r="C169" s="4" t="s">
        <v>16</v>
      </c>
      <c r="D169" s="9"/>
      <c r="E169" s="10"/>
    </row>
    <row r="170" spans="1:5" ht="12.5" x14ac:dyDescent="0.25">
      <c r="A170" s="4">
        <v>1037</v>
      </c>
      <c r="B170" s="4" t="s">
        <v>3631</v>
      </c>
      <c r="C170" s="4" t="s">
        <v>10122</v>
      </c>
      <c r="D170" s="9">
        <v>50000</v>
      </c>
      <c r="E170" s="10">
        <v>0</v>
      </c>
    </row>
    <row r="171" spans="1:5" ht="12.5" x14ac:dyDescent="0.25">
      <c r="A171" s="4">
        <v>1038</v>
      </c>
      <c r="B171" s="4" t="s">
        <v>3637</v>
      </c>
      <c r="C171" s="4" t="s">
        <v>10122</v>
      </c>
      <c r="D171" s="9">
        <v>50000</v>
      </c>
      <c r="E171" s="10">
        <v>0</v>
      </c>
    </row>
    <row r="172" spans="1:5" ht="12.5" x14ac:dyDescent="0.25">
      <c r="A172" s="11"/>
      <c r="B172" s="11"/>
      <c r="C172" s="12" t="s">
        <v>16</v>
      </c>
      <c r="D172" s="13"/>
      <c r="E172" s="14"/>
    </row>
    <row r="173" spans="1:5" ht="12.5" x14ac:dyDescent="0.25">
      <c r="A173" s="4">
        <v>1039</v>
      </c>
      <c r="B173" s="4" t="s">
        <v>3643</v>
      </c>
      <c r="C173" s="4" t="s">
        <v>16</v>
      </c>
      <c r="D173" s="9">
        <v>679.88</v>
      </c>
      <c r="E173" s="10">
        <v>679.88</v>
      </c>
    </row>
    <row r="174" spans="1:5" ht="12.5" x14ac:dyDescent="0.25">
      <c r="A174" s="4">
        <v>1040</v>
      </c>
      <c r="B174" s="4" t="s">
        <v>3649</v>
      </c>
      <c r="C174" s="4" t="s">
        <v>16</v>
      </c>
      <c r="D174" s="9"/>
      <c r="E174" s="10"/>
    </row>
    <row r="175" spans="1:5" ht="12.5" x14ac:dyDescent="0.25">
      <c r="A175" s="4">
        <v>1041</v>
      </c>
      <c r="B175" s="4" t="s">
        <v>3654</v>
      </c>
      <c r="C175" s="4" t="s">
        <v>10120</v>
      </c>
      <c r="D175" s="9">
        <v>1000</v>
      </c>
      <c r="E175" s="10">
        <v>0</v>
      </c>
    </row>
    <row r="176" spans="1:5" ht="12.5" x14ac:dyDescent="0.25">
      <c r="A176" s="4">
        <v>1042</v>
      </c>
      <c r="B176" s="4" t="s">
        <v>6322</v>
      </c>
      <c r="C176" s="4" t="s">
        <v>16</v>
      </c>
      <c r="D176" s="9"/>
      <c r="E176" s="10"/>
    </row>
    <row r="177" spans="1:5" ht="12.5" x14ac:dyDescent="0.25">
      <c r="A177" s="4">
        <v>1043</v>
      </c>
      <c r="B177" s="4" t="s">
        <v>3659</v>
      </c>
      <c r="C177" s="4" t="s">
        <v>16</v>
      </c>
      <c r="D177" s="9"/>
      <c r="E177" s="10"/>
    </row>
    <row r="178" spans="1:5" ht="12.5" x14ac:dyDescent="0.25">
      <c r="A178" s="4">
        <v>1044</v>
      </c>
      <c r="B178" s="4" t="s">
        <v>3663</v>
      </c>
      <c r="C178" s="4" t="s">
        <v>16</v>
      </c>
      <c r="D178" s="9"/>
      <c r="E178" s="10"/>
    </row>
    <row r="179" spans="1:5" ht="12.5" x14ac:dyDescent="0.25">
      <c r="A179" s="4">
        <v>1049</v>
      </c>
      <c r="B179" s="4" t="s">
        <v>9238</v>
      </c>
      <c r="C179" s="4" t="s">
        <v>16</v>
      </c>
      <c r="D179" s="9"/>
      <c r="E179" s="10"/>
    </row>
    <row r="180" spans="1:5" ht="12.5" x14ac:dyDescent="0.25">
      <c r="A180" s="4">
        <v>1050</v>
      </c>
      <c r="B180" s="4" t="s">
        <v>3668</v>
      </c>
      <c r="C180" s="4" t="s">
        <v>16</v>
      </c>
      <c r="D180" s="9"/>
      <c r="E180" s="10"/>
    </row>
    <row r="181" spans="1:5" ht="12.5" x14ac:dyDescent="0.25">
      <c r="A181" s="4">
        <v>1051</v>
      </c>
      <c r="B181" s="4" t="s">
        <v>3673</v>
      </c>
      <c r="C181" s="4" t="s">
        <v>16</v>
      </c>
      <c r="D181" s="9"/>
      <c r="E181" s="10"/>
    </row>
    <row r="182" spans="1:5" ht="12.5" x14ac:dyDescent="0.25">
      <c r="A182" s="4">
        <v>1052</v>
      </c>
      <c r="B182" s="4" t="s">
        <v>3679</v>
      </c>
      <c r="C182" s="4" t="s">
        <v>16</v>
      </c>
      <c r="D182" s="9"/>
      <c r="E182" s="10"/>
    </row>
    <row r="183" spans="1:5" ht="12.5" x14ac:dyDescent="0.25">
      <c r="A183" s="4">
        <v>1053</v>
      </c>
      <c r="B183" s="4" t="s">
        <v>3684</v>
      </c>
      <c r="C183" s="4" t="s">
        <v>16</v>
      </c>
      <c r="D183" s="9"/>
      <c r="E183" s="10"/>
    </row>
    <row r="184" spans="1:5" ht="12.5" x14ac:dyDescent="0.25">
      <c r="A184" s="4">
        <v>1054</v>
      </c>
      <c r="B184" s="4" t="s">
        <v>3690</v>
      </c>
      <c r="C184" s="4" t="s">
        <v>16</v>
      </c>
      <c r="D184" s="9"/>
      <c r="E184" s="10"/>
    </row>
    <row r="185" spans="1:5" ht="12.5" x14ac:dyDescent="0.25">
      <c r="A185" s="4">
        <v>1055</v>
      </c>
      <c r="B185" s="4" t="s">
        <v>3694</v>
      </c>
      <c r="C185" s="4" t="s">
        <v>10118</v>
      </c>
      <c r="D185" s="9">
        <v>24494.38</v>
      </c>
      <c r="E185" s="10">
        <v>0</v>
      </c>
    </row>
    <row r="186" spans="1:5" ht="12.5" x14ac:dyDescent="0.25">
      <c r="A186" s="11"/>
      <c r="B186" s="11"/>
      <c r="C186" s="12" t="s">
        <v>16</v>
      </c>
      <c r="D186" s="13"/>
      <c r="E186" s="14"/>
    </row>
    <row r="187" spans="1:5" ht="12.5" x14ac:dyDescent="0.25">
      <c r="A187" s="4">
        <v>1056</v>
      </c>
      <c r="B187" s="4" t="s">
        <v>3699</v>
      </c>
      <c r="C187" s="4" t="s">
        <v>16</v>
      </c>
      <c r="D187" s="9"/>
      <c r="E187" s="10"/>
    </row>
    <row r="188" spans="1:5" ht="12.5" x14ac:dyDescent="0.25">
      <c r="A188" s="4">
        <v>1057</v>
      </c>
      <c r="B188" s="4" t="s">
        <v>3705</v>
      </c>
      <c r="C188" s="4" t="s">
        <v>10118</v>
      </c>
      <c r="D188" s="9">
        <v>24494.38</v>
      </c>
      <c r="E188" s="10">
        <v>0</v>
      </c>
    </row>
    <row r="189" spans="1:5" ht="12.5" x14ac:dyDescent="0.25">
      <c r="A189" s="4">
        <v>1060</v>
      </c>
      <c r="B189" s="4" t="s">
        <v>3710</v>
      </c>
      <c r="C189" s="4" t="s">
        <v>10123</v>
      </c>
      <c r="D189" s="9">
        <v>3565</v>
      </c>
      <c r="E189" s="10">
        <v>3565</v>
      </c>
    </row>
    <row r="190" spans="1:5" ht="12.5" x14ac:dyDescent="0.25">
      <c r="A190" s="11"/>
      <c r="B190" s="11"/>
      <c r="C190" s="12" t="s">
        <v>16</v>
      </c>
      <c r="D190" s="13"/>
      <c r="E190" s="14"/>
    </row>
    <row r="191" spans="1:5" ht="12.5" x14ac:dyDescent="0.25">
      <c r="A191" s="4">
        <v>1063</v>
      </c>
      <c r="B191" s="4" t="s">
        <v>3715</v>
      </c>
      <c r="C191" s="4" t="s">
        <v>10118</v>
      </c>
      <c r="D191" s="9">
        <v>47841.84</v>
      </c>
      <c r="E191" s="10">
        <v>0</v>
      </c>
    </row>
    <row r="192" spans="1:5" ht="12.5" x14ac:dyDescent="0.25">
      <c r="A192" s="4">
        <v>1064</v>
      </c>
      <c r="B192" s="4" t="s">
        <v>3721</v>
      </c>
      <c r="C192" s="4" t="s">
        <v>10124</v>
      </c>
      <c r="D192" s="9">
        <v>20367.03</v>
      </c>
      <c r="E192" s="10">
        <v>0</v>
      </c>
    </row>
    <row r="193" spans="1:5" ht="12.5" x14ac:dyDescent="0.25">
      <c r="A193" s="4">
        <v>1066</v>
      </c>
      <c r="B193" s="4" t="s">
        <v>3727</v>
      </c>
      <c r="C193" s="4" t="s">
        <v>10120</v>
      </c>
      <c r="D193" s="9">
        <v>32037</v>
      </c>
      <c r="E193" s="10">
        <v>0</v>
      </c>
    </row>
    <row r="194" spans="1:5" ht="12.5" x14ac:dyDescent="0.25">
      <c r="A194" s="4">
        <v>1067</v>
      </c>
      <c r="B194" s="4" t="s">
        <v>3732</v>
      </c>
      <c r="C194" s="4" t="s">
        <v>10122</v>
      </c>
      <c r="D194" s="9">
        <v>50000</v>
      </c>
      <c r="E194" s="10">
        <v>0</v>
      </c>
    </row>
    <row r="195" spans="1:5" ht="12.5" x14ac:dyDescent="0.25">
      <c r="A195" s="11"/>
      <c r="B195" s="11"/>
      <c r="C195" s="12" t="s">
        <v>16</v>
      </c>
      <c r="D195" s="13"/>
      <c r="E195" s="14"/>
    </row>
    <row r="196" spans="1:5" ht="12.5" x14ac:dyDescent="0.25">
      <c r="A196" s="4">
        <v>1068</v>
      </c>
      <c r="B196" s="4" t="s">
        <v>2280</v>
      </c>
      <c r="C196" s="4" t="s">
        <v>10119</v>
      </c>
      <c r="D196" s="9">
        <v>49617.894</v>
      </c>
      <c r="E196" s="10">
        <v>0</v>
      </c>
    </row>
    <row r="197" spans="1:5" ht="12.5" x14ac:dyDescent="0.25">
      <c r="A197" s="4">
        <v>1071</v>
      </c>
      <c r="B197" s="4" t="s">
        <v>3738</v>
      </c>
      <c r="C197" s="4" t="s">
        <v>10120</v>
      </c>
      <c r="D197" s="9">
        <v>42000</v>
      </c>
      <c r="E197" s="10">
        <v>0</v>
      </c>
    </row>
    <row r="198" spans="1:5" ht="12.5" x14ac:dyDescent="0.25">
      <c r="A198" s="4">
        <v>1074</v>
      </c>
      <c r="B198" s="4" t="s">
        <v>3743</v>
      </c>
      <c r="C198" s="4" t="s">
        <v>10120</v>
      </c>
      <c r="D198" s="9">
        <v>55000</v>
      </c>
      <c r="E198" s="10">
        <v>0</v>
      </c>
    </row>
    <row r="199" spans="1:5" ht="12.5" x14ac:dyDescent="0.25">
      <c r="A199" s="4">
        <v>1075</v>
      </c>
      <c r="B199" s="4" t="s">
        <v>3748</v>
      </c>
      <c r="C199" s="4" t="s">
        <v>10120</v>
      </c>
      <c r="D199" s="9">
        <v>5806</v>
      </c>
      <c r="E199" s="10">
        <v>0</v>
      </c>
    </row>
    <row r="200" spans="1:5" ht="12.5" x14ac:dyDescent="0.25">
      <c r="A200" s="4">
        <v>1076</v>
      </c>
      <c r="B200" s="4" t="s">
        <v>8144</v>
      </c>
      <c r="C200" s="4" t="s">
        <v>16</v>
      </c>
      <c r="D200" s="9"/>
      <c r="E200" s="10"/>
    </row>
    <row r="201" spans="1:5" ht="12.5" x14ac:dyDescent="0.25">
      <c r="A201" s="4">
        <v>1078</v>
      </c>
      <c r="B201" s="4" t="s">
        <v>8139</v>
      </c>
      <c r="C201" s="4" t="s">
        <v>16</v>
      </c>
      <c r="D201" s="9"/>
      <c r="E201" s="10"/>
    </row>
    <row r="202" spans="1:5" ht="12.5" x14ac:dyDescent="0.25">
      <c r="A202" s="4">
        <v>1079</v>
      </c>
      <c r="B202" s="4" t="s">
        <v>3753</v>
      </c>
      <c r="C202" s="4" t="s">
        <v>16</v>
      </c>
      <c r="D202" s="9"/>
      <c r="E202" s="10"/>
    </row>
    <row r="203" spans="1:5" ht="12.5" x14ac:dyDescent="0.25">
      <c r="A203" s="4">
        <v>1080</v>
      </c>
      <c r="B203" s="4" t="s">
        <v>3759</v>
      </c>
      <c r="C203" s="4" t="s">
        <v>16</v>
      </c>
      <c r="D203" s="9"/>
      <c r="E203" s="10"/>
    </row>
    <row r="204" spans="1:5" ht="12.5" x14ac:dyDescent="0.25">
      <c r="A204" s="4">
        <v>1081</v>
      </c>
      <c r="B204" s="4" t="s">
        <v>3764</v>
      </c>
      <c r="C204" s="4" t="s">
        <v>16</v>
      </c>
      <c r="D204" s="9"/>
      <c r="E204" s="10"/>
    </row>
    <row r="205" spans="1:5" ht="12.5" x14ac:dyDescent="0.25">
      <c r="A205" s="4">
        <v>1082</v>
      </c>
      <c r="B205" s="4" t="s">
        <v>3768</v>
      </c>
      <c r="C205" s="4" t="s">
        <v>16</v>
      </c>
      <c r="D205" s="9"/>
      <c r="E205" s="10"/>
    </row>
    <row r="206" spans="1:5" ht="12.5" x14ac:dyDescent="0.25">
      <c r="A206" s="4">
        <v>1083</v>
      </c>
      <c r="B206" s="4" t="s">
        <v>3772</v>
      </c>
      <c r="C206" s="4" t="s">
        <v>10121</v>
      </c>
      <c r="D206" s="9">
        <v>51650</v>
      </c>
      <c r="E206" s="10">
        <v>0</v>
      </c>
    </row>
    <row r="207" spans="1:5" ht="12.5" x14ac:dyDescent="0.25">
      <c r="A207" s="11"/>
      <c r="B207" s="11"/>
      <c r="C207" s="12" t="s">
        <v>16</v>
      </c>
      <c r="D207" s="13"/>
      <c r="E207" s="14"/>
    </row>
    <row r="208" spans="1:5" ht="12.5" x14ac:dyDescent="0.25">
      <c r="A208" s="4">
        <v>1084</v>
      </c>
      <c r="B208" s="4" t="s">
        <v>6916</v>
      </c>
      <c r="C208" s="4" t="s">
        <v>16</v>
      </c>
      <c r="D208" s="9"/>
      <c r="E208" s="10"/>
    </row>
    <row r="209" spans="1:5" ht="12.5" x14ac:dyDescent="0.25">
      <c r="A209" s="4">
        <v>1085</v>
      </c>
      <c r="B209" s="4" t="s">
        <v>3777</v>
      </c>
      <c r="C209" s="4" t="s">
        <v>16</v>
      </c>
      <c r="D209" s="9"/>
      <c r="E209" s="10"/>
    </row>
    <row r="210" spans="1:5" ht="12.5" x14ac:dyDescent="0.25">
      <c r="A210" s="4">
        <v>1086</v>
      </c>
      <c r="B210" s="4" t="s">
        <v>3782</v>
      </c>
      <c r="C210" s="4" t="s">
        <v>16</v>
      </c>
      <c r="D210" s="9"/>
      <c r="E210" s="10"/>
    </row>
    <row r="211" spans="1:5" ht="12.5" x14ac:dyDescent="0.25">
      <c r="A211" s="4">
        <v>1088</v>
      </c>
      <c r="B211" s="4" t="s">
        <v>3788</v>
      </c>
      <c r="C211" s="4" t="s">
        <v>16</v>
      </c>
      <c r="D211" s="9"/>
      <c r="E211" s="10"/>
    </row>
    <row r="212" spans="1:5" ht="12.5" x14ac:dyDescent="0.25">
      <c r="A212" s="4">
        <v>1089</v>
      </c>
      <c r="B212" s="4" t="s">
        <v>3793</v>
      </c>
      <c r="C212" s="4" t="s">
        <v>10117</v>
      </c>
      <c r="D212" s="9">
        <v>50000</v>
      </c>
      <c r="E212" s="10">
        <v>0</v>
      </c>
    </row>
    <row r="213" spans="1:5" ht="12.5" x14ac:dyDescent="0.25">
      <c r="A213" s="4">
        <v>1090</v>
      </c>
      <c r="B213" s="4" t="s">
        <v>3798</v>
      </c>
      <c r="C213" s="4" t="s">
        <v>16</v>
      </c>
      <c r="D213" s="9"/>
      <c r="E213" s="10"/>
    </row>
    <row r="214" spans="1:5" ht="12.5" x14ac:dyDescent="0.25">
      <c r="A214" s="4">
        <v>1091</v>
      </c>
      <c r="B214" s="4" t="s">
        <v>3013</v>
      </c>
      <c r="C214" s="4" t="s">
        <v>10116</v>
      </c>
      <c r="D214" s="9">
        <v>0</v>
      </c>
      <c r="E214" s="10">
        <v>0</v>
      </c>
    </row>
    <row r="215" spans="1:5" ht="12.5" x14ac:dyDescent="0.25">
      <c r="A215" s="11"/>
      <c r="B215" s="11"/>
      <c r="C215" s="12" t="s">
        <v>16</v>
      </c>
      <c r="D215" s="13"/>
      <c r="E215" s="14"/>
    </row>
    <row r="216" spans="1:5" ht="12.5" x14ac:dyDescent="0.25">
      <c r="A216" s="4">
        <v>1092</v>
      </c>
      <c r="B216" s="4" t="s">
        <v>3015</v>
      </c>
      <c r="C216" s="4" t="s">
        <v>10116</v>
      </c>
      <c r="D216" s="9">
        <v>0</v>
      </c>
      <c r="E216" s="10">
        <v>0</v>
      </c>
    </row>
    <row r="217" spans="1:5" ht="12.5" x14ac:dyDescent="0.25">
      <c r="A217" s="11"/>
      <c r="B217" s="11"/>
      <c r="C217" s="12" t="s">
        <v>16</v>
      </c>
      <c r="D217" s="13"/>
      <c r="E217" s="14"/>
    </row>
    <row r="218" spans="1:5" ht="12.5" x14ac:dyDescent="0.25">
      <c r="A218" s="4">
        <v>1093</v>
      </c>
      <c r="B218" s="4" t="s">
        <v>3017</v>
      </c>
      <c r="C218" s="4" t="s">
        <v>10116</v>
      </c>
      <c r="D218" s="9">
        <v>0</v>
      </c>
      <c r="E218" s="10">
        <v>0</v>
      </c>
    </row>
    <row r="219" spans="1:5" ht="12.5" x14ac:dyDescent="0.25">
      <c r="A219" s="11"/>
      <c r="B219" s="11"/>
      <c r="C219" s="12" t="s">
        <v>16</v>
      </c>
      <c r="D219" s="13"/>
      <c r="E219" s="14"/>
    </row>
    <row r="220" spans="1:5" ht="12.5" x14ac:dyDescent="0.25">
      <c r="A220" s="4">
        <v>1095</v>
      </c>
      <c r="B220" s="4" t="s">
        <v>3810</v>
      </c>
      <c r="C220" s="4" t="s">
        <v>16</v>
      </c>
      <c r="D220" s="9"/>
      <c r="E220" s="10"/>
    </row>
    <row r="221" spans="1:5" ht="12.5" x14ac:dyDescent="0.25">
      <c r="A221" s="4">
        <v>1096</v>
      </c>
      <c r="B221" s="4" t="s">
        <v>3815</v>
      </c>
      <c r="C221" s="4" t="s">
        <v>16</v>
      </c>
      <c r="D221" s="9"/>
      <c r="E221" s="10"/>
    </row>
    <row r="222" spans="1:5" ht="12.5" x14ac:dyDescent="0.25">
      <c r="A222" s="4">
        <v>1099</v>
      </c>
      <c r="B222" s="4" t="s">
        <v>821</v>
      </c>
      <c r="C222" s="4" t="s">
        <v>10114</v>
      </c>
      <c r="D222" s="9">
        <v>10900.266</v>
      </c>
      <c r="E222" s="10">
        <v>10900.266</v>
      </c>
    </row>
    <row r="223" spans="1:5" ht="12.5" x14ac:dyDescent="0.25">
      <c r="A223" s="11"/>
      <c r="B223" s="11"/>
      <c r="C223" s="12" t="s">
        <v>16</v>
      </c>
      <c r="D223" s="13"/>
      <c r="E223" s="14"/>
    </row>
    <row r="224" spans="1:5" ht="12.5" x14ac:dyDescent="0.25">
      <c r="A224" s="4">
        <v>1103</v>
      </c>
      <c r="B224" s="4" t="s">
        <v>3824</v>
      </c>
      <c r="C224" s="4" t="s">
        <v>10120</v>
      </c>
      <c r="D224" s="9">
        <v>8265</v>
      </c>
      <c r="E224" s="10">
        <v>0</v>
      </c>
    </row>
    <row r="225" spans="1:5" ht="12.5" x14ac:dyDescent="0.25">
      <c r="A225" s="4">
        <v>1104</v>
      </c>
      <c r="B225" s="4" t="s">
        <v>3829</v>
      </c>
      <c r="C225" s="4" t="s">
        <v>16</v>
      </c>
      <c r="D225" s="9"/>
      <c r="E225" s="10"/>
    </row>
    <row r="226" spans="1:5" ht="12.5" x14ac:dyDescent="0.25">
      <c r="A226" s="4">
        <v>1105</v>
      </c>
      <c r="B226" s="4" t="s">
        <v>234</v>
      </c>
      <c r="C226" s="4" t="s">
        <v>16</v>
      </c>
      <c r="D226" s="9"/>
      <c r="E226" s="10"/>
    </row>
    <row r="227" spans="1:5" ht="12.5" x14ac:dyDescent="0.25">
      <c r="A227" s="4">
        <v>1106</v>
      </c>
      <c r="B227" s="4" t="s">
        <v>236</v>
      </c>
      <c r="C227" s="4" t="s">
        <v>16</v>
      </c>
      <c r="D227" s="9"/>
      <c r="E227" s="10"/>
    </row>
    <row r="228" spans="1:5" ht="12.5" x14ac:dyDescent="0.25">
      <c r="A228" s="4">
        <v>1107</v>
      </c>
      <c r="B228" s="4" t="s">
        <v>3839</v>
      </c>
      <c r="C228" s="4" t="s">
        <v>16</v>
      </c>
      <c r="D228" s="9"/>
      <c r="E228" s="10"/>
    </row>
    <row r="229" spans="1:5" ht="12.5" x14ac:dyDescent="0.25">
      <c r="A229" s="4">
        <v>1110</v>
      </c>
      <c r="B229" s="4" t="s">
        <v>9222</v>
      </c>
      <c r="C229" s="4" t="s">
        <v>16</v>
      </c>
      <c r="D229" s="9"/>
      <c r="E229" s="10"/>
    </row>
    <row r="230" spans="1:5" ht="12.5" x14ac:dyDescent="0.25">
      <c r="A230" s="4">
        <v>1111</v>
      </c>
      <c r="B230" s="4" t="s">
        <v>9193</v>
      </c>
      <c r="C230" s="4" t="s">
        <v>16</v>
      </c>
      <c r="D230" s="9"/>
      <c r="E230" s="10"/>
    </row>
    <row r="231" spans="1:5" ht="12.5" x14ac:dyDescent="0.25">
      <c r="A231" s="4">
        <v>1113</v>
      </c>
      <c r="B231" s="4" t="s">
        <v>3844</v>
      </c>
      <c r="C231" s="4" t="s">
        <v>16</v>
      </c>
      <c r="D231" s="9"/>
      <c r="E231" s="10"/>
    </row>
    <row r="232" spans="1:5" ht="12.5" x14ac:dyDescent="0.25">
      <c r="A232" s="4">
        <v>1114</v>
      </c>
      <c r="B232" s="4" t="s">
        <v>3849</v>
      </c>
      <c r="C232" s="4" t="s">
        <v>10120</v>
      </c>
      <c r="D232" s="9">
        <v>79664.33</v>
      </c>
      <c r="E232" s="10">
        <v>0</v>
      </c>
    </row>
    <row r="233" spans="1:5" ht="12.5" x14ac:dyDescent="0.25">
      <c r="A233" s="4">
        <v>1115</v>
      </c>
      <c r="B233" s="4" t="s">
        <v>3854</v>
      </c>
      <c r="C233" s="4" t="s">
        <v>16</v>
      </c>
      <c r="D233" s="9"/>
      <c r="E233" s="10"/>
    </row>
    <row r="234" spans="1:5" ht="12.5" x14ac:dyDescent="0.25">
      <c r="A234" s="4">
        <v>1116</v>
      </c>
      <c r="B234" s="4" t="s">
        <v>3859</v>
      </c>
      <c r="C234" s="4" t="s">
        <v>16</v>
      </c>
      <c r="D234" s="9"/>
      <c r="E234" s="10"/>
    </row>
    <row r="235" spans="1:5" ht="12.5" x14ac:dyDescent="0.25">
      <c r="A235" s="4">
        <v>1118</v>
      </c>
      <c r="B235" s="4" t="s">
        <v>3863</v>
      </c>
      <c r="C235" s="4" t="s">
        <v>16</v>
      </c>
      <c r="D235" s="9"/>
      <c r="E235" s="10"/>
    </row>
    <row r="236" spans="1:5" ht="12.5" x14ac:dyDescent="0.25">
      <c r="A236" s="4">
        <v>1119</v>
      </c>
      <c r="B236" s="4" t="s">
        <v>3868</v>
      </c>
      <c r="C236" s="4" t="s">
        <v>16</v>
      </c>
      <c r="D236" s="9"/>
      <c r="E236" s="10"/>
    </row>
    <row r="237" spans="1:5" ht="12.5" x14ac:dyDescent="0.25">
      <c r="A237" s="4">
        <v>1120</v>
      </c>
      <c r="B237" s="4" t="s">
        <v>3873</v>
      </c>
      <c r="C237" s="4" t="s">
        <v>10122</v>
      </c>
      <c r="D237" s="9">
        <v>50000</v>
      </c>
      <c r="E237" s="10">
        <v>0</v>
      </c>
    </row>
    <row r="238" spans="1:5" ht="12.5" x14ac:dyDescent="0.25">
      <c r="A238" s="4">
        <v>1122</v>
      </c>
      <c r="B238" s="4" t="s">
        <v>3878</v>
      </c>
      <c r="C238" s="4" t="s">
        <v>16</v>
      </c>
      <c r="D238" s="9"/>
      <c r="E238" s="10"/>
    </row>
    <row r="239" spans="1:5" ht="12.5" x14ac:dyDescent="0.25">
      <c r="A239" s="4">
        <v>1123</v>
      </c>
      <c r="B239" s="4" t="s">
        <v>3883</v>
      </c>
      <c r="C239" s="4" t="s">
        <v>16</v>
      </c>
      <c r="D239" s="9"/>
      <c r="E239" s="10"/>
    </row>
    <row r="240" spans="1:5" ht="12.5" x14ac:dyDescent="0.25">
      <c r="A240" s="4">
        <v>1124</v>
      </c>
      <c r="B240" s="4" t="s">
        <v>3888</v>
      </c>
      <c r="C240" s="4" t="s">
        <v>16</v>
      </c>
      <c r="D240" s="9"/>
      <c r="E240" s="10"/>
    </row>
    <row r="241" spans="1:5" ht="12.5" x14ac:dyDescent="0.25">
      <c r="A241" s="4">
        <v>1125</v>
      </c>
      <c r="B241" s="4" t="s">
        <v>3892</v>
      </c>
      <c r="C241" s="4" t="s">
        <v>10125</v>
      </c>
      <c r="D241" s="9">
        <v>4200</v>
      </c>
      <c r="E241" s="10">
        <v>3692.5</v>
      </c>
    </row>
    <row r="242" spans="1:5" ht="12.5" x14ac:dyDescent="0.25">
      <c r="A242" s="4">
        <v>1126</v>
      </c>
      <c r="B242" s="4" t="s">
        <v>3897</v>
      </c>
      <c r="C242" s="4" t="s">
        <v>16</v>
      </c>
      <c r="D242" s="9"/>
      <c r="E242" s="10"/>
    </row>
    <row r="243" spans="1:5" ht="12.5" x14ac:dyDescent="0.25">
      <c r="A243" s="4">
        <v>1128</v>
      </c>
      <c r="B243" s="4" t="s">
        <v>6534</v>
      </c>
      <c r="C243" s="4" t="s">
        <v>16</v>
      </c>
      <c r="D243" s="9"/>
      <c r="E243" s="10"/>
    </row>
    <row r="244" spans="1:5" ht="12.5" x14ac:dyDescent="0.25">
      <c r="A244" s="4">
        <v>1129</v>
      </c>
      <c r="B244" s="4" t="s">
        <v>3902</v>
      </c>
      <c r="C244" s="4" t="s">
        <v>16</v>
      </c>
      <c r="D244" s="9"/>
      <c r="E244" s="10"/>
    </row>
    <row r="245" spans="1:5" ht="12.5" x14ac:dyDescent="0.25">
      <c r="A245" s="4">
        <v>1131</v>
      </c>
      <c r="B245" s="4" t="s">
        <v>3907</v>
      </c>
      <c r="C245" s="4" t="s">
        <v>10120</v>
      </c>
      <c r="D245" s="9">
        <v>94432</v>
      </c>
      <c r="E245" s="10">
        <v>0</v>
      </c>
    </row>
    <row r="246" spans="1:5" ht="12.5" x14ac:dyDescent="0.25">
      <c r="A246" s="4">
        <v>1132</v>
      </c>
      <c r="B246" s="4" t="s">
        <v>2782</v>
      </c>
      <c r="C246" s="4" t="s">
        <v>10117</v>
      </c>
      <c r="D246" s="9">
        <v>0</v>
      </c>
      <c r="E246" s="10">
        <v>0</v>
      </c>
    </row>
    <row r="247" spans="1:5" ht="12.5" x14ac:dyDescent="0.25">
      <c r="A247" s="4">
        <v>1133</v>
      </c>
      <c r="B247" s="4" t="s">
        <v>3912</v>
      </c>
      <c r="C247" s="4" t="s">
        <v>10120</v>
      </c>
      <c r="D247" s="9">
        <v>40000</v>
      </c>
      <c r="E247" s="10">
        <v>0</v>
      </c>
    </row>
    <row r="248" spans="1:5" ht="12.5" x14ac:dyDescent="0.25">
      <c r="A248" s="4">
        <v>1134</v>
      </c>
      <c r="B248" s="4" t="s">
        <v>7734</v>
      </c>
      <c r="C248" s="4" t="s">
        <v>16</v>
      </c>
      <c r="D248" s="9"/>
      <c r="E248" s="10"/>
    </row>
    <row r="249" spans="1:5" ht="12.5" x14ac:dyDescent="0.25">
      <c r="A249" s="4">
        <v>1135</v>
      </c>
      <c r="B249" s="4" t="s">
        <v>9140</v>
      </c>
      <c r="C249" s="4" t="s">
        <v>16</v>
      </c>
      <c r="D249" s="9"/>
      <c r="E249" s="10"/>
    </row>
    <row r="250" spans="1:5" ht="12.5" x14ac:dyDescent="0.25">
      <c r="A250" s="4">
        <v>1137</v>
      </c>
      <c r="B250" s="4" t="s">
        <v>9199</v>
      </c>
      <c r="C250" s="4" t="s">
        <v>16</v>
      </c>
      <c r="D250" s="9"/>
      <c r="E250" s="10"/>
    </row>
    <row r="251" spans="1:5" ht="12.5" x14ac:dyDescent="0.25">
      <c r="A251" s="4">
        <v>1138</v>
      </c>
      <c r="B251" s="4" t="s">
        <v>3917</v>
      </c>
      <c r="C251" s="4" t="s">
        <v>16</v>
      </c>
      <c r="D251" s="9"/>
      <c r="E251" s="10"/>
    </row>
    <row r="252" spans="1:5" ht="12.5" x14ac:dyDescent="0.25">
      <c r="A252" s="4">
        <v>1140</v>
      </c>
      <c r="B252" s="4" t="s">
        <v>8134</v>
      </c>
      <c r="C252" s="4" t="s">
        <v>16</v>
      </c>
      <c r="D252" s="9"/>
      <c r="E252" s="10"/>
    </row>
    <row r="253" spans="1:5" ht="12.5" x14ac:dyDescent="0.25">
      <c r="A253" s="4">
        <v>1142</v>
      </c>
      <c r="B253" s="4" t="s">
        <v>3921</v>
      </c>
      <c r="C253" s="4" t="s">
        <v>10116</v>
      </c>
      <c r="D253" s="9">
        <v>93.32</v>
      </c>
      <c r="E253" s="10">
        <v>0</v>
      </c>
    </row>
    <row r="254" spans="1:5" ht="12.5" x14ac:dyDescent="0.25">
      <c r="A254" s="11"/>
      <c r="B254" s="11"/>
      <c r="C254" s="12" t="s">
        <v>10120</v>
      </c>
      <c r="D254" s="13">
        <v>46500</v>
      </c>
      <c r="E254" s="14">
        <v>0</v>
      </c>
    </row>
    <row r="255" spans="1:5" ht="12.5" x14ac:dyDescent="0.25">
      <c r="A255" s="4">
        <v>1143</v>
      </c>
      <c r="B255" s="4" t="s">
        <v>3925</v>
      </c>
      <c r="C255" s="4" t="s">
        <v>10122</v>
      </c>
      <c r="D255" s="9">
        <v>800</v>
      </c>
      <c r="E255" s="10">
        <v>0</v>
      </c>
    </row>
    <row r="256" spans="1:5" ht="12.5" x14ac:dyDescent="0.25">
      <c r="A256" s="4">
        <v>1144</v>
      </c>
      <c r="B256" s="4" t="s">
        <v>3930</v>
      </c>
      <c r="C256" s="4" t="s">
        <v>16</v>
      </c>
      <c r="D256" s="9"/>
      <c r="E256" s="10"/>
    </row>
    <row r="257" spans="1:5" ht="12.5" x14ac:dyDescent="0.25">
      <c r="A257" s="4">
        <v>1145</v>
      </c>
      <c r="B257" s="4" t="s">
        <v>3934</v>
      </c>
      <c r="C257" s="4" t="s">
        <v>10122</v>
      </c>
      <c r="D257" s="9">
        <v>50000</v>
      </c>
      <c r="E257" s="10">
        <v>0</v>
      </c>
    </row>
    <row r="258" spans="1:5" ht="12.5" x14ac:dyDescent="0.25">
      <c r="A258" s="11"/>
      <c r="B258" s="11"/>
      <c r="C258" s="12" t="s">
        <v>16</v>
      </c>
      <c r="D258" s="13"/>
      <c r="E258" s="14"/>
    </row>
    <row r="259" spans="1:5" ht="12.5" x14ac:dyDescent="0.25">
      <c r="A259" s="4">
        <v>1146</v>
      </c>
      <c r="B259" s="4" t="s">
        <v>3939</v>
      </c>
      <c r="C259" s="4" t="s">
        <v>16</v>
      </c>
      <c r="D259" s="9"/>
      <c r="E259" s="10"/>
    </row>
    <row r="260" spans="1:5" ht="12.5" x14ac:dyDescent="0.25">
      <c r="A260" s="4">
        <v>1147</v>
      </c>
      <c r="B260" s="4" t="s">
        <v>3944</v>
      </c>
      <c r="C260" s="4" t="s">
        <v>16</v>
      </c>
      <c r="D260" s="9"/>
      <c r="E260" s="10"/>
    </row>
    <row r="261" spans="1:5" ht="12.5" x14ac:dyDescent="0.25">
      <c r="A261" s="4">
        <v>1148</v>
      </c>
      <c r="B261" s="4" t="s">
        <v>6434</v>
      </c>
      <c r="C261" s="4" t="s">
        <v>16</v>
      </c>
      <c r="D261" s="9"/>
      <c r="E261" s="10"/>
    </row>
    <row r="262" spans="1:5" ht="12.5" x14ac:dyDescent="0.25">
      <c r="A262" s="4">
        <v>1149</v>
      </c>
      <c r="B262" s="4" t="s">
        <v>3951</v>
      </c>
      <c r="C262" s="4" t="s">
        <v>16</v>
      </c>
      <c r="D262" s="9"/>
      <c r="E262" s="10"/>
    </row>
    <row r="263" spans="1:5" ht="12.5" x14ac:dyDescent="0.25">
      <c r="A263" s="4">
        <v>1150</v>
      </c>
      <c r="B263" s="4" t="s">
        <v>6813</v>
      </c>
      <c r="C263" s="4" t="s">
        <v>16</v>
      </c>
      <c r="D263" s="9"/>
      <c r="E263" s="10"/>
    </row>
    <row r="264" spans="1:5" ht="12.5" x14ac:dyDescent="0.25">
      <c r="A264" s="4">
        <v>1151</v>
      </c>
      <c r="B264" s="4" t="s">
        <v>3955</v>
      </c>
      <c r="C264" s="4" t="s">
        <v>16</v>
      </c>
      <c r="D264" s="9"/>
      <c r="E264" s="10"/>
    </row>
    <row r="265" spans="1:5" ht="12.5" x14ac:dyDescent="0.25">
      <c r="A265" s="4">
        <v>1152</v>
      </c>
      <c r="B265" s="4" t="s">
        <v>3960</v>
      </c>
      <c r="C265" s="4" t="s">
        <v>16</v>
      </c>
      <c r="D265" s="9"/>
      <c r="E265" s="10"/>
    </row>
    <row r="266" spans="1:5" ht="12.5" x14ac:dyDescent="0.25">
      <c r="A266" s="4">
        <v>1153</v>
      </c>
      <c r="B266" s="4" t="s">
        <v>3965</v>
      </c>
      <c r="C266" s="4" t="s">
        <v>16</v>
      </c>
      <c r="D266" s="9"/>
      <c r="E266" s="10"/>
    </row>
    <row r="267" spans="1:5" ht="12.5" x14ac:dyDescent="0.25">
      <c r="A267" s="4">
        <v>1154</v>
      </c>
      <c r="B267" s="4" t="s">
        <v>3970</v>
      </c>
      <c r="C267" s="4" t="s">
        <v>16</v>
      </c>
      <c r="D267" s="9"/>
      <c r="E267" s="10"/>
    </row>
    <row r="268" spans="1:5" ht="12.5" x14ac:dyDescent="0.25">
      <c r="A268" s="4">
        <v>1155</v>
      </c>
      <c r="B268" s="4" t="s">
        <v>716</v>
      </c>
      <c r="C268" s="4" t="s">
        <v>10114</v>
      </c>
      <c r="D268" s="9">
        <v>0</v>
      </c>
      <c r="E268" s="10">
        <v>0</v>
      </c>
    </row>
    <row r="269" spans="1:5" ht="12.5" x14ac:dyDescent="0.25">
      <c r="A269" s="11"/>
      <c r="B269" s="11"/>
      <c r="C269" s="12" t="s">
        <v>10117</v>
      </c>
      <c r="D269" s="13">
        <v>0</v>
      </c>
      <c r="E269" s="14">
        <v>0</v>
      </c>
    </row>
    <row r="270" spans="1:5" ht="12.5" x14ac:dyDescent="0.25">
      <c r="A270" s="11"/>
      <c r="B270" s="11"/>
      <c r="C270" s="12" t="s">
        <v>16</v>
      </c>
      <c r="D270" s="13"/>
      <c r="E270" s="14"/>
    </row>
    <row r="271" spans="1:5" ht="12.5" x14ac:dyDescent="0.25">
      <c r="A271" s="4">
        <v>1156</v>
      </c>
      <c r="B271" s="4" t="s">
        <v>3977</v>
      </c>
      <c r="C271" s="4" t="s">
        <v>16</v>
      </c>
      <c r="D271" s="9"/>
      <c r="E271" s="10"/>
    </row>
    <row r="272" spans="1:5" ht="12.5" x14ac:dyDescent="0.25">
      <c r="A272" s="4">
        <v>1159</v>
      </c>
      <c r="B272" s="4" t="s">
        <v>8129</v>
      </c>
      <c r="C272" s="4" t="s">
        <v>16</v>
      </c>
      <c r="D272" s="9"/>
      <c r="E272" s="10"/>
    </row>
    <row r="273" spans="1:5" ht="12.5" x14ac:dyDescent="0.25">
      <c r="A273" s="4">
        <v>1160</v>
      </c>
      <c r="B273" s="4" t="s">
        <v>718</v>
      </c>
      <c r="C273" s="4" t="s">
        <v>10114</v>
      </c>
      <c r="D273" s="9">
        <v>0</v>
      </c>
      <c r="E273" s="10">
        <v>0</v>
      </c>
    </row>
    <row r="274" spans="1:5" ht="12.5" x14ac:dyDescent="0.25">
      <c r="A274" s="11"/>
      <c r="B274" s="11"/>
      <c r="C274" s="12" t="s">
        <v>10117</v>
      </c>
      <c r="D274" s="13">
        <v>0</v>
      </c>
      <c r="E274" s="14">
        <v>0</v>
      </c>
    </row>
    <row r="275" spans="1:5" ht="12.5" x14ac:dyDescent="0.25">
      <c r="A275" s="4">
        <v>1163</v>
      </c>
      <c r="B275" s="4" t="s">
        <v>3982</v>
      </c>
      <c r="C275" s="4" t="s">
        <v>16</v>
      </c>
      <c r="D275" s="9"/>
      <c r="E275" s="10"/>
    </row>
    <row r="276" spans="1:5" ht="12.5" x14ac:dyDescent="0.25">
      <c r="A276" s="4">
        <v>1164</v>
      </c>
      <c r="B276" s="4" t="s">
        <v>3987</v>
      </c>
      <c r="C276" s="4" t="s">
        <v>16</v>
      </c>
      <c r="D276" s="9"/>
      <c r="E276" s="10"/>
    </row>
    <row r="277" spans="1:5" ht="12.5" x14ac:dyDescent="0.25">
      <c r="A277" s="4">
        <v>1166</v>
      </c>
      <c r="B277" s="4" t="s">
        <v>9233</v>
      </c>
      <c r="C277" s="4" t="s">
        <v>16</v>
      </c>
      <c r="D277" s="9"/>
      <c r="E277" s="10"/>
    </row>
    <row r="278" spans="1:5" ht="12.5" x14ac:dyDescent="0.25">
      <c r="A278" s="4">
        <v>1169</v>
      </c>
      <c r="B278" s="4" t="s">
        <v>3996</v>
      </c>
      <c r="C278" s="4" t="s">
        <v>16</v>
      </c>
      <c r="D278" s="9"/>
      <c r="E278" s="10"/>
    </row>
    <row r="279" spans="1:5" ht="12.5" x14ac:dyDescent="0.25">
      <c r="A279" s="4">
        <v>1171</v>
      </c>
      <c r="B279" s="4" t="s">
        <v>3998</v>
      </c>
      <c r="C279" s="4" t="s">
        <v>16</v>
      </c>
      <c r="D279" s="9"/>
      <c r="E279" s="10"/>
    </row>
    <row r="280" spans="1:5" ht="12.5" x14ac:dyDescent="0.25">
      <c r="A280" s="4">
        <v>1173</v>
      </c>
      <c r="B280" s="4" t="s">
        <v>4002</v>
      </c>
      <c r="C280" s="4" t="s">
        <v>16</v>
      </c>
      <c r="D280" s="9"/>
      <c r="E280" s="10"/>
    </row>
    <row r="281" spans="1:5" ht="12.5" x14ac:dyDescent="0.25">
      <c r="A281" s="4">
        <v>1174</v>
      </c>
      <c r="B281" s="4" t="s">
        <v>4007</v>
      </c>
      <c r="C281" s="4" t="s">
        <v>16</v>
      </c>
      <c r="D281" s="9"/>
      <c r="E281" s="10"/>
    </row>
    <row r="282" spans="1:5" ht="12.5" x14ac:dyDescent="0.25">
      <c r="A282" s="4">
        <v>1175</v>
      </c>
      <c r="B282" s="4" t="s">
        <v>7282</v>
      </c>
      <c r="C282" s="4" t="s">
        <v>16</v>
      </c>
      <c r="D282" s="9"/>
      <c r="E282" s="10"/>
    </row>
    <row r="283" spans="1:5" ht="12.5" x14ac:dyDescent="0.25">
      <c r="A283" s="4">
        <v>1176</v>
      </c>
      <c r="B283" s="4" t="s">
        <v>5531</v>
      </c>
      <c r="C283" s="4" t="s">
        <v>16</v>
      </c>
      <c r="D283" s="9"/>
      <c r="E283" s="10"/>
    </row>
    <row r="284" spans="1:5" ht="12.5" x14ac:dyDescent="0.25">
      <c r="A284" s="4">
        <v>1177</v>
      </c>
      <c r="B284" s="4" t="s">
        <v>4012</v>
      </c>
      <c r="C284" s="4" t="s">
        <v>16</v>
      </c>
      <c r="D284" s="9"/>
      <c r="E284" s="10"/>
    </row>
    <row r="285" spans="1:5" ht="12.5" x14ac:dyDescent="0.25">
      <c r="A285" s="4">
        <v>1179</v>
      </c>
      <c r="B285" s="4" t="s">
        <v>4017</v>
      </c>
      <c r="C285" s="4" t="s">
        <v>10127</v>
      </c>
      <c r="D285" s="9">
        <v>1226.7</v>
      </c>
      <c r="E285" s="10">
        <v>1084.8</v>
      </c>
    </row>
    <row r="286" spans="1:5" ht="12.5" x14ac:dyDescent="0.25">
      <c r="A286" s="4">
        <v>1180</v>
      </c>
      <c r="B286" s="4" t="s">
        <v>4022</v>
      </c>
      <c r="C286" s="4" t="s">
        <v>16</v>
      </c>
      <c r="D286" s="9"/>
      <c r="E286" s="10"/>
    </row>
    <row r="287" spans="1:5" ht="12.5" x14ac:dyDescent="0.25">
      <c r="A287" s="4">
        <v>1182</v>
      </c>
      <c r="B287" s="4" t="s">
        <v>238</v>
      </c>
      <c r="C287" s="4" t="s">
        <v>16</v>
      </c>
      <c r="D287" s="9"/>
      <c r="E287" s="10"/>
    </row>
    <row r="288" spans="1:5" ht="12.5" x14ac:dyDescent="0.25">
      <c r="A288" s="4">
        <v>1183</v>
      </c>
      <c r="B288" s="4" t="s">
        <v>4029</v>
      </c>
      <c r="C288" s="4" t="s">
        <v>16</v>
      </c>
      <c r="D288" s="9"/>
      <c r="E288" s="10"/>
    </row>
    <row r="289" spans="1:5" ht="12.5" x14ac:dyDescent="0.25">
      <c r="A289" s="4">
        <v>1187</v>
      </c>
      <c r="B289" s="4" t="s">
        <v>6168</v>
      </c>
      <c r="C289" s="4" t="s">
        <v>16</v>
      </c>
      <c r="D289" s="9"/>
      <c r="E289" s="10"/>
    </row>
    <row r="290" spans="1:5" ht="12.5" x14ac:dyDescent="0.25">
      <c r="A290" s="4">
        <v>1188</v>
      </c>
      <c r="B290" s="4" t="s">
        <v>4034</v>
      </c>
      <c r="C290" s="4" t="s">
        <v>16</v>
      </c>
      <c r="D290" s="9"/>
      <c r="E290" s="10"/>
    </row>
    <row r="291" spans="1:5" ht="12.5" x14ac:dyDescent="0.25">
      <c r="A291" s="4">
        <v>1189</v>
      </c>
      <c r="B291" s="4" t="s">
        <v>4038</v>
      </c>
      <c r="C291" s="4" t="s">
        <v>16</v>
      </c>
      <c r="D291" s="9"/>
      <c r="E291" s="10"/>
    </row>
    <row r="292" spans="1:5" ht="12.5" x14ac:dyDescent="0.25">
      <c r="A292" s="4">
        <v>1190</v>
      </c>
      <c r="B292" s="4" t="s">
        <v>4043</v>
      </c>
      <c r="C292" s="4" t="s">
        <v>16</v>
      </c>
      <c r="D292" s="9"/>
      <c r="E292" s="10"/>
    </row>
    <row r="293" spans="1:5" ht="12.5" x14ac:dyDescent="0.25">
      <c r="A293" s="4">
        <v>1191</v>
      </c>
      <c r="B293" s="4" t="s">
        <v>4047</v>
      </c>
      <c r="C293" s="4" t="s">
        <v>16</v>
      </c>
      <c r="D293" s="9"/>
      <c r="E293" s="10"/>
    </row>
    <row r="294" spans="1:5" ht="12.5" x14ac:dyDescent="0.25">
      <c r="A294" s="4">
        <v>1192</v>
      </c>
      <c r="B294" s="4" t="s">
        <v>4051</v>
      </c>
      <c r="C294" s="4" t="s">
        <v>16</v>
      </c>
      <c r="D294" s="9"/>
      <c r="E294" s="10"/>
    </row>
    <row r="295" spans="1:5" ht="12.5" x14ac:dyDescent="0.25">
      <c r="A295" s="4">
        <v>1193</v>
      </c>
      <c r="B295" s="4" t="s">
        <v>4056</v>
      </c>
      <c r="C295" s="4" t="s">
        <v>16</v>
      </c>
      <c r="D295" s="9"/>
      <c r="E295" s="10"/>
    </row>
    <row r="296" spans="1:5" ht="12.5" x14ac:dyDescent="0.25">
      <c r="A296" s="4">
        <v>1194</v>
      </c>
      <c r="B296" s="4" t="s">
        <v>2997</v>
      </c>
      <c r="C296" s="4" t="s">
        <v>16</v>
      </c>
      <c r="D296" s="9"/>
      <c r="E296" s="10"/>
    </row>
    <row r="297" spans="1:5" ht="12.5" x14ac:dyDescent="0.25">
      <c r="A297" s="4">
        <v>1195</v>
      </c>
      <c r="B297" s="4" t="s">
        <v>4060</v>
      </c>
      <c r="C297" s="4" t="s">
        <v>10122</v>
      </c>
      <c r="D297" s="9">
        <v>50000</v>
      </c>
      <c r="E297" s="10">
        <v>0</v>
      </c>
    </row>
    <row r="298" spans="1:5" ht="12.5" x14ac:dyDescent="0.25">
      <c r="A298" s="11"/>
      <c r="B298" s="11"/>
      <c r="C298" s="12" t="s">
        <v>16</v>
      </c>
      <c r="D298" s="13"/>
      <c r="E298" s="14"/>
    </row>
    <row r="299" spans="1:5" ht="12.5" x14ac:dyDescent="0.25">
      <c r="A299" s="4">
        <v>1196</v>
      </c>
      <c r="B299" s="4" t="s">
        <v>4065</v>
      </c>
      <c r="C299" s="4" t="s">
        <v>10120</v>
      </c>
      <c r="D299" s="9">
        <v>5785</v>
      </c>
      <c r="E299" s="10">
        <v>0</v>
      </c>
    </row>
    <row r="300" spans="1:5" ht="12.5" x14ac:dyDescent="0.25">
      <c r="A300" s="4">
        <v>1197</v>
      </c>
      <c r="B300" s="4" t="s">
        <v>4070</v>
      </c>
      <c r="C300" s="4" t="s">
        <v>10118</v>
      </c>
      <c r="D300" s="9">
        <v>26235.96</v>
      </c>
      <c r="E300" s="10">
        <v>0</v>
      </c>
    </row>
    <row r="301" spans="1:5" ht="12.5" x14ac:dyDescent="0.25">
      <c r="A301" s="4">
        <v>1200</v>
      </c>
      <c r="B301" s="4" t="s">
        <v>8637</v>
      </c>
      <c r="C301" s="4" t="s">
        <v>10120</v>
      </c>
      <c r="D301" s="9">
        <v>130000</v>
      </c>
      <c r="E301" s="10">
        <v>0</v>
      </c>
    </row>
    <row r="302" spans="1:5" ht="12.5" x14ac:dyDescent="0.25">
      <c r="A302" s="4">
        <v>1202</v>
      </c>
      <c r="B302" s="4" t="s">
        <v>4075</v>
      </c>
      <c r="C302" s="4" t="s">
        <v>16</v>
      </c>
      <c r="D302" s="9"/>
      <c r="E302" s="10"/>
    </row>
    <row r="303" spans="1:5" ht="12.5" x14ac:dyDescent="0.25">
      <c r="A303" s="4">
        <v>1203</v>
      </c>
      <c r="B303" s="4" t="s">
        <v>4079</v>
      </c>
      <c r="C303" s="4" t="s">
        <v>10127</v>
      </c>
      <c r="D303" s="9">
        <v>27225.7</v>
      </c>
      <c r="E303" s="10">
        <v>92.394000000000005</v>
      </c>
    </row>
    <row r="304" spans="1:5" ht="12.5" x14ac:dyDescent="0.25">
      <c r="A304" s="4">
        <v>1204</v>
      </c>
      <c r="B304" s="4" t="s">
        <v>8123</v>
      </c>
      <c r="C304" s="4" t="s">
        <v>16</v>
      </c>
      <c r="D304" s="9"/>
      <c r="E304" s="10"/>
    </row>
    <row r="305" spans="1:5" ht="12.5" x14ac:dyDescent="0.25">
      <c r="A305" s="4">
        <v>1205</v>
      </c>
      <c r="B305" s="4" t="s">
        <v>8118</v>
      </c>
      <c r="C305" s="4" t="s">
        <v>16</v>
      </c>
      <c r="D305" s="9"/>
      <c r="E305" s="10"/>
    </row>
    <row r="306" spans="1:5" ht="12.5" x14ac:dyDescent="0.25">
      <c r="A306" s="4">
        <v>1208</v>
      </c>
      <c r="B306" s="4" t="s">
        <v>4083</v>
      </c>
      <c r="C306" s="4" t="s">
        <v>16</v>
      </c>
      <c r="D306" s="9">
        <v>363.67</v>
      </c>
      <c r="E306" s="10">
        <v>39000</v>
      </c>
    </row>
    <row r="307" spans="1:5" ht="12.5" x14ac:dyDescent="0.25">
      <c r="A307" s="4">
        <v>1210</v>
      </c>
      <c r="B307" s="4" t="s">
        <v>6735</v>
      </c>
      <c r="C307" s="4" t="s">
        <v>16</v>
      </c>
      <c r="D307" s="9"/>
      <c r="E307" s="10"/>
    </row>
    <row r="308" spans="1:5" ht="12.5" x14ac:dyDescent="0.25">
      <c r="A308" s="4">
        <v>1211</v>
      </c>
      <c r="B308" s="4" t="s">
        <v>7514</v>
      </c>
      <c r="C308" s="4" t="s">
        <v>16</v>
      </c>
      <c r="D308" s="9"/>
      <c r="E308" s="10"/>
    </row>
    <row r="309" spans="1:5" ht="12.5" x14ac:dyDescent="0.25">
      <c r="A309" s="4">
        <v>1213</v>
      </c>
      <c r="B309" s="4" t="s">
        <v>4088</v>
      </c>
      <c r="C309" s="4" t="s">
        <v>10122</v>
      </c>
      <c r="D309" s="9">
        <v>50000</v>
      </c>
      <c r="E309" s="10">
        <v>0</v>
      </c>
    </row>
    <row r="310" spans="1:5" ht="12.5" x14ac:dyDescent="0.25">
      <c r="A310" s="4">
        <v>1214</v>
      </c>
      <c r="B310" s="4" t="s">
        <v>8113</v>
      </c>
      <c r="C310" s="4" t="s">
        <v>16</v>
      </c>
      <c r="D310" s="9"/>
      <c r="E310" s="10"/>
    </row>
    <row r="311" spans="1:5" ht="12.5" x14ac:dyDescent="0.25">
      <c r="A311" s="4">
        <v>1216</v>
      </c>
      <c r="B311" s="4" t="s">
        <v>4093</v>
      </c>
      <c r="C311" s="4" t="s">
        <v>16</v>
      </c>
      <c r="D311" s="9"/>
      <c r="E311" s="10"/>
    </row>
    <row r="312" spans="1:5" ht="12.5" x14ac:dyDescent="0.25">
      <c r="A312" s="4">
        <v>1220</v>
      </c>
      <c r="B312" s="4" t="s">
        <v>4097</v>
      </c>
      <c r="C312" s="4" t="s">
        <v>10116</v>
      </c>
      <c r="D312" s="9">
        <v>372.24</v>
      </c>
      <c r="E312" s="10">
        <v>372.24</v>
      </c>
    </row>
    <row r="313" spans="1:5" ht="12.5" x14ac:dyDescent="0.25">
      <c r="A313" s="11"/>
      <c r="B313" s="11"/>
      <c r="C313" s="12" t="s">
        <v>10120</v>
      </c>
      <c r="D313" s="13">
        <v>30000</v>
      </c>
      <c r="E313" s="14">
        <v>0</v>
      </c>
    </row>
    <row r="314" spans="1:5" ht="12.5" x14ac:dyDescent="0.25">
      <c r="A314" s="4">
        <v>1221</v>
      </c>
      <c r="B314" s="4" t="s">
        <v>4101</v>
      </c>
      <c r="C314" s="4" t="s">
        <v>10120</v>
      </c>
      <c r="D314" s="9">
        <v>8265</v>
      </c>
      <c r="E314" s="10">
        <v>2216.7399999999998</v>
      </c>
    </row>
    <row r="315" spans="1:5" ht="12.5" x14ac:dyDescent="0.25">
      <c r="A315" s="4">
        <v>1223</v>
      </c>
      <c r="B315" s="4" t="s">
        <v>4107</v>
      </c>
      <c r="C315" s="4" t="s">
        <v>10125</v>
      </c>
      <c r="D315" s="9">
        <v>4800</v>
      </c>
      <c r="E315" s="10">
        <v>4800</v>
      </c>
    </row>
    <row r="316" spans="1:5" ht="12.5" x14ac:dyDescent="0.25">
      <c r="A316" s="11"/>
      <c r="B316" s="11"/>
      <c r="C316" s="12" t="s">
        <v>10127</v>
      </c>
      <c r="D316" s="13">
        <v>420</v>
      </c>
      <c r="E316" s="14">
        <v>0</v>
      </c>
    </row>
    <row r="317" spans="1:5" ht="12.5" x14ac:dyDescent="0.25">
      <c r="A317" s="11"/>
      <c r="B317" s="11"/>
      <c r="C317" s="12" t="s">
        <v>16</v>
      </c>
      <c r="D317" s="13"/>
      <c r="E317" s="14"/>
    </row>
    <row r="318" spans="1:5" ht="12.5" x14ac:dyDescent="0.25">
      <c r="A318" s="4">
        <v>1224</v>
      </c>
      <c r="B318" s="4" t="s">
        <v>4113</v>
      </c>
      <c r="C318" s="4" t="s">
        <v>10120</v>
      </c>
      <c r="D318" s="9">
        <v>8265</v>
      </c>
      <c r="E318" s="10">
        <v>209.36</v>
      </c>
    </row>
    <row r="319" spans="1:5" ht="12.5" x14ac:dyDescent="0.25">
      <c r="A319" s="4">
        <v>1225</v>
      </c>
      <c r="B319" s="4" t="s">
        <v>4118</v>
      </c>
      <c r="C319" s="4" t="s">
        <v>10120</v>
      </c>
      <c r="D319" s="9">
        <v>56675.96</v>
      </c>
      <c r="E319" s="10">
        <v>0</v>
      </c>
    </row>
    <row r="320" spans="1:5" ht="12.5" x14ac:dyDescent="0.25">
      <c r="A320" s="4">
        <v>1226</v>
      </c>
      <c r="B320" s="4" t="s">
        <v>4123</v>
      </c>
      <c r="C320" s="4" t="s">
        <v>10120</v>
      </c>
      <c r="D320" s="9">
        <v>12397</v>
      </c>
      <c r="E320" s="10">
        <v>0</v>
      </c>
    </row>
    <row r="321" spans="1:5" ht="12.5" x14ac:dyDescent="0.25">
      <c r="A321" s="4">
        <v>1227</v>
      </c>
      <c r="B321" s="4" t="s">
        <v>4128</v>
      </c>
      <c r="C321" s="4" t="s">
        <v>10120</v>
      </c>
      <c r="D321" s="9">
        <v>16529</v>
      </c>
      <c r="E321" s="10">
        <v>0</v>
      </c>
    </row>
    <row r="322" spans="1:5" ht="12.5" x14ac:dyDescent="0.25">
      <c r="A322" s="4">
        <v>1228</v>
      </c>
      <c r="B322" s="4" t="s">
        <v>4133</v>
      </c>
      <c r="C322" s="4" t="s">
        <v>16</v>
      </c>
      <c r="D322" s="9"/>
      <c r="E322" s="10"/>
    </row>
    <row r="323" spans="1:5" ht="12.5" x14ac:dyDescent="0.25">
      <c r="A323" s="4">
        <v>1229</v>
      </c>
      <c r="B323" s="4" t="s">
        <v>151</v>
      </c>
      <c r="C323" s="4" t="s">
        <v>16</v>
      </c>
      <c r="D323" s="9"/>
      <c r="E323" s="10"/>
    </row>
    <row r="324" spans="1:5" ht="12.5" x14ac:dyDescent="0.25">
      <c r="A324" s="4">
        <v>1230</v>
      </c>
      <c r="B324" s="4" t="s">
        <v>4141</v>
      </c>
      <c r="C324" s="4" t="s">
        <v>10128</v>
      </c>
      <c r="D324" s="9">
        <v>382.4</v>
      </c>
      <c r="E324" s="10">
        <v>92.5</v>
      </c>
    </row>
    <row r="325" spans="1:5" ht="12.5" x14ac:dyDescent="0.25">
      <c r="A325" s="11"/>
      <c r="B325" s="11"/>
      <c r="C325" s="12" t="s">
        <v>10120</v>
      </c>
      <c r="D325" s="13">
        <v>572.49</v>
      </c>
      <c r="E325" s="14">
        <v>572.49</v>
      </c>
    </row>
    <row r="326" spans="1:5" ht="12.5" x14ac:dyDescent="0.25">
      <c r="A326" s="4">
        <v>1231</v>
      </c>
      <c r="B326" s="4" t="s">
        <v>4147</v>
      </c>
      <c r="C326" s="4" t="s">
        <v>10118</v>
      </c>
      <c r="D326" s="9">
        <v>28000</v>
      </c>
      <c r="E326" s="10">
        <v>0</v>
      </c>
    </row>
    <row r="327" spans="1:5" ht="12.5" x14ac:dyDescent="0.25">
      <c r="A327" s="4">
        <v>1232</v>
      </c>
      <c r="B327" s="4" t="s">
        <v>8108</v>
      </c>
      <c r="C327" s="4" t="s">
        <v>16</v>
      </c>
      <c r="D327" s="9"/>
      <c r="E327" s="10"/>
    </row>
    <row r="328" spans="1:5" ht="12.5" x14ac:dyDescent="0.25">
      <c r="A328" s="4">
        <v>1235</v>
      </c>
      <c r="B328" s="4" t="s">
        <v>6842</v>
      </c>
      <c r="C328" s="4" t="s">
        <v>10120</v>
      </c>
      <c r="D328" s="9">
        <v>350000</v>
      </c>
      <c r="E328" s="10">
        <v>0</v>
      </c>
    </row>
    <row r="329" spans="1:5" ht="12.5" x14ac:dyDescent="0.25">
      <c r="A329" s="4">
        <v>1240</v>
      </c>
      <c r="B329" s="4" t="s">
        <v>4157</v>
      </c>
      <c r="C329" s="4" t="s">
        <v>16</v>
      </c>
      <c r="D329" s="9"/>
      <c r="E329" s="10"/>
    </row>
    <row r="330" spans="1:5" ht="12.5" x14ac:dyDescent="0.25">
      <c r="A330" s="4">
        <v>1243</v>
      </c>
      <c r="B330" s="4" t="s">
        <v>4162</v>
      </c>
      <c r="C330" s="4" t="s">
        <v>16</v>
      </c>
      <c r="D330" s="9"/>
      <c r="E330" s="10"/>
    </row>
    <row r="331" spans="1:5" ht="12.5" x14ac:dyDescent="0.25">
      <c r="A331" s="4">
        <v>1244</v>
      </c>
      <c r="B331" s="4" t="s">
        <v>4167</v>
      </c>
      <c r="C331" s="4" t="s">
        <v>16</v>
      </c>
      <c r="D331" s="9"/>
      <c r="E331" s="10"/>
    </row>
    <row r="332" spans="1:5" ht="12.5" x14ac:dyDescent="0.25">
      <c r="A332" s="4">
        <v>1245</v>
      </c>
      <c r="B332" s="4" t="s">
        <v>4173</v>
      </c>
      <c r="C332" s="4" t="s">
        <v>16</v>
      </c>
      <c r="D332" s="9"/>
      <c r="E332" s="10"/>
    </row>
    <row r="333" spans="1:5" ht="12.5" x14ac:dyDescent="0.25">
      <c r="A333" s="4">
        <v>1246</v>
      </c>
      <c r="B333" s="4" t="s">
        <v>4178</v>
      </c>
      <c r="C333" s="4" t="s">
        <v>16</v>
      </c>
      <c r="D333" s="9"/>
      <c r="E333" s="10"/>
    </row>
    <row r="334" spans="1:5" ht="12.5" x14ac:dyDescent="0.25">
      <c r="A334" s="4">
        <v>1247</v>
      </c>
      <c r="B334" s="4" t="s">
        <v>8103</v>
      </c>
      <c r="C334" s="4" t="s">
        <v>16</v>
      </c>
      <c r="D334" s="9"/>
      <c r="E334" s="10"/>
    </row>
    <row r="335" spans="1:5" ht="12.5" x14ac:dyDescent="0.25">
      <c r="A335" s="4">
        <v>1248</v>
      </c>
      <c r="B335" s="4" t="s">
        <v>4182</v>
      </c>
      <c r="C335" s="4" t="s">
        <v>10118</v>
      </c>
      <c r="D335" s="9">
        <v>26880.17</v>
      </c>
      <c r="E335" s="10">
        <v>0</v>
      </c>
    </row>
    <row r="336" spans="1:5" ht="12.5" x14ac:dyDescent="0.25">
      <c r="A336" s="4">
        <v>1249</v>
      </c>
      <c r="B336" s="4" t="s">
        <v>4187</v>
      </c>
      <c r="C336" s="4" t="s">
        <v>16</v>
      </c>
      <c r="D336" s="9"/>
      <c r="E336" s="10"/>
    </row>
    <row r="337" spans="1:5" ht="12.5" x14ac:dyDescent="0.25">
      <c r="A337" s="4">
        <v>1250</v>
      </c>
      <c r="B337" s="4" t="s">
        <v>4192</v>
      </c>
      <c r="C337" s="4" t="s">
        <v>16</v>
      </c>
      <c r="D337" s="9">
        <v>26000</v>
      </c>
      <c r="E337" s="10">
        <v>0</v>
      </c>
    </row>
    <row r="338" spans="1:5" ht="12.5" x14ac:dyDescent="0.25">
      <c r="A338" s="4">
        <v>1251</v>
      </c>
      <c r="B338" s="4" t="s">
        <v>8097</v>
      </c>
      <c r="C338" s="4" t="s">
        <v>16</v>
      </c>
      <c r="D338" s="9"/>
      <c r="E338" s="10"/>
    </row>
    <row r="339" spans="1:5" ht="12.5" x14ac:dyDescent="0.25">
      <c r="A339" s="4">
        <v>1252</v>
      </c>
      <c r="B339" s="4" t="s">
        <v>4197</v>
      </c>
      <c r="C339" s="4" t="s">
        <v>10120</v>
      </c>
      <c r="D339" s="9">
        <v>450000</v>
      </c>
      <c r="E339" s="10">
        <v>186280.60620000001</v>
      </c>
    </row>
    <row r="340" spans="1:5" ht="12.5" x14ac:dyDescent="0.25">
      <c r="A340" s="11"/>
      <c r="B340" s="11"/>
      <c r="C340" s="12" t="s">
        <v>16</v>
      </c>
      <c r="D340" s="13"/>
      <c r="E340" s="14"/>
    </row>
    <row r="341" spans="1:5" ht="12.5" x14ac:dyDescent="0.25">
      <c r="A341" s="4">
        <v>1254</v>
      </c>
      <c r="B341" s="4" t="s">
        <v>4202</v>
      </c>
      <c r="C341" s="4" t="s">
        <v>16</v>
      </c>
      <c r="D341" s="9"/>
      <c r="E341" s="10"/>
    </row>
    <row r="342" spans="1:5" ht="12.5" x14ac:dyDescent="0.25">
      <c r="A342" s="4">
        <v>1255</v>
      </c>
      <c r="B342" s="4" t="s">
        <v>4205</v>
      </c>
      <c r="C342" s="4" t="s">
        <v>10120</v>
      </c>
      <c r="D342" s="9">
        <v>41322</v>
      </c>
      <c r="E342" s="10">
        <v>0</v>
      </c>
    </row>
    <row r="343" spans="1:5" ht="12.5" x14ac:dyDescent="0.25">
      <c r="A343" s="4">
        <v>1256</v>
      </c>
      <c r="B343" s="4" t="s">
        <v>4210</v>
      </c>
      <c r="C343" s="4" t="s">
        <v>16</v>
      </c>
      <c r="D343" s="9"/>
      <c r="E343" s="10"/>
    </row>
    <row r="344" spans="1:5" ht="12.5" x14ac:dyDescent="0.25">
      <c r="A344" s="4">
        <v>1257</v>
      </c>
      <c r="B344" s="4" t="s">
        <v>4216</v>
      </c>
      <c r="C344" s="4" t="s">
        <v>16</v>
      </c>
      <c r="D344" s="9"/>
      <c r="E344" s="10"/>
    </row>
    <row r="345" spans="1:5" ht="12.5" x14ac:dyDescent="0.25">
      <c r="A345" s="4">
        <v>1258</v>
      </c>
      <c r="B345" s="4" t="s">
        <v>4221</v>
      </c>
      <c r="C345" s="4" t="s">
        <v>16</v>
      </c>
      <c r="D345" s="9"/>
      <c r="E345" s="10"/>
    </row>
    <row r="346" spans="1:5" ht="12.5" x14ac:dyDescent="0.25">
      <c r="A346" s="4">
        <v>1259</v>
      </c>
      <c r="B346" s="4" t="s">
        <v>4226</v>
      </c>
      <c r="C346" s="4" t="s">
        <v>16</v>
      </c>
      <c r="D346" s="9"/>
      <c r="E346" s="10"/>
    </row>
    <row r="347" spans="1:5" ht="12.5" x14ac:dyDescent="0.25">
      <c r="A347" s="4">
        <v>1260</v>
      </c>
      <c r="B347" s="4" t="s">
        <v>5495</v>
      </c>
      <c r="C347" s="4" t="s">
        <v>10121</v>
      </c>
      <c r="D347" s="9">
        <v>5000</v>
      </c>
      <c r="E347" s="10">
        <v>0</v>
      </c>
    </row>
    <row r="348" spans="1:5" ht="12.5" x14ac:dyDescent="0.25">
      <c r="A348" s="4">
        <v>1261</v>
      </c>
      <c r="B348" s="4" t="s">
        <v>4231</v>
      </c>
      <c r="C348" s="4" t="s">
        <v>16</v>
      </c>
      <c r="D348" s="9"/>
      <c r="E348" s="10"/>
    </row>
    <row r="349" spans="1:5" ht="12.5" x14ac:dyDescent="0.25">
      <c r="A349" s="4">
        <v>1262</v>
      </c>
      <c r="B349" s="4" t="s">
        <v>1333</v>
      </c>
      <c r="C349" s="4" t="s">
        <v>16</v>
      </c>
      <c r="D349" s="9"/>
      <c r="E349" s="10"/>
    </row>
    <row r="350" spans="1:5" ht="12.5" x14ac:dyDescent="0.25">
      <c r="A350" s="4">
        <v>1263</v>
      </c>
      <c r="B350" s="4" t="s">
        <v>1284</v>
      </c>
      <c r="C350" s="4" t="s">
        <v>16</v>
      </c>
      <c r="D350" s="9"/>
      <c r="E350" s="10"/>
    </row>
    <row r="351" spans="1:5" ht="12.5" x14ac:dyDescent="0.25">
      <c r="A351" s="4">
        <v>1264</v>
      </c>
      <c r="B351" s="4" t="s">
        <v>1310</v>
      </c>
      <c r="C351" s="4" t="s">
        <v>16</v>
      </c>
      <c r="D351" s="9"/>
      <c r="E351" s="10"/>
    </row>
    <row r="352" spans="1:5" ht="12.5" x14ac:dyDescent="0.25">
      <c r="A352" s="4">
        <v>1266</v>
      </c>
      <c r="B352" s="4" t="s">
        <v>4243</v>
      </c>
      <c r="C352" s="4" t="s">
        <v>16</v>
      </c>
      <c r="D352" s="9"/>
      <c r="E352" s="10"/>
    </row>
    <row r="353" spans="1:5" ht="12.5" x14ac:dyDescent="0.25">
      <c r="A353" s="4">
        <v>1267</v>
      </c>
      <c r="B353" s="4" t="s">
        <v>4249</v>
      </c>
      <c r="C353" s="4" t="s">
        <v>16</v>
      </c>
      <c r="D353" s="9"/>
      <c r="E353" s="10"/>
    </row>
    <row r="354" spans="1:5" ht="12.5" x14ac:dyDescent="0.25">
      <c r="A354" s="4">
        <v>1268</v>
      </c>
      <c r="B354" s="4" t="s">
        <v>4254</v>
      </c>
      <c r="C354" s="4" t="s">
        <v>10120</v>
      </c>
      <c r="D354" s="9">
        <v>25000</v>
      </c>
      <c r="E354" s="10">
        <v>0</v>
      </c>
    </row>
    <row r="355" spans="1:5" ht="12.5" x14ac:dyDescent="0.25">
      <c r="A355" s="4">
        <v>1270</v>
      </c>
      <c r="B355" s="4" t="s">
        <v>6648</v>
      </c>
      <c r="C355" s="4" t="s">
        <v>16</v>
      </c>
      <c r="D355" s="9"/>
      <c r="E355" s="10"/>
    </row>
    <row r="356" spans="1:5" ht="12.5" x14ac:dyDescent="0.25">
      <c r="A356" s="4">
        <v>1271</v>
      </c>
      <c r="B356" s="4" t="s">
        <v>4260</v>
      </c>
      <c r="C356" s="4" t="s">
        <v>16</v>
      </c>
      <c r="D356" s="9"/>
      <c r="E356" s="10"/>
    </row>
    <row r="357" spans="1:5" ht="12.5" x14ac:dyDescent="0.25">
      <c r="A357" s="4">
        <v>1272</v>
      </c>
      <c r="B357" s="4" t="s">
        <v>4264</v>
      </c>
      <c r="C357" s="4" t="s">
        <v>10127</v>
      </c>
      <c r="D357" s="9">
        <v>2122</v>
      </c>
      <c r="E357" s="10">
        <v>2122</v>
      </c>
    </row>
    <row r="358" spans="1:5" ht="12.5" x14ac:dyDescent="0.25">
      <c r="A358" s="11"/>
      <c r="B358" s="11"/>
      <c r="C358" s="12" t="s">
        <v>16</v>
      </c>
      <c r="D358" s="13"/>
      <c r="E358" s="14"/>
    </row>
    <row r="359" spans="1:5" ht="12.5" x14ac:dyDescent="0.25">
      <c r="A359" s="4">
        <v>1273</v>
      </c>
      <c r="B359" s="4" t="s">
        <v>4269</v>
      </c>
      <c r="C359" s="4" t="s">
        <v>16</v>
      </c>
      <c r="D359" s="9"/>
      <c r="E359" s="10"/>
    </row>
    <row r="360" spans="1:5" ht="12.5" x14ac:dyDescent="0.25">
      <c r="A360" s="4">
        <v>1274</v>
      </c>
      <c r="B360" s="4" t="s">
        <v>4275</v>
      </c>
      <c r="C360" s="4" t="s">
        <v>16</v>
      </c>
      <c r="D360" s="9"/>
      <c r="E360" s="10"/>
    </row>
    <row r="361" spans="1:5" ht="12.5" x14ac:dyDescent="0.25">
      <c r="A361" s="4">
        <v>1275</v>
      </c>
      <c r="B361" s="4" t="s">
        <v>4281</v>
      </c>
      <c r="C361" s="4" t="s">
        <v>16</v>
      </c>
      <c r="D361" s="9"/>
      <c r="E361" s="10"/>
    </row>
    <row r="362" spans="1:5" ht="12.5" x14ac:dyDescent="0.25">
      <c r="A362" s="4">
        <v>1276</v>
      </c>
      <c r="B362" s="4" t="s">
        <v>4286</v>
      </c>
      <c r="C362" s="4" t="s">
        <v>16</v>
      </c>
      <c r="D362" s="9"/>
      <c r="E362" s="10"/>
    </row>
    <row r="363" spans="1:5" ht="12.5" x14ac:dyDescent="0.25">
      <c r="A363" s="4">
        <v>1277</v>
      </c>
      <c r="B363" s="4" t="s">
        <v>4292</v>
      </c>
      <c r="C363" s="4" t="s">
        <v>16</v>
      </c>
      <c r="D363" s="9"/>
      <c r="E363" s="10"/>
    </row>
    <row r="364" spans="1:5" ht="12.5" x14ac:dyDescent="0.25">
      <c r="A364" s="4">
        <v>1278</v>
      </c>
      <c r="B364" s="4" t="s">
        <v>4298</v>
      </c>
      <c r="C364" s="4" t="s">
        <v>16</v>
      </c>
      <c r="D364" s="9"/>
      <c r="E364" s="10"/>
    </row>
    <row r="365" spans="1:5" ht="12.5" x14ac:dyDescent="0.25">
      <c r="A365" s="4">
        <v>1281</v>
      </c>
      <c r="B365" s="4" t="s">
        <v>4304</v>
      </c>
      <c r="C365" s="4" t="s">
        <v>16</v>
      </c>
      <c r="D365" s="9"/>
      <c r="E365" s="10"/>
    </row>
    <row r="366" spans="1:5" ht="12.5" x14ac:dyDescent="0.25">
      <c r="A366" s="4">
        <v>1283</v>
      </c>
      <c r="B366" s="4" t="s">
        <v>4309</v>
      </c>
      <c r="C366" s="4" t="s">
        <v>16</v>
      </c>
      <c r="D366" s="9"/>
      <c r="E366" s="10"/>
    </row>
    <row r="367" spans="1:5" ht="12.5" x14ac:dyDescent="0.25">
      <c r="A367" s="4">
        <v>1284</v>
      </c>
      <c r="B367" s="4" t="s">
        <v>4313</v>
      </c>
      <c r="C367" s="4" t="s">
        <v>10118</v>
      </c>
      <c r="D367" s="9">
        <v>47841.84</v>
      </c>
      <c r="E367" s="10">
        <v>0</v>
      </c>
    </row>
    <row r="368" spans="1:5" ht="12.5" x14ac:dyDescent="0.25">
      <c r="A368" s="4">
        <v>1285</v>
      </c>
      <c r="B368" s="4" t="s">
        <v>4317</v>
      </c>
      <c r="C368" s="4" t="s">
        <v>16</v>
      </c>
      <c r="D368" s="9"/>
      <c r="E368" s="10"/>
    </row>
    <row r="369" spans="1:5" ht="12.5" x14ac:dyDescent="0.25">
      <c r="A369" s="4">
        <v>1286</v>
      </c>
      <c r="B369" s="4" t="s">
        <v>4322</v>
      </c>
      <c r="C369" s="4" t="s">
        <v>16</v>
      </c>
      <c r="D369" s="9"/>
      <c r="E369" s="10"/>
    </row>
    <row r="370" spans="1:5" ht="12.5" x14ac:dyDescent="0.25">
      <c r="A370" s="4">
        <v>1287</v>
      </c>
      <c r="B370" s="4" t="s">
        <v>4325</v>
      </c>
      <c r="C370" s="4" t="s">
        <v>10120</v>
      </c>
      <c r="D370" s="9">
        <v>12397</v>
      </c>
      <c r="E370" s="10">
        <v>0</v>
      </c>
    </row>
    <row r="371" spans="1:5" ht="12.5" x14ac:dyDescent="0.25">
      <c r="A371" s="4">
        <v>1291</v>
      </c>
      <c r="B371" s="4" t="s">
        <v>4330</v>
      </c>
      <c r="C371" s="4" t="s">
        <v>16</v>
      </c>
      <c r="D371" s="9"/>
      <c r="E371" s="10"/>
    </row>
    <row r="372" spans="1:5" ht="12.5" x14ac:dyDescent="0.25">
      <c r="A372" s="4">
        <v>1292</v>
      </c>
      <c r="B372" s="4" t="s">
        <v>4335</v>
      </c>
      <c r="C372" s="4" t="s">
        <v>16</v>
      </c>
      <c r="D372" s="9"/>
      <c r="E372" s="10"/>
    </row>
    <row r="373" spans="1:5" ht="12.5" x14ac:dyDescent="0.25">
      <c r="A373" s="4">
        <v>1293</v>
      </c>
      <c r="B373" s="4" t="s">
        <v>4340</v>
      </c>
      <c r="C373" s="4" t="s">
        <v>16</v>
      </c>
      <c r="D373" s="9"/>
      <c r="E373" s="10"/>
    </row>
    <row r="374" spans="1:5" ht="12.5" x14ac:dyDescent="0.25">
      <c r="A374" s="4">
        <v>1295</v>
      </c>
      <c r="B374" s="4" t="s">
        <v>4345</v>
      </c>
      <c r="C374" s="4" t="s">
        <v>16</v>
      </c>
      <c r="D374" s="9"/>
      <c r="E374" s="10"/>
    </row>
    <row r="375" spans="1:5" ht="12.5" x14ac:dyDescent="0.25">
      <c r="A375" s="4">
        <v>1296</v>
      </c>
      <c r="B375" s="4" t="s">
        <v>4351</v>
      </c>
      <c r="C375" s="4" t="s">
        <v>16</v>
      </c>
      <c r="D375" s="9"/>
      <c r="E375" s="10"/>
    </row>
    <row r="376" spans="1:5" ht="12.5" x14ac:dyDescent="0.25">
      <c r="A376" s="4">
        <v>1298</v>
      </c>
      <c r="B376" s="4" t="s">
        <v>4356</v>
      </c>
      <c r="C376" s="4" t="s">
        <v>16</v>
      </c>
      <c r="D376" s="9"/>
      <c r="E376" s="10"/>
    </row>
    <row r="377" spans="1:5" ht="12.5" x14ac:dyDescent="0.25">
      <c r="A377" s="4">
        <v>1299</v>
      </c>
      <c r="B377" s="4" t="s">
        <v>8091</v>
      </c>
      <c r="C377" s="4" t="s">
        <v>16</v>
      </c>
      <c r="D377" s="9"/>
      <c r="E377" s="10"/>
    </row>
    <row r="378" spans="1:5" ht="12.5" x14ac:dyDescent="0.25">
      <c r="A378" s="4">
        <v>1301</v>
      </c>
      <c r="B378" s="4" t="s">
        <v>4362</v>
      </c>
      <c r="C378" s="4" t="s">
        <v>16</v>
      </c>
      <c r="D378" s="9"/>
      <c r="E378" s="10"/>
    </row>
    <row r="379" spans="1:5" ht="12.5" x14ac:dyDescent="0.25">
      <c r="A379" s="4">
        <v>1302</v>
      </c>
      <c r="B379" s="4" t="s">
        <v>8086</v>
      </c>
      <c r="C379" s="4" t="s">
        <v>16</v>
      </c>
      <c r="D379" s="9"/>
      <c r="E379" s="10"/>
    </row>
    <row r="380" spans="1:5" ht="12.5" x14ac:dyDescent="0.25">
      <c r="A380" s="4">
        <v>1304</v>
      </c>
      <c r="B380" s="4" t="s">
        <v>4368</v>
      </c>
      <c r="C380" s="4" t="s">
        <v>16</v>
      </c>
      <c r="D380" s="9"/>
      <c r="E380" s="10"/>
    </row>
    <row r="381" spans="1:5" ht="12.5" x14ac:dyDescent="0.25">
      <c r="A381" s="4">
        <v>1305</v>
      </c>
      <c r="B381" s="4" t="s">
        <v>4373</v>
      </c>
      <c r="C381" s="4" t="s">
        <v>16</v>
      </c>
      <c r="D381" s="9"/>
      <c r="E381" s="10"/>
    </row>
    <row r="382" spans="1:5" ht="12.5" x14ac:dyDescent="0.25">
      <c r="A382" s="4">
        <v>1306</v>
      </c>
      <c r="B382" s="4" t="s">
        <v>4377</v>
      </c>
      <c r="C382" s="4" t="s">
        <v>16</v>
      </c>
      <c r="D382" s="9"/>
      <c r="E382" s="10"/>
    </row>
    <row r="383" spans="1:5" ht="12.5" x14ac:dyDescent="0.25">
      <c r="A383" s="4">
        <v>1308</v>
      </c>
      <c r="B383" s="4" t="s">
        <v>4381</v>
      </c>
      <c r="C383" s="4" t="s">
        <v>16</v>
      </c>
      <c r="D383" s="9"/>
      <c r="E383" s="10"/>
    </row>
    <row r="384" spans="1:5" ht="12.5" x14ac:dyDescent="0.25">
      <c r="A384" s="4">
        <v>1309</v>
      </c>
      <c r="B384" s="4" t="s">
        <v>4386</v>
      </c>
      <c r="C384" s="4" t="s">
        <v>16</v>
      </c>
      <c r="D384" s="9"/>
      <c r="E384" s="10"/>
    </row>
    <row r="385" spans="1:5" ht="12.5" x14ac:dyDescent="0.25">
      <c r="A385" s="4">
        <v>1310</v>
      </c>
      <c r="B385" s="4" t="s">
        <v>4390</v>
      </c>
      <c r="C385" s="4" t="s">
        <v>16</v>
      </c>
      <c r="D385" s="9"/>
      <c r="E385" s="10"/>
    </row>
    <row r="386" spans="1:5" ht="12.5" x14ac:dyDescent="0.25">
      <c r="A386" s="4">
        <v>1311</v>
      </c>
      <c r="B386" s="4" t="s">
        <v>4396</v>
      </c>
      <c r="C386" s="4" t="s">
        <v>16</v>
      </c>
      <c r="D386" s="9"/>
      <c r="E386" s="10"/>
    </row>
    <row r="387" spans="1:5" ht="12.5" x14ac:dyDescent="0.25">
      <c r="A387" s="4">
        <v>1313</v>
      </c>
      <c r="B387" s="4" t="s">
        <v>786</v>
      </c>
      <c r="C387" s="4" t="s">
        <v>16</v>
      </c>
      <c r="D387" s="9"/>
      <c r="E387" s="10"/>
    </row>
    <row r="388" spans="1:5" ht="12.5" x14ac:dyDescent="0.25">
      <c r="A388" s="4">
        <v>1314</v>
      </c>
      <c r="B388" s="4" t="s">
        <v>788</v>
      </c>
      <c r="C388" s="4" t="s">
        <v>16</v>
      </c>
      <c r="D388" s="9"/>
      <c r="E388" s="10"/>
    </row>
    <row r="389" spans="1:5" ht="12.5" x14ac:dyDescent="0.25">
      <c r="A389" s="4">
        <v>1315</v>
      </c>
      <c r="B389" s="4" t="s">
        <v>4407</v>
      </c>
      <c r="C389" s="4" t="s">
        <v>16</v>
      </c>
      <c r="D389" s="9"/>
      <c r="E389" s="10"/>
    </row>
    <row r="390" spans="1:5" ht="12.5" x14ac:dyDescent="0.25">
      <c r="A390" s="4">
        <v>1316</v>
      </c>
      <c r="B390" s="4" t="s">
        <v>4411</v>
      </c>
      <c r="C390" s="4" t="s">
        <v>16</v>
      </c>
      <c r="D390" s="9"/>
      <c r="E390" s="10"/>
    </row>
    <row r="391" spans="1:5" ht="12.5" x14ac:dyDescent="0.25">
      <c r="A391" s="4">
        <v>1319</v>
      </c>
      <c r="B391" s="4" t="s">
        <v>4415</v>
      </c>
      <c r="C391" s="4" t="s">
        <v>16</v>
      </c>
      <c r="D391" s="9"/>
      <c r="E391" s="10"/>
    </row>
    <row r="392" spans="1:5" ht="12.5" x14ac:dyDescent="0.25">
      <c r="A392" s="4">
        <v>1322</v>
      </c>
      <c r="B392" s="4" t="s">
        <v>4421</v>
      </c>
      <c r="C392" s="4" t="s">
        <v>16</v>
      </c>
      <c r="D392" s="9"/>
      <c r="E392" s="10"/>
    </row>
    <row r="393" spans="1:5" ht="12.5" x14ac:dyDescent="0.25">
      <c r="A393" s="4">
        <v>1323</v>
      </c>
      <c r="B393" s="4" t="s">
        <v>4426</v>
      </c>
      <c r="C393" s="4" t="s">
        <v>16</v>
      </c>
      <c r="D393" s="9"/>
      <c r="E393" s="10"/>
    </row>
    <row r="394" spans="1:5" ht="12.5" x14ac:dyDescent="0.25">
      <c r="A394" s="4">
        <v>1324</v>
      </c>
      <c r="B394" s="4" t="s">
        <v>4430</v>
      </c>
      <c r="C394" s="4" t="s">
        <v>16</v>
      </c>
      <c r="D394" s="9"/>
      <c r="E394" s="10"/>
    </row>
    <row r="395" spans="1:5" ht="12.5" x14ac:dyDescent="0.25">
      <c r="A395" s="4">
        <v>1325</v>
      </c>
      <c r="B395" s="4" t="s">
        <v>4433</v>
      </c>
      <c r="C395" s="4" t="s">
        <v>16</v>
      </c>
      <c r="D395" s="9"/>
      <c r="E395" s="10"/>
    </row>
    <row r="396" spans="1:5" ht="12.5" x14ac:dyDescent="0.25">
      <c r="A396" s="4">
        <v>1326</v>
      </c>
      <c r="B396" s="4" t="s">
        <v>4437</v>
      </c>
      <c r="C396" s="4" t="s">
        <v>16</v>
      </c>
      <c r="D396" s="9"/>
      <c r="E396" s="10"/>
    </row>
    <row r="397" spans="1:5" ht="12.5" x14ac:dyDescent="0.25">
      <c r="A397" s="4">
        <v>1327</v>
      </c>
      <c r="B397" s="4" t="s">
        <v>4440</v>
      </c>
      <c r="C397" s="4" t="s">
        <v>16</v>
      </c>
      <c r="D397" s="9"/>
      <c r="E397" s="10"/>
    </row>
    <row r="398" spans="1:5" ht="12.5" x14ac:dyDescent="0.25">
      <c r="A398" s="4">
        <v>1328</v>
      </c>
      <c r="B398" s="4" t="s">
        <v>4444</v>
      </c>
      <c r="C398" s="4" t="s">
        <v>16</v>
      </c>
      <c r="D398" s="9"/>
      <c r="E398" s="10"/>
    </row>
    <row r="399" spans="1:5" ht="12.5" x14ac:dyDescent="0.25">
      <c r="A399" s="4">
        <v>1331</v>
      </c>
      <c r="B399" s="4" t="s">
        <v>4449</v>
      </c>
      <c r="C399" s="4" t="s">
        <v>16</v>
      </c>
      <c r="D399" s="9"/>
      <c r="E399" s="10"/>
    </row>
    <row r="400" spans="1:5" ht="12.5" x14ac:dyDescent="0.25">
      <c r="A400" s="4">
        <v>1333</v>
      </c>
      <c r="B400" s="4" t="s">
        <v>4454</v>
      </c>
      <c r="C400" s="4" t="s">
        <v>16</v>
      </c>
      <c r="D400" s="9"/>
      <c r="E400" s="10"/>
    </row>
    <row r="401" spans="1:5" ht="12.5" x14ac:dyDescent="0.25">
      <c r="A401" s="4">
        <v>1335</v>
      </c>
      <c r="B401" s="4" t="s">
        <v>4458</v>
      </c>
      <c r="C401" s="4" t="s">
        <v>16</v>
      </c>
      <c r="D401" s="9"/>
      <c r="E401" s="10"/>
    </row>
    <row r="402" spans="1:5" ht="12.5" x14ac:dyDescent="0.25">
      <c r="A402" s="4">
        <v>1336</v>
      </c>
      <c r="B402" s="4" t="s">
        <v>1558</v>
      </c>
      <c r="C402" s="4" t="s">
        <v>16</v>
      </c>
      <c r="D402" s="9"/>
      <c r="E402" s="10"/>
    </row>
    <row r="403" spans="1:5" ht="12.5" x14ac:dyDescent="0.25">
      <c r="A403" s="4">
        <v>1338</v>
      </c>
      <c r="B403" s="4" t="s">
        <v>7662</v>
      </c>
      <c r="C403" s="4" t="s">
        <v>16</v>
      </c>
      <c r="D403" s="9"/>
      <c r="E403" s="10"/>
    </row>
    <row r="404" spans="1:5" ht="12.5" x14ac:dyDescent="0.25">
      <c r="A404" s="4">
        <v>1339</v>
      </c>
      <c r="B404" s="4" t="s">
        <v>4462</v>
      </c>
      <c r="C404" s="4" t="s">
        <v>16</v>
      </c>
      <c r="D404" s="9"/>
      <c r="E404" s="10"/>
    </row>
    <row r="405" spans="1:5" ht="12.5" x14ac:dyDescent="0.25">
      <c r="A405" s="4">
        <v>1340</v>
      </c>
      <c r="B405" s="4" t="s">
        <v>9228</v>
      </c>
      <c r="C405" s="4" t="s">
        <v>16</v>
      </c>
      <c r="D405" s="9"/>
      <c r="E405" s="10"/>
    </row>
    <row r="406" spans="1:5" ht="12.5" x14ac:dyDescent="0.25">
      <c r="A406" s="4">
        <v>1341</v>
      </c>
      <c r="B406" s="4" t="s">
        <v>4468</v>
      </c>
      <c r="C406" s="4" t="s">
        <v>16</v>
      </c>
      <c r="D406" s="9"/>
      <c r="E406" s="10"/>
    </row>
    <row r="407" spans="1:5" ht="12.5" x14ac:dyDescent="0.25">
      <c r="A407" s="4">
        <v>1345</v>
      </c>
      <c r="B407" s="4" t="s">
        <v>4474</v>
      </c>
      <c r="C407" s="4" t="s">
        <v>16</v>
      </c>
      <c r="D407" s="9"/>
      <c r="E407" s="10"/>
    </row>
    <row r="408" spans="1:5" ht="12.5" x14ac:dyDescent="0.25">
      <c r="A408" s="4">
        <v>1346</v>
      </c>
      <c r="B408" s="4" t="s">
        <v>4479</v>
      </c>
      <c r="C408" s="4" t="s">
        <v>16</v>
      </c>
      <c r="D408" s="9"/>
      <c r="E408" s="10"/>
    </row>
    <row r="409" spans="1:5" ht="12.5" x14ac:dyDescent="0.25">
      <c r="A409" s="4">
        <v>1349</v>
      </c>
      <c r="B409" s="4" t="s">
        <v>4484</v>
      </c>
      <c r="C409" s="4" t="s">
        <v>10120</v>
      </c>
      <c r="D409" s="9">
        <v>7500</v>
      </c>
      <c r="E409" s="10">
        <v>0</v>
      </c>
    </row>
    <row r="410" spans="1:5" ht="12.5" x14ac:dyDescent="0.25">
      <c r="A410" s="4">
        <v>1350</v>
      </c>
      <c r="B410" s="4" t="s">
        <v>4490</v>
      </c>
      <c r="C410" s="4" t="s">
        <v>10120</v>
      </c>
      <c r="D410" s="9">
        <v>120000</v>
      </c>
      <c r="E410" s="10">
        <v>0</v>
      </c>
    </row>
    <row r="411" spans="1:5" ht="12.5" x14ac:dyDescent="0.25">
      <c r="A411" s="4">
        <v>1351</v>
      </c>
      <c r="B411" s="4" t="s">
        <v>5724</v>
      </c>
      <c r="C411" s="4" t="s">
        <v>16</v>
      </c>
      <c r="D411" s="9"/>
      <c r="E411" s="10"/>
    </row>
    <row r="412" spans="1:5" ht="12.5" x14ac:dyDescent="0.25">
      <c r="A412" s="4">
        <v>1354</v>
      </c>
      <c r="B412" s="4" t="s">
        <v>4495</v>
      </c>
      <c r="C412" s="4" t="s">
        <v>16</v>
      </c>
      <c r="D412" s="9"/>
      <c r="E412" s="10"/>
    </row>
    <row r="413" spans="1:5" ht="12.5" x14ac:dyDescent="0.25">
      <c r="A413" s="4">
        <v>1355</v>
      </c>
      <c r="B413" s="4" t="s">
        <v>8081</v>
      </c>
      <c r="C413" s="4" t="s">
        <v>16</v>
      </c>
      <c r="D413" s="9"/>
      <c r="E413" s="10"/>
    </row>
    <row r="414" spans="1:5" ht="12.5" x14ac:dyDescent="0.25">
      <c r="A414" s="4">
        <v>1356</v>
      </c>
      <c r="B414" s="4" t="s">
        <v>4500</v>
      </c>
      <c r="C414" s="4" t="s">
        <v>16</v>
      </c>
      <c r="D414" s="9"/>
      <c r="E414" s="10"/>
    </row>
    <row r="415" spans="1:5" ht="12.5" x14ac:dyDescent="0.25">
      <c r="A415" s="4">
        <v>1357</v>
      </c>
      <c r="B415" s="4" t="s">
        <v>4505</v>
      </c>
      <c r="C415" s="4" t="s">
        <v>10129</v>
      </c>
      <c r="D415" s="9">
        <v>3000</v>
      </c>
      <c r="E415" s="10">
        <v>3000</v>
      </c>
    </row>
    <row r="416" spans="1:5" ht="12.5" x14ac:dyDescent="0.25">
      <c r="A416" s="4">
        <v>1359</v>
      </c>
      <c r="B416" s="4" t="s">
        <v>4511</v>
      </c>
      <c r="C416" s="4" t="s">
        <v>10129</v>
      </c>
      <c r="D416" s="9">
        <v>2538.0500000000002</v>
      </c>
      <c r="E416" s="10">
        <v>2538.0500000000002</v>
      </c>
    </row>
    <row r="417" spans="1:5" ht="12.5" x14ac:dyDescent="0.25">
      <c r="A417" s="4">
        <v>1360</v>
      </c>
      <c r="B417" s="4" t="s">
        <v>4517</v>
      </c>
      <c r="C417" s="4" t="s">
        <v>10129</v>
      </c>
      <c r="D417" s="9">
        <v>3000</v>
      </c>
      <c r="E417" s="10">
        <v>3000</v>
      </c>
    </row>
    <row r="418" spans="1:5" ht="12.5" x14ac:dyDescent="0.25">
      <c r="A418" s="4">
        <v>1362</v>
      </c>
      <c r="B418" s="4" t="s">
        <v>5880</v>
      </c>
      <c r="C418" s="4" t="s">
        <v>16</v>
      </c>
      <c r="D418" s="9"/>
      <c r="E418" s="10"/>
    </row>
    <row r="419" spans="1:5" ht="12.5" x14ac:dyDescent="0.25">
      <c r="A419" s="4">
        <v>1363</v>
      </c>
      <c r="B419" s="4" t="s">
        <v>4521</v>
      </c>
      <c r="C419" s="4" t="s">
        <v>16</v>
      </c>
      <c r="D419" s="9"/>
      <c r="E419" s="10"/>
    </row>
    <row r="420" spans="1:5" ht="12.5" x14ac:dyDescent="0.25">
      <c r="A420" s="4">
        <v>1364</v>
      </c>
      <c r="B420" s="4" t="s">
        <v>4525</v>
      </c>
      <c r="C420" s="4" t="s">
        <v>16</v>
      </c>
      <c r="D420" s="9"/>
      <c r="E420" s="10"/>
    </row>
    <row r="421" spans="1:5" ht="12.5" x14ac:dyDescent="0.25">
      <c r="A421" s="4">
        <v>1365</v>
      </c>
      <c r="B421" s="4" t="s">
        <v>4529</v>
      </c>
      <c r="C421" s="4" t="s">
        <v>16</v>
      </c>
      <c r="D421" s="9"/>
      <c r="E421" s="10"/>
    </row>
    <row r="422" spans="1:5" ht="12.5" x14ac:dyDescent="0.25">
      <c r="A422" s="4">
        <v>1366</v>
      </c>
      <c r="B422" s="4" t="s">
        <v>4533</v>
      </c>
      <c r="C422" s="4" t="s">
        <v>16</v>
      </c>
      <c r="D422" s="9"/>
      <c r="E422" s="10"/>
    </row>
    <row r="423" spans="1:5" ht="12.5" x14ac:dyDescent="0.25">
      <c r="A423" s="4">
        <v>1367</v>
      </c>
      <c r="B423" s="4" t="s">
        <v>4537</v>
      </c>
      <c r="C423" s="4" t="s">
        <v>16</v>
      </c>
      <c r="D423" s="9"/>
      <c r="E423" s="10"/>
    </row>
    <row r="424" spans="1:5" ht="12.5" x14ac:dyDescent="0.25">
      <c r="A424" s="4">
        <v>1368</v>
      </c>
      <c r="B424" s="4" t="s">
        <v>4542</v>
      </c>
      <c r="C424" s="4" t="s">
        <v>16</v>
      </c>
      <c r="D424" s="9"/>
      <c r="E424" s="10"/>
    </row>
    <row r="425" spans="1:5" ht="12.5" x14ac:dyDescent="0.25">
      <c r="A425" s="4">
        <v>1369</v>
      </c>
      <c r="B425" s="4" t="s">
        <v>4546</v>
      </c>
      <c r="C425" s="4" t="s">
        <v>16</v>
      </c>
      <c r="D425" s="9"/>
      <c r="E425" s="10"/>
    </row>
    <row r="426" spans="1:5" ht="12.5" x14ac:dyDescent="0.25">
      <c r="A426" s="4">
        <v>1370</v>
      </c>
      <c r="B426" s="4" t="s">
        <v>4551</v>
      </c>
      <c r="C426" s="4" t="s">
        <v>16</v>
      </c>
      <c r="D426" s="9"/>
      <c r="E426" s="10"/>
    </row>
    <row r="427" spans="1:5" ht="12.5" x14ac:dyDescent="0.25">
      <c r="A427" s="4">
        <v>1371</v>
      </c>
      <c r="B427" s="4" t="s">
        <v>4556</v>
      </c>
      <c r="C427" s="4" t="s">
        <v>16</v>
      </c>
      <c r="D427" s="9"/>
      <c r="E427" s="10"/>
    </row>
    <row r="428" spans="1:5" ht="12.5" x14ac:dyDescent="0.25">
      <c r="A428" s="4">
        <v>1372</v>
      </c>
      <c r="B428" s="4" t="s">
        <v>4561</v>
      </c>
      <c r="C428" s="4" t="s">
        <v>16</v>
      </c>
      <c r="D428" s="9"/>
      <c r="E428" s="10"/>
    </row>
    <row r="429" spans="1:5" ht="12.5" x14ac:dyDescent="0.25">
      <c r="A429" s="4">
        <v>1373</v>
      </c>
      <c r="B429" s="4" t="s">
        <v>4566</v>
      </c>
      <c r="C429" s="4" t="s">
        <v>16</v>
      </c>
      <c r="D429" s="9"/>
      <c r="E429" s="10"/>
    </row>
    <row r="430" spans="1:5" ht="12.5" x14ac:dyDescent="0.25">
      <c r="A430" s="4">
        <v>1374</v>
      </c>
      <c r="B430" s="4" t="s">
        <v>4570</v>
      </c>
      <c r="C430" s="4" t="s">
        <v>16</v>
      </c>
      <c r="D430" s="9"/>
      <c r="E430" s="10"/>
    </row>
    <row r="431" spans="1:5" ht="12.5" x14ac:dyDescent="0.25">
      <c r="A431" s="4">
        <v>1375</v>
      </c>
      <c r="B431" s="4" t="s">
        <v>4575</v>
      </c>
      <c r="C431" s="4" t="s">
        <v>16</v>
      </c>
      <c r="D431" s="9"/>
      <c r="E431" s="10"/>
    </row>
    <row r="432" spans="1:5" ht="12.5" x14ac:dyDescent="0.25">
      <c r="A432" s="4">
        <v>1376</v>
      </c>
      <c r="B432" s="4" t="s">
        <v>9208</v>
      </c>
      <c r="C432" s="4" t="s">
        <v>16</v>
      </c>
      <c r="D432" s="9"/>
      <c r="E432" s="10"/>
    </row>
    <row r="433" spans="1:5" ht="12.5" x14ac:dyDescent="0.25">
      <c r="A433" s="4">
        <v>1377</v>
      </c>
      <c r="B433" s="4" t="s">
        <v>8075</v>
      </c>
      <c r="C433" s="4" t="s">
        <v>16</v>
      </c>
      <c r="D433" s="9"/>
      <c r="E433" s="10"/>
    </row>
    <row r="434" spans="1:5" ht="12.5" x14ac:dyDescent="0.25">
      <c r="A434" s="4">
        <v>1378</v>
      </c>
      <c r="B434" s="4" t="s">
        <v>7269</v>
      </c>
      <c r="C434" s="4" t="s">
        <v>16</v>
      </c>
      <c r="D434" s="9">
        <v>25000</v>
      </c>
      <c r="E434" s="10">
        <v>0</v>
      </c>
    </row>
    <row r="435" spans="1:5" ht="12.5" x14ac:dyDescent="0.25">
      <c r="A435" s="4">
        <v>1379</v>
      </c>
      <c r="B435" s="4" t="s">
        <v>720</v>
      </c>
      <c r="C435" s="4" t="s">
        <v>10114</v>
      </c>
      <c r="D435" s="9">
        <v>0</v>
      </c>
      <c r="E435" s="10">
        <v>0</v>
      </c>
    </row>
    <row r="436" spans="1:5" ht="12.5" x14ac:dyDescent="0.25">
      <c r="A436" s="11"/>
      <c r="B436" s="11"/>
      <c r="C436" s="12" t="s">
        <v>10117</v>
      </c>
      <c r="D436" s="13">
        <v>0</v>
      </c>
      <c r="E436" s="14">
        <v>0</v>
      </c>
    </row>
    <row r="437" spans="1:5" ht="12.5" x14ac:dyDescent="0.25">
      <c r="A437" s="11"/>
      <c r="B437" s="11"/>
      <c r="C437" s="12" t="s">
        <v>16</v>
      </c>
      <c r="D437" s="13"/>
      <c r="E437" s="14"/>
    </row>
    <row r="438" spans="1:5" ht="12.5" x14ac:dyDescent="0.25">
      <c r="A438" s="4">
        <v>1380</v>
      </c>
      <c r="B438" s="4" t="s">
        <v>240</v>
      </c>
      <c r="C438" s="4" t="s">
        <v>16</v>
      </c>
      <c r="D438" s="9"/>
      <c r="E438" s="10"/>
    </row>
    <row r="439" spans="1:5" ht="12.5" x14ac:dyDescent="0.25">
      <c r="A439" s="4">
        <v>1381</v>
      </c>
      <c r="B439" s="4" t="s">
        <v>4584</v>
      </c>
      <c r="C439" s="4" t="s">
        <v>16</v>
      </c>
      <c r="D439" s="9"/>
      <c r="E439" s="10"/>
    </row>
    <row r="440" spans="1:5" ht="12.5" x14ac:dyDescent="0.25">
      <c r="A440" s="4">
        <v>1382</v>
      </c>
      <c r="B440" s="4" t="s">
        <v>4588</v>
      </c>
      <c r="C440" s="4" t="s">
        <v>10127</v>
      </c>
      <c r="D440" s="9">
        <v>1579.32</v>
      </c>
      <c r="E440" s="10">
        <v>1220.4000000000001</v>
      </c>
    </row>
    <row r="441" spans="1:5" ht="12.5" x14ac:dyDescent="0.25">
      <c r="A441" s="4">
        <v>1383</v>
      </c>
      <c r="B441" s="4" t="s">
        <v>4594</v>
      </c>
      <c r="C441" s="4" t="s">
        <v>10122</v>
      </c>
      <c r="D441" s="9">
        <v>50000</v>
      </c>
      <c r="E441" s="10">
        <v>0</v>
      </c>
    </row>
    <row r="442" spans="1:5" ht="12.5" x14ac:dyDescent="0.25">
      <c r="A442" s="4">
        <v>1384</v>
      </c>
      <c r="B442" s="4" t="s">
        <v>4599</v>
      </c>
      <c r="C442" s="4" t="s">
        <v>10127</v>
      </c>
      <c r="D442" s="9">
        <v>457.44</v>
      </c>
      <c r="E442" s="10">
        <v>457.44</v>
      </c>
    </row>
    <row r="443" spans="1:5" ht="12.5" x14ac:dyDescent="0.25">
      <c r="A443" s="4">
        <v>1386</v>
      </c>
      <c r="B443" s="4" t="s">
        <v>4603</v>
      </c>
      <c r="C443" s="4" t="s">
        <v>10120</v>
      </c>
      <c r="D443" s="9">
        <v>124000</v>
      </c>
      <c r="E443" s="10">
        <v>0</v>
      </c>
    </row>
    <row r="444" spans="1:5" ht="12.5" x14ac:dyDescent="0.25">
      <c r="A444" s="11"/>
      <c r="B444" s="11"/>
      <c r="C444" s="12" t="s">
        <v>16</v>
      </c>
      <c r="D444" s="13"/>
      <c r="E444" s="14"/>
    </row>
    <row r="445" spans="1:5" ht="12.5" x14ac:dyDescent="0.25">
      <c r="A445" s="4">
        <v>1387</v>
      </c>
      <c r="B445" s="4" t="s">
        <v>4608</v>
      </c>
      <c r="C445" s="4" t="s">
        <v>16</v>
      </c>
      <c r="D445" s="9"/>
      <c r="E445" s="10"/>
    </row>
    <row r="446" spans="1:5" ht="12.5" x14ac:dyDescent="0.25">
      <c r="A446" s="4">
        <v>1388</v>
      </c>
      <c r="B446" s="4" t="s">
        <v>795</v>
      </c>
      <c r="C446" s="4" t="s">
        <v>16</v>
      </c>
      <c r="D446" s="9"/>
      <c r="E446" s="10"/>
    </row>
    <row r="447" spans="1:5" ht="12.5" x14ac:dyDescent="0.25">
      <c r="A447" s="4">
        <v>1389</v>
      </c>
      <c r="B447" s="4" t="s">
        <v>6113</v>
      </c>
      <c r="C447" s="4" t="s">
        <v>10120</v>
      </c>
      <c r="D447" s="9">
        <v>73190</v>
      </c>
      <c r="E447" s="10">
        <v>0</v>
      </c>
    </row>
    <row r="448" spans="1:5" ht="12.5" x14ac:dyDescent="0.25">
      <c r="A448" s="4">
        <v>1390</v>
      </c>
      <c r="B448" s="4" t="s">
        <v>4613</v>
      </c>
      <c r="C448" s="4" t="s">
        <v>16</v>
      </c>
      <c r="D448" s="9"/>
      <c r="E448" s="10"/>
    </row>
    <row r="449" spans="1:5" ht="12.5" x14ac:dyDescent="0.25">
      <c r="A449" s="4">
        <v>1391</v>
      </c>
      <c r="B449" s="4" t="s">
        <v>4618</v>
      </c>
      <c r="C449" s="4" t="s">
        <v>16</v>
      </c>
      <c r="D449" s="9"/>
      <c r="E449" s="10"/>
    </row>
    <row r="450" spans="1:5" ht="12.5" x14ac:dyDescent="0.25">
      <c r="A450" s="4">
        <v>1392</v>
      </c>
      <c r="B450" s="4" t="s">
        <v>4622</v>
      </c>
      <c r="C450" s="4" t="s">
        <v>16</v>
      </c>
      <c r="D450" s="9"/>
      <c r="E450" s="10"/>
    </row>
    <row r="451" spans="1:5" ht="12.5" x14ac:dyDescent="0.25">
      <c r="A451" s="4">
        <v>1393</v>
      </c>
      <c r="B451" s="4" t="s">
        <v>4628</v>
      </c>
      <c r="C451" s="4" t="s">
        <v>16</v>
      </c>
      <c r="D451" s="9"/>
      <c r="E451" s="10"/>
    </row>
    <row r="452" spans="1:5" ht="12.5" x14ac:dyDescent="0.25">
      <c r="A452" s="4">
        <v>1394</v>
      </c>
      <c r="B452" s="4" t="s">
        <v>4633</v>
      </c>
      <c r="C452" s="4" t="s">
        <v>16</v>
      </c>
      <c r="D452" s="9"/>
      <c r="E452" s="10"/>
    </row>
    <row r="453" spans="1:5" ht="12.5" x14ac:dyDescent="0.25">
      <c r="A453" s="4">
        <v>1395</v>
      </c>
      <c r="B453" s="4" t="s">
        <v>4637</v>
      </c>
      <c r="C453" s="4" t="s">
        <v>10120</v>
      </c>
      <c r="D453" s="9">
        <v>1655</v>
      </c>
      <c r="E453" s="10">
        <v>0</v>
      </c>
    </row>
    <row r="454" spans="1:5" ht="12.5" x14ac:dyDescent="0.25">
      <c r="A454" s="11"/>
      <c r="B454" s="11"/>
      <c r="C454" s="12" t="s">
        <v>16</v>
      </c>
      <c r="D454" s="13"/>
      <c r="E454" s="14"/>
    </row>
    <row r="455" spans="1:5" ht="12.5" x14ac:dyDescent="0.25">
      <c r="A455" s="4">
        <v>1397</v>
      </c>
      <c r="B455" s="4" t="s">
        <v>8068</v>
      </c>
      <c r="C455" s="4" t="s">
        <v>16</v>
      </c>
      <c r="D455" s="9"/>
      <c r="E455" s="10"/>
    </row>
    <row r="456" spans="1:5" ht="12.5" x14ac:dyDescent="0.25">
      <c r="A456" s="4">
        <v>1398</v>
      </c>
      <c r="B456" s="4" t="s">
        <v>4643</v>
      </c>
      <c r="C456" s="4" t="s">
        <v>16</v>
      </c>
      <c r="D456" s="9"/>
      <c r="E456" s="10"/>
    </row>
    <row r="457" spans="1:5" ht="12.5" x14ac:dyDescent="0.25">
      <c r="A457" s="4">
        <v>1399</v>
      </c>
      <c r="B457" s="4" t="s">
        <v>4649</v>
      </c>
      <c r="C457" s="4" t="s">
        <v>10120</v>
      </c>
      <c r="D457" s="9">
        <v>1653</v>
      </c>
      <c r="E457" s="10">
        <v>0</v>
      </c>
    </row>
    <row r="458" spans="1:5" ht="12.5" x14ac:dyDescent="0.25">
      <c r="A458" s="4">
        <v>1400</v>
      </c>
      <c r="B458" s="4" t="s">
        <v>4653</v>
      </c>
      <c r="C458" s="4" t="s">
        <v>16</v>
      </c>
      <c r="D458" s="9"/>
      <c r="E458" s="10"/>
    </row>
    <row r="459" spans="1:5" ht="12.5" x14ac:dyDescent="0.25">
      <c r="A459" s="4">
        <v>1403</v>
      </c>
      <c r="B459" s="4" t="s">
        <v>4658</v>
      </c>
      <c r="C459" s="4" t="s">
        <v>16</v>
      </c>
      <c r="D459" s="9"/>
      <c r="E459" s="10"/>
    </row>
    <row r="460" spans="1:5" ht="12.5" x14ac:dyDescent="0.25">
      <c r="A460" s="4">
        <v>1407</v>
      </c>
      <c r="B460" s="4" t="s">
        <v>4662</v>
      </c>
      <c r="C460" s="4" t="s">
        <v>16</v>
      </c>
      <c r="D460" s="9"/>
      <c r="E460" s="10"/>
    </row>
    <row r="461" spans="1:5" ht="12.5" x14ac:dyDescent="0.25">
      <c r="A461" s="4">
        <v>1408</v>
      </c>
      <c r="B461" s="4" t="s">
        <v>4667</v>
      </c>
      <c r="C461" s="4" t="s">
        <v>10122</v>
      </c>
      <c r="D461" s="9">
        <v>50000</v>
      </c>
      <c r="E461" s="10">
        <v>0</v>
      </c>
    </row>
    <row r="462" spans="1:5" ht="12.5" x14ac:dyDescent="0.25">
      <c r="A462" s="11"/>
      <c r="B462" s="11"/>
      <c r="C462" s="12" t="s">
        <v>16</v>
      </c>
      <c r="D462" s="13"/>
      <c r="E462" s="14"/>
    </row>
    <row r="463" spans="1:5" ht="12.5" x14ac:dyDescent="0.25">
      <c r="A463" s="4">
        <v>1409</v>
      </c>
      <c r="B463" s="4" t="s">
        <v>6741</v>
      </c>
      <c r="C463" s="4" t="s">
        <v>16</v>
      </c>
      <c r="D463" s="9"/>
      <c r="E463" s="10"/>
    </row>
    <row r="464" spans="1:5" ht="12.5" x14ac:dyDescent="0.25">
      <c r="A464" s="4">
        <v>1410</v>
      </c>
      <c r="B464" s="4" t="s">
        <v>4672</v>
      </c>
      <c r="C464" s="4" t="s">
        <v>16</v>
      </c>
      <c r="D464" s="9"/>
      <c r="E464" s="10"/>
    </row>
    <row r="465" spans="1:5" ht="12.5" x14ac:dyDescent="0.25">
      <c r="A465" s="4">
        <v>1411</v>
      </c>
      <c r="B465" s="4" t="s">
        <v>4677</v>
      </c>
      <c r="C465" s="4" t="s">
        <v>16</v>
      </c>
      <c r="D465" s="9"/>
      <c r="E465" s="10"/>
    </row>
    <row r="466" spans="1:5" ht="12.5" x14ac:dyDescent="0.25">
      <c r="A466" s="4">
        <v>1412</v>
      </c>
      <c r="B466" s="4" t="s">
        <v>4680</v>
      </c>
      <c r="C466" s="4" t="s">
        <v>10120</v>
      </c>
      <c r="D466" s="9">
        <v>18000</v>
      </c>
      <c r="E466" s="10">
        <v>0</v>
      </c>
    </row>
    <row r="467" spans="1:5" ht="12.5" x14ac:dyDescent="0.25">
      <c r="A467" s="4">
        <v>1413</v>
      </c>
      <c r="B467" s="4" t="s">
        <v>6863</v>
      </c>
      <c r="C467" s="4" t="s">
        <v>16</v>
      </c>
      <c r="D467" s="9"/>
      <c r="E467" s="10"/>
    </row>
    <row r="468" spans="1:5" ht="12.5" x14ac:dyDescent="0.25">
      <c r="A468" s="4">
        <v>1414</v>
      </c>
      <c r="B468" s="4" t="s">
        <v>6868</v>
      </c>
      <c r="C468" s="4" t="s">
        <v>10117</v>
      </c>
      <c r="D468" s="9">
        <v>50000</v>
      </c>
      <c r="E468" s="10">
        <v>0</v>
      </c>
    </row>
    <row r="469" spans="1:5" ht="12.5" x14ac:dyDescent="0.25">
      <c r="A469" s="4">
        <v>1415</v>
      </c>
      <c r="B469" s="4" t="s">
        <v>4685</v>
      </c>
      <c r="C469" s="4" t="s">
        <v>10120</v>
      </c>
      <c r="D469" s="9">
        <v>4132</v>
      </c>
      <c r="E469" s="10">
        <v>0</v>
      </c>
    </row>
    <row r="470" spans="1:5" ht="12.5" x14ac:dyDescent="0.25">
      <c r="A470" s="4">
        <v>1416</v>
      </c>
      <c r="B470" s="4" t="s">
        <v>4691</v>
      </c>
      <c r="C470" s="4" t="s">
        <v>16</v>
      </c>
      <c r="D470" s="9"/>
      <c r="E470" s="10"/>
    </row>
    <row r="471" spans="1:5" ht="12.5" x14ac:dyDescent="0.25">
      <c r="A471" s="4">
        <v>1417</v>
      </c>
      <c r="B471" s="4" t="s">
        <v>5488</v>
      </c>
      <c r="C471" s="4" t="s">
        <v>10115</v>
      </c>
      <c r="D471" s="9">
        <v>5305.82</v>
      </c>
      <c r="E471" s="10">
        <v>3395.288</v>
      </c>
    </row>
    <row r="472" spans="1:5" ht="12.5" x14ac:dyDescent="0.25">
      <c r="A472" s="4">
        <v>1418</v>
      </c>
      <c r="B472" s="4" t="s">
        <v>4695</v>
      </c>
      <c r="C472" s="4" t="s">
        <v>16</v>
      </c>
      <c r="D472" s="9"/>
      <c r="E472" s="10"/>
    </row>
    <row r="473" spans="1:5" ht="12.5" x14ac:dyDescent="0.25">
      <c r="A473" s="4">
        <v>1419</v>
      </c>
      <c r="B473" s="4" t="s">
        <v>4699</v>
      </c>
      <c r="C473" s="4" t="s">
        <v>10120</v>
      </c>
      <c r="D473" s="9">
        <v>2331</v>
      </c>
      <c r="E473" s="10">
        <v>0</v>
      </c>
    </row>
    <row r="474" spans="1:5" ht="12.5" x14ac:dyDescent="0.25">
      <c r="A474" s="4">
        <v>1420</v>
      </c>
      <c r="B474" s="4" t="s">
        <v>5392</v>
      </c>
      <c r="C474" s="4" t="s">
        <v>16</v>
      </c>
      <c r="D474" s="9"/>
      <c r="E474" s="10"/>
    </row>
    <row r="475" spans="1:5" ht="12.5" x14ac:dyDescent="0.25">
      <c r="A475" s="4">
        <v>1421</v>
      </c>
      <c r="B475" s="4" t="s">
        <v>3534</v>
      </c>
      <c r="C475" s="4" t="s">
        <v>16</v>
      </c>
      <c r="D475" s="9"/>
      <c r="E475" s="10"/>
    </row>
    <row r="476" spans="1:5" ht="12.5" x14ac:dyDescent="0.25">
      <c r="A476" s="4">
        <v>1423</v>
      </c>
      <c r="B476" s="4" t="s">
        <v>3019</v>
      </c>
      <c r="C476" s="4" t="s">
        <v>10116</v>
      </c>
      <c r="D476" s="9">
        <v>0</v>
      </c>
      <c r="E476" s="10">
        <v>0</v>
      </c>
    </row>
    <row r="477" spans="1:5" ht="12.5" x14ac:dyDescent="0.25">
      <c r="A477" s="11"/>
      <c r="B477" s="11"/>
      <c r="C477" s="12" t="s">
        <v>16</v>
      </c>
      <c r="D477" s="13"/>
      <c r="E477" s="14"/>
    </row>
    <row r="478" spans="1:5" ht="12.5" x14ac:dyDescent="0.25">
      <c r="A478" s="4">
        <v>1424</v>
      </c>
      <c r="B478" s="4" t="s">
        <v>3021</v>
      </c>
      <c r="C478" s="4" t="s">
        <v>10116</v>
      </c>
      <c r="D478" s="9">
        <v>0</v>
      </c>
      <c r="E478" s="10">
        <v>0</v>
      </c>
    </row>
    <row r="479" spans="1:5" ht="12.5" x14ac:dyDescent="0.25">
      <c r="A479" s="11"/>
      <c r="B479" s="11"/>
      <c r="C479" s="12" t="s">
        <v>16</v>
      </c>
      <c r="D479" s="13"/>
      <c r="E479" s="14"/>
    </row>
    <row r="480" spans="1:5" ht="12.5" x14ac:dyDescent="0.25">
      <c r="A480" s="4">
        <v>1425</v>
      </c>
      <c r="B480" s="4" t="s">
        <v>4709</v>
      </c>
      <c r="C480" s="4" t="s">
        <v>10129</v>
      </c>
      <c r="D480" s="9">
        <v>76000</v>
      </c>
      <c r="E480" s="10">
        <v>0</v>
      </c>
    </row>
    <row r="481" spans="1:5" ht="12.5" x14ac:dyDescent="0.25">
      <c r="A481" s="4">
        <v>1426</v>
      </c>
      <c r="B481" s="4" t="s">
        <v>4714</v>
      </c>
      <c r="C481" s="4" t="s">
        <v>16</v>
      </c>
      <c r="D481" s="9"/>
      <c r="E481" s="10"/>
    </row>
    <row r="482" spans="1:5" ht="12.5" x14ac:dyDescent="0.25">
      <c r="A482" s="4">
        <v>1427</v>
      </c>
      <c r="B482" s="4" t="s">
        <v>4719</v>
      </c>
      <c r="C482" s="4" t="s">
        <v>16</v>
      </c>
      <c r="D482" s="9"/>
      <c r="E482" s="10"/>
    </row>
    <row r="483" spans="1:5" ht="12.5" x14ac:dyDescent="0.25">
      <c r="A483" s="4">
        <v>1428</v>
      </c>
      <c r="B483" s="4" t="s">
        <v>4723</v>
      </c>
      <c r="C483" s="4" t="s">
        <v>16</v>
      </c>
      <c r="D483" s="9"/>
      <c r="E483" s="10"/>
    </row>
    <row r="484" spans="1:5" ht="12.5" x14ac:dyDescent="0.25">
      <c r="A484" s="4">
        <v>1429</v>
      </c>
      <c r="B484" s="4" t="s">
        <v>4728</v>
      </c>
      <c r="C484" s="4" t="s">
        <v>16</v>
      </c>
      <c r="D484" s="9"/>
      <c r="E484" s="10"/>
    </row>
    <row r="485" spans="1:5" ht="12.5" x14ac:dyDescent="0.25">
      <c r="A485" s="4">
        <v>1430</v>
      </c>
      <c r="B485" s="4" t="s">
        <v>5396</v>
      </c>
      <c r="C485" s="4" t="s">
        <v>16</v>
      </c>
      <c r="D485" s="9"/>
      <c r="E485" s="10"/>
    </row>
    <row r="486" spans="1:5" ht="12.5" x14ac:dyDescent="0.25">
      <c r="A486" s="4">
        <v>1431</v>
      </c>
      <c r="B486" s="4" t="s">
        <v>4734</v>
      </c>
      <c r="C486" s="4" t="s">
        <v>10122</v>
      </c>
      <c r="D486" s="9">
        <v>50000</v>
      </c>
      <c r="E486" s="10">
        <v>0</v>
      </c>
    </row>
    <row r="487" spans="1:5" ht="12.5" x14ac:dyDescent="0.25">
      <c r="A487" s="11"/>
      <c r="B487" s="11"/>
      <c r="C487" s="12" t="s">
        <v>16</v>
      </c>
      <c r="D487" s="13"/>
      <c r="E487" s="14"/>
    </row>
    <row r="488" spans="1:5" ht="12.5" x14ac:dyDescent="0.25">
      <c r="A488" s="4">
        <v>1432</v>
      </c>
      <c r="B488" s="4" t="s">
        <v>4739</v>
      </c>
      <c r="C488" s="4" t="s">
        <v>16</v>
      </c>
      <c r="D488" s="9"/>
      <c r="E488" s="10"/>
    </row>
    <row r="489" spans="1:5" ht="12.5" x14ac:dyDescent="0.25">
      <c r="A489" s="4">
        <v>1433</v>
      </c>
      <c r="B489" s="4" t="s">
        <v>4745</v>
      </c>
      <c r="C489" s="4" t="s">
        <v>16</v>
      </c>
      <c r="D489" s="9"/>
      <c r="E489" s="10"/>
    </row>
    <row r="490" spans="1:5" ht="12.5" x14ac:dyDescent="0.25">
      <c r="A490" s="4">
        <v>1435</v>
      </c>
      <c r="B490" s="4" t="s">
        <v>8633</v>
      </c>
      <c r="C490" s="4" t="s">
        <v>16</v>
      </c>
      <c r="D490" s="9"/>
      <c r="E490" s="10"/>
    </row>
    <row r="491" spans="1:5" ht="12.5" x14ac:dyDescent="0.25">
      <c r="A491" s="4">
        <v>1436</v>
      </c>
      <c r="B491" s="4" t="s">
        <v>5712</v>
      </c>
      <c r="C491" s="4" t="s">
        <v>16</v>
      </c>
      <c r="D491" s="9"/>
      <c r="E491" s="10"/>
    </row>
    <row r="492" spans="1:5" ht="12.5" x14ac:dyDescent="0.25">
      <c r="A492" s="4">
        <v>1437</v>
      </c>
      <c r="B492" s="4" t="s">
        <v>5706</v>
      </c>
      <c r="C492" s="4" t="s">
        <v>16</v>
      </c>
      <c r="D492" s="9"/>
      <c r="E492" s="10"/>
    </row>
    <row r="493" spans="1:5" ht="12.5" x14ac:dyDescent="0.25">
      <c r="A493" s="4">
        <v>1438</v>
      </c>
      <c r="B493" s="4" t="s">
        <v>4750</v>
      </c>
      <c r="C493" s="4" t="s">
        <v>10120</v>
      </c>
      <c r="D493" s="9">
        <v>104852</v>
      </c>
      <c r="E493" s="10">
        <v>104852</v>
      </c>
    </row>
    <row r="494" spans="1:5" ht="12.5" x14ac:dyDescent="0.25">
      <c r="A494" s="4">
        <v>1439</v>
      </c>
      <c r="B494" s="4" t="s">
        <v>4755</v>
      </c>
      <c r="C494" s="4" t="s">
        <v>10120</v>
      </c>
      <c r="D494" s="9">
        <v>24260</v>
      </c>
      <c r="E494" s="10">
        <v>0</v>
      </c>
    </row>
    <row r="495" spans="1:5" ht="12.5" x14ac:dyDescent="0.25">
      <c r="A495" s="4">
        <v>1440</v>
      </c>
      <c r="B495" s="4" t="s">
        <v>4761</v>
      </c>
      <c r="C495" s="4" t="s">
        <v>10116</v>
      </c>
      <c r="D495" s="9">
        <v>148951.28</v>
      </c>
      <c r="E495" s="10">
        <v>0</v>
      </c>
    </row>
    <row r="496" spans="1:5" ht="12.5" x14ac:dyDescent="0.25">
      <c r="A496" s="11"/>
      <c r="B496" s="11"/>
      <c r="C496" s="12" t="s">
        <v>16</v>
      </c>
      <c r="D496" s="13">
        <v>61000</v>
      </c>
      <c r="E496" s="14">
        <v>0</v>
      </c>
    </row>
    <row r="497" spans="1:5" ht="12.5" x14ac:dyDescent="0.25">
      <c r="A497" s="4">
        <v>1441</v>
      </c>
      <c r="B497" s="4" t="s">
        <v>4767</v>
      </c>
      <c r="C497" s="4" t="s">
        <v>16</v>
      </c>
      <c r="D497" s="9"/>
      <c r="E497" s="10"/>
    </row>
    <row r="498" spans="1:5" ht="12.5" x14ac:dyDescent="0.25">
      <c r="A498" s="4">
        <v>1442</v>
      </c>
      <c r="B498" s="4" t="s">
        <v>4772</v>
      </c>
      <c r="C498" s="4" t="s">
        <v>16</v>
      </c>
      <c r="D498" s="9"/>
      <c r="E498" s="10"/>
    </row>
    <row r="499" spans="1:5" ht="12.5" x14ac:dyDescent="0.25">
      <c r="A499" s="4">
        <v>1443</v>
      </c>
      <c r="B499" s="4" t="s">
        <v>4776</v>
      </c>
      <c r="C499" s="4" t="s">
        <v>16</v>
      </c>
      <c r="D499" s="9"/>
      <c r="E499" s="10"/>
    </row>
    <row r="500" spans="1:5" ht="12.5" x14ac:dyDescent="0.25">
      <c r="A500" s="4">
        <v>1444</v>
      </c>
      <c r="B500" s="4" t="s">
        <v>6932</v>
      </c>
      <c r="C500" s="4" t="s">
        <v>16</v>
      </c>
      <c r="D500" s="9"/>
      <c r="E500" s="10"/>
    </row>
    <row r="501" spans="1:5" ht="12.5" x14ac:dyDescent="0.25">
      <c r="A501" s="4">
        <v>1445</v>
      </c>
      <c r="B501" s="4" t="s">
        <v>7023</v>
      </c>
      <c r="C501" s="4" t="s">
        <v>16</v>
      </c>
      <c r="D501" s="9"/>
      <c r="E501" s="10"/>
    </row>
    <row r="502" spans="1:5" ht="12.5" x14ac:dyDescent="0.25">
      <c r="A502" s="4">
        <v>1446</v>
      </c>
      <c r="B502" s="4" t="s">
        <v>4781</v>
      </c>
      <c r="C502" s="4" t="s">
        <v>16</v>
      </c>
      <c r="D502" s="9"/>
      <c r="E502" s="10"/>
    </row>
    <row r="503" spans="1:5" ht="12.5" x14ac:dyDescent="0.25">
      <c r="A503" s="4">
        <v>1447</v>
      </c>
      <c r="B503" s="4" t="s">
        <v>4785</v>
      </c>
      <c r="C503" s="4" t="s">
        <v>16</v>
      </c>
      <c r="D503" s="9"/>
      <c r="E503" s="10"/>
    </row>
    <row r="504" spans="1:5" ht="12.5" x14ac:dyDescent="0.25">
      <c r="A504" s="4">
        <v>1448</v>
      </c>
      <c r="B504" s="4" t="s">
        <v>4789</v>
      </c>
      <c r="C504" s="4" t="s">
        <v>16</v>
      </c>
      <c r="D504" s="9"/>
      <c r="E504" s="10"/>
    </row>
    <row r="505" spans="1:5" ht="12.5" x14ac:dyDescent="0.25">
      <c r="A505" s="4">
        <v>1449</v>
      </c>
      <c r="B505" s="4" t="s">
        <v>4793</v>
      </c>
      <c r="C505" s="4" t="s">
        <v>16</v>
      </c>
      <c r="D505" s="9"/>
      <c r="E505" s="10"/>
    </row>
    <row r="506" spans="1:5" ht="12.5" x14ac:dyDescent="0.25">
      <c r="A506" s="4">
        <v>1450</v>
      </c>
      <c r="B506" s="4" t="s">
        <v>4795</v>
      </c>
      <c r="C506" s="4" t="s">
        <v>10127</v>
      </c>
      <c r="D506" s="9">
        <v>2342.86</v>
      </c>
      <c r="E506" s="10">
        <v>2342.86</v>
      </c>
    </row>
    <row r="507" spans="1:5" ht="12.5" x14ac:dyDescent="0.25">
      <c r="A507" s="11"/>
      <c r="B507" s="11"/>
      <c r="C507" s="12" t="s">
        <v>16</v>
      </c>
      <c r="D507" s="13"/>
      <c r="E507" s="14"/>
    </row>
    <row r="508" spans="1:5" ht="12.5" x14ac:dyDescent="0.25">
      <c r="A508" s="4">
        <v>1451</v>
      </c>
      <c r="B508" s="4" t="s">
        <v>4800</v>
      </c>
      <c r="C508" s="4" t="s">
        <v>10120</v>
      </c>
      <c r="D508" s="9">
        <v>8265</v>
      </c>
      <c r="E508" s="10">
        <v>0</v>
      </c>
    </row>
    <row r="509" spans="1:5" ht="12.5" x14ac:dyDescent="0.25">
      <c r="A509" s="4">
        <v>1453</v>
      </c>
      <c r="B509" s="4" t="s">
        <v>4805</v>
      </c>
      <c r="C509" s="4" t="s">
        <v>10120</v>
      </c>
      <c r="D509" s="9">
        <v>8265</v>
      </c>
      <c r="E509" s="10">
        <v>4395.93</v>
      </c>
    </row>
    <row r="510" spans="1:5" ht="12.5" x14ac:dyDescent="0.25">
      <c r="A510" s="4">
        <v>1454</v>
      </c>
      <c r="B510" s="4" t="s">
        <v>4810</v>
      </c>
      <c r="C510" s="4" t="s">
        <v>10120</v>
      </c>
      <c r="D510" s="9">
        <v>8265</v>
      </c>
      <c r="E510" s="10">
        <v>0</v>
      </c>
    </row>
    <row r="511" spans="1:5" ht="12.5" x14ac:dyDescent="0.25">
      <c r="A511" s="4">
        <v>1455</v>
      </c>
      <c r="B511" s="4" t="s">
        <v>4814</v>
      </c>
      <c r="C511" s="4" t="s">
        <v>10120</v>
      </c>
      <c r="D511" s="9">
        <v>8265</v>
      </c>
      <c r="E511" s="10">
        <v>1921.79</v>
      </c>
    </row>
    <row r="512" spans="1:5" ht="12.5" x14ac:dyDescent="0.25">
      <c r="A512" s="4">
        <v>1456</v>
      </c>
      <c r="B512" s="4" t="s">
        <v>4818</v>
      </c>
      <c r="C512" s="4" t="s">
        <v>10120</v>
      </c>
      <c r="D512" s="9">
        <v>4132</v>
      </c>
      <c r="E512" s="10">
        <v>1636.07</v>
      </c>
    </row>
    <row r="513" spans="1:5" ht="12.5" x14ac:dyDescent="0.25">
      <c r="A513" s="4">
        <v>1457</v>
      </c>
      <c r="B513" s="4" t="s">
        <v>4822</v>
      </c>
      <c r="C513" s="4" t="s">
        <v>16</v>
      </c>
      <c r="D513" s="9"/>
      <c r="E513" s="10"/>
    </row>
    <row r="514" spans="1:5" ht="12.5" x14ac:dyDescent="0.25">
      <c r="A514" s="4">
        <v>1458</v>
      </c>
      <c r="B514" s="4" t="s">
        <v>4827</v>
      </c>
      <c r="C514" s="4" t="s">
        <v>10120</v>
      </c>
      <c r="D514" s="9">
        <v>48058</v>
      </c>
      <c r="E514" s="10">
        <v>0</v>
      </c>
    </row>
    <row r="515" spans="1:5" ht="12.5" x14ac:dyDescent="0.25">
      <c r="A515" s="4">
        <v>1459</v>
      </c>
      <c r="B515" s="4" t="s">
        <v>4832</v>
      </c>
      <c r="C515" s="4" t="s">
        <v>10120</v>
      </c>
      <c r="D515" s="9">
        <v>413</v>
      </c>
      <c r="E515" s="10">
        <v>0</v>
      </c>
    </row>
    <row r="516" spans="1:5" ht="12.5" x14ac:dyDescent="0.25">
      <c r="A516" s="4">
        <v>1460</v>
      </c>
      <c r="B516" s="4" t="s">
        <v>8828</v>
      </c>
      <c r="C516" s="4" t="s">
        <v>16</v>
      </c>
      <c r="D516" s="9"/>
      <c r="E516" s="10"/>
    </row>
    <row r="517" spans="1:5" ht="12.5" x14ac:dyDescent="0.25">
      <c r="A517" s="4">
        <v>1461</v>
      </c>
      <c r="B517" s="4" t="s">
        <v>4837</v>
      </c>
      <c r="C517" s="4" t="s">
        <v>16</v>
      </c>
      <c r="D517" s="9"/>
      <c r="E517" s="10"/>
    </row>
    <row r="518" spans="1:5" ht="12.5" x14ac:dyDescent="0.25">
      <c r="A518" s="4">
        <v>1462</v>
      </c>
      <c r="B518" s="4" t="s">
        <v>5501</v>
      </c>
      <c r="C518" s="4" t="s">
        <v>10121</v>
      </c>
      <c r="D518" s="9">
        <v>5000</v>
      </c>
      <c r="E518" s="10">
        <v>0</v>
      </c>
    </row>
    <row r="519" spans="1:5" ht="12.5" x14ac:dyDescent="0.25">
      <c r="A519" s="4">
        <v>1463</v>
      </c>
      <c r="B519" s="4" t="s">
        <v>7550</v>
      </c>
      <c r="C519" s="4" t="s">
        <v>16</v>
      </c>
      <c r="D519" s="9"/>
      <c r="E519" s="10"/>
    </row>
    <row r="520" spans="1:5" ht="12.5" x14ac:dyDescent="0.25">
      <c r="A520" s="4">
        <v>1464</v>
      </c>
      <c r="B520" s="4" t="s">
        <v>4842</v>
      </c>
      <c r="C520" s="4" t="s">
        <v>16</v>
      </c>
      <c r="D520" s="9"/>
      <c r="E520" s="10"/>
    </row>
    <row r="521" spans="1:5" ht="12.5" x14ac:dyDescent="0.25">
      <c r="A521" s="4">
        <v>1465</v>
      </c>
      <c r="B521" s="4" t="s">
        <v>1214</v>
      </c>
      <c r="C521" s="4" t="s">
        <v>16</v>
      </c>
      <c r="D521" s="9"/>
      <c r="E521" s="10"/>
    </row>
    <row r="522" spans="1:5" ht="12.5" x14ac:dyDescent="0.25">
      <c r="A522" s="4">
        <v>1467</v>
      </c>
      <c r="B522" s="4" t="s">
        <v>4846</v>
      </c>
      <c r="C522" s="4" t="s">
        <v>16</v>
      </c>
      <c r="D522" s="9"/>
      <c r="E522" s="10"/>
    </row>
    <row r="523" spans="1:5" ht="12.5" x14ac:dyDescent="0.25">
      <c r="A523" s="4">
        <v>1468</v>
      </c>
      <c r="B523" s="4" t="s">
        <v>4849</v>
      </c>
      <c r="C523" s="4" t="s">
        <v>10120</v>
      </c>
      <c r="D523" s="9">
        <v>10130.84</v>
      </c>
      <c r="E523" s="10">
        <v>0</v>
      </c>
    </row>
    <row r="524" spans="1:5" ht="12.5" x14ac:dyDescent="0.25">
      <c r="A524" s="4">
        <v>1469</v>
      </c>
      <c r="B524" s="4" t="s">
        <v>4855</v>
      </c>
      <c r="C524" s="4" t="s">
        <v>10120</v>
      </c>
      <c r="D524" s="9">
        <v>62328.04</v>
      </c>
      <c r="E524" s="10">
        <v>0</v>
      </c>
    </row>
    <row r="525" spans="1:5" ht="12.5" x14ac:dyDescent="0.25">
      <c r="A525" s="4">
        <v>1470</v>
      </c>
      <c r="B525" s="4" t="s">
        <v>8942</v>
      </c>
      <c r="C525" s="4" t="s">
        <v>16</v>
      </c>
      <c r="D525" s="9"/>
      <c r="E525" s="10"/>
    </row>
    <row r="526" spans="1:5" ht="12.5" x14ac:dyDescent="0.25">
      <c r="A526" s="4">
        <v>1471</v>
      </c>
      <c r="B526" s="4" t="s">
        <v>8938</v>
      </c>
      <c r="C526" s="4" t="s">
        <v>16</v>
      </c>
      <c r="D526" s="9"/>
      <c r="E526" s="10"/>
    </row>
    <row r="527" spans="1:5" ht="12.5" x14ac:dyDescent="0.25">
      <c r="A527" s="4">
        <v>1472</v>
      </c>
      <c r="B527" s="4" t="s">
        <v>8934</v>
      </c>
      <c r="C527" s="4" t="s">
        <v>16</v>
      </c>
      <c r="D527" s="9"/>
      <c r="E527" s="10"/>
    </row>
    <row r="528" spans="1:5" ht="12.5" x14ac:dyDescent="0.25">
      <c r="A528" s="4">
        <v>1473</v>
      </c>
      <c r="B528" s="4" t="s">
        <v>6750</v>
      </c>
      <c r="C528" s="4" t="s">
        <v>16</v>
      </c>
      <c r="D528" s="9"/>
      <c r="E528" s="10"/>
    </row>
    <row r="529" spans="1:5" ht="12.5" x14ac:dyDescent="0.25">
      <c r="A529" s="4">
        <v>1474</v>
      </c>
      <c r="B529" s="4" t="s">
        <v>4860</v>
      </c>
      <c r="C529" s="4" t="s">
        <v>16</v>
      </c>
      <c r="D529" s="9"/>
      <c r="E529" s="10"/>
    </row>
    <row r="530" spans="1:5" ht="12.5" x14ac:dyDescent="0.25">
      <c r="A530" s="4">
        <v>1475</v>
      </c>
      <c r="B530" s="4" t="s">
        <v>4864</v>
      </c>
      <c r="C530" s="4" t="s">
        <v>16</v>
      </c>
      <c r="D530" s="9"/>
      <c r="E530" s="10"/>
    </row>
    <row r="531" spans="1:5" ht="12.5" x14ac:dyDescent="0.25">
      <c r="A531" s="4">
        <v>1476</v>
      </c>
      <c r="B531" s="4" t="s">
        <v>4869</v>
      </c>
      <c r="C531" s="4" t="s">
        <v>16</v>
      </c>
      <c r="D531" s="9"/>
      <c r="E531" s="10"/>
    </row>
    <row r="532" spans="1:5" ht="12.5" x14ac:dyDescent="0.25">
      <c r="A532" s="4">
        <v>1477</v>
      </c>
      <c r="B532" s="4" t="s">
        <v>4874</v>
      </c>
      <c r="C532" s="4" t="s">
        <v>16</v>
      </c>
      <c r="D532" s="9"/>
      <c r="E532" s="10"/>
    </row>
    <row r="533" spans="1:5" ht="12.5" x14ac:dyDescent="0.25">
      <c r="A533" s="4">
        <v>1478</v>
      </c>
      <c r="B533" s="4" t="s">
        <v>4878</v>
      </c>
      <c r="C533" s="4" t="s">
        <v>16</v>
      </c>
      <c r="D533" s="9"/>
      <c r="E533" s="10"/>
    </row>
    <row r="534" spans="1:5" ht="12.5" x14ac:dyDescent="0.25">
      <c r="A534" s="4">
        <v>1479</v>
      </c>
      <c r="B534" s="4" t="s">
        <v>4884</v>
      </c>
      <c r="C534" s="4" t="s">
        <v>16</v>
      </c>
      <c r="D534" s="9"/>
      <c r="E534" s="10"/>
    </row>
    <row r="535" spans="1:5" ht="12.5" x14ac:dyDescent="0.25">
      <c r="A535" s="4">
        <v>1480</v>
      </c>
      <c r="B535" s="4" t="s">
        <v>4889</v>
      </c>
      <c r="C535" s="4" t="s">
        <v>16</v>
      </c>
      <c r="D535" s="9"/>
      <c r="E535" s="10"/>
    </row>
    <row r="536" spans="1:5" ht="12.5" x14ac:dyDescent="0.25">
      <c r="A536" s="4">
        <v>1481</v>
      </c>
      <c r="B536" s="4" t="s">
        <v>4894</v>
      </c>
      <c r="C536" s="4" t="s">
        <v>16</v>
      </c>
      <c r="D536" s="9"/>
      <c r="E536" s="10"/>
    </row>
    <row r="537" spans="1:5" ht="12.5" x14ac:dyDescent="0.25">
      <c r="A537" s="4">
        <v>1482</v>
      </c>
      <c r="B537" s="4" t="s">
        <v>4899</v>
      </c>
      <c r="C537" s="4" t="s">
        <v>16</v>
      </c>
      <c r="D537" s="9"/>
      <c r="E537" s="10"/>
    </row>
    <row r="538" spans="1:5" ht="12.5" x14ac:dyDescent="0.25">
      <c r="A538" s="4">
        <v>1483</v>
      </c>
      <c r="B538" s="4" t="s">
        <v>4904</v>
      </c>
      <c r="C538" s="4" t="s">
        <v>16</v>
      </c>
      <c r="D538" s="9"/>
      <c r="E538" s="10"/>
    </row>
    <row r="539" spans="1:5" ht="12.5" x14ac:dyDescent="0.25">
      <c r="A539" s="4">
        <v>1484</v>
      </c>
      <c r="B539" s="4" t="s">
        <v>6873</v>
      </c>
      <c r="C539" s="4" t="s">
        <v>16</v>
      </c>
      <c r="D539" s="9"/>
      <c r="E539" s="10"/>
    </row>
    <row r="540" spans="1:5" ht="12.5" x14ac:dyDescent="0.25">
      <c r="A540" s="4">
        <v>1485</v>
      </c>
      <c r="B540" s="4" t="s">
        <v>4909</v>
      </c>
      <c r="C540" s="4" t="s">
        <v>16</v>
      </c>
      <c r="D540" s="9"/>
      <c r="E540" s="10"/>
    </row>
    <row r="541" spans="1:5" ht="12.5" x14ac:dyDescent="0.25">
      <c r="A541" s="4">
        <v>1486</v>
      </c>
      <c r="B541" s="4" t="s">
        <v>4914</v>
      </c>
      <c r="C541" s="4" t="s">
        <v>16</v>
      </c>
      <c r="D541" s="9"/>
      <c r="E541" s="10"/>
    </row>
    <row r="542" spans="1:5" ht="12.5" x14ac:dyDescent="0.25">
      <c r="A542" s="4">
        <v>1487</v>
      </c>
      <c r="B542" s="4" t="s">
        <v>8058</v>
      </c>
      <c r="C542" s="4" t="s">
        <v>16</v>
      </c>
      <c r="D542" s="9"/>
      <c r="E542" s="10"/>
    </row>
    <row r="543" spans="1:5" ht="12.5" x14ac:dyDescent="0.25">
      <c r="A543" s="4">
        <v>1490</v>
      </c>
      <c r="B543" s="4" t="s">
        <v>4920</v>
      </c>
      <c r="C543" s="4" t="s">
        <v>16</v>
      </c>
      <c r="D543" s="9"/>
      <c r="E543" s="10"/>
    </row>
    <row r="544" spans="1:5" ht="12.5" x14ac:dyDescent="0.25">
      <c r="A544" s="4">
        <v>1491</v>
      </c>
      <c r="B544" s="4" t="s">
        <v>4925</v>
      </c>
      <c r="C544" s="4" t="s">
        <v>16</v>
      </c>
      <c r="D544" s="9"/>
      <c r="E544" s="10"/>
    </row>
    <row r="545" spans="1:5" ht="12.5" x14ac:dyDescent="0.25">
      <c r="A545" s="4">
        <v>1492</v>
      </c>
      <c r="B545" s="4" t="s">
        <v>4929</v>
      </c>
      <c r="C545" s="4" t="s">
        <v>10115</v>
      </c>
      <c r="D545" s="9">
        <v>160000</v>
      </c>
      <c r="E545" s="10">
        <v>0</v>
      </c>
    </row>
    <row r="546" spans="1:5" ht="12.5" x14ac:dyDescent="0.25">
      <c r="A546" s="11"/>
      <c r="B546" s="11"/>
      <c r="C546" s="12" t="s">
        <v>16</v>
      </c>
      <c r="D546" s="13"/>
      <c r="E546" s="14"/>
    </row>
    <row r="547" spans="1:5" ht="12.5" x14ac:dyDescent="0.25">
      <c r="A547" s="4">
        <v>1493</v>
      </c>
      <c r="B547" s="4" t="s">
        <v>4932</v>
      </c>
      <c r="C547" s="4" t="s">
        <v>10116</v>
      </c>
      <c r="D547" s="9">
        <v>23250</v>
      </c>
      <c r="E547" s="10">
        <v>0</v>
      </c>
    </row>
    <row r="548" spans="1:5" ht="12.5" x14ac:dyDescent="0.25">
      <c r="A548" s="4">
        <v>1494</v>
      </c>
      <c r="B548" s="4" t="s">
        <v>4935</v>
      </c>
      <c r="C548" s="4" t="s">
        <v>16</v>
      </c>
      <c r="D548" s="9"/>
      <c r="E548" s="10"/>
    </row>
    <row r="549" spans="1:5" ht="12.5" x14ac:dyDescent="0.25">
      <c r="A549" s="4">
        <v>1495</v>
      </c>
      <c r="B549" s="4" t="s">
        <v>4939</v>
      </c>
      <c r="C549" s="4" t="s">
        <v>10120</v>
      </c>
      <c r="D549" s="9">
        <v>75</v>
      </c>
      <c r="E549" s="10">
        <v>0</v>
      </c>
    </row>
    <row r="550" spans="1:5" ht="12.5" x14ac:dyDescent="0.25">
      <c r="A550" s="4">
        <v>1496</v>
      </c>
      <c r="B550" s="4" t="s">
        <v>4942</v>
      </c>
      <c r="C550" s="4" t="s">
        <v>16</v>
      </c>
      <c r="D550" s="9"/>
      <c r="E550" s="10"/>
    </row>
    <row r="551" spans="1:5" ht="12.5" x14ac:dyDescent="0.25">
      <c r="A551" s="4">
        <v>1497</v>
      </c>
      <c r="B551" s="4" t="s">
        <v>4947</v>
      </c>
      <c r="C551" s="4" t="s">
        <v>16</v>
      </c>
      <c r="D551" s="9"/>
      <c r="E551" s="10"/>
    </row>
    <row r="552" spans="1:5" ht="12.5" x14ac:dyDescent="0.25">
      <c r="A552" s="4">
        <v>1498</v>
      </c>
      <c r="B552" s="4" t="s">
        <v>4952</v>
      </c>
      <c r="C552" s="4" t="s">
        <v>10116</v>
      </c>
      <c r="D552" s="9">
        <v>23250</v>
      </c>
      <c r="E552" s="10">
        <v>0</v>
      </c>
    </row>
    <row r="553" spans="1:5" ht="12.5" x14ac:dyDescent="0.25">
      <c r="A553" s="11"/>
      <c r="B553" s="11"/>
      <c r="C553" s="12" t="s">
        <v>10120</v>
      </c>
      <c r="D553" s="13">
        <v>1653</v>
      </c>
      <c r="E553" s="14">
        <v>0</v>
      </c>
    </row>
    <row r="554" spans="1:5" ht="12.5" x14ac:dyDescent="0.25">
      <c r="A554" s="4">
        <v>1499</v>
      </c>
      <c r="B554" s="4" t="s">
        <v>4955</v>
      </c>
      <c r="C554" s="4" t="s">
        <v>10120</v>
      </c>
      <c r="D554" s="9">
        <v>8739</v>
      </c>
      <c r="E554" s="10">
        <v>0</v>
      </c>
    </row>
    <row r="555" spans="1:5" ht="12.5" x14ac:dyDescent="0.25">
      <c r="A555" s="4">
        <v>1500</v>
      </c>
      <c r="B555" s="4" t="s">
        <v>4958</v>
      </c>
      <c r="C555" s="4" t="s">
        <v>16</v>
      </c>
      <c r="D555" s="9"/>
      <c r="E555" s="10"/>
    </row>
    <row r="556" spans="1:5" ht="12.5" x14ac:dyDescent="0.25">
      <c r="A556" s="4">
        <v>1501</v>
      </c>
      <c r="B556" s="4" t="s">
        <v>4963</v>
      </c>
      <c r="C556" s="4" t="s">
        <v>16</v>
      </c>
      <c r="D556" s="9"/>
      <c r="E556" s="10"/>
    </row>
    <row r="557" spans="1:5" ht="12.5" x14ac:dyDescent="0.25">
      <c r="A557" s="4">
        <v>1502</v>
      </c>
      <c r="B557" s="4" t="s">
        <v>4966</v>
      </c>
      <c r="C557" s="4" t="s">
        <v>10120</v>
      </c>
      <c r="D557" s="9">
        <v>18000</v>
      </c>
      <c r="E557" s="10">
        <v>0</v>
      </c>
    </row>
    <row r="558" spans="1:5" ht="12.5" x14ac:dyDescent="0.25">
      <c r="A558" s="4">
        <v>1504</v>
      </c>
      <c r="B558" s="4" t="s">
        <v>7124</v>
      </c>
      <c r="C558" s="4" t="s">
        <v>16</v>
      </c>
      <c r="D558" s="9"/>
      <c r="E558" s="10"/>
    </row>
    <row r="559" spans="1:5" ht="12.5" x14ac:dyDescent="0.25">
      <c r="A559" s="4">
        <v>1505</v>
      </c>
      <c r="B559" s="4" t="s">
        <v>4969</v>
      </c>
      <c r="C559" s="4" t="s">
        <v>16</v>
      </c>
      <c r="D559" s="9"/>
      <c r="E559" s="10"/>
    </row>
    <row r="560" spans="1:5" ht="12.5" x14ac:dyDescent="0.25">
      <c r="A560" s="4">
        <v>1506</v>
      </c>
      <c r="B560" s="4" t="s">
        <v>4974</v>
      </c>
      <c r="C560" s="4" t="s">
        <v>16</v>
      </c>
      <c r="D560" s="9"/>
      <c r="E560" s="10"/>
    </row>
    <row r="561" spans="1:5" ht="12.5" x14ac:dyDescent="0.25">
      <c r="A561" s="4">
        <v>1507</v>
      </c>
      <c r="B561" s="4" t="s">
        <v>4978</v>
      </c>
      <c r="C561" s="4" t="s">
        <v>16</v>
      </c>
      <c r="D561" s="9"/>
      <c r="E561" s="10"/>
    </row>
    <row r="562" spans="1:5" ht="12.5" x14ac:dyDescent="0.25">
      <c r="A562" s="4">
        <v>1508</v>
      </c>
      <c r="B562" s="4" t="s">
        <v>6828</v>
      </c>
      <c r="C562" s="4" t="s">
        <v>16</v>
      </c>
      <c r="D562" s="9"/>
      <c r="E562" s="10"/>
    </row>
    <row r="563" spans="1:5" ht="12.5" x14ac:dyDescent="0.25">
      <c r="A563" s="4">
        <v>1509</v>
      </c>
      <c r="B563" s="4" t="s">
        <v>4984</v>
      </c>
      <c r="C563" s="4" t="s">
        <v>10116</v>
      </c>
      <c r="D563" s="9">
        <v>60000</v>
      </c>
      <c r="E563" s="10">
        <v>0</v>
      </c>
    </row>
    <row r="564" spans="1:5" ht="12.5" x14ac:dyDescent="0.25">
      <c r="A564" s="11"/>
      <c r="B564" s="11"/>
      <c r="C564" s="12" t="s">
        <v>10120</v>
      </c>
      <c r="D564" s="13">
        <v>66200</v>
      </c>
      <c r="E564" s="14">
        <v>247.54</v>
      </c>
    </row>
    <row r="565" spans="1:5" ht="12.5" x14ac:dyDescent="0.25">
      <c r="A565" s="4">
        <v>1510</v>
      </c>
      <c r="B565" s="4" t="s">
        <v>4989</v>
      </c>
      <c r="C565" s="4" t="s">
        <v>10116</v>
      </c>
      <c r="D565" s="9">
        <v>2909.6</v>
      </c>
      <c r="E565" s="10">
        <v>1000</v>
      </c>
    </row>
    <row r="566" spans="1:5" ht="12.5" x14ac:dyDescent="0.25">
      <c r="A566" s="11"/>
      <c r="B566" s="11"/>
      <c r="C566" s="12" t="s">
        <v>10120</v>
      </c>
      <c r="D566" s="13">
        <v>60000</v>
      </c>
      <c r="E566" s="14">
        <v>0</v>
      </c>
    </row>
    <row r="567" spans="1:5" ht="12.5" x14ac:dyDescent="0.25">
      <c r="A567" s="4">
        <v>1511</v>
      </c>
      <c r="B567" s="4" t="s">
        <v>5386</v>
      </c>
      <c r="C567" s="4" t="s">
        <v>16</v>
      </c>
      <c r="D567" s="9"/>
      <c r="E567" s="10"/>
    </row>
    <row r="568" spans="1:5" ht="12.5" x14ac:dyDescent="0.25">
      <c r="A568" s="4">
        <v>1512</v>
      </c>
      <c r="B568" s="4" t="s">
        <v>4994</v>
      </c>
      <c r="C568" s="4" t="s">
        <v>10130</v>
      </c>
      <c r="D568" s="9">
        <v>23600</v>
      </c>
      <c r="E568" s="10">
        <v>0</v>
      </c>
    </row>
    <row r="569" spans="1:5" ht="12.5" x14ac:dyDescent="0.25">
      <c r="A569" s="11"/>
      <c r="B569" s="11"/>
      <c r="C569" s="12" t="s">
        <v>16</v>
      </c>
      <c r="D569" s="13"/>
      <c r="E569" s="14"/>
    </row>
    <row r="570" spans="1:5" ht="12.5" x14ac:dyDescent="0.25">
      <c r="A570" s="4">
        <v>1513</v>
      </c>
      <c r="B570" s="4" t="s">
        <v>4998</v>
      </c>
      <c r="C570" s="4" t="s">
        <v>16</v>
      </c>
      <c r="D570" s="9"/>
      <c r="E570" s="10"/>
    </row>
    <row r="571" spans="1:5" ht="12.5" x14ac:dyDescent="0.25">
      <c r="A571" s="4">
        <v>1514</v>
      </c>
      <c r="B571" s="4" t="s">
        <v>7277</v>
      </c>
      <c r="C571" s="4" t="s">
        <v>16</v>
      </c>
      <c r="D571" s="9"/>
      <c r="E571" s="10"/>
    </row>
    <row r="572" spans="1:5" ht="12.5" x14ac:dyDescent="0.25">
      <c r="A572" s="4">
        <v>1515</v>
      </c>
      <c r="B572" s="4" t="s">
        <v>5002</v>
      </c>
      <c r="C572" s="4" t="s">
        <v>16</v>
      </c>
      <c r="D572" s="9"/>
      <c r="E572" s="10"/>
    </row>
    <row r="573" spans="1:5" ht="12.5" x14ac:dyDescent="0.25">
      <c r="A573" s="4">
        <v>1520</v>
      </c>
      <c r="B573" s="4" t="s">
        <v>5006</v>
      </c>
      <c r="C573" s="4" t="s">
        <v>16</v>
      </c>
      <c r="D573" s="9"/>
      <c r="E573" s="10"/>
    </row>
    <row r="574" spans="1:5" ht="12.5" x14ac:dyDescent="0.25">
      <c r="A574" s="4">
        <v>1521</v>
      </c>
      <c r="B574" s="4" t="s">
        <v>5010</v>
      </c>
      <c r="C574" s="4" t="s">
        <v>16</v>
      </c>
      <c r="D574" s="9"/>
      <c r="E574" s="10"/>
    </row>
    <row r="575" spans="1:5" ht="12.5" x14ac:dyDescent="0.25">
      <c r="A575" s="4">
        <v>1526</v>
      </c>
      <c r="B575" s="4" t="s">
        <v>5783</v>
      </c>
      <c r="C575" s="4" t="s">
        <v>16</v>
      </c>
      <c r="D575" s="9"/>
      <c r="E575" s="10"/>
    </row>
    <row r="576" spans="1:5" ht="12.5" x14ac:dyDescent="0.25">
      <c r="A576" s="4">
        <v>1527</v>
      </c>
      <c r="B576" s="4" t="s">
        <v>5014</v>
      </c>
      <c r="C576" s="4" t="s">
        <v>16</v>
      </c>
      <c r="D576" s="9"/>
      <c r="E576" s="10"/>
    </row>
    <row r="577" spans="1:5" ht="12.5" x14ac:dyDescent="0.25">
      <c r="A577" s="4">
        <v>1528</v>
      </c>
      <c r="B577" s="4" t="s">
        <v>5020</v>
      </c>
      <c r="C577" s="4" t="s">
        <v>16</v>
      </c>
      <c r="D577" s="9"/>
      <c r="E577" s="10"/>
    </row>
    <row r="578" spans="1:5" ht="12.5" x14ac:dyDescent="0.25">
      <c r="A578" s="4">
        <v>1529</v>
      </c>
      <c r="B578" s="4" t="s">
        <v>5790</v>
      </c>
      <c r="C578" s="4" t="s">
        <v>16</v>
      </c>
      <c r="D578" s="9"/>
      <c r="E578" s="10"/>
    </row>
    <row r="579" spans="1:5" ht="12.5" x14ac:dyDescent="0.25">
      <c r="A579" s="4">
        <v>1530</v>
      </c>
      <c r="B579" s="4" t="s">
        <v>5021</v>
      </c>
      <c r="C579" s="4" t="s">
        <v>16</v>
      </c>
      <c r="D579" s="9"/>
      <c r="E579" s="10"/>
    </row>
    <row r="580" spans="1:5" ht="12.5" x14ac:dyDescent="0.25">
      <c r="A580" s="4">
        <v>1532</v>
      </c>
      <c r="B580" s="4" t="s">
        <v>5024</v>
      </c>
      <c r="C580" s="4" t="s">
        <v>16</v>
      </c>
      <c r="D580" s="9"/>
      <c r="E580" s="10"/>
    </row>
    <row r="581" spans="1:5" ht="12.5" x14ac:dyDescent="0.25">
      <c r="A581" s="4">
        <v>1533</v>
      </c>
      <c r="B581" s="4" t="s">
        <v>8657</v>
      </c>
      <c r="C581" s="4" t="s">
        <v>16</v>
      </c>
      <c r="D581" s="9"/>
      <c r="E581" s="10"/>
    </row>
    <row r="582" spans="1:5" ht="12.5" x14ac:dyDescent="0.25">
      <c r="A582" s="4">
        <v>1534</v>
      </c>
      <c r="B582" s="4" t="s">
        <v>5027</v>
      </c>
      <c r="C582" s="4" t="s">
        <v>16</v>
      </c>
      <c r="D582" s="9"/>
      <c r="E582" s="10"/>
    </row>
    <row r="583" spans="1:5" ht="12.5" x14ac:dyDescent="0.25">
      <c r="A583" s="4">
        <v>1536</v>
      </c>
      <c r="B583" s="4" t="s">
        <v>5031</v>
      </c>
      <c r="C583" s="4" t="s">
        <v>16</v>
      </c>
      <c r="D583" s="9"/>
      <c r="E583" s="10"/>
    </row>
    <row r="584" spans="1:5" ht="12.5" x14ac:dyDescent="0.25">
      <c r="A584" s="4">
        <v>1537</v>
      </c>
      <c r="B584" s="4" t="s">
        <v>5035</v>
      </c>
      <c r="C584" s="4" t="s">
        <v>16</v>
      </c>
      <c r="D584" s="9"/>
      <c r="E584" s="10"/>
    </row>
    <row r="585" spans="1:5" ht="12.5" x14ac:dyDescent="0.25">
      <c r="A585" s="4">
        <v>1538</v>
      </c>
      <c r="B585" s="4" t="s">
        <v>5040</v>
      </c>
      <c r="C585" s="4" t="s">
        <v>16</v>
      </c>
      <c r="D585" s="9"/>
      <c r="E585" s="10"/>
    </row>
    <row r="586" spans="1:5" ht="12.5" x14ac:dyDescent="0.25">
      <c r="A586" s="4">
        <v>1539</v>
      </c>
      <c r="B586" s="4" t="s">
        <v>5043</v>
      </c>
      <c r="C586" s="4" t="s">
        <v>16</v>
      </c>
      <c r="D586" s="9"/>
      <c r="E586" s="10"/>
    </row>
    <row r="587" spans="1:5" ht="12.5" x14ac:dyDescent="0.25">
      <c r="A587" s="4">
        <v>1540</v>
      </c>
      <c r="B587" s="4" t="s">
        <v>5046</v>
      </c>
      <c r="C587" s="4" t="s">
        <v>16</v>
      </c>
      <c r="D587" s="9"/>
      <c r="E587" s="10"/>
    </row>
    <row r="588" spans="1:5" ht="12.5" x14ac:dyDescent="0.25">
      <c r="A588" s="4">
        <v>1542</v>
      </c>
      <c r="B588" s="4" t="s">
        <v>7174</v>
      </c>
      <c r="C588" s="4" t="s">
        <v>10130</v>
      </c>
      <c r="D588" s="9">
        <v>36000</v>
      </c>
      <c r="E588" s="10">
        <v>36000</v>
      </c>
    </row>
    <row r="589" spans="1:5" ht="12.5" x14ac:dyDescent="0.25">
      <c r="A589" s="4">
        <v>1543</v>
      </c>
      <c r="B589" s="4" t="s">
        <v>5050</v>
      </c>
      <c r="C589" s="4" t="s">
        <v>10120</v>
      </c>
      <c r="D589" s="9">
        <v>5051.8714289999998</v>
      </c>
      <c r="E589" s="10">
        <v>2115.7312390000002</v>
      </c>
    </row>
    <row r="590" spans="1:5" ht="12.5" x14ac:dyDescent="0.25">
      <c r="A590" s="4">
        <v>1544</v>
      </c>
      <c r="B590" s="4" t="s">
        <v>5054</v>
      </c>
      <c r="C590" s="4" t="s">
        <v>10120</v>
      </c>
      <c r="D590" s="9">
        <v>5051.8714289999998</v>
      </c>
      <c r="E590" s="10">
        <v>2115.7312390000002</v>
      </c>
    </row>
    <row r="591" spans="1:5" ht="12.5" x14ac:dyDescent="0.25">
      <c r="A591" s="11"/>
      <c r="B591" s="11"/>
      <c r="C591" s="12" t="s">
        <v>16</v>
      </c>
      <c r="D591" s="13"/>
      <c r="E591" s="14"/>
    </row>
    <row r="592" spans="1:5" ht="12.5" x14ac:dyDescent="0.25">
      <c r="A592" s="4">
        <v>1545</v>
      </c>
      <c r="B592" s="4" t="s">
        <v>5055</v>
      </c>
      <c r="C592" s="4" t="s">
        <v>10120</v>
      </c>
      <c r="D592" s="9">
        <v>5053.3871419999996</v>
      </c>
      <c r="E592" s="10">
        <v>2116.3660220000002</v>
      </c>
    </row>
    <row r="593" spans="1:5" ht="12.5" x14ac:dyDescent="0.25">
      <c r="A593" s="4">
        <v>1546</v>
      </c>
      <c r="B593" s="4" t="s">
        <v>5060</v>
      </c>
      <c r="C593" s="4" t="s">
        <v>16</v>
      </c>
      <c r="D593" s="9"/>
      <c r="E593" s="10"/>
    </row>
    <row r="594" spans="1:5" ht="12.5" x14ac:dyDescent="0.25">
      <c r="A594" s="4">
        <v>1548</v>
      </c>
      <c r="B594" s="4" t="s">
        <v>5063</v>
      </c>
      <c r="C594" s="4" t="s">
        <v>10130</v>
      </c>
      <c r="D594" s="9">
        <v>2800</v>
      </c>
      <c r="E594" s="10">
        <v>0</v>
      </c>
    </row>
    <row r="595" spans="1:5" ht="12.5" x14ac:dyDescent="0.25">
      <c r="A595" s="11"/>
      <c r="B595" s="11"/>
      <c r="C595" s="12" t="s">
        <v>16</v>
      </c>
      <c r="D595" s="13"/>
      <c r="E595" s="14"/>
    </row>
    <row r="596" spans="1:5" ht="12.5" x14ac:dyDescent="0.25">
      <c r="A596" s="4">
        <v>1549</v>
      </c>
      <c r="B596" s="4" t="s">
        <v>5570</v>
      </c>
      <c r="C596" s="4" t="s">
        <v>16</v>
      </c>
      <c r="D596" s="9"/>
      <c r="E596" s="10"/>
    </row>
    <row r="597" spans="1:5" ht="12.5" x14ac:dyDescent="0.25">
      <c r="A597" s="4">
        <v>1551</v>
      </c>
      <c r="B597" s="4" t="s">
        <v>5069</v>
      </c>
      <c r="C597" s="4" t="s">
        <v>16</v>
      </c>
      <c r="D597" s="9"/>
      <c r="E597" s="10"/>
    </row>
    <row r="598" spans="1:5" ht="12.5" x14ac:dyDescent="0.25">
      <c r="A598" s="4">
        <v>1552</v>
      </c>
      <c r="B598" s="4" t="s">
        <v>5073</v>
      </c>
      <c r="C598" s="4" t="s">
        <v>16</v>
      </c>
      <c r="D598" s="9"/>
      <c r="E598" s="10"/>
    </row>
    <row r="599" spans="1:5" ht="12.5" x14ac:dyDescent="0.25">
      <c r="A599" s="4">
        <v>1553</v>
      </c>
      <c r="B599" s="4" t="s">
        <v>5077</v>
      </c>
      <c r="C599" s="4" t="s">
        <v>16</v>
      </c>
      <c r="D599" s="9"/>
      <c r="E599" s="10"/>
    </row>
    <row r="600" spans="1:5" ht="12.5" x14ac:dyDescent="0.25">
      <c r="A600" s="4">
        <v>1554</v>
      </c>
      <c r="B600" s="4" t="s">
        <v>5082</v>
      </c>
      <c r="C600" s="4" t="s">
        <v>16</v>
      </c>
      <c r="D600" s="9"/>
      <c r="E600" s="10"/>
    </row>
    <row r="601" spans="1:5" ht="12.5" x14ac:dyDescent="0.25">
      <c r="A601" s="4">
        <v>1555</v>
      </c>
      <c r="B601" s="4" t="s">
        <v>5087</v>
      </c>
      <c r="C601" s="4" t="s">
        <v>16</v>
      </c>
      <c r="D601" s="9"/>
      <c r="E601" s="10"/>
    </row>
    <row r="602" spans="1:5" ht="12.5" x14ac:dyDescent="0.25">
      <c r="A602" s="4">
        <v>1556</v>
      </c>
      <c r="B602" s="4" t="s">
        <v>5092</v>
      </c>
      <c r="C602" s="4" t="s">
        <v>16</v>
      </c>
      <c r="D602" s="9"/>
      <c r="E602" s="10"/>
    </row>
    <row r="603" spans="1:5" ht="12.5" x14ac:dyDescent="0.25">
      <c r="A603" s="4">
        <v>1557</v>
      </c>
      <c r="B603" s="4" t="s">
        <v>5096</v>
      </c>
      <c r="C603" s="4" t="s">
        <v>16</v>
      </c>
      <c r="D603" s="9"/>
      <c r="E603" s="10"/>
    </row>
    <row r="604" spans="1:5" ht="12.5" x14ac:dyDescent="0.25">
      <c r="A604" s="4">
        <v>1558</v>
      </c>
      <c r="B604" s="4" t="s">
        <v>5100</v>
      </c>
      <c r="C604" s="4" t="s">
        <v>16</v>
      </c>
      <c r="D604" s="9"/>
      <c r="E604" s="10"/>
    </row>
    <row r="605" spans="1:5" ht="12.5" x14ac:dyDescent="0.25">
      <c r="A605" s="4">
        <v>1559</v>
      </c>
      <c r="B605" s="4" t="s">
        <v>5104</v>
      </c>
      <c r="C605" s="4" t="s">
        <v>16</v>
      </c>
      <c r="D605" s="9"/>
      <c r="E605" s="10"/>
    </row>
    <row r="606" spans="1:5" ht="12.5" x14ac:dyDescent="0.25">
      <c r="A606" s="4">
        <v>1560</v>
      </c>
      <c r="B606" s="4" t="s">
        <v>5108</v>
      </c>
      <c r="C606" s="4" t="s">
        <v>16</v>
      </c>
      <c r="D606" s="9"/>
      <c r="E606" s="10"/>
    </row>
    <row r="607" spans="1:5" ht="12.5" x14ac:dyDescent="0.25">
      <c r="A607" s="4">
        <v>1561</v>
      </c>
      <c r="B607" s="4" t="s">
        <v>5112</v>
      </c>
      <c r="C607" s="4" t="s">
        <v>10130</v>
      </c>
      <c r="D607" s="9">
        <v>19900</v>
      </c>
      <c r="E607" s="10">
        <v>0</v>
      </c>
    </row>
    <row r="608" spans="1:5" ht="12.5" x14ac:dyDescent="0.25">
      <c r="A608" s="11"/>
      <c r="B608" s="11"/>
      <c r="C608" s="12" t="s">
        <v>16</v>
      </c>
      <c r="D608" s="13"/>
      <c r="E608" s="14"/>
    </row>
    <row r="609" spans="1:5" ht="12.5" x14ac:dyDescent="0.25">
      <c r="A609" s="4">
        <v>1562</v>
      </c>
      <c r="B609" s="4" t="s">
        <v>5115</v>
      </c>
      <c r="C609" s="4" t="s">
        <v>16</v>
      </c>
      <c r="D609" s="9"/>
      <c r="E609" s="10"/>
    </row>
    <row r="610" spans="1:5" ht="12.5" x14ac:dyDescent="0.25">
      <c r="A610" s="4">
        <v>1564</v>
      </c>
      <c r="B610" s="4" t="s">
        <v>5119</v>
      </c>
      <c r="C610" s="4" t="s">
        <v>16</v>
      </c>
      <c r="D610" s="9"/>
      <c r="E610" s="10"/>
    </row>
    <row r="611" spans="1:5" ht="12.5" x14ac:dyDescent="0.25">
      <c r="A611" s="4">
        <v>1566</v>
      </c>
      <c r="B611" s="4" t="s">
        <v>5123</v>
      </c>
      <c r="C611" s="4" t="s">
        <v>16</v>
      </c>
      <c r="D611" s="9"/>
      <c r="E611" s="10"/>
    </row>
    <row r="612" spans="1:5" ht="12.5" x14ac:dyDescent="0.25">
      <c r="A612" s="4">
        <v>1567</v>
      </c>
      <c r="B612" s="4" t="s">
        <v>5127</v>
      </c>
      <c r="C612" s="4" t="s">
        <v>16</v>
      </c>
      <c r="D612" s="9"/>
      <c r="E612" s="10"/>
    </row>
    <row r="613" spans="1:5" ht="12.5" x14ac:dyDescent="0.25">
      <c r="A613" s="4">
        <v>1568</v>
      </c>
      <c r="B613" s="4" t="s">
        <v>5131</v>
      </c>
      <c r="C613" s="4" t="s">
        <v>16</v>
      </c>
      <c r="D613" s="9"/>
      <c r="E613" s="10"/>
    </row>
    <row r="614" spans="1:5" ht="12.5" x14ac:dyDescent="0.25">
      <c r="A614" s="4">
        <v>1569</v>
      </c>
      <c r="B614" s="4" t="s">
        <v>5135</v>
      </c>
      <c r="C614" s="4" t="s">
        <v>16</v>
      </c>
      <c r="D614" s="9"/>
      <c r="E614" s="10"/>
    </row>
    <row r="615" spans="1:5" ht="12.5" x14ac:dyDescent="0.25">
      <c r="A615" s="4">
        <v>1570</v>
      </c>
      <c r="B615" s="4" t="s">
        <v>5139</v>
      </c>
      <c r="C615" s="4" t="s">
        <v>16</v>
      </c>
      <c r="D615" s="9"/>
      <c r="E615" s="10"/>
    </row>
    <row r="616" spans="1:5" ht="12.5" x14ac:dyDescent="0.25">
      <c r="A616" s="4">
        <v>1571</v>
      </c>
      <c r="B616" s="4" t="s">
        <v>6981</v>
      </c>
      <c r="C616" s="4" t="s">
        <v>16</v>
      </c>
      <c r="D616" s="9"/>
      <c r="E616" s="10"/>
    </row>
    <row r="617" spans="1:5" ht="12.5" x14ac:dyDescent="0.25">
      <c r="A617" s="4">
        <v>1573</v>
      </c>
      <c r="B617" s="4" t="s">
        <v>5142</v>
      </c>
      <c r="C617" s="4" t="s">
        <v>16</v>
      </c>
      <c r="D617" s="9"/>
      <c r="E617" s="10"/>
    </row>
    <row r="618" spans="1:5" ht="12.5" x14ac:dyDescent="0.25">
      <c r="A618" s="4">
        <v>1574</v>
      </c>
      <c r="B618" s="4" t="s">
        <v>5145</v>
      </c>
      <c r="C618" s="4" t="s">
        <v>16</v>
      </c>
      <c r="D618" s="9">
        <v>65672.25</v>
      </c>
      <c r="E618" s="10">
        <v>54247.520900000003</v>
      </c>
    </row>
    <row r="619" spans="1:5" ht="12.5" x14ac:dyDescent="0.25">
      <c r="A619" s="4">
        <v>1575</v>
      </c>
      <c r="B619" s="4" t="s">
        <v>5150</v>
      </c>
      <c r="C619" s="4" t="s">
        <v>16</v>
      </c>
      <c r="D619" s="9">
        <v>65672.25</v>
      </c>
      <c r="E619" s="10">
        <v>54247.520900000003</v>
      </c>
    </row>
    <row r="620" spans="1:5" ht="12.5" x14ac:dyDescent="0.25">
      <c r="A620" s="4">
        <v>1576</v>
      </c>
      <c r="B620" s="4" t="s">
        <v>5151</v>
      </c>
      <c r="C620" s="4" t="s">
        <v>16</v>
      </c>
      <c r="D620" s="9"/>
      <c r="E620" s="10"/>
    </row>
    <row r="621" spans="1:5" ht="12.5" x14ac:dyDescent="0.25">
      <c r="A621" s="4">
        <v>1577</v>
      </c>
      <c r="B621" s="4" t="s">
        <v>5155</v>
      </c>
      <c r="C621" s="4" t="s">
        <v>16</v>
      </c>
      <c r="D621" s="9"/>
      <c r="E621" s="10"/>
    </row>
    <row r="622" spans="1:5" ht="12.5" x14ac:dyDescent="0.25">
      <c r="A622" s="4">
        <v>1578</v>
      </c>
      <c r="B622" s="4" t="s">
        <v>5159</v>
      </c>
      <c r="C622" s="4" t="s">
        <v>16</v>
      </c>
      <c r="D622" s="9"/>
      <c r="E622" s="10"/>
    </row>
    <row r="623" spans="1:5" ht="12.5" x14ac:dyDescent="0.25">
      <c r="A623" s="4">
        <v>1582</v>
      </c>
      <c r="B623" s="4" t="s">
        <v>8053</v>
      </c>
      <c r="C623" s="4" t="s">
        <v>16</v>
      </c>
      <c r="D623" s="9"/>
      <c r="E623" s="10"/>
    </row>
    <row r="624" spans="1:5" ht="12.5" x14ac:dyDescent="0.25">
      <c r="A624" s="4">
        <v>1583</v>
      </c>
      <c r="B624" s="4" t="s">
        <v>5163</v>
      </c>
      <c r="C624" s="4" t="s">
        <v>16</v>
      </c>
      <c r="D624" s="9"/>
      <c r="E624" s="10"/>
    </row>
    <row r="625" spans="1:5" ht="12.5" x14ac:dyDescent="0.25">
      <c r="A625" s="4">
        <v>1586</v>
      </c>
      <c r="B625" s="4" t="s">
        <v>5167</v>
      </c>
      <c r="C625" s="4" t="s">
        <v>16</v>
      </c>
      <c r="D625" s="9"/>
      <c r="E625" s="10"/>
    </row>
    <row r="626" spans="1:5" ht="12.5" x14ac:dyDescent="0.25">
      <c r="A626" s="4">
        <v>1588</v>
      </c>
      <c r="B626" s="4" t="s">
        <v>5170</v>
      </c>
      <c r="C626" s="4" t="s">
        <v>10130</v>
      </c>
      <c r="D626" s="9">
        <v>110000</v>
      </c>
      <c r="E626" s="10">
        <v>0</v>
      </c>
    </row>
    <row r="627" spans="1:5" ht="12.5" x14ac:dyDescent="0.25">
      <c r="A627" s="4">
        <v>1589</v>
      </c>
      <c r="B627" s="4" t="s">
        <v>7615</v>
      </c>
      <c r="C627" s="4" t="s">
        <v>10130</v>
      </c>
      <c r="D627" s="9">
        <v>3800</v>
      </c>
      <c r="E627" s="10">
        <v>3800</v>
      </c>
    </row>
    <row r="628" spans="1:5" ht="12.5" x14ac:dyDescent="0.25">
      <c r="A628" s="4">
        <v>1591</v>
      </c>
      <c r="B628" s="4" t="s">
        <v>9177</v>
      </c>
      <c r="C628" s="4" t="s">
        <v>16</v>
      </c>
      <c r="D628" s="9"/>
      <c r="E628" s="10"/>
    </row>
    <row r="629" spans="1:5" ht="12.5" x14ac:dyDescent="0.25">
      <c r="A629" s="4">
        <v>1592</v>
      </c>
      <c r="B629" s="4" t="s">
        <v>5174</v>
      </c>
      <c r="C629" s="4" t="s">
        <v>16</v>
      </c>
      <c r="D629" s="9"/>
      <c r="E629" s="10"/>
    </row>
    <row r="630" spans="1:5" ht="12.5" x14ac:dyDescent="0.25">
      <c r="A630" s="4">
        <v>1593</v>
      </c>
      <c r="B630" s="4" t="s">
        <v>5177</v>
      </c>
      <c r="C630" s="4" t="s">
        <v>10130</v>
      </c>
      <c r="D630" s="9">
        <v>3700</v>
      </c>
      <c r="E630" s="10">
        <v>3700</v>
      </c>
    </row>
    <row r="631" spans="1:5" ht="12.5" x14ac:dyDescent="0.25">
      <c r="A631" s="4">
        <v>1594</v>
      </c>
      <c r="B631" s="4" t="s">
        <v>5181</v>
      </c>
      <c r="C631" s="4" t="s">
        <v>10130</v>
      </c>
      <c r="D631" s="9">
        <v>2200</v>
      </c>
      <c r="E631" s="10">
        <v>0</v>
      </c>
    </row>
    <row r="632" spans="1:5" ht="12.5" x14ac:dyDescent="0.25">
      <c r="A632" s="11"/>
      <c r="B632" s="11"/>
      <c r="C632" s="12" t="s">
        <v>16</v>
      </c>
      <c r="D632" s="13"/>
      <c r="E632" s="14"/>
    </row>
    <row r="633" spans="1:5" ht="12.5" x14ac:dyDescent="0.25">
      <c r="A633" s="4">
        <v>1596</v>
      </c>
      <c r="B633" s="4" t="s">
        <v>5185</v>
      </c>
      <c r="C633" s="4" t="s">
        <v>16</v>
      </c>
      <c r="D633" s="9"/>
      <c r="E633" s="10"/>
    </row>
    <row r="634" spans="1:5" ht="12.5" x14ac:dyDescent="0.25">
      <c r="A634" s="4">
        <v>1599</v>
      </c>
      <c r="B634" s="4" t="s">
        <v>5189</v>
      </c>
      <c r="C634" s="4" t="s">
        <v>16</v>
      </c>
      <c r="D634" s="9"/>
      <c r="E634" s="10"/>
    </row>
    <row r="635" spans="1:5" ht="12.5" x14ac:dyDescent="0.25">
      <c r="A635" s="4">
        <v>1600</v>
      </c>
      <c r="B635" s="4" t="s">
        <v>5192</v>
      </c>
      <c r="C635" s="4" t="s">
        <v>16</v>
      </c>
      <c r="D635" s="9"/>
      <c r="E635" s="10"/>
    </row>
    <row r="636" spans="1:5" ht="12.5" x14ac:dyDescent="0.25">
      <c r="A636" s="4">
        <v>1602</v>
      </c>
      <c r="B636" s="4" t="s">
        <v>5197</v>
      </c>
      <c r="C636" s="4" t="s">
        <v>16</v>
      </c>
      <c r="D636" s="9"/>
      <c r="E636" s="10"/>
    </row>
    <row r="637" spans="1:5" ht="12.5" x14ac:dyDescent="0.25">
      <c r="A637" s="4">
        <v>1604</v>
      </c>
      <c r="B637" s="4" t="s">
        <v>5201</v>
      </c>
      <c r="C637" s="4" t="s">
        <v>16</v>
      </c>
      <c r="D637" s="9"/>
      <c r="E637" s="10"/>
    </row>
    <row r="638" spans="1:5" ht="12.5" x14ac:dyDescent="0.25">
      <c r="A638" s="4">
        <v>1605</v>
      </c>
      <c r="B638" s="4" t="s">
        <v>5205</v>
      </c>
      <c r="C638" s="4" t="s">
        <v>16</v>
      </c>
      <c r="D638" s="9"/>
      <c r="E638" s="10"/>
    </row>
    <row r="639" spans="1:5" ht="12.5" x14ac:dyDescent="0.25">
      <c r="A639" s="4">
        <v>1606</v>
      </c>
      <c r="B639" s="4" t="s">
        <v>5208</v>
      </c>
      <c r="C639" s="4" t="s">
        <v>16</v>
      </c>
      <c r="D639" s="9"/>
      <c r="E639" s="10"/>
    </row>
    <row r="640" spans="1:5" ht="12.5" x14ac:dyDescent="0.25">
      <c r="A640" s="4">
        <v>1609</v>
      </c>
      <c r="B640" s="4" t="s">
        <v>5212</v>
      </c>
      <c r="C640" s="4" t="s">
        <v>16</v>
      </c>
      <c r="D640" s="9"/>
      <c r="E640" s="10"/>
    </row>
    <row r="641" spans="1:5" ht="12.5" x14ac:dyDescent="0.25">
      <c r="A641" s="4">
        <v>1611</v>
      </c>
      <c r="B641" s="4" t="s">
        <v>8047</v>
      </c>
      <c r="C641" s="4" t="s">
        <v>16</v>
      </c>
      <c r="D641" s="9"/>
      <c r="E641" s="10"/>
    </row>
    <row r="642" spans="1:5" ht="12.5" x14ac:dyDescent="0.25">
      <c r="A642" s="4">
        <v>1615</v>
      </c>
      <c r="B642" s="4" t="s">
        <v>5216</v>
      </c>
      <c r="C642" s="4" t="s">
        <v>10130</v>
      </c>
      <c r="D642" s="9">
        <v>80000</v>
      </c>
      <c r="E642" s="10">
        <v>80000</v>
      </c>
    </row>
    <row r="643" spans="1:5" ht="12.5" x14ac:dyDescent="0.25">
      <c r="A643" s="4">
        <v>1618</v>
      </c>
      <c r="B643" s="4" t="s">
        <v>5976</v>
      </c>
      <c r="C643" s="4" t="s">
        <v>16</v>
      </c>
      <c r="D643" s="9"/>
      <c r="E643" s="10"/>
    </row>
    <row r="644" spans="1:5" ht="12.5" x14ac:dyDescent="0.25">
      <c r="A644" s="4">
        <v>1621</v>
      </c>
      <c r="B644" s="4" t="s">
        <v>5221</v>
      </c>
      <c r="C644" s="4" t="s">
        <v>10130</v>
      </c>
      <c r="D644" s="9">
        <v>1100</v>
      </c>
      <c r="E644" s="10">
        <v>1031.3516999999999</v>
      </c>
    </row>
    <row r="645" spans="1:5" ht="12.5" x14ac:dyDescent="0.25">
      <c r="A645" s="11"/>
      <c r="B645" s="11"/>
      <c r="C645" s="12" t="s">
        <v>16</v>
      </c>
      <c r="D645" s="13"/>
      <c r="E645" s="14"/>
    </row>
    <row r="646" spans="1:5" ht="12.5" x14ac:dyDescent="0.25">
      <c r="A646" s="4">
        <v>1623</v>
      </c>
      <c r="B646" s="4" t="s">
        <v>666</v>
      </c>
      <c r="C646" s="4" t="s">
        <v>16</v>
      </c>
      <c r="D646" s="9"/>
      <c r="E646" s="10"/>
    </row>
    <row r="647" spans="1:5" ht="12.5" x14ac:dyDescent="0.25">
      <c r="A647" s="4">
        <v>1624</v>
      </c>
      <c r="B647" s="4" t="s">
        <v>5903</v>
      </c>
      <c r="C647" s="4" t="s">
        <v>16</v>
      </c>
      <c r="D647" s="9"/>
      <c r="E647" s="10"/>
    </row>
    <row r="648" spans="1:5" ht="12.5" x14ac:dyDescent="0.25">
      <c r="A648" s="4">
        <v>1626</v>
      </c>
      <c r="B648" s="4" t="s">
        <v>5225</v>
      </c>
      <c r="C648" s="4" t="s">
        <v>16</v>
      </c>
      <c r="D648" s="9"/>
      <c r="E648" s="10"/>
    </row>
    <row r="649" spans="1:5" ht="12.5" x14ac:dyDescent="0.25">
      <c r="A649" s="4">
        <v>1627</v>
      </c>
      <c r="B649" s="4" t="s">
        <v>5229</v>
      </c>
      <c r="C649" s="4" t="s">
        <v>16</v>
      </c>
      <c r="D649" s="9"/>
      <c r="E649" s="10"/>
    </row>
    <row r="650" spans="1:5" ht="12.5" x14ac:dyDescent="0.25">
      <c r="A650" s="4">
        <v>1628</v>
      </c>
      <c r="B650" s="4" t="s">
        <v>5233</v>
      </c>
      <c r="C650" s="4" t="s">
        <v>10130</v>
      </c>
      <c r="D650" s="9">
        <v>1500</v>
      </c>
      <c r="E650" s="10">
        <v>1399.0409999999999</v>
      </c>
    </row>
    <row r="651" spans="1:5" ht="12.5" x14ac:dyDescent="0.25">
      <c r="A651" s="4">
        <v>1629</v>
      </c>
      <c r="B651" s="4" t="s">
        <v>8043</v>
      </c>
      <c r="C651" s="4" t="s">
        <v>16</v>
      </c>
      <c r="D651" s="9"/>
      <c r="E651" s="10"/>
    </row>
    <row r="652" spans="1:5" ht="12.5" x14ac:dyDescent="0.25">
      <c r="A652" s="4">
        <v>1630</v>
      </c>
      <c r="B652" s="4" t="s">
        <v>8039</v>
      </c>
      <c r="C652" s="4" t="s">
        <v>16</v>
      </c>
      <c r="D652" s="9"/>
      <c r="E652" s="10"/>
    </row>
    <row r="653" spans="1:5" ht="12.5" x14ac:dyDescent="0.25">
      <c r="A653" s="4">
        <v>1631</v>
      </c>
      <c r="B653" s="4" t="s">
        <v>8035</v>
      </c>
      <c r="C653" s="4" t="s">
        <v>16</v>
      </c>
      <c r="D653" s="9"/>
      <c r="E653" s="10"/>
    </row>
    <row r="654" spans="1:5" ht="12.5" x14ac:dyDescent="0.25">
      <c r="A654" s="4">
        <v>1632</v>
      </c>
      <c r="B654" s="4" t="s">
        <v>9911</v>
      </c>
      <c r="C654" s="4" t="s">
        <v>16</v>
      </c>
      <c r="D654" s="9"/>
      <c r="E654" s="10"/>
    </row>
    <row r="655" spans="1:5" ht="12.5" x14ac:dyDescent="0.25">
      <c r="A655" s="4">
        <v>1633</v>
      </c>
      <c r="B655" s="4" t="s">
        <v>5238</v>
      </c>
      <c r="C655" s="4" t="s">
        <v>16</v>
      </c>
      <c r="D655" s="9"/>
      <c r="E655" s="10"/>
    </row>
    <row r="656" spans="1:5" ht="12.5" x14ac:dyDescent="0.25">
      <c r="A656" s="4">
        <v>1634</v>
      </c>
      <c r="B656" s="4" t="s">
        <v>8031</v>
      </c>
      <c r="C656" s="4" t="s">
        <v>16</v>
      </c>
      <c r="D656" s="9"/>
      <c r="E656" s="10"/>
    </row>
    <row r="657" spans="1:5" ht="12.5" x14ac:dyDescent="0.25">
      <c r="A657" s="4">
        <v>1635</v>
      </c>
      <c r="B657" s="4" t="s">
        <v>5241</v>
      </c>
      <c r="C657" s="4" t="s">
        <v>16</v>
      </c>
      <c r="D657" s="9"/>
      <c r="E657" s="10"/>
    </row>
    <row r="658" spans="1:5" ht="12.5" x14ac:dyDescent="0.25">
      <c r="A658" s="4">
        <v>1636</v>
      </c>
      <c r="B658" s="4" t="s">
        <v>5247</v>
      </c>
      <c r="C658" s="4" t="s">
        <v>16</v>
      </c>
      <c r="D658" s="9"/>
      <c r="E658" s="10"/>
    </row>
    <row r="659" spans="1:5" ht="12.5" x14ac:dyDescent="0.25">
      <c r="A659" s="4">
        <v>1639</v>
      </c>
      <c r="B659" s="4" t="s">
        <v>8027</v>
      </c>
      <c r="C659" s="4" t="s">
        <v>16</v>
      </c>
      <c r="D659" s="9"/>
      <c r="E659" s="10"/>
    </row>
    <row r="660" spans="1:5" ht="12.5" x14ac:dyDescent="0.25">
      <c r="A660" s="4">
        <v>1640</v>
      </c>
      <c r="B660" s="4" t="s">
        <v>8023</v>
      </c>
      <c r="C660" s="4" t="s">
        <v>16</v>
      </c>
      <c r="D660" s="9"/>
      <c r="E660" s="10"/>
    </row>
    <row r="661" spans="1:5" ht="12.5" x14ac:dyDescent="0.25">
      <c r="A661" s="4">
        <v>1641</v>
      </c>
      <c r="B661" s="4" t="s">
        <v>5249</v>
      </c>
      <c r="C661" s="4" t="s">
        <v>16</v>
      </c>
      <c r="D661" s="9"/>
      <c r="E661" s="10"/>
    </row>
    <row r="662" spans="1:5" ht="12.5" x14ac:dyDescent="0.25">
      <c r="A662" s="4">
        <v>1642</v>
      </c>
      <c r="B662" s="4" t="s">
        <v>8019</v>
      </c>
      <c r="C662" s="4" t="s">
        <v>16</v>
      </c>
      <c r="D662" s="9"/>
      <c r="E662" s="10"/>
    </row>
    <row r="663" spans="1:5" ht="12.5" x14ac:dyDescent="0.25">
      <c r="A663" s="4">
        <v>1643</v>
      </c>
      <c r="B663" s="4" t="s">
        <v>5253</v>
      </c>
      <c r="C663" s="4" t="s">
        <v>10130</v>
      </c>
      <c r="D663" s="9">
        <v>11000</v>
      </c>
      <c r="E663" s="10">
        <v>0</v>
      </c>
    </row>
    <row r="664" spans="1:5" ht="12.5" x14ac:dyDescent="0.25">
      <c r="A664" s="11"/>
      <c r="B664" s="11"/>
      <c r="C664" s="12" t="s">
        <v>16</v>
      </c>
      <c r="D664" s="13"/>
      <c r="E664" s="14"/>
    </row>
    <row r="665" spans="1:5" ht="12.5" x14ac:dyDescent="0.25">
      <c r="A665" s="4">
        <v>1644</v>
      </c>
      <c r="B665" s="4" t="s">
        <v>5256</v>
      </c>
      <c r="C665" s="4" t="s">
        <v>10130</v>
      </c>
      <c r="D665" s="9">
        <v>33500</v>
      </c>
      <c r="E665" s="10">
        <v>0</v>
      </c>
    </row>
    <row r="666" spans="1:5" ht="12.5" x14ac:dyDescent="0.25">
      <c r="A666" s="11"/>
      <c r="B666" s="11"/>
      <c r="C666" s="12" t="s">
        <v>16</v>
      </c>
      <c r="D666" s="13"/>
      <c r="E666" s="14"/>
    </row>
    <row r="667" spans="1:5" ht="12.5" x14ac:dyDescent="0.25">
      <c r="A667" s="4">
        <v>1646</v>
      </c>
      <c r="B667" s="4" t="s">
        <v>5260</v>
      </c>
      <c r="C667" s="4" t="s">
        <v>16</v>
      </c>
      <c r="D667" s="9"/>
      <c r="E667" s="10"/>
    </row>
    <row r="668" spans="1:5" ht="12.5" x14ac:dyDescent="0.25">
      <c r="A668" s="4">
        <v>1648</v>
      </c>
      <c r="B668" s="4" t="s">
        <v>5264</v>
      </c>
      <c r="C668" s="4" t="s">
        <v>16</v>
      </c>
      <c r="D668" s="9"/>
      <c r="E668" s="10"/>
    </row>
    <row r="669" spans="1:5" ht="12.5" x14ac:dyDescent="0.25">
      <c r="A669" s="4">
        <v>1649</v>
      </c>
      <c r="B669" s="4" t="s">
        <v>5268</v>
      </c>
      <c r="C669" s="4" t="s">
        <v>16</v>
      </c>
      <c r="D669" s="9"/>
      <c r="E669" s="10"/>
    </row>
    <row r="670" spans="1:5" ht="12.5" x14ac:dyDescent="0.25">
      <c r="A670" s="4">
        <v>1655</v>
      </c>
      <c r="B670" s="4" t="s">
        <v>8015</v>
      </c>
      <c r="C670" s="4" t="s">
        <v>16</v>
      </c>
      <c r="D670" s="9"/>
      <c r="E670" s="10"/>
    </row>
    <row r="671" spans="1:5" ht="12.5" x14ac:dyDescent="0.25">
      <c r="A671" s="4">
        <v>1656</v>
      </c>
      <c r="B671" s="4" t="s">
        <v>8011</v>
      </c>
      <c r="C671" s="4" t="s">
        <v>16</v>
      </c>
      <c r="D671" s="9"/>
      <c r="E671" s="10"/>
    </row>
    <row r="672" spans="1:5" ht="12.5" x14ac:dyDescent="0.25">
      <c r="A672" s="4">
        <v>1658</v>
      </c>
      <c r="B672" s="4" t="s">
        <v>8006</v>
      </c>
      <c r="C672" s="4" t="s">
        <v>16</v>
      </c>
      <c r="D672" s="9"/>
      <c r="E672" s="10"/>
    </row>
    <row r="673" spans="1:5" ht="12.5" x14ac:dyDescent="0.25">
      <c r="A673" s="4">
        <v>1659</v>
      </c>
      <c r="B673" s="4" t="s">
        <v>8002</v>
      </c>
      <c r="C673" s="4" t="s">
        <v>16</v>
      </c>
      <c r="D673" s="9"/>
      <c r="E673" s="10"/>
    </row>
    <row r="674" spans="1:5" ht="12.5" x14ac:dyDescent="0.25">
      <c r="A674" s="4">
        <v>1660</v>
      </c>
      <c r="B674" s="4" t="s">
        <v>5271</v>
      </c>
      <c r="C674" s="4" t="s">
        <v>16</v>
      </c>
      <c r="D674" s="9"/>
      <c r="E674" s="10"/>
    </row>
    <row r="675" spans="1:5" ht="12.5" x14ac:dyDescent="0.25">
      <c r="A675" s="4">
        <v>1661</v>
      </c>
      <c r="B675" s="4" t="s">
        <v>5275</v>
      </c>
      <c r="C675" s="4" t="s">
        <v>16</v>
      </c>
      <c r="D675" s="9"/>
      <c r="E675" s="10"/>
    </row>
    <row r="676" spans="1:5" ht="12.5" x14ac:dyDescent="0.25">
      <c r="A676" s="4">
        <v>1664</v>
      </c>
      <c r="B676" s="4" t="s">
        <v>7998</v>
      </c>
      <c r="C676" s="4" t="s">
        <v>16</v>
      </c>
      <c r="D676" s="9"/>
      <c r="E676" s="10"/>
    </row>
    <row r="677" spans="1:5" ht="12.5" x14ac:dyDescent="0.25">
      <c r="A677" s="4">
        <v>1666</v>
      </c>
      <c r="B677" s="4" t="s">
        <v>5279</v>
      </c>
      <c r="C677" s="4" t="s">
        <v>16</v>
      </c>
      <c r="D677" s="9"/>
      <c r="E677" s="10"/>
    </row>
    <row r="678" spans="1:5" ht="12.5" x14ac:dyDescent="0.25">
      <c r="A678" s="4">
        <v>1667</v>
      </c>
      <c r="B678" s="4" t="s">
        <v>5282</v>
      </c>
      <c r="C678" s="4" t="s">
        <v>16</v>
      </c>
      <c r="D678" s="9"/>
      <c r="E678" s="10"/>
    </row>
    <row r="679" spans="1:5" ht="12.5" x14ac:dyDescent="0.25">
      <c r="A679" s="4">
        <v>1668</v>
      </c>
      <c r="B679" s="4" t="s">
        <v>7994</v>
      </c>
      <c r="C679" s="4" t="s">
        <v>16</v>
      </c>
      <c r="D679" s="9"/>
      <c r="E679" s="10"/>
    </row>
    <row r="680" spans="1:5" ht="12.5" x14ac:dyDescent="0.25">
      <c r="A680" s="4">
        <v>1670</v>
      </c>
      <c r="B680" s="4" t="s">
        <v>5286</v>
      </c>
      <c r="C680" s="4" t="s">
        <v>16</v>
      </c>
      <c r="D680" s="9"/>
      <c r="E680" s="10"/>
    </row>
    <row r="681" spans="1:5" ht="12.5" x14ac:dyDescent="0.25">
      <c r="A681" s="4">
        <v>1671</v>
      </c>
      <c r="B681" s="4" t="s">
        <v>5289</v>
      </c>
      <c r="C681" s="4" t="s">
        <v>16</v>
      </c>
      <c r="D681" s="9"/>
      <c r="E681" s="10"/>
    </row>
    <row r="682" spans="1:5" ht="12.5" x14ac:dyDescent="0.25">
      <c r="A682" s="4">
        <v>1672</v>
      </c>
      <c r="B682" s="4" t="s">
        <v>5293</v>
      </c>
      <c r="C682" s="4" t="s">
        <v>16</v>
      </c>
      <c r="D682" s="9"/>
      <c r="E682" s="10"/>
    </row>
    <row r="683" spans="1:5" ht="12.5" x14ac:dyDescent="0.25">
      <c r="A683" s="4">
        <v>1674</v>
      </c>
      <c r="B683" s="4" t="s">
        <v>5297</v>
      </c>
      <c r="C683" s="4" t="s">
        <v>16</v>
      </c>
      <c r="D683" s="9"/>
      <c r="E683" s="10"/>
    </row>
    <row r="684" spans="1:5" ht="12.5" x14ac:dyDescent="0.25">
      <c r="A684" s="4">
        <v>1675</v>
      </c>
      <c r="B684" s="4" t="s">
        <v>5301</v>
      </c>
      <c r="C684" s="4" t="s">
        <v>16</v>
      </c>
      <c r="D684" s="9"/>
      <c r="E684" s="10"/>
    </row>
    <row r="685" spans="1:5" ht="12.5" x14ac:dyDescent="0.25">
      <c r="A685" s="4">
        <v>1676</v>
      </c>
      <c r="B685" s="4" t="s">
        <v>5304</v>
      </c>
      <c r="C685" s="4" t="s">
        <v>16</v>
      </c>
      <c r="D685" s="9"/>
      <c r="E685" s="10"/>
    </row>
    <row r="686" spans="1:5" ht="12.5" x14ac:dyDescent="0.25">
      <c r="A686" s="4">
        <v>1677</v>
      </c>
      <c r="B686" s="4" t="s">
        <v>5308</v>
      </c>
      <c r="C686" s="4" t="s">
        <v>16</v>
      </c>
      <c r="D686" s="9"/>
      <c r="E686" s="10"/>
    </row>
    <row r="687" spans="1:5" ht="12.5" x14ac:dyDescent="0.25">
      <c r="A687" s="4">
        <v>1678</v>
      </c>
      <c r="B687" s="4" t="s">
        <v>5312</v>
      </c>
      <c r="C687" s="4" t="s">
        <v>16</v>
      </c>
      <c r="D687" s="9"/>
      <c r="E687" s="10"/>
    </row>
    <row r="688" spans="1:5" ht="12.5" x14ac:dyDescent="0.25">
      <c r="A688" s="4">
        <v>1679</v>
      </c>
      <c r="B688" s="4" t="s">
        <v>5316</v>
      </c>
      <c r="C688" s="4" t="s">
        <v>16</v>
      </c>
      <c r="D688" s="9"/>
      <c r="E688" s="10"/>
    </row>
    <row r="689" spans="1:5" ht="12.5" x14ac:dyDescent="0.25">
      <c r="A689" s="4">
        <v>1680</v>
      </c>
      <c r="B689" s="4" t="s">
        <v>5319</v>
      </c>
      <c r="C689" s="4" t="s">
        <v>10130</v>
      </c>
      <c r="D689" s="9">
        <v>1300</v>
      </c>
      <c r="E689" s="10">
        <v>0</v>
      </c>
    </row>
    <row r="690" spans="1:5" ht="12.5" x14ac:dyDescent="0.25">
      <c r="A690" s="11"/>
      <c r="B690" s="11"/>
      <c r="C690" s="12" t="s">
        <v>16</v>
      </c>
      <c r="D690" s="13"/>
      <c r="E690" s="14"/>
    </row>
    <row r="691" spans="1:5" ht="12.5" x14ac:dyDescent="0.25">
      <c r="A691" s="4">
        <v>1681</v>
      </c>
      <c r="B691" s="4" t="s">
        <v>5323</v>
      </c>
      <c r="C691" s="4" t="s">
        <v>16</v>
      </c>
      <c r="D691" s="9"/>
      <c r="E691" s="10"/>
    </row>
    <row r="692" spans="1:5" ht="12.5" x14ac:dyDescent="0.25">
      <c r="A692" s="4">
        <v>1683</v>
      </c>
      <c r="B692" s="4" t="s">
        <v>5326</v>
      </c>
      <c r="C692" s="4" t="s">
        <v>16</v>
      </c>
      <c r="D692" s="9"/>
      <c r="E692" s="10"/>
    </row>
    <row r="693" spans="1:5" ht="12.5" x14ac:dyDescent="0.25">
      <c r="A693" s="4">
        <v>1684</v>
      </c>
      <c r="B693" s="4" t="s">
        <v>5330</v>
      </c>
      <c r="C693" s="4" t="s">
        <v>10130</v>
      </c>
      <c r="D693" s="9">
        <v>100000</v>
      </c>
      <c r="E693" s="10">
        <v>0</v>
      </c>
    </row>
    <row r="694" spans="1:5" ht="12.5" x14ac:dyDescent="0.25">
      <c r="A694" s="4">
        <v>1685</v>
      </c>
      <c r="B694" s="4" t="s">
        <v>5334</v>
      </c>
      <c r="C694" s="4" t="s">
        <v>16</v>
      </c>
      <c r="D694" s="9"/>
      <c r="E694" s="10"/>
    </row>
    <row r="695" spans="1:5" ht="12.5" x14ac:dyDescent="0.25">
      <c r="A695" s="4">
        <v>1686</v>
      </c>
      <c r="B695" s="4" t="s">
        <v>7610</v>
      </c>
      <c r="C695" s="4" t="s">
        <v>10130</v>
      </c>
      <c r="D695" s="9">
        <v>1300</v>
      </c>
      <c r="E695" s="10">
        <v>0</v>
      </c>
    </row>
    <row r="696" spans="1:5" ht="12.5" x14ac:dyDescent="0.25">
      <c r="A696" s="4">
        <v>1687</v>
      </c>
      <c r="B696" s="4" t="s">
        <v>6305</v>
      </c>
      <c r="C696" s="4" t="s">
        <v>10130</v>
      </c>
      <c r="D696" s="9">
        <v>2000</v>
      </c>
      <c r="E696" s="10">
        <v>0</v>
      </c>
    </row>
    <row r="697" spans="1:5" ht="12.5" x14ac:dyDescent="0.25">
      <c r="A697" s="4">
        <v>1688</v>
      </c>
      <c r="B697" s="4" t="s">
        <v>5338</v>
      </c>
      <c r="C697" s="4" t="s">
        <v>10130</v>
      </c>
      <c r="D697" s="9">
        <v>120000</v>
      </c>
      <c r="E697" s="10">
        <v>106193.90150000001</v>
      </c>
    </row>
    <row r="698" spans="1:5" ht="12.5" x14ac:dyDescent="0.25">
      <c r="A698" s="4">
        <v>1690</v>
      </c>
      <c r="B698" s="4" t="s">
        <v>5342</v>
      </c>
      <c r="C698" s="4" t="s">
        <v>16</v>
      </c>
      <c r="D698" s="9"/>
      <c r="E698" s="10"/>
    </row>
    <row r="699" spans="1:5" ht="12.5" x14ac:dyDescent="0.25">
      <c r="A699" s="4">
        <v>1691</v>
      </c>
      <c r="B699" s="4" t="s">
        <v>5631</v>
      </c>
      <c r="C699" s="4" t="s">
        <v>16</v>
      </c>
      <c r="D699" s="9"/>
      <c r="E699" s="10"/>
    </row>
    <row r="700" spans="1:5" ht="12.5" x14ac:dyDescent="0.25">
      <c r="A700" s="4">
        <v>1692</v>
      </c>
      <c r="B700" s="4" t="s">
        <v>5349</v>
      </c>
      <c r="C700" s="4" t="s">
        <v>16</v>
      </c>
      <c r="D700" s="9"/>
      <c r="E700" s="10"/>
    </row>
    <row r="701" spans="1:5" ht="12.5" x14ac:dyDescent="0.25">
      <c r="A701" s="4">
        <v>1693</v>
      </c>
      <c r="B701" s="4" t="s">
        <v>5353</v>
      </c>
      <c r="C701" s="4" t="s">
        <v>16</v>
      </c>
      <c r="D701" s="9"/>
      <c r="E701" s="10"/>
    </row>
    <row r="702" spans="1:5" ht="12.5" x14ac:dyDescent="0.25">
      <c r="A702" s="4">
        <v>1694</v>
      </c>
      <c r="B702" s="4" t="s">
        <v>6797</v>
      </c>
      <c r="C702" s="4" t="s">
        <v>16</v>
      </c>
      <c r="D702" s="9"/>
      <c r="E702" s="10"/>
    </row>
    <row r="703" spans="1:5" ht="12.5" x14ac:dyDescent="0.25">
      <c r="A703" s="4">
        <v>1695</v>
      </c>
      <c r="B703" s="4" t="s">
        <v>6802</v>
      </c>
      <c r="C703" s="4" t="s">
        <v>16</v>
      </c>
      <c r="D703" s="9"/>
      <c r="E703" s="10"/>
    </row>
    <row r="704" spans="1:5" ht="12.5" x14ac:dyDescent="0.25">
      <c r="A704" s="4">
        <v>1696</v>
      </c>
      <c r="B704" s="4" t="s">
        <v>5359</v>
      </c>
      <c r="C704" s="4" t="s">
        <v>10130</v>
      </c>
      <c r="D704" s="9">
        <v>3000</v>
      </c>
      <c r="E704" s="10">
        <v>0</v>
      </c>
    </row>
    <row r="705" spans="1:5" ht="12.5" x14ac:dyDescent="0.25">
      <c r="A705" s="11"/>
      <c r="B705" s="11"/>
      <c r="C705" s="12" t="s">
        <v>16</v>
      </c>
      <c r="D705" s="13"/>
      <c r="E705" s="14"/>
    </row>
    <row r="706" spans="1:5" ht="12.5" x14ac:dyDescent="0.25">
      <c r="A706" s="4">
        <v>1697</v>
      </c>
      <c r="B706" s="4" t="s">
        <v>5362</v>
      </c>
      <c r="C706" s="4" t="s">
        <v>10130</v>
      </c>
      <c r="D706" s="9">
        <v>9000</v>
      </c>
      <c r="E706" s="10">
        <v>0</v>
      </c>
    </row>
    <row r="707" spans="1:5" ht="12.5" x14ac:dyDescent="0.25">
      <c r="A707" s="11"/>
      <c r="B707" s="11"/>
      <c r="C707" s="12" t="s">
        <v>16</v>
      </c>
      <c r="D707" s="13"/>
      <c r="E707" s="14"/>
    </row>
    <row r="708" spans="1:5" ht="12.5" x14ac:dyDescent="0.25">
      <c r="A708" s="4">
        <v>1698</v>
      </c>
      <c r="B708" s="4" t="s">
        <v>5365</v>
      </c>
      <c r="C708" s="4" t="s">
        <v>16</v>
      </c>
      <c r="D708" s="9"/>
      <c r="E708" s="10"/>
    </row>
    <row r="709" spans="1:5" ht="12.5" x14ac:dyDescent="0.25">
      <c r="A709" s="4">
        <v>1699</v>
      </c>
      <c r="B709" s="4" t="s">
        <v>8898</v>
      </c>
      <c r="C709" s="4" t="s">
        <v>16</v>
      </c>
      <c r="D709" s="9"/>
      <c r="E709" s="10"/>
    </row>
    <row r="710" spans="1:5" ht="12.5" x14ac:dyDescent="0.25">
      <c r="A710" s="4">
        <v>1701</v>
      </c>
      <c r="B710" s="4" t="s">
        <v>5248</v>
      </c>
      <c r="C710" s="4" t="s">
        <v>16</v>
      </c>
      <c r="D710" s="9"/>
      <c r="E710" s="10"/>
    </row>
    <row r="711" spans="1:5" ht="12.5" x14ac:dyDescent="0.25">
      <c r="A711" s="4">
        <v>1702</v>
      </c>
      <c r="B711" s="4" t="s">
        <v>5369</v>
      </c>
      <c r="C711" s="4" t="s">
        <v>16</v>
      </c>
      <c r="D711" s="9"/>
      <c r="E711" s="10"/>
    </row>
    <row r="712" spans="1:5" ht="12.5" x14ac:dyDescent="0.25">
      <c r="A712" s="4">
        <v>1705</v>
      </c>
      <c r="B712" s="4" t="s">
        <v>7989</v>
      </c>
      <c r="C712" s="4" t="s">
        <v>16</v>
      </c>
      <c r="D712" s="9"/>
      <c r="E712" s="10"/>
    </row>
    <row r="713" spans="1:5" ht="12.5" x14ac:dyDescent="0.25">
      <c r="A713" s="4">
        <v>1710</v>
      </c>
      <c r="B713" s="4" t="s">
        <v>5373</v>
      </c>
      <c r="C713" s="4" t="s">
        <v>16</v>
      </c>
      <c r="D713" s="9"/>
      <c r="E713" s="10"/>
    </row>
    <row r="714" spans="1:5" ht="12.5" x14ac:dyDescent="0.25">
      <c r="A714" s="4">
        <v>1711</v>
      </c>
      <c r="B714" s="4" t="s">
        <v>5377</v>
      </c>
      <c r="C714" s="4" t="s">
        <v>16</v>
      </c>
      <c r="D714" s="9"/>
      <c r="E714" s="10"/>
    </row>
    <row r="715" spans="1:5" ht="12.5" x14ac:dyDescent="0.25">
      <c r="A715" s="4">
        <v>1712</v>
      </c>
      <c r="B715" s="4" t="s">
        <v>5382</v>
      </c>
      <c r="C715" s="4" t="s">
        <v>16</v>
      </c>
      <c r="D715" s="9"/>
      <c r="E715" s="10"/>
    </row>
    <row r="716" spans="1:5" ht="12.5" x14ac:dyDescent="0.25">
      <c r="A716" s="4">
        <v>1713</v>
      </c>
      <c r="B716" s="4" t="s">
        <v>5609</v>
      </c>
      <c r="C716" s="4" t="s">
        <v>10115</v>
      </c>
      <c r="D716" s="9">
        <v>37121.25</v>
      </c>
      <c r="E716" s="10">
        <v>37121.25</v>
      </c>
    </row>
    <row r="717" spans="1:5" ht="12.5" x14ac:dyDescent="0.25">
      <c r="A717" s="4">
        <v>1716</v>
      </c>
      <c r="B717" s="4" t="s">
        <v>6367</v>
      </c>
      <c r="C717" s="4" t="s">
        <v>16</v>
      </c>
      <c r="D717" s="9"/>
      <c r="E717" s="10"/>
    </row>
    <row r="718" spans="1:5" ht="12.5" x14ac:dyDescent="0.25">
      <c r="A718" s="4">
        <v>1717</v>
      </c>
      <c r="B718" s="4" t="s">
        <v>5607</v>
      </c>
      <c r="C718" s="4" t="s">
        <v>16</v>
      </c>
      <c r="D718" s="9"/>
      <c r="E718" s="10"/>
    </row>
    <row r="719" spans="1:5" ht="12.5" x14ac:dyDescent="0.25">
      <c r="A719" s="4">
        <v>2265</v>
      </c>
      <c r="B719" s="4" t="s">
        <v>1261</v>
      </c>
      <c r="C719" s="4" t="s">
        <v>10120</v>
      </c>
      <c r="D719" s="9">
        <v>4173</v>
      </c>
      <c r="E719" s="10">
        <v>0</v>
      </c>
    </row>
    <row r="720" spans="1:5" ht="12.5" x14ac:dyDescent="0.25">
      <c r="A720" s="4">
        <v>2311</v>
      </c>
      <c r="B720" s="4" t="s">
        <v>7670</v>
      </c>
      <c r="C720" s="4" t="s">
        <v>10122</v>
      </c>
      <c r="D720" s="9">
        <v>137250</v>
      </c>
      <c r="E720" s="10">
        <v>0</v>
      </c>
    </row>
    <row r="721" spans="1:5" ht="12.5" x14ac:dyDescent="0.25">
      <c r="A721" s="11"/>
      <c r="B721" s="11"/>
      <c r="C721" s="12" t="s">
        <v>16</v>
      </c>
      <c r="D721" s="13"/>
      <c r="E721" s="14"/>
    </row>
    <row r="722" spans="1:5" ht="15.75" customHeight="1" x14ac:dyDescent="0.25">
      <c r="A722" s="4">
        <v>4359</v>
      </c>
      <c r="B722" s="4" t="s">
        <v>7948</v>
      </c>
      <c r="C722" s="4" t="s">
        <v>16</v>
      </c>
      <c r="D722" s="9"/>
      <c r="E722" s="10"/>
    </row>
    <row r="723" spans="1:5" ht="15.75" customHeight="1" x14ac:dyDescent="0.25">
      <c r="A723" s="4">
        <v>4706</v>
      </c>
      <c r="B723" s="4" t="s">
        <v>9776</v>
      </c>
      <c r="C723" s="4" t="s">
        <v>16</v>
      </c>
      <c r="D723" s="9"/>
      <c r="E723" s="10"/>
    </row>
    <row r="724" spans="1:5" ht="15.75" customHeight="1" x14ac:dyDescent="0.25">
      <c r="A724" s="15" t="s">
        <v>11106</v>
      </c>
      <c r="B724" s="16"/>
      <c r="C724" s="16"/>
      <c r="D724" s="17">
        <v>6575972.1800000006</v>
      </c>
      <c r="E724" s="18">
        <v>946747.20759999997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Q929"/>
  <sheetViews>
    <sheetView workbookViewId="0"/>
  </sheetViews>
  <sheetFormatPr defaultColWidth="12.6328125" defaultRowHeight="15.75" customHeight="1" x14ac:dyDescent="0.25"/>
  <sheetData>
    <row r="1" spans="1:17" ht="15.75" customHeight="1" x14ac:dyDescent="0.25">
      <c r="A1" s="1" t="s">
        <v>10133</v>
      </c>
      <c r="B1" s="1" t="s">
        <v>10134</v>
      </c>
      <c r="C1" s="1" t="s">
        <v>10135</v>
      </c>
      <c r="D1" s="1" t="s">
        <v>10136</v>
      </c>
      <c r="E1" s="1" t="s">
        <v>10137</v>
      </c>
      <c r="F1" s="1" t="s">
        <v>10138</v>
      </c>
      <c r="G1" s="1" t="s">
        <v>10139</v>
      </c>
      <c r="H1" s="1" t="s">
        <v>10140</v>
      </c>
      <c r="I1" s="1" t="s">
        <v>10141</v>
      </c>
      <c r="J1" s="1" t="s">
        <v>10142</v>
      </c>
      <c r="K1" s="1" t="s">
        <v>10143</v>
      </c>
      <c r="L1" s="1" t="s">
        <v>10144</v>
      </c>
      <c r="M1" s="1" t="s">
        <v>10145</v>
      </c>
      <c r="N1" s="1" t="s">
        <v>10146</v>
      </c>
      <c r="O1" s="1" t="s">
        <v>10147</v>
      </c>
      <c r="P1" s="1" t="s">
        <v>10148</v>
      </c>
      <c r="Q1" s="1" t="s">
        <v>10149</v>
      </c>
    </row>
    <row r="2" spans="1:17" ht="15.75" customHeight="1" x14ac:dyDescent="0.25">
      <c r="A2" s="1" t="s">
        <v>152</v>
      </c>
      <c r="C2" s="1" t="s">
        <v>9776</v>
      </c>
      <c r="D2" s="1" t="s">
        <v>9777</v>
      </c>
      <c r="E2" s="1" t="s">
        <v>9929</v>
      </c>
      <c r="F2" s="1" t="s">
        <v>10150</v>
      </c>
      <c r="G2" s="1" t="s">
        <v>10151</v>
      </c>
      <c r="H2" s="1" t="s">
        <v>10152</v>
      </c>
      <c r="I2" s="1" t="s">
        <v>10153</v>
      </c>
      <c r="M2" s="1" t="s">
        <v>9778</v>
      </c>
      <c r="N2" s="1" t="s">
        <v>10154</v>
      </c>
      <c r="O2" s="1" t="s">
        <v>112</v>
      </c>
      <c r="P2" s="1" t="s">
        <v>10155</v>
      </c>
      <c r="Q2" s="1" t="s">
        <v>29</v>
      </c>
    </row>
    <row r="3" spans="1:17" ht="15.75" customHeight="1" x14ac:dyDescent="0.25">
      <c r="A3" s="1" t="s">
        <v>152</v>
      </c>
      <c r="C3" s="1" t="s">
        <v>7948</v>
      </c>
      <c r="D3" s="1" t="s">
        <v>7949</v>
      </c>
      <c r="E3" s="1" t="s">
        <v>10156</v>
      </c>
      <c r="F3" s="1" t="s">
        <v>10156</v>
      </c>
      <c r="G3" s="1" t="s">
        <v>10157</v>
      </c>
      <c r="H3" s="1" t="s">
        <v>10152</v>
      </c>
      <c r="I3" s="1" t="s">
        <v>10153</v>
      </c>
      <c r="M3" s="1" t="s">
        <v>7950</v>
      </c>
      <c r="N3" s="1" t="s">
        <v>10158</v>
      </c>
      <c r="O3" s="1" t="s">
        <v>169</v>
      </c>
      <c r="P3" s="1" t="s">
        <v>10155</v>
      </c>
      <c r="Q3" s="1" t="s">
        <v>29</v>
      </c>
    </row>
    <row r="4" spans="1:17" ht="15.75" customHeight="1" x14ac:dyDescent="0.25">
      <c r="A4" s="1" t="s">
        <v>152</v>
      </c>
      <c r="C4" s="1" t="s">
        <v>7670</v>
      </c>
      <c r="D4" s="1" t="s">
        <v>7671</v>
      </c>
      <c r="E4" s="1" t="s">
        <v>10156</v>
      </c>
      <c r="F4" s="1" t="s">
        <v>10156</v>
      </c>
      <c r="G4" s="1" t="s">
        <v>10159</v>
      </c>
      <c r="H4" s="1" t="s">
        <v>10160</v>
      </c>
      <c r="I4" s="1" t="s">
        <v>10160</v>
      </c>
      <c r="M4" s="1" t="s">
        <v>7688</v>
      </c>
      <c r="O4" s="1" t="s">
        <v>124</v>
      </c>
      <c r="P4" s="1" t="s">
        <v>10155</v>
      </c>
      <c r="Q4" s="1" t="s">
        <v>29</v>
      </c>
    </row>
    <row r="5" spans="1:17" ht="15.75" customHeight="1" x14ac:dyDescent="0.25">
      <c r="A5" s="1" t="s">
        <v>152</v>
      </c>
      <c r="C5" s="1" t="s">
        <v>7670</v>
      </c>
      <c r="D5" s="1" t="s">
        <v>7671</v>
      </c>
      <c r="E5" s="1" t="s">
        <v>10156</v>
      </c>
      <c r="F5" s="1" t="s">
        <v>10156</v>
      </c>
      <c r="G5" s="1" t="s">
        <v>10159</v>
      </c>
      <c r="H5" s="1" t="s">
        <v>10160</v>
      </c>
      <c r="I5" s="1" t="s">
        <v>10160</v>
      </c>
      <c r="M5" s="1" t="s">
        <v>7681</v>
      </c>
      <c r="O5" s="1" t="s">
        <v>124</v>
      </c>
      <c r="P5" s="1" t="s">
        <v>10155</v>
      </c>
      <c r="Q5" s="1" t="s">
        <v>29</v>
      </c>
    </row>
    <row r="6" spans="1:17" ht="15.75" customHeight="1" x14ac:dyDescent="0.25">
      <c r="A6" s="1" t="s">
        <v>152</v>
      </c>
      <c r="C6" s="1" t="s">
        <v>7670</v>
      </c>
      <c r="D6" s="1" t="s">
        <v>7671</v>
      </c>
      <c r="E6" s="1" t="s">
        <v>10156</v>
      </c>
      <c r="F6" s="1" t="s">
        <v>10156</v>
      </c>
      <c r="G6" s="1" t="s">
        <v>10159</v>
      </c>
      <c r="H6" s="1" t="s">
        <v>10160</v>
      </c>
      <c r="I6" s="1" t="s">
        <v>10160</v>
      </c>
      <c r="M6" s="1" t="s">
        <v>7675</v>
      </c>
      <c r="N6" s="1" t="s">
        <v>7677</v>
      </c>
      <c r="O6" s="1" t="s">
        <v>124</v>
      </c>
      <c r="P6" s="1" t="s">
        <v>10155</v>
      </c>
      <c r="Q6" s="1" t="s">
        <v>29</v>
      </c>
    </row>
    <row r="7" spans="1:17" ht="15.75" customHeight="1" x14ac:dyDescent="0.25">
      <c r="A7" s="1" t="s">
        <v>152</v>
      </c>
      <c r="C7" s="1" t="s">
        <v>7670</v>
      </c>
      <c r="D7" s="1" t="s">
        <v>7671</v>
      </c>
      <c r="E7" s="1" t="s">
        <v>10156</v>
      </c>
      <c r="F7" s="1" t="s">
        <v>10156</v>
      </c>
      <c r="G7" s="1" t="s">
        <v>10159</v>
      </c>
      <c r="H7" s="1" t="s">
        <v>10160</v>
      </c>
      <c r="I7" s="1" t="s">
        <v>10160</v>
      </c>
      <c r="M7" s="1" t="s">
        <v>7672</v>
      </c>
      <c r="O7" s="1" t="s">
        <v>124</v>
      </c>
      <c r="P7" s="1" t="s">
        <v>10155</v>
      </c>
      <c r="Q7" s="1" t="s">
        <v>29</v>
      </c>
    </row>
    <row r="8" spans="1:17" ht="15.75" customHeight="1" x14ac:dyDescent="0.25">
      <c r="A8" s="1" t="s">
        <v>152</v>
      </c>
      <c r="C8" s="1" t="s">
        <v>1261</v>
      </c>
      <c r="D8" s="1" t="s">
        <v>10161</v>
      </c>
      <c r="E8" s="1" t="s">
        <v>10162</v>
      </c>
      <c r="F8" s="1" t="s">
        <v>10162</v>
      </c>
      <c r="G8" s="1" t="s">
        <v>10162</v>
      </c>
      <c r="H8" s="1" t="s">
        <v>10160</v>
      </c>
      <c r="I8" s="1" t="s">
        <v>10160</v>
      </c>
      <c r="M8" s="1" t="s">
        <v>1257</v>
      </c>
      <c r="N8" s="1" t="s">
        <v>1259</v>
      </c>
      <c r="O8" s="1" t="s">
        <v>124</v>
      </c>
      <c r="P8" s="1" t="s">
        <v>10155</v>
      </c>
      <c r="Q8" s="1" t="s">
        <v>29</v>
      </c>
    </row>
    <row r="9" spans="1:17" ht="15.75" customHeight="1" x14ac:dyDescent="0.25">
      <c r="A9" s="1" t="s">
        <v>152</v>
      </c>
      <c r="C9" s="1" t="s">
        <v>5599</v>
      </c>
      <c r="D9" s="1" t="s">
        <v>10163</v>
      </c>
      <c r="E9" s="1" t="s">
        <v>10162</v>
      </c>
      <c r="F9" s="1" t="s">
        <v>10162</v>
      </c>
      <c r="G9" s="1" t="s">
        <v>10162</v>
      </c>
      <c r="H9" s="1" t="s">
        <v>10152</v>
      </c>
      <c r="I9" s="1" t="s">
        <v>10164</v>
      </c>
      <c r="O9" s="1" t="s">
        <v>10155</v>
      </c>
      <c r="P9" s="1" t="s">
        <v>10155</v>
      </c>
    </row>
    <row r="10" spans="1:17" ht="15.75" customHeight="1" x14ac:dyDescent="0.25">
      <c r="A10" s="1" t="s">
        <v>152</v>
      </c>
      <c r="C10" s="1" t="s">
        <v>10165</v>
      </c>
      <c r="D10" s="1" t="s">
        <v>10166</v>
      </c>
      <c r="E10" s="1" t="s">
        <v>10162</v>
      </c>
      <c r="F10" s="1" t="s">
        <v>10162</v>
      </c>
      <c r="G10" s="1" t="s">
        <v>10162</v>
      </c>
      <c r="H10" s="1" t="s">
        <v>10152</v>
      </c>
      <c r="I10" s="1" t="s">
        <v>10164</v>
      </c>
      <c r="O10" s="1" t="s">
        <v>10155</v>
      </c>
      <c r="P10" s="1" t="s">
        <v>10155</v>
      </c>
    </row>
    <row r="11" spans="1:17" ht="15.75" customHeight="1" x14ac:dyDescent="0.25">
      <c r="A11" s="1" t="s">
        <v>152</v>
      </c>
      <c r="C11" s="1" t="s">
        <v>10167</v>
      </c>
      <c r="D11" s="1" t="s">
        <v>10168</v>
      </c>
      <c r="E11" s="1" t="s">
        <v>10169</v>
      </c>
      <c r="F11" s="1" t="s">
        <v>10170</v>
      </c>
      <c r="G11" s="1" t="s">
        <v>10171</v>
      </c>
      <c r="H11" s="1" t="s">
        <v>10172</v>
      </c>
      <c r="I11" s="1" t="s">
        <v>10172</v>
      </c>
      <c r="J11" s="1" t="s">
        <v>10173</v>
      </c>
      <c r="K11" s="1" t="s">
        <v>10173</v>
      </c>
      <c r="O11" s="1" t="s">
        <v>10155</v>
      </c>
      <c r="P11" s="1" t="s">
        <v>10155</v>
      </c>
    </row>
    <row r="12" spans="1:17" ht="15.75" customHeight="1" x14ac:dyDescent="0.25">
      <c r="A12" s="1" t="s">
        <v>152</v>
      </c>
      <c r="C12" s="1" t="s">
        <v>10174</v>
      </c>
      <c r="D12" s="1" t="s">
        <v>10175</v>
      </c>
      <c r="E12" s="1" t="s">
        <v>10169</v>
      </c>
      <c r="F12" s="1" t="s">
        <v>10170</v>
      </c>
      <c r="G12" s="1" t="s">
        <v>10171</v>
      </c>
      <c r="H12" s="1" t="s">
        <v>10176</v>
      </c>
      <c r="I12" s="1" t="s">
        <v>10176</v>
      </c>
      <c r="J12" s="1" t="s">
        <v>10177</v>
      </c>
      <c r="K12" s="1" t="s">
        <v>10177</v>
      </c>
      <c r="O12" s="1" t="s">
        <v>10155</v>
      </c>
      <c r="P12" s="1" t="s">
        <v>10155</v>
      </c>
    </row>
    <row r="13" spans="1:17" ht="15.75" customHeight="1" x14ac:dyDescent="0.25">
      <c r="A13" s="1" t="s">
        <v>152</v>
      </c>
      <c r="C13" s="1" t="s">
        <v>5607</v>
      </c>
      <c r="D13" s="1" t="s">
        <v>5608</v>
      </c>
      <c r="E13" s="1" t="s">
        <v>10169</v>
      </c>
      <c r="F13" s="1" t="s">
        <v>10170</v>
      </c>
      <c r="G13" s="1" t="s">
        <v>10171</v>
      </c>
      <c r="H13" s="1" t="s">
        <v>10152</v>
      </c>
      <c r="I13" s="1" t="s">
        <v>10153</v>
      </c>
      <c r="M13" s="1" t="s">
        <v>5603</v>
      </c>
      <c r="N13" s="1" t="s">
        <v>10178</v>
      </c>
      <c r="O13" s="1" t="s">
        <v>112</v>
      </c>
      <c r="P13" s="1" t="s">
        <v>10155</v>
      </c>
      <c r="Q13" s="1" t="s">
        <v>29</v>
      </c>
    </row>
    <row r="14" spans="1:17" ht="15.75" customHeight="1" x14ac:dyDescent="0.25">
      <c r="A14" s="1" t="s">
        <v>152</v>
      </c>
      <c r="C14" s="1" t="s">
        <v>6367</v>
      </c>
      <c r="D14" s="1" t="s">
        <v>6368</v>
      </c>
      <c r="E14" s="1" t="s">
        <v>10169</v>
      </c>
      <c r="F14" s="1" t="s">
        <v>10170</v>
      </c>
      <c r="G14" s="1" t="s">
        <v>10171</v>
      </c>
      <c r="H14" s="1" t="s">
        <v>10160</v>
      </c>
      <c r="I14" s="1" t="s">
        <v>10160</v>
      </c>
      <c r="M14" s="1" t="s">
        <v>6369</v>
      </c>
      <c r="O14" s="1" t="s">
        <v>33</v>
      </c>
      <c r="P14" s="1" t="s">
        <v>10155</v>
      </c>
      <c r="Q14" s="1" t="s">
        <v>20</v>
      </c>
    </row>
    <row r="15" spans="1:17" ht="15.75" customHeight="1" x14ac:dyDescent="0.25">
      <c r="A15" s="1" t="s">
        <v>152</v>
      </c>
      <c r="C15" s="1" t="s">
        <v>10179</v>
      </c>
      <c r="D15" s="1" t="s">
        <v>10180</v>
      </c>
      <c r="E15" s="1" t="s">
        <v>10169</v>
      </c>
      <c r="F15" s="1" t="s">
        <v>10170</v>
      </c>
      <c r="G15" s="1" t="s">
        <v>10171</v>
      </c>
      <c r="H15" s="1" t="s">
        <v>10152</v>
      </c>
      <c r="I15" s="1" t="s">
        <v>10164</v>
      </c>
      <c r="O15" s="1" t="s">
        <v>10155</v>
      </c>
      <c r="P15" s="1" t="s">
        <v>10155</v>
      </c>
    </row>
    <row r="16" spans="1:17" ht="15.75" customHeight="1" x14ac:dyDescent="0.25">
      <c r="A16" s="1" t="s">
        <v>152</v>
      </c>
      <c r="C16" s="1" t="s">
        <v>10181</v>
      </c>
      <c r="D16" s="1" t="s">
        <v>10182</v>
      </c>
      <c r="E16" s="1" t="s">
        <v>10169</v>
      </c>
      <c r="F16" s="1" t="s">
        <v>10170</v>
      </c>
      <c r="G16" s="1" t="s">
        <v>10171</v>
      </c>
      <c r="H16" s="1" t="s">
        <v>10172</v>
      </c>
      <c r="I16" s="1" t="s">
        <v>10172</v>
      </c>
      <c r="J16" s="1" t="s">
        <v>10173</v>
      </c>
      <c r="K16" s="1" t="s">
        <v>10173</v>
      </c>
      <c r="O16" s="1" t="s">
        <v>10155</v>
      </c>
      <c r="P16" s="1" t="s">
        <v>10155</v>
      </c>
    </row>
    <row r="17" spans="1:17" ht="15.75" customHeight="1" x14ac:dyDescent="0.25">
      <c r="A17" s="1" t="s">
        <v>152</v>
      </c>
      <c r="C17" s="1" t="s">
        <v>5609</v>
      </c>
      <c r="D17" s="1" t="s">
        <v>5610</v>
      </c>
      <c r="E17" s="1" t="s">
        <v>10169</v>
      </c>
      <c r="F17" s="1" t="s">
        <v>10170</v>
      </c>
      <c r="G17" s="1" t="s">
        <v>10171</v>
      </c>
      <c r="H17" s="1" t="s">
        <v>10183</v>
      </c>
      <c r="I17" s="1" t="s">
        <v>10183</v>
      </c>
      <c r="M17" s="1" t="s">
        <v>5611</v>
      </c>
      <c r="N17" s="1" t="s">
        <v>10184</v>
      </c>
      <c r="O17" s="1" t="s">
        <v>59</v>
      </c>
      <c r="P17" s="1" t="s">
        <v>33</v>
      </c>
      <c r="Q17" s="1" t="s">
        <v>29</v>
      </c>
    </row>
    <row r="18" spans="1:17" ht="15.75" customHeight="1" x14ac:dyDescent="0.25">
      <c r="A18" s="1" t="s">
        <v>152</v>
      </c>
      <c r="C18" s="1" t="s">
        <v>5382</v>
      </c>
      <c r="D18" s="1" t="s">
        <v>10185</v>
      </c>
      <c r="E18" s="1" t="s">
        <v>10169</v>
      </c>
      <c r="F18" s="1" t="s">
        <v>10186</v>
      </c>
      <c r="G18" s="1" t="s">
        <v>10187</v>
      </c>
      <c r="H18" s="1" t="s">
        <v>10152</v>
      </c>
      <c r="I18" s="1" t="s">
        <v>10164</v>
      </c>
      <c r="M18" s="1" t="s">
        <v>5383</v>
      </c>
      <c r="O18" s="1" t="s">
        <v>10155</v>
      </c>
      <c r="P18" s="1" t="s">
        <v>10155</v>
      </c>
      <c r="Q18" s="1" t="s">
        <v>29</v>
      </c>
    </row>
    <row r="19" spans="1:17" ht="15.75" customHeight="1" x14ac:dyDescent="0.25">
      <c r="A19" s="1" t="s">
        <v>152</v>
      </c>
      <c r="C19" s="1" t="s">
        <v>5377</v>
      </c>
      <c r="D19" s="1" t="s">
        <v>5378</v>
      </c>
      <c r="E19" s="1" t="s">
        <v>10169</v>
      </c>
      <c r="F19" s="1" t="s">
        <v>10186</v>
      </c>
      <c r="G19" s="1" t="s">
        <v>10187</v>
      </c>
      <c r="H19" s="1" t="s">
        <v>10152</v>
      </c>
      <c r="I19" s="1" t="s">
        <v>10164</v>
      </c>
      <c r="M19" s="1" t="s">
        <v>5379</v>
      </c>
      <c r="O19" s="1" t="s">
        <v>10155</v>
      </c>
      <c r="P19" s="1" t="s">
        <v>10155</v>
      </c>
      <c r="Q19" s="1" t="s">
        <v>29</v>
      </c>
    </row>
    <row r="20" spans="1:17" ht="12.5" x14ac:dyDescent="0.25">
      <c r="A20" s="1" t="s">
        <v>152</v>
      </c>
      <c r="C20" s="1" t="s">
        <v>5373</v>
      </c>
      <c r="D20" s="1" t="s">
        <v>5374</v>
      </c>
      <c r="E20" s="1" t="s">
        <v>10169</v>
      </c>
      <c r="F20" s="1" t="s">
        <v>10188</v>
      </c>
      <c r="G20" s="1" t="s">
        <v>10189</v>
      </c>
      <c r="H20" s="1" t="s">
        <v>10176</v>
      </c>
      <c r="I20" s="1" t="s">
        <v>10176</v>
      </c>
      <c r="J20" s="1" t="s">
        <v>10177</v>
      </c>
      <c r="K20" s="1" t="s">
        <v>10177</v>
      </c>
      <c r="M20" s="1" t="s">
        <v>5375</v>
      </c>
      <c r="O20" s="1" t="s">
        <v>10155</v>
      </c>
      <c r="P20" s="1" t="s">
        <v>10155</v>
      </c>
      <c r="Q20" s="1" t="s">
        <v>29</v>
      </c>
    </row>
    <row r="21" spans="1:17" ht="12.5" x14ac:dyDescent="0.25">
      <c r="A21" s="1" t="s">
        <v>152</v>
      </c>
      <c r="C21" s="1" t="s">
        <v>10190</v>
      </c>
      <c r="D21" s="1" t="s">
        <v>10191</v>
      </c>
      <c r="E21" s="1" t="s">
        <v>10162</v>
      </c>
      <c r="F21" s="1" t="s">
        <v>10162</v>
      </c>
      <c r="G21" s="1" t="s">
        <v>10192</v>
      </c>
      <c r="H21" s="1" t="s">
        <v>10172</v>
      </c>
      <c r="I21" s="1" t="s">
        <v>10172</v>
      </c>
      <c r="J21" s="1" t="s">
        <v>10193</v>
      </c>
      <c r="K21" s="1" t="s">
        <v>10193</v>
      </c>
      <c r="L21" s="1" t="s">
        <v>10194</v>
      </c>
      <c r="O21" s="1" t="s">
        <v>10155</v>
      </c>
      <c r="P21" s="1" t="s">
        <v>10155</v>
      </c>
    </row>
    <row r="22" spans="1:17" ht="12.5" x14ac:dyDescent="0.25">
      <c r="A22" s="1" t="s">
        <v>152</v>
      </c>
      <c r="C22" s="1" t="s">
        <v>10195</v>
      </c>
      <c r="D22" s="1" t="s">
        <v>10196</v>
      </c>
      <c r="E22" s="1" t="s">
        <v>10162</v>
      </c>
      <c r="F22" s="1" t="s">
        <v>10162</v>
      </c>
      <c r="G22" s="1" t="s">
        <v>10192</v>
      </c>
      <c r="H22" s="1" t="s">
        <v>10152</v>
      </c>
      <c r="I22" s="1" t="s">
        <v>10164</v>
      </c>
      <c r="L22" s="1" t="s">
        <v>10197</v>
      </c>
      <c r="O22" s="1" t="s">
        <v>10155</v>
      </c>
      <c r="P22" s="1" t="s">
        <v>10155</v>
      </c>
    </row>
    <row r="23" spans="1:17" ht="12.5" x14ac:dyDescent="0.25">
      <c r="A23" s="1" t="s">
        <v>152</v>
      </c>
      <c r="C23" s="1" t="s">
        <v>10198</v>
      </c>
      <c r="D23" s="1" t="s">
        <v>10199</v>
      </c>
      <c r="E23" s="1" t="s">
        <v>10162</v>
      </c>
      <c r="F23" s="1" t="s">
        <v>10162</v>
      </c>
      <c r="G23" s="1" t="s">
        <v>10192</v>
      </c>
      <c r="H23" s="1" t="s">
        <v>10152</v>
      </c>
      <c r="I23" s="1" t="s">
        <v>10164</v>
      </c>
      <c r="L23" s="1" t="s">
        <v>10197</v>
      </c>
      <c r="O23" s="1" t="s">
        <v>10155</v>
      </c>
      <c r="P23" s="1" t="s">
        <v>10155</v>
      </c>
    </row>
    <row r="24" spans="1:17" ht="12.5" x14ac:dyDescent="0.25">
      <c r="A24" s="1" t="s">
        <v>152</v>
      </c>
      <c r="C24" s="1" t="s">
        <v>10200</v>
      </c>
      <c r="D24" s="1" t="s">
        <v>10201</v>
      </c>
      <c r="E24" s="1" t="s">
        <v>10162</v>
      </c>
      <c r="F24" s="1" t="s">
        <v>10162</v>
      </c>
      <c r="G24" s="1" t="s">
        <v>10192</v>
      </c>
      <c r="H24" s="1" t="s">
        <v>10152</v>
      </c>
      <c r="I24" s="1" t="s">
        <v>10164</v>
      </c>
      <c r="L24" s="1" t="s">
        <v>10202</v>
      </c>
      <c r="O24" s="1" t="s">
        <v>10155</v>
      </c>
      <c r="P24" s="1" t="s">
        <v>10155</v>
      </c>
    </row>
    <row r="25" spans="1:17" ht="12.5" x14ac:dyDescent="0.25">
      <c r="A25" s="1" t="s">
        <v>152</v>
      </c>
      <c r="C25" s="1" t="s">
        <v>7989</v>
      </c>
      <c r="D25" s="1" t="s">
        <v>10203</v>
      </c>
      <c r="E25" s="1" t="s">
        <v>10169</v>
      </c>
      <c r="F25" s="1" t="s">
        <v>10204</v>
      </c>
      <c r="G25" s="1" t="s">
        <v>10205</v>
      </c>
      <c r="H25" s="1" t="s">
        <v>10183</v>
      </c>
      <c r="I25" s="1" t="s">
        <v>10183</v>
      </c>
      <c r="M25" s="1" t="s">
        <v>7990</v>
      </c>
      <c r="N25" s="1" t="s">
        <v>7992</v>
      </c>
      <c r="O25" s="1" t="s">
        <v>33</v>
      </c>
      <c r="P25" s="1" t="s">
        <v>53</v>
      </c>
      <c r="Q25" s="1" t="s">
        <v>29</v>
      </c>
    </row>
    <row r="26" spans="1:17" ht="12.5" x14ac:dyDescent="0.25">
      <c r="A26" s="1" t="s">
        <v>152</v>
      </c>
      <c r="C26" s="1" t="s">
        <v>10206</v>
      </c>
      <c r="D26" s="1" t="s">
        <v>10207</v>
      </c>
      <c r="E26" s="1" t="s">
        <v>10169</v>
      </c>
      <c r="F26" s="1" t="s">
        <v>10204</v>
      </c>
      <c r="G26" s="1" t="s">
        <v>10205</v>
      </c>
      <c r="H26" s="1" t="s">
        <v>10152</v>
      </c>
      <c r="I26" s="1" t="s">
        <v>10164</v>
      </c>
      <c r="O26" s="1" t="s">
        <v>10155</v>
      </c>
      <c r="P26" s="1" t="s">
        <v>10155</v>
      </c>
    </row>
    <row r="27" spans="1:17" ht="12.5" x14ac:dyDescent="0.25">
      <c r="A27" s="1" t="s">
        <v>152</v>
      </c>
      <c r="C27" s="1" t="s">
        <v>10208</v>
      </c>
      <c r="D27" s="1" t="s">
        <v>10209</v>
      </c>
      <c r="E27" s="1" t="s">
        <v>10169</v>
      </c>
      <c r="F27" s="1" t="s">
        <v>10204</v>
      </c>
      <c r="G27" s="1" t="s">
        <v>10205</v>
      </c>
      <c r="H27" s="1" t="s">
        <v>10152</v>
      </c>
      <c r="I27" s="1" t="s">
        <v>10164</v>
      </c>
      <c r="L27" s="1" t="s">
        <v>10210</v>
      </c>
      <c r="O27" s="1" t="s">
        <v>10155</v>
      </c>
      <c r="P27" s="1" t="s">
        <v>10155</v>
      </c>
    </row>
    <row r="28" spans="1:17" ht="12.5" x14ac:dyDescent="0.25">
      <c r="A28" s="1" t="s">
        <v>152</v>
      </c>
      <c r="C28" s="1" t="s">
        <v>5369</v>
      </c>
      <c r="D28" s="1" t="s">
        <v>10211</v>
      </c>
      <c r="E28" s="1" t="s">
        <v>10169</v>
      </c>
      <c r="F28" s="1" t="s">
        <v>10204</v>
      </c>
      <c r="G28" s="1" t="s">
        <v>10205</v>
      </c>
      <c r="H28" s="1" t="s">
        <v>10183</v>
      </c>
      <c r="I28" s="1" t="s">
        <v>10183</v>
      </c>
      <c r="M28" s="1" t="s">
        <v>5370</v>
      </c>
      <c r="O28" s="1" t="s">
        <v>53</v>
      </c>
      <c r="P28" s="1" t="s">
        <v>53</v>
      </c>
      <c r="Q28" s="1" t="s">
        <v>29</v>
      </c>
    </row>
    <row r="29" spans="1:17" ht="12.5" x14ac:dyDescent="0.25">
      <c r="A29" s="1" t="s">
        <v>152</v>
      </c>
      <c r="C29" s="1" t="s">
        <v>5248</v>
      </c>
      <c r="D29" s="1" t="s">
        <v>10212</v>
      </c>
      <c r="E29" s="1" t="s">
        <v>10169</v>
      </c>
      <c r="F29" s="1" t="s">
        <v>10188</v>
      </c>
      <c r="G29" s="1" t="s">
        <v>10213</v>
      </c>
      <c r="H29" s="1" t="s">
        <v>10152</v>
      </c>
      <c r="I29" s="1" t="s">
        <v>10164</v>
      </c>
      <c r="L29" s="1" t="s">
        <v>10197</v>
      </c>
      <c r="M29" s="1" t="s">
        <v>5244</v>
      </c>
      <c r="O29" s="1" t="s">
        <v>10155</v>
      </c>
      <c r="P29" s="1" t="s">
        <v>10155</v>
      </c>
      <c r="Q29" s="1" t="s">
        <v>20</v>
      </c>
    </row>
    <row r="30" spans="1:17" ht="12.5" x14ac:dyDescent="0.25">
      <c r="A30" s="1" t="s">
        <v>152</v>
      </c>
      <c r="C30" s="1" t="s">
        <v>10214</v>
      </c>
      <c r="D30" s="1" t="s">
        <v>10215</v>
      </c>
      <c r="E30" s="1" t="s">
        <v>10169</v>
      </c>
      <c r="F30" s="1" t="s">
        <v>10188</v>
      </c>
      <c r="G30" s="1" t="s">
        <v>10213</v>
      </c>
      <c r="H30" s="1" t="s">
        <v>10152</v>
      </c>
      <c r="I30" s="1" t="s">
        <v>10164</v>
      </c>
      <c r="O30" s="1" t="s">
        <v>10155</v>
      </c>
      <c r="P30" s="1" t="s">
        <v>10155</v>
      </c>
    </row>
    <row r="31" spans="1:17" ht="12.5" x14ac:dyDescent="0.25">
      <c r="A31" s="1" t="s">
        <v>152</v>
      </c>
      <c r="C31" s="1" t="s">
        <v>8898</v>
      </c>
      <c r="D31" s="1" t="s">
        <v>10216</v>
      </c>
      <c r="E31" s="1" t="s">
        <v>10169</v>
      </c>
      <c r="F31" s="1" t="s">
        <v>10188</v>
      </c>
      <c r="G31" s="1" t="s">
        <v>10213</v>
      </c>
      <c r="H31" s="1" t="s">
        <v>10152</v>
      </c>
      <c r="I31" s="1" t="s">
        <v>10153</v>
      </c>
      <c r="M31" s="1" t="s">
        <v>8899</v>
      </c>
      <c r="N31" s="1" t="s">
        <v>8901</v>
      </c>
      <c r="O31" s="1" t="s">
        <v>157</v>
      </c>
      <c r="P31" s="1" t="s">
        <v>10155</v>
      </c>
      <c r="Q31" s="1" t="s">
        <v>29</v>
      </c>
    </row>
    <row r="32" spans="1:17" ht="12.5" x14ac:dyDescent="0.25">
      <c r="A32" s="1" t="s">
        <v>152</v>
      </c>
      <c r="C32" s="1" t="s">
        <v>5365</v>
      </c>
      <c r="D32" s="1" t="s">
        <v>10217</v>
      </c>
      <c r="E32" s="1" t="s">
        <v>10169</v>
      </c>
      <c r="F32" s="1" t="s">
        <v>10188</v>
      </c>
      <c r="G32" s="1" t="s">
        <v>10213</v>
      </c>
      <c r="H32" s="1" t="s">
        <v>10183</v>
      </c>
      <c r="I32" s="1" t="s">
        <v>10183</v>
      </c>
      <c r="M32" s="1" t="s">
        <v>5366</v>
      </c>
      <c r="O32" s="1" t="s">
        <v>317</v>
      </c>
      <c r="P32" s="1" t="s">
        <v>317</v>
      </c>
      <c r="Q32" s="1" t="s">
        <v>29</v>
      </c>
    </row>
    <row r="33" spans="1:17" ht="12.5" x14ac:dyDescent="0.25">
      <c r="A33" s="1" t="s">
        <v>152</v>
      </c>
      <c r="C33" s="1" t="s">
        <v>5362</v>
      </c>
      <c r="D33" s="1" t="s">
        <v>10218</v>
      </c>
      <c r="E33" s="1" t="s">
        <v>10169</v>
      </c>
      <c r="F33" s="1" t="s">
        <v>10188</v>
      </c>
      <c r="G33" s="1" t="s">
        <v>10213</v>
      </c>
      <c r="H33" s="1" t="s">
        <v>10160</v>
      </c>
      <c r="I33" s="1" t="s">
        <v>10160</v>
      </c>
      <c r="M33" s="1" t="s">
        <v>8922</v>
      </c>
      <c r="N33" s="1" t="s">
        <v>8924</v>
      </c>
      <c r="O33" s="1" t="s">
        <v>169</v>
      </c>
      <c r="P33" s="1" t="s">
        <v>10155</v>
      </c>
      <c r="Q33" s="1" t="s">
        <v>29</v>
      </c>
    </row>
    <row r="34" spans="1:17" ht="12.5" x14ac:dyDescent="0.25">
      <c r="A34" s="1" t="s">
        <v>152</v>
      </c>
      <c r="C34" s="1" t="s">
        <v>5359</v>
      </c>
      <c r="D34" s="1" t="s">
        <v>10219</v>
      </c>
      <c r="E34" s="1" t="s">
        <v>10169</v>
      </c>
      <c r="F34" s="1" t="s">
        <v>10188</v>
      </c>
      <c r="G34" s="1" t="s">
        <v>10213</v>
      </c>
      <c r="H34" s="1" t="s">
        <v>10160</v>
      </c>
      <c r="I34" s="1" t="s">
        <v>10160</v>
      </c>
      <c r="M34" s="1" t="s">
        <v>8926</v>
      </c>
      <c r="N34" s="1" t="s">
        <v>8928</v>
      </c>
      <c r="O34" s="1" t="s">
        <v>169</v>
      </c>
      <c r="P34" s="1" t="s">
        <v>10155</v>
      </c>
      <c r="Q34" s="1" t="s">
        <v>29</v>
      </c>
    </row>
    <row r="35" spans="1:17" ht="12.5" x14ac:dyDescent="0.25">
      <c r="A35" s="1" t="s">
        <v>152</v>
      </c>
      <c r="C35" s="1" t="s">
        <v>6802</v>
      </c>
      <c r="D35" s="1" t="s">
        <v>10220</v>
      </c>
      <c r="E35" s="1" t="s">
        <v>10169</v>
      </c>
      <c r="F35" s="1" t="s">
        <v>10188</v>
      </c>
      <c r="G35" s="1" t="s">
        <v>10213</v>
      </c>
      <c r="H35" s="1" t="s">
        <v>10183</v>
      </c>
      <c r="I35" s="1" t="s">
        <v>10183</v>
      </c>
      <c r="M35" s="1" t="s">
        <v>6798</v>
      </c>
      <c r="N35" s="1" t="s">
        <v>6800</v>
      </c>
      <c r="O35" s="1" t="s">
        <v>59</v>
      </c>
      <c r="P35" s="1" t="s">
        <v>59</v>
      </c>
      <c r="Q35" s="1" t="s">
        <v>29</v>
      </c>
    </row>
    <row r="36" spans="1:17" ht="12.5" x14ac:dyDescent="0.25">
      <c r="A36" s="1" t="s">
        <v>152</v>
      </c>
      <c r="C36" s="1" t="s">
        <v>6797</v>
      </c>
      <c r="D36" s="1" t="s">
        <v>10221</v>
      </c>
      <c r="E36" s="1" t="s">
        <v>10169</v>
      </c>
      <c r="F36" s="1" t="s">
        <v>10188</v>
      </c>
      <c r="G36" s="1" t="s">
        <v>10213</v>
      </c>
      <c r="H36" s="1" t="s">
        <v>10183</v>
      </c>
      <c r="I36" s="1" t="s">
        <v>10183</v>
      </c>
      <c r="M36" s="1" t="s">
        <v>6798</v>
      </c>
      <c r="N36" s="1" t="s">
        <v>6800</v>
      </c>
      <c r="O36" s="1" t="s">
        <v>59</v>
      </c>
      <c r="P36" s="1" t="s">
        <v>59</v>
      </c>
      <c r="Q36" s="1" t="s">
        <v>29</v>
      </c>
    </row>
    <row r="37" spans="1:17" ht="12.5" x14ac:dyDescent="0.25">
      <c r="A37" s="1" t="s">
        <v>152</v>
      </c>
      <c r="C37" s="1" t="s">
        <v>5353</v>
      </c>
      <c r="D37" s="1" t="s">
        <v>10222</v>
      </c>
      <c r="E37" s="1" t="s">
        <v>10169</v>
      </c>
      <c r="F37" s="1" t="s">
        <v>10188</v>
      </c>
      <c r="G37" s="1" t="s">
        <v>10213</v>
      </c>
      <c r="H37" s="1" t="s">
        <v>10183</v>
      </c>
      <c r="I37" s="1" t="s">
        <v>10183</v>
      </c>
      <c r="M37" s="1" t="s">
        <v>5635</v>
      </c>
      <c r="N37" s="1" t="s">
        <v>5637</v>
      </c>
      <c r="O37" s="1" t="s">
        <v>24</v>
      </c>
      <c r="P37" s="1" t="s">
        <v>10155</v>
      </c>
      <c r="Q37" s="1" t="s">
        <v>29</v>
      </c>
    </row>
    <row r="38" spans="1:17" ht="12.5" x14ac:dyDescent="0.25">
      <c r="A38" s="1" t="s">
        <v>152</v>
      </c>
      <c r="C38" s="1" t="s">
        <v>5349</v>
      </c>
      <c r="D38" s="1" t="s">
        <v>10223</v>
      </c>
      <c r="E38" s="1" t="s">
        <v>10169</v>
      </c>
      <c r="F38" s="1" t="s">
        <v>10188</v>
      </c>
      <c r="G38" s="1" t="s">
        <v>10213</v>
      </c>
      <c r="H38" s="1" t="s">
        <v>10183</v>
      </c>
      <c r="I38" s="1" t="s">
        <v>10183</v>
      </c>
      <c r="M38" s="1" t="s">
        <v>5350</v>
      </c>
      <c r="O38" s="1" t="s">
        <v>53</v>
      </c>
      <c r="P38" s="1" t="s">
        <v>10155</v>
      </c>
      <c r="Q38" s="1" t="s">
        <v>29</v>
      </c>
    </row>
    <row r="39" spans="1:17" ht="12.5" x14ac:dyDescent="0.25">
      <c r="A39" s="1" t="s">
        <v>152</v>
      </c>
      <c r="C39" s="1" t="s">
        <v>5631</v>
      </c>
      <c r="D39" s="1" t="s">
        <v>10224</v>
      </c>
      <c r="E39" s="1" t="s">
        <v>10169</v>
      </c>
      <c r="F39" s="1" t="s">
        <v>10188</v>
      </c>
      <c r="G39" s="1" t="s">
        <v>10213</v>
      </c>
      <c r="H39" s="1" t="s">
        <v>10183</v>
      </c>
      <c r="I39" s="1" t="s">
        <v>10183</v>
      </c>
      <c r="M39" s="1" t="s">
        <v>5632</v>
      </c>
      <c r="O39" s="1" t="s">
        <v>24</v>
      </c>
      <c r="P39" s="1" t="s">
        <v>10155</v>
      </c>
      <c r="Q39" s="1" t="s">
        <v>29</v>
      </c>
    </row>
    <row r="40" spans="1:17" ht="12.5" x14ac:dyDescent="0.25">
      <c r="A40" s="1" t="s">
        <v>152</v>
      </c>
      <c r="C40" s="1" t="s">
        <v>5342</v>
      </c>
      <c r="D40" s="1" t="s">
        <v>10225</v>
      </c>
      <c r="E40" s="1" t="s">
        <v>10169</v>
      </c>
      <c r="F40" s="1" t="s">
        <v>10186</v>
      </c>
      <c r="G40" s="1" t="s">
        <v>10186</v>
      </c>
      <c r="H40" s="1" t="s">
        <v>10152</v>
      </c>
      <c r="I40" s="1" t="s">
        <v>10153</v>
      </c>
      <c r="M40" s="1" t="s">
        <v>8915</v>
      </c>
      <c r="O40" s="1" t="s">
        <v>157</v>
      </c>
      <c r="P40" s="1" t="s">
        <v>10155</v>
      </c>
      <c r="Q40" s="1" t="s">
        <v>29</v>
      </c>
    </row>
    <row r="41" spans="1:17" ht="12.5" x14ac:dyDescent="0.25">
      <c r="A41" s="1" t="s">
        <v>152</v>
      </c>
      <c r="C41" s="1" t="s">
        <v>5342</v>
      </c>
      <c r="D41" s="1" t="s">
        <v>10225</v>
      </c>
      <c r="E41" s="1" t="s">
        <v>10169</v>
      </c>
      <c r="F41" s="1" t="s">
        <v>10186</v>
      </c>
      <c r="G41" s="1" t="s">
        <v>10186</v>
      </c>
      <c r="H41" s="1" t="s">
        <v>10152</v>
      </c>
      <c r="I41" s="1" t="s">
        <v>10153</v>
      </c>
      <c r="M41" s="1" t="s">
        <v>5343</v>
      </c>
      <c r="O41" s="1" t="s">
        <v>10155</v>
      </c>
      <c r="P41" s="1" t="s">
        <v>10155</v>
      </c>
      <c r="Q41" s="1" t="s">
        <v>29</v>
      </c>
    </row>
    <row r="42" spans="1:17" ht="12.5" x14ac:dyDescent="0.25">
      <c r="A42" s="1" t="s">
        <v>152</v>
      </c>
      <c r="C42" s="1" t="s">
        <v>10226</v>
      </c>
      <c r="D42" s="1" t="s">
        <v>10227</v>
      </c>
      <c r="E42" s="1" t="s">
        <v>10169</v>
      </c>
      <c r="F42" s="1" t="s">
        <v>10170</v>
      </c>
      <c r="G42" s="1" t="s">
        <v>10228</v>
      </c>
      <c r="H42" s="1" t="s">
        <v>10152</v>
      </c>
      <c r="I42" s="1" t="s">
        <v>10164</v>
      </c>
      <c r="L42" s="1" t="s">
        <v>10229</v>
      </c>
      <c r="O42" s="1" t="s">
        <v>10155</v>
      </c>
      <c r="P42" s="1" t="s">
        <v>10155</v>
      </c>
    </row>
    <row r="43" spans="1:17" ht="12.5" x14ac:dyDescent="0.25">
      <c r="A43" s="1" t="s">
        <v>152</v>
      </c>
      <c r="C43" s="1" t="s">
        <v>5338</v>
      </c>
      <c r="D43" s="1" t="s">
        <v>10230</v>
      </c>
      <c r="E43" s="1" t="s">
        <v>10169</v>
      </c>
      <c r="F43" s="1" t="s">
        <v>10170</v>
      </c>
      <c r="G43" s="1" t="s">
        <v>10231</v>
      </c>
      <c r="H43" s="1" t="s">
        <v>10152</v>
      </c>
      <c r="I43" s="1" t="s">
        <v>10153</v>
      </c>
      <c r="L43" s="1" t="s">
        <v>10197</v>
      </c>
      <c r="M43" s="1" t="s">
        <v>5339</v>
      </c>
      <c r="O43" s="1" t="s">
        <v>124</v>
      </c>
      <c r="P43" s="1" t="s">
        <v>10155</v>
      </c>
      <c r="Q43" s="1" t="s">
        <v>29</v>
      </c>
    </row>
    <row r="44" spans="1:17" ht="12.5" x14ac:dyDescent="0.25">
      <c r="A44" s="1" t="s">
        <v>152</v>
      </c>
      <c r="C44" s="1" t="s">
        <v>6305</v>
      </c>
      <c r="D44" s="1" t="s">
        <v>10232</v>
      </c>
      <c r="E44" s="1" t="s">
        <v>10169</v>
      </c>
      <c r="F44" s="1" t="s">
        <v>10170</v>
      </c>
      <c r="G44" s="1" t="s">
        <v>10231</v>
      </c>
      <c r="H44" s="1" t="s">
        <v>10183</v>
      </c>
      <c r="I44" s="1" t="s">
        <v>10183</v>
      </c>
      <c r="M44" s="1" t="s">
        <v>6306</v>
      </c>
      <c r="O44" s="1" t="s">
        <v>59</v>
      </c>
      <c r="P44" s="1" t="s">
        <v>124</v>
      </c>
      <c r="Q44" s="1" t="s">
        <v>29</v>
      </c>
    </row>
    <row r="45" spans="1:17" ht="12.5" x14ac:dyDescent="0.25">
      <c r="A45" s="1" t="s">
        <v>152</v>
      </c>
      <c r="C45" s="1" t="s">
        <v>7610</v>
      </c>
      <c r="D45" s="1" t="s">
        <v>10233</v>
      </c>
      <c r="E45" s="1" t="s">
        <v>10169</v>
      </c>
      <c r="F45" s="1" t="s">
        <v>10170</v>
      </c>
      <c r="G45" s="1" t="s">
        <v>10231</v>
      </c>
      <c r="H45" s="1" t="s">
        <v>10183</v>
      </c>
      <c r="I45" s="1" t="s">
        <v>10183</v>
      </c>
      <c r="M45" s="1" t="s">
        <v>7611</v>
      </c>
      <c r="N45" s="1" t="s">
        <v>10234</v>
      </c>
      <c r="O45" s="1" t="s">
        <v>59</v>
      </c>
      <c r="P45" s="1" t="s">
        <v>124</v>
      </c>
      <c r="Q45" s="1" t="s">
        <v>29</v>
      </c>
    </row>
    <row r="46" spans="1:17" ht="12.5" x14ac:dyDescent="0.25">
      <c r="A46" s="1" t="s">
        <v>152</v>
      </c>
      <c r="C46" s="1" t="s">
        <v>5334</v>
      </c>
      <c r="D46" s="1" t="s">
        <v>10235</v>
      </c>
      <c r="E46" s="1" t="s">
        <v>10169</v>
      </c>
      <c r="F46" s="1" t="s">
        <v>10170</v>
      </c>
      <c r="G46" s="1" t="s">
        <v>10231</v>
      </c>
      <c r="H46" s="1" t="s">
        <v>10152</v>
      </c>
      <c r="I46" s="1" t="s">
        <v>10153</v>
      </c>
      <c r="L46" s="1" t="s">
        <v>10197</v>
      </c>
      <c r="M46" s="1" t="s">
        <v>5335</v>
      </c>
      <c r="O46" s="1" t="s">
        <v>124</v>
      </c>
      <c r="P46" s="1" t="s">
        <v>10155</v>
      </c>
      <c r="Q46" s="1" t="s">
        <v>29</v>
      </c>
    </row>
    <row r="47" spans="1:17" ht="12.5" x14ac:dyDescent="0.25">
      <c r="A47" s="1" t="s">
        <v>152</v>
      </c>
      <c r="C47" s="1" t="s">
        <v>5330</v>
      </c>
      <c r="D47" s="1" t="s">
        <v>10236</v>
      </c>
      <c r="E47" s="1" t="s">
        <v>10169</v>
      </c>
      <c r="F47" s="1" t="s">
        <v>10170</v>
      </c>
      <c r="G47" s="1" t="s">
        <v>10231</v>
      </c>
      <c r="H47" s="1" t="s">
        <v>10160</v>
      </c>
      <c r="I47" s="1" t="s">
        <v>10160</v>
      </c>
      <c r="L47" s="1" t="s">
        <v>10197</v>
      </c>
      <c r="M47" s="1" t="s">
        <v>5331</v>
      </c>
      <c r="O47" s="1" t="s">
        <v>124</v>
      </c>
      <c r="P47" s="1" t="s">
        <v>10155</v>
      </c>
      <c r="Q47" s="1" t="s">
        <v>29</v>
      </c>
    </row>
    <row r="48" spans="1:17" ht="12.5" x14ac:dyDescent="0.25">
      <c r="A48" s="1" t="s">
        <v>152</v>
      </c>
      <c r="C48" s="1" t="s">
        <v>5326</v>
      </c>
      <c r="D48" s="1" t="s">
        <v>10237</v>
      </c>
      <c r="E48" s="1" t="s">
        <v>10169</v>
      </c>
      <c r="F48" s="1" t="s">
        <v>10186</v>
      </c>
      <c r="G48" s="1" t="s">
        <v>10238</v>
      </c>
      <c r="H48" s="1" t="s">
        <v>10176</v>
      </c>
      <c r="I48" s="1" t="s">
        <v>10176</v>
      </c>
      <c r="J48" s="1" t="s">
        <v>10177</v>
      </c>
      <c r="K48" s="1" t="s">
        <v>10177</v>
      </c>
      <c r="M48" s="1" t="s">
        <v>5327</v>
      </c>
      <c r="O48" s="1" t="s">
        <v>10155</v>
      </c>
      <c r="P48" s="1" t="s">
        <v>10155</v>
      </c>
      <c r="Q48" s="1" t="s">
        <v>29</v>
      </c>
    </row>
    <row r="49" spans="1:17" ht="12.5" x14ac:dyDescent="0.25">
      <c r="A49" s="1" t="s">
        <v>152</v>
      </c>
      <c r="C49" s="1" t="s">
        <v>10239</v>
      </c>
      <c r="D49" s="1" t="s">
        <v>10240</v>
      </c>
      <c r="E49" s="1" t="s">
        <v>10169</v>
      </c>
      <c r="F49" s="1" t="s">
        <v>10186</v>
      </c>
      <c r="G49" s="1" t="s">
        <v>10238</v>
      </c>
      <c r="H49" s="1" t="s">
        <v>10152</v>
      </c>
      <c r="I49" s="1" t="s">
        <v>10164</v>
      </c>
      <c r="L49" s="1" t="s">
        <v>10241</v>
      </c>
      <c r="O49" s="1" t="s">
        <v>10155</v>
      </c>
      <c r="P49" s="1" t="s">
        <v>10155</v>
      </c>
    </row>
    <row r="50" spans="1:17" ht="12.5" x14ac:dyDescent="0.25">
      <c r="A50" s="1" t="s">
        <v>152</v>
      </c>
      <c r="C50" s="1" t="s">
        <v>5323</v>
      </c>
      <c r="D50" s="1" t="s">
        <v>10242</v>
      </c>
      <c r="E50" s="1" t="s">
        <v>10169</v>
      </c>
      <c r="F50" s="1" t="s">
        <v>10170</v>
      </c>
      <c r="G50" s="1" t="s">
        <v>10243</v>
      </c>
      <c r="H50" s="1" t="s">
        <v>10152</v>
      </c>
      <c r="I50" s="1" t="s">
        <v>10164</v>
      </c>
      <c r="M50" s="1" t="s">
        <v>5324</v>
      </c>
      <c r="O50" s="1" t="s">
        <v>10155</v>
      </c>
      <c r="P50" s="1" t="s">
        <v>10155</v>
      </c>
      <c r="Q50" s="1" t="s">
        <v>29</v>
      </c>
    </row>
    <row r="51" spans="1:17" ht="12.5" x14ac:dyDescent="0.25">
      <c r="A51" s="1" t="s">
        <v>152</v>
      </c>
      <c r="C51" s="1" t="s">
        <v>5319</v>
      </c>
      <c r="D51" s="1" t="s">
        <v>10244</v>
      </c>
      <c r="E51" s="1" t="s">
        <v>10169</v>
      </c>
      <c r="F51" s="1" t="s">
        <v>10170</v>
      </c>
      <c r="G51" s="1" t="s">
        <v>10243</v>
      </c>
      <c r="H51" s="1" t="s">
        <v>10160</v>
      </c>
      <c r="I51" s="1" t="s">
        <v>10160</v>
      </c>
      <c r="M51" s="1" t="s">
        <v>9477</v>
      </c>
      <c r="N51" s="1" t="s">
        <v>9478</v>
      </c>
      <c r="O51" s="1" t="s">
        <v>169</v>
      </c>
      <c r="P51" s="1" t="s">
        <v>10155</v>
      </c>
      <c r="Q51" s="1" t="s">
        <v>29</v>
      </c>
    </row>
    <row r="52" spans="1:17" ht="12.5" x14ac:dyDescent="0.25">
      <c r="A52" s="1" t="s">
        <v>152</v>
      </c>
      <c r="C52" s="1" t="s">
        <v>5316</v>
      </c>
      <c r="D52" s="1" t="s">
        <v>10245</v>
      </c>
      <c r="E52" s="1" t="s">
        <v>10169</v>
      </c>
      <c r="F52" s="1" t="s">
        <v>10186</v>
      </c>
      <c r="G52" s="1" t="s">
        <v>10246</v>
      </c>
      <c r="H52" s="1" t="s">
        <v>10152</v>
      </c>
      <c r="I52" s="1" t="s">
        <v>10164</v>
      </c>
      <c r="M52" s="1" t="s">
        <v>5317</v>
      </c>
      <c r="O52" s="1" t="s">
        <v>10155</v>
      </c>
      <c r="P52" s="1" t="s">
        <v>10155</v>
      </c>
      <c r="Q52" s="1" t="s">
        <v>29</v>
      </c>
    </row>
    <row r="53" spans="1:17" ht="12.5" x14ac:dyDescent="0.25">
      <c r="A53" s="1" t="s">
        <v>152</v>
      </c>
      <c r="C53" s="1" t="s">
        <v>5312</v>
      </c>
      <c r="D53" s="1" t="s">
        <v>10247</v>
      </c>
      <c r="E53" s="1" t="s">
        <v>10169</v>
      </c>
      <c r="F53" s="1" t="s">
        <v>10186</v>
      </c>
      <c r="G53" s="1" t="s">
        <v>10246</v>
      </c>
      <c r="H53" s="1" t="s">
        <v>10152</v>
      </c>
      <c r="I53" s="1" t="s">
        <v>10164</v>
      </c>
      <c r="M53" s="1" t="s">
        <v>5313</v>
      </c>
      <c r="O53" s="1" t="s">
        <v>10155</v>
      </c>
      <c r="P53" s="1" t="s">
        <v>10155</v>
      </c>
      <c r="Q53" s="1" t="s">
        <v>29</v>
      </c>
    </row>
    <row r="54" spans="1:17" ht="12.5" x14ac:dyDescent="0.25">
      <c r="A54" s="1" t="s">
        <v>152</v>
      </c>
      <c r="C54" s="1" t="s">
        <v>5308</v>
      </c>
      <c r="D54" s="1" t="s">
        <v>10248</v>
      </c>
      <c r="E54" s="1" t="s">
        <v>10169</v>
      </c>
      <c r="F54" s="1" t="s">
        <v>10186</v>
      </c>
      <c r="G54" s="1" t="s">
        <v>10246</v>
      </c>
      <c r="H54" s="1" t="s">
        <v>10152</v>
      </c>
      <c r="I54" s="1" t="s">
        <v>10164</v>
      </c>
      <c r="M54" s="1" t="s">
        <v>5309</v>
      </c>
      <c r="O54" s="1" t="s">
        <v>10155</v>
      </c>
      <c r="P54" s="1" t="s">
        <v>10155</v>
      </c>
      <c r="Q54" s="1" t="s">
        <v>29</v>
      </c>
    </row>
    <row r="55" spans="1:17" ht="12.5" x14ac:dyDescent="0.25">
      <c r="A55" s="1" t="s">
        <v>152</v>
      </c>
      <c r="C55" s="1" t="s">
        <v>5304</v>
      </c>
      <c r="D55" s="1" t="s">
        <v>10249</v>
      </c>
      <c r="E55" s="1" t="s">
        <v>10169</v>
      </c>
      <c r="F55" s="1" t="s">
        <v>10186</v>
      </c>
      <c r="G55" s="1" t="s">
        <v>10246</v>
      </c>
      <c r="H55" s="1" t="s">
        <v>10152</v>
      </c>
      <c r="I55" s="1" t="s">
        <v>10164</v>
      </c>
      <c r="M55" s="1" t="s">
        <v>5305</v>
      </c>
      <c r="O55" s="1" t="s">
        <v>10155</v>
      </c>
      <c r="P55" s="1" t="s">
        <v>10155</v>
      </c>
      <c r="Q55" s="1" t="s">
        <v>29</v>
      </c>
    </row>
    <row r="56" spans="1:17" ht="12.5" x14ac:dyDescent="0.25">
      <c r="A56" s="1" t="s">
        <v>152</v>
      </c>
      <c r="C56" s="1" t="s">
        <v>5301</v>
      </c>
      <c r="D56" s="1" t="s">
        <v>10250</v>
      </c>
      <c r="E56" s="1" t="s">
        <v>10169</v>
      </c>
      <c r="F56" s="1" t="s">
        <v>10186</v>
      </c>
      <c r="G56" s="1" t="s">
        <v>10246</v>
      </c>
      <c r="H56" s="1" t="s">
        <v>10176</v>
      </c>
      <c r="I56" s="1" t="s">
        <v>10176</v>
      </c>
      <c r="J56" s="1" t="s">
        <v>10177</v>
      </c>
      <c r="K56" s="1" t="s">
        <v>10177</v>
      </c>
      <c r="M56" s="1" t="s">
        <v>5302</v>
      </c>
      <c r="O56" s="1" t="s">
        <v>10155</v>
      </c>
      <c r="P56" s="1" t="s">
        <v>10155</v>
      </c>
      <c r="Q56" s="1" t="s">
        <v>29</v>
      </c>
    </row>
    <row r="57" spans="1:17" ht="12.5" x14ac:dyDescent="0.25">
      <c r="A57" s="1" t="s">
        <v>152</v>
      </c>
      <c r="C57" s="1" t="s">
        <v>5297</v>
      </c>
      <c r="D57" s="1" t="s">
        <v>10251</v>
      </c>
      <c r="E57" s="1" t="s">
        <v>10169</v>
      </c>
      <c r="F57" s="1" t="s">
        <v>10186</v>
      </c>
      <c r="G57" s="1" t="s">
        <v>10246</v>
      </c>
      <c r="H57" s="1" t="s">
        <v>10152</v>
      </c>
      <c r="I57" s="1" t="s">
        <v>10164</v>
      </c>
      <c r="M57" s="1" t="s">
        <v>5298</v>
      </c>
      <c r="O57" s="1" t="s">
        <v>10155</v>
      </c>
      <c r="P57" s="1" t="s">
        <v>10155</v>
      </c>
      <c r="Q57" s="1" t="s">
        <v>29</v>
      </c>
    </row>
    <row r="58" spans="1:17" ht="12.5" x14ac:dyDescent="0.25">
      <c r="A58" s="1" t="s">
        <v>152</v>
      </c>
      <c r="C58" s="1" t="s">
        <v>10252</v>
      </c>
      <c r="D58" s="1" t="s">
        <v>10253</v>
      </c>
      <c r="E58" s="1" t="s">
        <v>10169</v>
      </c>
      <c r="F58" s="1" t="s">
        <v>10170</v>
      </c>
      <c r="G58" s="1" t="s">
        <v>10254</v>
      </c>
      <c r="H58" s="1" t="s">
        <v>10152</v>
      </c>
      <c r="I58" s="1" t="s">
        <v>10164</v>
      </c>
      <c r="L58" s="1" t="s">
        <v>10197</v>
      </c>
      <c r="O58" s="1" t="s">
        <v>10155</v>
      </c>
      <c r="P58" s="1" t="s">
        <v>10155</v>
      </c>
    </row>
    <row r="59" spans="1:17" ht="12.5" x14ac:dyDescent="0.25">
      <c r="A59" s="1" t="s">
        <v>152</v>
      </c>
      <c r="C59" s="1" t="s">
        <v>5293</v>
      </c>
      <c r="D59" s="1" t="s">
        <v>10255</v>
      </c>
      <c r="E59" s="1" t="s">
        <v>10169</v>
      </c>
      <c r="F59" s="1" t="s">
        <v>10186</v>
      </c>
      <c r="G59" s="1" t="s">
        <v>10256</v>
      </c>
      <c r="H59" s="1" t="s">
        <v>10183</v>
      </c>
      <c r="I59" s="1" t="s">
        <v>10183</v>
      </c>
      <c r="M59" s="1" t="s">
        <v>5659</v>
      </c>
      <c r="N59" s="1" t="s">
        <v>5661</v>
      </c>
      <c r="O59" s="1" t="s">
        <v>124</v>
      </c>
      <c r="P59" s="1" t="s">
        <v>59</v>
      </c>
      <c r="Q59" s="1" t="s">
        <v>29</v>
      </c>
    </row>
    <row r="60" spans="1:17" ht="12.5" x14ac:dyDescent="0.25">
      <c r="A60" s="1" t="s">
        <v>152</v>
      </c>
      <c r="C60" s="1" t="s">
        <v>5289</v>
      </c>
      <c r="D60" s="1" t="s">
        <v>10257</v>
      </c>
      <c r="E60" s="1" t="s">
        <v>10169</v>
      </c>
      <c r="F60" s="1" t="s">
        <v>10188</v>
      </c>
      <c r="G60" s="1" t="s">
        <v>10258</v>
      </c>
      <c r="H60" s="1" t="s">
        <v>10176</v>
      </c>
      <c r="I60" s="1" t="s">
        <v>10176</v>
      </c>
      <c r="J60" s="1" t="s">
        <v>10177</v>
      </c>
      <c r="K60" s="1" t="s">
        <v>10177</v>
      </c>
      <c r="M60" s="1" t="s">
        <v>5290</v>
      </c>
      <c r="O60" s="1" t="s">
        <v>10155</v>
      </c>
      <c r="P60" s="1" t="s">
        <v>10155</v>
      </c>
      <c r="Q60" s="1" t="s">
        <v>29</v>
      </c>
    </row>
    <row r="61" spans="1:17" ht="12.5" x14ac:dyDescent="0.25">
      <c r="A61" s="1" t="s">
        <v>152</v>
      </c>
      <c r="C61" s="1" t="s">
        <v>5286</v>
      </c>
      <c r="D61" s="1" t="s">
        <v>10259</v>
      </c>
      <c r="E61" s="1" t="s">
        <v>10169</v>
      </c>
      <c r="F61" s="1" t="s">
        <v>10188</v>
      </c>
      <c r="G61" s="1" t="s">
        <v>10258</v>
      </c>
      <c r="H61" s="1" t="s">
        <v>10176</v>
      </c>
      <c r="I61" s="1" t="s">
        <v>10176</v>
      </c>
      <c r="J61" s="1" t="s">
        <v>10177</v>
      </c>
      <c r="K61" s="1" t="s">
        <v>10177</v>
      </c>
      <c r="M61" s="1" t="s">
        <v>5287</v>
      </c>
      <c r="O61" s="1" t="s">
        <v>10155</v>
      </c>
      <c r="P61" s="1" t="s">
        <v>10155</v>
      </c>
      <c r="Q61" s="1" t="s">
        <v>29</v>
      </c>
    </row>
    <row r="62" spans="1:17" ht="12.5" x14ac:dyDescent="0.25">
      <c r="A62" s="1" t="s">
        <v>152</v>
      </c>
      <c r="C62" s="1" t="s">
        <v>10260</v>
      </c>
      <c r="D62" s="1" t="s">
        <v>10261</v>
      </c>
      <c r="E62" s="1" t="s">
        <v>10169</v>
      </c>
      <c r="F62" s="1" t="s">
        <v>10188</v>
      </c>
      <c r="G62" s="1" t="s">
        <v>10258</v>
      </c>
      <c r="H62" s="1" t="s">
        <v>10176</v>
      </c>
      <c r="I62" s="1" t="s">
        <v>10176</v>
      </c>
      <c r="J62" s="1" t="s">
        <v>10262</v>
      </c>
      <c r="K62" s="1" t="s">
        <v>10262</v>
      </c>
      <c r="O62" s="1" t="s">
        <v>10155</v>
      </c>
      <c r="P62" s="1" t="s">
        <v>10155</v>
      </c>
    </row>
    <row r="63" spans="1:17" ht="12.5" x14ac:dyDescent="0.25">
      <c r="A63" s="1" t="s">
        <v>152</v>
      </c>
      <c r="C63" s="1" t="s">
        <v>7994</v>
      </c>
      <c r="D63" s="1" t="s">
        <v>10263</v>
      </c>
      <c r="E63" s="1" t="s">
        <v>10169</v>
      </c>
      <c r="F63" s="1" t="s">
        <v>10204</v>
      </c>
      <c r="G63" s="1" t="s">
        <v>10264</v>
      </c>
      <c r="H63" s="1" t="s">
        <v>10183</v>
      </c>
      <c r="I63" s="1" t="s">
        <v>10183</v>
      </c>
      <c r="M63" s="1" t="s">
        <v>7995</v>
      </c>
      <c r="O63" s="1" t="s">
        <v>33</v>
      </c>
      <c r="P63" s="1" t="s">
        <v>53</v>
      </c>
      <c r="Q63" s="1" t="s">
        <v>29</v>
      </c>
    </row>
    <row r="64" spans="1:17" ht="12.5" x14ac:dyDescent="0.25">
      <c r="A64" s="1" t="s">
        <v>152</v>
      </c>
      <c r="C64" s="1" t="s">
        <v>5282</v>
      </c>
      <c r="D64" s="1" t="s">
        <v>10265</v>
      </c>
      <c r="E64" s="1" t="s">
        <v>10169</v>
      </c>
      <c r="F64" s="1" t="s">
        <v>10170</v>
      </c>
      <c r="G64" s="1" t="s">
        <v>10266</v>
      </c>
      <c r="H64" s="1" t="s">
        <v>10183</v>
      </c>
      <c r="I64" s="1" t="s">
        <v>10183</v>
      </c>
      <c r="M64" s="1" t="s">
        <v>8837</v>
      </c>
      <c r="N64" s="1" t="s">
        <v>8839</v>
      </c>
      <c r="O64" s="1" t="s">
        <v>59</v>
      </c>
      <c r="P64" s="1" t="s">
        <v>59</v>
      </c>
      <c r="Q64" s="1" t="s">
        <v>29</v>
      </c>
    </row>
    <row r="65" spans="1:17" ht="12.5" x14ac:dyDescent="0.25">
      <c r="A65" s="1" t="s">
        <v>152</v>
      </c>
      <c r="C65" s="1" t="s">
        <v>5279</v>
      </c>
      <c r="D65" s="1" t="s">
        <v>10267</v>
      </c>
      <c r="E65" s="1" t="s">
        <v>10169</v>
      </c>
      <c r="F65" s="1" t="s">
        <v>10186</v>
      </c>
      <c r="G65" s="1" t="s">
        <v>10187</v>
      </c>
      <c r="H65" s="1" t="s">
        <v>10152</v>
      </c>
      <c r="I65" s="1" t="s">
        <v>10153</v>
      </c>
      <c r="M65" s="1" t="s">
        <v>6959</v>
      </c>
      <c r="N65" s="1" t="s">
        <v>6961</v>
      </c>
      <c r="O65" s="1" t="s">
        <v>59</v>
      </c>
      <c r="P65" s="1" t="s">
        <v>10155</v>
      </c>
      <c r="Q65" s="1" t="s">
        <v>29</v>
      </c>
    </row>
    <row r="66" spans="1:17" ht="12.5" x14ac:dyDescent="0.25">
      <c r="A66" s="1" t="s">
        <v>152</v>
      </c>
      <c r="C66" s="1" t="s">
        <v>5279</v>
      </c>
      <c r="D66" s="1" t="s">
        <v>10267</v>
      </c>
      <c r="E66" s="1" t="s">
        <v>10169</v>
      </c>
      <c r="F66" s="1" t="s">
        <v>10186</v>
      </c>
      <c r="G66" s="1" t="s">
        <v>10187</v>
      </c>
      <c r="H66" s="1" t="s">
        <v>10152</v>
      </c>
      <c r="I66" s="1" t="s">
        <v>10153</v>
      </c>
      <c r="M66" s="1" t="s">
        <v>5280</v>
      </c>
      <c r="O66" s="1" t="s">
        <v>10155</v>
      </c>
      <c r="P66" s="1" t="s">
        <v>10155</v>
      </c>
      <c r="Q66" s="1" t="s">
        <v>29</v>
      </c>
    </row>
    <row r="67" spans="1:17" ht="12.5" x14ac:dyDescent="0.25">
      <c r="A67" s="1" t="s">
        <v>152</v>
      </c>
      <c r="C67" s="1" t="s">
        <v>10268</v>
      </c>
      <c r="D67" s="1" t="s">
        <v>10269</v>
      </c>
      <c r="E67" s="1" t="s">
        <v>10169</v>
      </c>
      <c r="F67" s="1" t="s">
        <v>10186</v>
      </c>
      <c r="G67" s="1" t="s">
        <v>10187</v>
      </c>
      <c r="H67" s="1" t="s">
        <v>10176</v>
      </c>
      <c r="I67" s="1" t="s">
        <v>10176</v>
      </c>
      <c r="J67" s="1" t="s">
        <v>10270</v>
      </c>
      <c r="K67" s="1" t="s">
        <v>10270</v>
      </c>
      <c r="O67" s="1" t="s">
        <v>10155</v>
      </c>
      <c r="P67" s="1" t="s">
        <v>10155</v>
      </c>
    </row>
    <row r="68" spans="1:17" ht="12.5" x14ac:dyDescent="0.25">
      <c r="A68" s="1" t="s">
        <v>152</v>
      </c>
      <c r="C68" s="1" t="s">
        <v>7998</v>
      </c>
      <c r="D68" s="1" t="s">
        <v>10271</v>
      </c>
      <c r="E68" s="1" t="s">
        <v>10169</v>
      </c>
      <c r="F68" s="1" t="s">
        <v>10188</v>
      </c>
      <c r="G68" s="1" t="s">
        <v>10189</v>
      </c>
      <c r="H68" s="1" t="s">
        <v>10183</v>
      </c>
      <c r="I68" s="1" t="s">
        <v>10183</v>
      </c>
      <c r="M68" s="1" t="s">
        <v>7999</v>
      </c>
      <c r="O68" s="1" t="s">
        <v>33</v>
      </c>
      <c r="P68" s="1" t="s">
        <v>317</v>
      </c>
      <c r="Q68" s="1" t="s">
        <v>29</v>
      </c>
    </row>
    <row r="69" spans="1:17" ht="12.5" x14ac:dyDescent="0.25">
      <c r="A69" s="1" t="s">
        <v>152</v>
      </c>
      <c r="C69" s="1" t="s">
        <v>10272</v>
      </c>
      <c r="D69" s="1" t="s">
        <v>10273</v>
      </c>
      <c r="E69" s="1" t="s">
        <v>10169</v>
      </c>
      <c r="F69" s="1" t="s">
        <v>10188</v>
      </c>
      <c r="G69" s="1" t="s">
        <v>10189</v>
      </c>
      <c r="H69" s="1" t="s">
        <v>10176</v>
      </c>
      <c r="I69" s="1" t="s">
        <v>10176</v>
      </c>
      <c r="J69" s="1" t="s">
        <v>10262</v>
      </c>
      <c r="K69" s="1" t="s">
        <v>10262</v>
      </c>
      <c r="O69" s="1" t="s">
        <v>10155</v>
      </c>
      <c r="P69" s="1" t="s">
        <v>10155</v>
      </c>
    </row>
    <row r="70" spans="1:17" ht="12.5" x14ac:dyDescent="0.25">
      <c r="A70" s="1" t="s">
        <v>152</v>
      </c>
      <c r="C70" s="1" t="s">
        <v>10274</v>
      </c>
      <c r="D70" s="1" t="s">
        <v>10275</v>
      </c>
      <c r="E70" s="1" t="s">
        <v>10169</v>
      </c>
      <c r="F70" s="1" t="s">
        <v>10188</v>
      </c>
      <c r="G70" s="1" t="s">
        <v>10189</v>
      </c>
      <c r="H70" s="1" t="s">
        <v>10152</v>
      </c>
      <c r="I70" s="1" t="s">
        <v>10164</v>
      </c>
      <c r="O70" s="1" t="s">
        <v>10155</v>
      </c>
      <c r="P70" s="1" t="s">
        <v>10155</v>
      </c>
    </row>
    <row r="71" spans="1:17" ht="12.5" x14ac:dyDescent="0.25">
      <c r="A71" s="1" t="s">
        <v>152</v>
      </c>
      <c r="C71" s="1" t="s">
        <v>5275</v>
      </c>
      <c r="D71" s="1" t="s">
        <v>10276</v>
      </c>
      <c r="E71" s="1" t="s">
        <v>10169</v>
      </c>
      <c r="F71" s="1" t="s">
        <v>10188</v>
      </c>
      <c r="G71" s="1" t="s">
        <v>10189</v>
      </c>
      <c r="H71" s="1" t="s">
        <v>10152</v>
      </c>
      <c r="I71" s="1" t="s">
        <v>10153</v>
      </c>
      <c r="L71" s="1" t="s">
        <v>10197</v>
      </c>
      <c r="M71" s="1" t="s">
        <v>5276</v>
      </c>
      <c r="O71" s="1" t="s">
        <v>10155</v>
      </c>
      <c r="P71" s="1" t="s">
        <v>10155</v>
      </c>
      <c r="Q71" s="1" t="s">
        <v>20</v>
      </c>
    </row>
    <row r="72" spans="1:17" ht="12.5" x14ac:dyDescent="0.25">
      <c r="A72" s="1" t="s">
        <v>152</v>
      </c>
      <c r="C72" s="1" t="s">
        <v>5271</v>
      </c>
      <c r="D72" s="1" t="s">
        <v>10277</v>
      </c>
      <c r="E72" s="1" t="s">
        <v>10169</v>
      </c>
      <c r="F72" s="1" t="s">
        <v>10188</v>
      </c>
      <c r="G72" s="1" t="s">
        <v>10189</v>
      </c>
      <c r="H72" s="1" t="s">
        <v>10176</v>
      </c>
      <c r="I72" s="1" t="s">
        <v>10176</v>
      </c>
      <c r="J72" s="1" t="s">
        <v>10177</v>
      </c>
      <c r="K72" s="1" t="s">
        <v>10177</v>
      </c>
      <c r="M72" s="1" t="s">
        <v>5272</v>
      </c>
      <c r="O72" s="1" t="s">
        <v>10155</v>
      </c>
      <c r="P72" s="1" t="s">
        <v>10155</v>
      </c>
      <c r="Q72" s="1" t="s">
        <v>29</v>
      </c>
    </row>
    <row r="73" spans="1:17" ht="12.5" x14ac:dyDescent="0.25">
      <c r="A73" s="1" t="s">
        <v>152</v>
      </c>
      <c r="C73" s="1" t="s">
        <v>8002</v>
      </c>
      <c r="D73" s="1" t="s">
        <v>10278</v>
      </c>
      <c r="E73" s="1" t="s">
        <v>10169</v>
      </c>
      <c r="F73" s="1" t="s">
        <v>10188</v>
      </c>
      <c r="G73" s="1" t="s">
        <v>10189</v>
      </c>
      <c r="H73" s="1" t="s">
        <v>10183</v>
      </c>
      <c r="I73" s="1" t="s">
        <v>10183</v>
      </c>
      <c r="M73" s="1" t="s">
        <v>8003</v>
      </c>
      <c r="O73" s="1" t="s">
        <v>33</v>
      </c>
      <c r="P73" s="1" t="s">
        <v>317</v>
      </c>
      <c r="Q73" s="1" t="s">
        <v>29</v>
      </c>
    </row>
    <row r="74" spans="1:17" ht="12.5" x14ac:dyDescent="0.25">
      <c r="A74" s="1" t="s">
        <v>152</v>
      </c>
      <c r="C74" s="1" t="s">
        <v>8006</v>
      </c>
      <c r="D74" s="1" t="s">
        <v>10279</v>
      </c>
      <c r="E74" s="1" t="s">
        <v>10169</v>
      </c>
      <c r="F74" s="1" t="s">
        <v>10188</v>
      </c>
      <c r="G74" s="1" t="s">
        <v>10189</v>
      </c>
      <c r="H74" s="1" t="s">
        <v>10183</v>
      </c>
      <c r="I74" s="1" t="s">
        <v>10183</v>
      </c>
      <c r="M74" s="1" t="s">
        <v>8007</v>
      </c>
      <c r="N74" s="1" t="s">
        <v>8009</v>
      </c>
      <c r="O74" s="1" t="s">
        <v>33</v>
      </c>
      <c r="P74" s="1" t="s">
        <v>53</v>
      </c>
      <c r="Q74" s="1" t="s">
        <v>29</v>
      </c>
    </row>
    <row r="75" spans="1:17" ht="12.5" x14ac:dyDescent="0.25">
      <c r="A75" s="1" t="s">
        <v>152</v>
      </c>
      <c r="C75" s="1" t="s">
        <v>10280</v>
      </c>
      <c r="D75" s="1" t="s">
        <v>10281</v>
      </c>
      <c r="E75" s="1" t="s">
        <v>10169</v>
      </c>
      <c r="F75" s="1" t="s">
        <v>10170</v>
      </c>
      <c r="G75" s="1" t="s">
        <v>10282</v>
      </c>
      <c r="H75" s="1" t="s">
        <v>10152</v>
      </c>
      <c r="I75" s="1" t="s">
        <v>10164</v>
      </c>
      <c r="L75" s="1" t="s">
        <v>10283</v>
      </c>
      <c r="O75" s="1" t="s">
        <v>10155</v>
      </c>
      <c r="P75" s="1" t="s">
        <v>10155</v>
      </c>
    </row>
    <row r="76" spans="1:17" ht="12.5" x14ac:dyDescent="0.25">
      <c r="A76" s="1" t="s">
        <v>152</v>
      </c>
      <c r="C76" s="1" t="s">
        <v>8011</v>
      </c>
      <c r="D76" s="1" t="s">
        <v>10284</v>
      </c>
      <c r="E76" s="1" t="s">
        <v>10169</v>
      </c>
      <c r="F76" s="1" t="s">
        <v>10188</v>
      </c>
      <c r="G76" s="1" t="s">
        <v>10189</v>
      </c>
      <c r="H76" s="1" t="s">
        <v>10183</v>
      </c>
      <c r="I76" s="1" t="s">
        <v>10183</v>
      </c>
      <c r="M76" s="1" t="s">
        <v>8012</v>
      </c>
      <c r="O76" s="1" t="s">
        <v>33</v>
      </c>
      <c r="P76" s="1" t="s">
        <v>53</v>
      </c>
      <c r="Q76" s="1" t="s">
        <v>29</v>
      </c>
    </row>
    <row r="77" spans="1:17" ht="12.5" x14ac:dyDescent="0.25">
      <c r="A77" s="1" t="s">
        <v>152</v>
      </c>
      <c r="C77" s="1" t="s">
        <v>8015</v>
      </c>
      <c r="D77" s="1" t="s">
        <v>8016</v>
      </c>
      <c r="E77" s="1" t="s">
        <v>10162</v>
      </c>
      <c r="F77" s="1" t="s">
        <v>10162</v>
      </c>
      <c r="G77" s="1" t="s">
        <v>10192</v>
      </c>
      <c r="H77" s="1" t="s">
        <v>10183</v>
      </c>
      <c r="I77" s="1" t="s">
        <v>10183</v>
      </c>
      <c r="M77" s="1" t="s">
        <v>8017</v>
      </c>
      <c r="O77" s="1" t="s">
        <v>169</v>
      </c>
      <c r="P77" s="1" t="s">
        <v>53</v>
      </c>
      <c r="Q77" s="1" t="s">
        <v>29</v>
      </c>
    </row>
    <row r="78" spans="1:17" ht="12.5" x14ac:dyDescent="0.25">
      <c r="A78" s="1" t="s">
        <v>152</v>
      </c>
      <c r="C78" s="1" t="s">
        <v>6495</v>
      </c>
      <c r="D78" s="1" t="s">
        <v>6496</v>
      </c>
      <c r="E78" s="1" t="s">
        <v>10162</v>
      </c>
      <c r="F78" s="1" t="s">
        <v>10162</v>
      </c>
      <c r="G78" s="1" t="s">
        <v>10192</v>
      </c>
      <c r="H78" s="1" t="s">
        <v>10152</v>
      </c>
      <c r="I78" s="1" t="s">
        <v>10164</v>
      </c>
      <c r="L78" s="1" t="s">
        <v>10197</v>
      </c>
      <c r="O78" s="1" t="s">
        <v>10155</v>
      </c>
      <c r="P78" s="1" t="s">
        <v>10155</v>
      </c>
    </row>
    <row r="79" spans="1:17" ht="12.5" x14ac:dyDescent="0.25">
      <c r="A79" s="1" t="s">
        <v>152</v>
      </c>
      <c r="C79" s="1" t="s">
        <v>10285</v>
      </c>
      <c r="D79" s="1" t="s">
        <v>10286</v>
      </c>
      <c r="E79" s="1" t="s">
        <v>10169</v>
      </c>
      <c r="F79" s="1" t="s">
        <v>10170</v>
      </c>
      <c r="G79" s="1" t="s">
        <v>10287</v>
      </c>
      <c r="H79" s="1" t="s">
        <v>10176</v>
      </c>
      <c r="I79" s="1" t="s">
        <v>10176</v>
      </c>
      <c r="J79" s="1" t="s">
        <v>10270</v>
      </c>
      <c r="K79" s="1" t="s">
        <v>10270</v>
      </c>
      <c r="O79" s="1" t="s">
        <v>10155</v>
      </c>
      <c r="P79" s="1" t="s">
        <v>10155</v>
      </c>
    </row>
    <row r="80" spans="1:17" ht="12.5" x14ac:dyDescent="0.25">
      <c r="A80" s="1" t="s">
        <v>152</v>
      </c>
      <c r="C80" s="1" t="s">
        <v>10288</v>
      </c>
      <c r="D80" s="1" t="s">
        <v>10289</v>
      </c>
      <c r="E80" s="1" t="s">
        <v>10169</v>
      </c>
      <c r="F80" s="1" t="s">
        <v>10170</v>
      </c>
      <c r="G80" s="1" t="s">
        <v>10290</v>
      </c>
      <c r="H80" s="1" t="s">
        <v>10176</v>
      </c>
      <c r="I80" s="1" t="s">
        <v>10176</v>
      </c>
      <c r="J80" s="1" t="s">
        <v>10262</v>
      </c>
      <c r="K80" s="1" t="s">
        <v>10262</v>
      </c>
      <c r="O80" s="1" t="s">
        <v>10155</v>
      </c>
      <c r="P80" s="1" t="s">
        <v>10155</v>
      </c>
    </row>
    <row r="81" spans="1:17" ht="12.5" x14ac:dyDescent="0.25">
      <c r="A81" s="1" t="s">
        <v>152</v>
      </c>
      <c r="C81" s="1" t="s">
        <v>10291</v>
      </c>
      <c r="D81" s="1" t="s">
        <v>10292</v>
      </c>
      <c r="E81" s="1" t="s">
        <v>10169</v>
      </c>
      <c r="F81" s="1" t="s">
        <v>10170</v>
      </c>
      <c r="G81" s="1" t="s">
        <v>10290</v>
      </c>
      <c r="H81" s="1" t="s">
        <v>10176</v>
      </c>
      <c r="I81" s="1" t="s">
        <v>10176</v>
      </c>
      <c r="J81" s="1" t="s">
        <v>10293</v>
      </c>
      <c r="K81" s="1" t="s">
        <v>10293</v>
      </c>
      <c r="O81" s="1" t="s">
        <v>10155</v>
      </c>
      <c r="P81" s="1" t="s">
        <v>10155</v>
      </c>
    </row>
    <row r="82" spans="1:17" ht="12.5" x14ac:dyDescent="0.25">
      <c r="A82" s="1" t="s">
        <v>152</v>
      </c>
      <c r="C82" s="1" t="s">
        <v>10294</v>
      </c>
      <c r="D82" s="1" t="s">
        <v>10295</v>
      </c>
      <c r="E82" s="1" t="s">
        <v>10169</v>
      </c>
      <c r="F82" s="1" t="s">
        <v>10170</v>
      </c>
      <c r="G82" s="1" t="s">
        <v>10290</v>
      </c>
      <c r="H82" s="1" t="s">
        <v>10176</v>
      </c>
      <c r="I82" s="1" t="s">
        <v>10176</v>
      </c>
      <c r="J82" s="1" t="s">
        <v>10177</v>
      </c>
      <c r="K82" s="1" t="s">
        <v>10177</v>
      </c>
      <c r="O82" s="1" t="s">
        <v>10155</v>
      </c>
      <c r="P82" s="1" t="s">
        <v>10155</v>
      </c>
    </row>
    <row r="83" spans="1:17" ht="12.5" x14ac:dyDescent="0.25">
      <c r="A83" s="1" t="s">
        <v>152</v>
      </c>
      <c r="C83" s="1" t="s">
        <v>5268</v>
      </c>
      <c r="D83" s="1" t="s">
        <v>10296</v>
      </c>
      <c r="E83" s="1" t="s">
        <v>10169</v>
      </c>
      <c r="F83" s="1" t="s">
        <v>10170</v>
      </c>
      <c r="G83" s="1" t="s">
        <v>10297</v>
      </c>
      <c r="H83" s="1" t="s">
        <v>10152</v>
      </c>
      <c r="I83" s="1" t="s">
        <v>10153</v>
      </c>
      <c r="L83" s="1" t="s">
        <v>10197</v>
      </c>
      <c r="M83" s="1" t="s">
        <v>5269</v>
      </c>
      <c r="O83" s="1" t="s">
        <v>124</v>
      </c>
      <c r="P83" s="1" t="s">
        <v>10155</v>
      </c>
      <c r="Q83" s="1" t="s">
        <v>29</v>
      </c>
    </row>
    <row r="84" spans="1:17" ht="12.5" x14ac:dyDescent="0.25">
      <c r="A84" s="1" t="s">
        <v>152</v>
      </c>
      <c r="C84" s="1" t="s">
        <v>5264</v>
      </c>
      <c r="D84" s="1" t="s">
        <v>10298</v>
      </c>
      <c r="E84" s="1" t="s">
        <v>10169</v>
      </c>
      <c r="F84" s="1" t="s">
        <v>10170</v>
      </c>
      <c r="G84" s="1" t="s">
        <v>10297</v>
      </c>
      <c r="H84" s="1" t="s">
        <v>10152</v>
      </c>
      <c r="I84" s="1" t="s">
        <v>10153</v>
      </c>
      <c r="L84" s="1" t="s">
        <v>10197</v>
      </c>
      <c r="M84" s="1" t="s">
        <v>5265</v>
      </c>
      <c r="O84" s="1" t="s">
        <v>59</v>
      </c>
      <c r="P84" s="1" t="s">
        <v>10155</v>
      </c>
      <c r="Q84" s="1" t="s">
        <v>29</v>
      </c>
    </row>
    <row r="85" spans="1:17" ht="12.5" x14ac:dyDescent="0.25">
      <c r="A85" s="1" t="s">
        <v>152</v>
      </c>
      <c r="C85" s="1" t="s">
        <v>10299</v>
      </c>
      <c r="D85" s="1" t="s">
        <v>10300</v>
      </c>
      <c r="E85" s="1" t="s">
        <v>10169</v>
      </c>
      <c r="F85" s="1" t="s">
        <v>10170</v>
      </c>
      <c r="G85" s="1" t="s">
        <v>10290</v>
      </c>
      <c r="H85" s="1" t="s">
        <v>10152</v>
      </c>
      <c r="I85" s="1" t="s">
        <v>10164</v>
      </c>
      <c r="O85" s="1" t="s">
        <v>10155</v>
      </c>
      <c r="P85" s="1" t="s">
        <v>10155</v>
      </c>
    </row>
    <row r="86" spans="1:17" ht="12.5" x14ac:dyDescent="0.25">
      <c r="A86" s="1" t="s">
        <v>152</v>
      </c>
      <c r="C86" s="1" t="s">
        <v>5260</v>
      </c>
      <c r="D86" s="1" t="s">
        <v>10301</v>
      </c>
      <c r="E86" s="1" t="s">
        <v>10169</v>
      </c>
      <c r="F86" s="1" t="s">
        <v>10186</v>
      </c>
      <c r="G86" s="1" t="s">
        <v>10302</v>
      </c>
      <c r="H86" s="1" t="s">
        <v>10152</v>
      </c>
      <c r="I86" s="1" t="s">
        <v>10153</v>
      </c>
      <c r="M86" s="1" t="s">
        <v>8908</v>
      </c>
      <c r="N86" s="1" t="s">
        <v>8910</v>
      </c>
      <c r="O86" s="1" t="s">
        <v>169</v>
      </c>
      <c r="P86" s="1" t="s">
        <v>10155</v>
      </c>
      <c r="Q86" s="1" t="s">
        <v>29</v>
      </c>
    </row>
    <row r="87" spans="1:17" ht="12.5" x14ac:dyDescent="0.25">
      <c r="A87" s="1" t="s">
        <v>152</v>
      </c>
      <c r="C87" s="1" t="s">
        <v>5260</v>
      </c>
      <c r="D87" s="1" t="s">
        <v>10301</v>
      </c>
      <c r="E87" s="1" t="s">
        <v>10169</v>
      </c>
      <c r="F87" s="1" t="s">
        <v>10186</v>
      </c>
      <c r="G87" s="1" t="s">
        <v>10302</v>
      </c>
      <c r="H87" s="1" t="s">
        <v>10152</v>
      </c>
      <c r="I87" s="1" t="s">
        <v>10153</v>
      </c>
      <c r="M87" s="1" t="s">
        <v>5261</v>
      </c>
      <c r="O87" s="1" t="s">
        <v>10155</v>
      </c>
      <c r="P87" s="1" t="s">
        <v>10155</v>
      </c>
      <c r="Q87" s="1" t="s">
        <v>29</v>
      </c>
    </row>
    <row r="88" spans="1:17" ht="12.5" x14ac:dyDescent="0.25">
      <c r="A88" s="1" t="s">
        <v>152</v>
      </c>
      <c r="C88" s="1" t="s">
        <v>10303</v>
      </c>
      <c r="D88" s="1" t="s">
        <v>10304</v>
      </c>
      <c r="E88" s="1" t="s">
        <v>10169</v>
      </c>
      <c r="F88" s="1" t="s">
        <v>10186</v>
      </c>
      <c r="G88" s="1" t="s">
        <v>10302</v>
      </c>
      <c r="H88" s="1" t="s">
        <v>10176</v>
      </c>
      <c r="I88" s="1" t="s">
        <v>10176</v>
      </c>
      <c r="J88" s="1" t="s">
        <v>10262</v>
      </c>
      <c r="K88" s="1" t="s">
        <v>10262</v>
      </c>
      <c r="O88" s="1" t="s">
        <v>10155</v>
      </c>
      <c r="P88" s="1" t="s">
        <v>10155</v>
      </c>
    </row>
    <row r="89" spans="1:17" ht="12.5" x14ac:dyDescent="0.25">
      <c r="A89" s="1" t="s">
        <v>152</v>
      </c>
      <c r="C89" s="1" t="s">
        <v>5256</v>
      </c>
      <c r="D89" s="1" t="s">
        <v>10305</v>
      </c>
      <c r="E89" s="1" t="s">
        <v>10169</v>
      </c>
      <c r="F89" s="1" t="s">
        <v>10186</v>
      </c>
      <c r="G89" s="1" t="s">
        <v>10302</v>
      </c>
      <c r="H89" s="1" t="s">
        <v>10183</v>
      </c>
      <c r="I89" s="1" t="s">
        <v>10183</v>
      </c>
      <c r="M89" s="1" t="s">
        <v>7579</v>
      </c>
      <c r="N89" s="1" t="s">
        <v>7581</v>
      </c>
      <c r="O89" s="1" t="s">
        <v>59</v>
      </c>
      <c r="P89" s="1" t="s">
        <v>124</v>
      </c>
      <c r="Q89" s="1" t="s">
        <v>29</v>
      </c>
    </row>
    <row r="90" spans="1:17" ht="12.5" x14ac:dyDescent="0.25">
      <c r="A90" s="1" t="s">
        <v>152</v>
      </c>
      <c r="C90" s="1" t="s">
        <v>5253</v>
      </c>
      <c r="D90" s="1" t="s">
        <v>10306</v>
      </c>
      <c r="E90" s="1" t="s">
        <v>10169</v>
      </c>
      <c r="F90" s="1" t="s">
        <v>10186</v>
      </c>
      <c r="G90" s="1" t="s">
        <v>10302</v>
      </c>
      <c r="H90" s="1" t="s">
        <v>10160</v>
      </c>
      <c r="I90" s="1" t="s">
        <v>10160</v>
      </c>
      <c r="M90" s="1" t="s">
        <v>9432</v>
      </c>
      <c r="N90" s="1" t="s">
        <v>9433</v>
      </c>
      <c r="O90" s="1" t="s">
        <v>169</v>
      </c>
      <c r="P90" s="1" t="s">
        <v>10155</v>
      </c>
      <c r="Q90" s="1" t="s">
        <v>29</v>
      </c>
    </row>
    <row r="91" spans="1:17" ht="12.5" x14ac:dyDescent="0.25">
      <c r="A91" s="1" t="s">
        <v>152</v>
      </c>
      <c r="C91" s="1" t="s">
        <v>8019</v>
      </c>
      <c r="D91" s="1" t="s">
        <v>10307</v>
      </c>
      <c r="E91" s="1" t="s">
        <v>10169</v>
      </c>
      <c r="F91" s="1" t="s">
        <v>10186</v>
      </c>
      <c r="G91" s="1" t="s">
        <v>10308</v>
      </c>
      <c r="H91" s="1" t="s">
        <v>10183</v>
      </c>
      <c r="I91" s="1" t="s">
        <v>10183</v>
      </c>
      <c r="M91" s="1" t="s">
        <v>8020</v>
      </c>
      <c r="O91" s="1" t="s">
        <v>33</v>
      </c>
      <c r="P91" s="1" t="s">
        <v>24</v>
      </c>
      <c r="Q91" s="1" t="s">
        <v>29</v>
      </c>
    </row>
    <row r="92" spans="1:17" ht="12.5" x14ac:dyDescent="0.25">
      <c r="A92" s="1" t="s">
        <v>152</v>
      </c>
      <c r="C92" s="1" t="s">
        <v>5249</v>
      </c>
      <c r="D92" s="1" t="s">
        <v>10309</v>
      </c>
      <c r="E92" s="1" t="s">
        <v>10169</v>
      </c>
      <c r="F92" s="1" t="s">
        <v>10186</v>
      </c>
      <c r="G92" s="1" t="s">
        <v>10308</v>
      </c>
      <c r="H92" s="1" t="s">
        <v>10176</v>
      </c>
      <c r="I92" s="1" t="s">
        <v>10176</v>
      </c>
      <c r="J92" s="1" t="s">
        <v>10177</v>
      </c>
      <c r="K92" s="1" t="s">
        <v>10177</v>
      </c>
      <c r="M92" s="1" t="s">
        <v>5250</v>
      </c>
      <c r="O92" s="1" t="s">
        <v>10155</v>
      </c>
      <c r="P92" s="1" t="s">
        <v>10155</v>
      </c>
      <c r="Q92" s="1" t="s">
        <v>29</v>
      </c>
    </row>
    <row r="93" spans="1:17" ht="12.5" x14ac:dyDescent="0.25">
      <c r="A93" s="1" t="s">
        <v>152</v>
      </c>
      <c r="C93" s="1" t="s">
        <v>8023</v>
      </c>
      <c r="D93" s="1" t="s">
        <v>10310</v>
      </c>
      <c r="E93" s="1" t="s">
        <v>10169</v>
      </c>
      <c r="F93" s="1" t="s">
        <v>10186</v>
      </c>
      <c r="G93" s="1" t="s">
        <v>10308</v>
      </c>
      <c r="H93" s="1" t="s">
        <v>10183</v>
      </c>
      <c r="I93" s="1" t="s">
        <v>10183</v>
      </c>
      <c r="M93" s="1" t="s">
        <v>8024</v>
      </c>
      <c r="O93" s="1" t="s">
        <v>33</v>
      </c>
      <c r="P93" s="1" t="s">
        <v>24</v>
      </c>
      <c r="Q93" s="1" t="s">
        <v>29</v>
      </c>
    </row>
    <row r="94" spans="1:17" ht="12.5" x14ac:dyDescent="0.25">
      <c r="A94" s="1" t="s">
        <v>152</v>
      </c>
      <c r="C94" s="1" t="s">
        <v>8027</v>
      </c>
      <c r="D94" s="1" t="s">
        <v>10311</v>
      </c>
      <c r="E94" s="1" t="s">
        <v>10169</v>
      </c>
      <c r="F94" s="1" t="s">
        <v>10186</v>
      </c>
      <c r="G94" s="1" t="s">
        <v>10308</v>
      </c>
      <c r="H94" s="1" t="s">
        <v>10183</v>
      </c>
      <c r="I94" s="1" t="s">
        <v>10183</v>
      </c>
      <c r="M94" s="1" t="s">
        <v>8028</v>
      </c>
      <c r="O94" s="1" t="s">
        <v>33</v>
      </c>
      <c r="P94" s="1" t="s">
        <v>53</v>
      </c>
      <c r="Q94" s="1" t="s">
        <v>29</v>
      </c>
    </row>
    <row r="95" spans="1:17" ht="12.5" x14ac:dyDescent="0.25">
      <c r="A95" s="1" t="s">
        <v>152</v>
      </c>
      <c r="C95" s="1" t="s">
        <v>10312</v>
      </c>
      <c r="D95" s="1" t="s">
        <v>10313</v>
      </c>
      <c r="E95" s="1" t="s">
        <v>10169</v>
      </c>
      <c r="F95" s="1" t="s">
        <v>10188</v>
      </c>
      <c r="G95" s="1" t="s">
        <v>10213</v>
      </c>
      <c r="H95" s="1" t="s">
        <v>10152</v>
      </c>
      <c r="I95" s="1" t="s">
        <v>10164</v>
      </c>
      <c r="L95" s="1" t="s">
        <v>10314</v>
      </c>
      <c r="O95" s="1" t="s">
        <v>10155</v>
      </c>
      <c r="P95" s="1" t="s">
        <v>10155</v>
      </c>
    </row>
    <row r="96" spans="1:17" ht="12.5" x14ac:dyDescent="0.25">
      <c r="A96" s="1" t="s">
        <v>152</v>
      </c>
      <c r="C96" s="1" t="s">
        <v>10315</v>
      </c>
      <c r="D96" s="1" t="s">
        <v>10316</v>
      </c>
      <c r="E96" s="1" t="s">
        <v>10169</v>
      </c>
      <c r="F96" s="1" t="s">
        <v>10188</v>
      </c>
      <c r="G96" s="1" t="s">
        <v>10213</v>
      </c>
      <c r="H96" s="1" t="s">
        <v>10152</v>
      </c>
      <c r="I96" s="1" t="s">
        <v>10164</v>
      </c>
      <c r="L96" s="1" t="s">
        <v>10317</v>
      </c>
      <c r="O96" s="1" t="s">
        <v>10155</v>
      </c>
      <c r="P96" s="1" t="s">
        <v>10155</v>
      </c>
    </row>
    <row r="97" spans="1:17" ht="12.5" x14ac:dyDescent="0.25">
      <c r="A97" s="1" t="s">
        <v>152</v>
      </c>
      <c r="C97" s="1" t="s">
        <v>5247</v>
      </c>
      <c r="D97" s="1" t="s">
        <v>10318</v>
      </c>
      <c r="E97" s="1" t="s">
        <v>10169</v>
      </c>
      <c r="F97" s="1" t="s">
        <v>10188</v>
      </c>
      <c r="G97" s="1" t="s">
        <v>10213</v>
      </c>
      <c r="H97" s="1" t="s">
        <v>10152</v>
      </c>
      <c r="I97" s="1" t="s">
        <v>10164</v>
      </c>
      <c r="L97" s="1" t="s">
        <v>10197</v>
      </c>
      <c r="M97" s="1" t="s">
        <v>5244</v>
      </c>
      <c r="O97" s="1" t="s">
        <v>10155</v>
      </c>
      <c r="P97" s="1" t="s">
        <v>10155</v>
      </c>
      <c r="Q97" s="1" t="s">
        <v>20</v>
      </c>
    </row>
    <row r="98" spans="1:17" ht="12.5" x14ac:dyDescent="0.25">
      <c r="A98" s="1" t="s">
        <v>152</v>
      </c>
      <c r="C98" s="1" t="s">
        <v>5241</v>
      </c>
      <c r="D98" s="1" t="s">
        <v>10319</v>
      </c>
      <c r="E98" s="1" t="s">
        <v>10169</v>
      </c>
      <c r="F98" s="1" t="s">
        <v>10188</v>
      </c>
      <c r="G98" s="1" t="s">
        <v>10213</v>
      </c>
      <c r="H98" s="1" t="s">
        <v>10152</v>
      </c>
      <c r="I98" s="1" t="s">
        <v>10164</v>
      </c>
      <c r="L98" s="1" t="s">
        <v>10197</v>
      </c>
      <c r="M98" s="1" t="s">
        <v>5244</v>
      </c>
      <c r="O98" s="1" t="s">
        <v>10155</v>
      </c>
      <c r="P98" s="1" t="s">
        <v>10155</v>
      </c>
      <c r="Q98" s="1" t="s">
        <v>20</v>
      </c>
    </row>
    <row r="99" spans="1:17" ht="12.5" x14ac:dyDescent="0.25">
      <c r="A99" s="1" t="s">
        <v>152</v>
      </c>
      <c r="C99" s="1" t="s">
        <v>5241</v>
      </c>
      <c r="D99" s="1" t="s">
        <v>10319</v>
      </c>
      <c r="E99" s="1" t="s">
        <v>10169</v>
      </c>
      <c r="F99" s="1" t="s">
        <v>10188</v>
      </c>
      <c r="G99" s="1" t="s">
        <v>10213</v>
      </c>
      <c r="H99" s="1" t="s">
        <v>10152</v>
      </c>
      <c r="I99" s="1" t="s">
        <v>10164</v>
      </c>
      <c r="L99" s="1" t="s">
        <v>10197</v>
      </c>
      <c r="M99" s="1" t="s">
        <v>5242</v>
      </c>
      <c r="O99" s="1" t="s">
        <v>10155</v>
      </c>
      <c r="P99" s="1" t="s">
        <v>10155</v>
      </c>
      <c r="Q99" s="1" t="s">
        <v>20</v>
      </c>
    </row>
    <row r="100" spans="1:17" ht="12.5" x14ac:dyDescent="0.25">
      <c r="A100" s="1" t="s">
        <v>152</v>
      </c>
      <c r="C100" s="1" t="s">
        <v>8031</v>
      </c>
      <c r="D100" s="1" t="s">
        <v>10320</v>
      </c>
      <c r="E100" s="1" t="s">
        <v>10169</v>
      </c>
      <c r="F100" s="1" t="s">
        <v>10188</v>
      </c>
      <c r="G100" s="1" t="s">
        <v>10213</v>
      </c>
      <c r="H100" s="1" t="s">
        <v>10183</v>
      </c>
      <c r="I100" s="1" t="s">
        <v>10183</v>
      </c>
      <c r="M100" s="1" t="s">
        <v>8032</v>
      </c>
      <c r="O100" s="1" t="s">
        <v>33</v>
      </c>
      <c r="P100" s="1" t="s">
        <v>53</v>
      </c>
      <c r="Q100" s="1" t="s">
        <v>29</v>
      </c>
    </row>
    <row r="101" spans="1:17" ht="12.5" x14ac:dyDescent="0.25">
      <c r="A101" s="1" t="s">
        <v>152</v>
      </c>
      <c r="C101" s="1" t="s">
        <v>5238</v>
      </c>
      <c r="D101" s="1" t="s">
        <v>10321</v>
      </c>
      <c r="E101" s="1" t="s">
        <v>10169</v>
      </c>
      <c r="F101" s="1" t="s">
        <v>10188</v>
      </c>
      <c r="G101" s="1" t="s">
        <v>10213</v>
      </c>
      <c r="H101" s="1" t="s">
        <v>10152</v>
      </c>
      <c r="I101" s="1" t="s">
        <v>10153</v>
      </c>
      <c r="L101" s="1" t="s">
        <v>10197</v>
      </c>
      <c r="M101" s="1" t="s">
        <v>5239</v>
      </c>
      <c r="O101" s="1" t="s">
        <v>59</v>
      </c>
      <c r="P101" s="1" t="s">
        <v>10155</v>
      </c>
      <c r="Q101" s="1" t="s">
        <v>20</v>
      </c>
    </row>
    <row r="102" spans="1:17" ht="12.5" x14ac:dyDescent="0.25">
      <c r="A102" s="1" t="s">
        <v>152</v>
      </c>
      <c r="C102" s="1" t="s">
        <v>9911</v>
      </c>
      <c r="D102" s="1" t="s">
        <v>10322</v>
      </c>
      <c r="E102" s="1" t="s">
        <v>10169</v>
      </c>
      <c r="F102" s="1" t="s">
        <v>10188</v>
      </c>
      <c r="G102" s="1" t="s">
        <v>10213</v>
      </c>
      <c r="H102" s="1" t="s">
        <v>10183</v>
      </c>
      <c r="I102" s="1" t="s">
        <v>10183</v>
      </c>
      <c r="M102" s="1" t="s">
        <v>9912</v>
      </c>
      <c r="O102" s="1" t="s">
        <v>33</v>
      </c>
      <c r="P102" s="1" t="s">
        <v>24</v>
      </c>
      <c r="Q102" s="1" t="s">
        <v>29</v>
      </c>
    </row>
    <row r="103" spans="1:17" ht="12.5" x14ac:dyDescent="0.25">
      <c r="A103" s="1" t="s">
        <v>152</v>
      </c>
      <c r="C103" s="1" t="s">
        <v>8035</v>
      </c>
      <c r="D103" s="1" t="s">
        <v>10323</v>
      </c>
      <c r="E103" s="1" t="s">
        <v>10169</v>
      </c>
      <c r="F103" s="1" t="s">
        <v>10188</v>
      </c>
      <c r="G103" s="1" t="s">
        <v>10213</v>
      </c>
      <c r="H103" s="1" t="s">
        <v>10183</v>
      </c>
      <c r="I103" s="1" t="s">
        <v>10183</v>
      </c>
      <c r="M103" s="1" t="s">
        <v>8036</v>
      </c>
      <c r="O103" s="1" t="s">
        <v>33</v>
      </c>
      <c r="P103" s="1" t="s">
        <v>24</v>
      </c>
      <c r="Q103" s="1" t="s">
        <v>29</v>
      </c>
    </row>
    <row r="104" spans="1:17" ht="12.5" x14ac:dyDescent="0.25">
      <c r="A104" s="1" t="s">
        <v>152</v>
      </c>
      <c r="C104" s="1" t="s">
        <v>8039</v>
      </c>
      <c r="D104" s="1" t="s">
        <v>10324</v>
      </c>
      <c r="E104" s="1" t="s">
        <v>10169</v>
      </c>
      <c r="F104" s="1" t="s">
        <v>10188</v>
      </c>
      <c r="G104" s="1" t="s">
        <v>10213</v>
      </c>
      <c r="H104" s="1" t="s">
        <v>10183</v>
      </c>
      <c r="I104" s="1" t="s">
        <v>10183</v>
      </c>
      <c r="M104" s="1" t="s">
        <v>8040</v>
      </c>
      <c r="O104" s="1" t="s">
        <v>33</v>
      </c>
      <c r="P104" s="1" t="s">
        <v>24</v>
      </c>
      <c r="Q104" s="1" t="s">
        <v>29</v>
      </c>
    </row>
    <row r="105" spans="1:17" ht="12.5" x14ac:dyDescent="0.25">
      <c r="A105" s="1" t="s">
        <v>152</v>
      </c>
      <c r="C105" s="1" t="s">
        <v>8043</v>
      </c>
      <c r="D105" s="1" t="s">
        <v>10325</v>
      </c>
      <c r="E105" s="1" t="s">
        <v>10169</v>
      </c>
      <c r="F105" s="1" t="s">
        <v>10188</v>
      </c>
      <c r="G105" s="1" t="s">
        <v>10213</v>
      </c>
      <c r="H105" s="1" t="s">
        <v>10183</v>
      </c>
      <c r="I105" s="1" t="s">
        <v>10183</v>
      </c>
      <c r="M105" s="1" t="s">
        <v>8044</v>
      </c>
      <c r="O105" s="1" t="s">
        <v>33</v>
      </c>
      <c r="P105" s="1" t="s">
        <v>24</v>
      </c>
      <c r="Q105" s="1" t="s">
        <v>29</v>
      </c>
    </row>
    <row r="106" spans="1:17" ht="12.5" x14ac:dyDescent="0.25">
      <c r="A106" s="1" t="s">
        <v>152</v>
      </c>
      <c r="C106" s="1" t="s">
        <v>5233</v>
      </c>
      <c r="D106" s="1" t="s">
        <v>10326</v>
      </c>
      <c r="E106" s="1" t="s">
        <v>10169</v>
      </c>
      <c r="F106" s="1" t="s">
        <v>10188</v>
      </c>
      <c r="G106" s="1" t="s">
        <v>10213</v>
      </c>
      <c r="H106" s="1" t="s">
        <v>10183</v>
      </c>
      <c r="I106" s="1" t="s">
        <v>10183</v>
      </c>
      <c r="M106" s="1" t="s">
        <v>5234</v>
      </c>
      <c r="N106" s="1" t="s">
        <v>5236</v>
      </c>
      <c r="O106" s="1" t="s">
        <v>59</v>
      </c>
      <c r="P106" s="1" t="s">
        <v>59</v>
      </c>
      <c r="Q106" s="1" t="s">
        <v>29</v>
      </c>
    </row>
    <row r="107" spans="1:17" ht="12.5" x14ac:dyDescent="0.25">
      <c r="A107" s="1" t="s">
        <v>152</v>
      </c>
      <c r="C107" s="1" t="s">
        <v>5229</v>
      </c>
      <c r="D107" s="1" t="s">
        <v>10327</v>
      </c>
      <c r="E107" s="1" t="s">
        <v>10169</v>
      </c>
      <c r="F107" s="1" t="s">
        <v>10188</v>
      </c>
      <c r="G107" s="1" t="s">
        <v>10328</v>
      </c>
      <c r="H107" s="1" t="s">
        <v>10152</v>
      </c>
      <c r="I107" s="1" t="s">
        <v>10164</v>
      </c>
      <c r="M107" s="1" t="s">
        <v>5230</v>
      </c>
      <c r="O107" s="1" t="s">
        <v>10155</v>
      </c>
      <c r="P107" s="1" t="s">
        <v>10155</v>
      </c>
      <c r="Q107" s="1" t="s">
        <v>29</v>
      </c>
    </row>
    <row r="108" spans="1:17" ht="12.5" x14ac:dyDescent="0.25">
      <c r="A108" s="1" t="s">
        <v>152</v>
      </c>
      <c r="C108" s="1" t="s">
        <v>5225</v>
      </c>
      <c r="D108" s="1" t="s">
        <v>10329</v>
      </c>
      <c r="E108" s="1" t="s">
        <v>10169</v>
      </c>
      <c r="F108" s="1" t="s">
        <v>10186</v>
      </c>
      <c r="G108" s="1" t="s">
        <v>10186</v>
      </c>
      <c r="H108" s="1" t="s">
        <v>10183</v>
      </c>
      <c r="I108" s="1" t="s">
        <v>10183</v>
      </c>
      <c r="M108" s="1" t="s">
        <v>6955</v>
      </c>
      <c r="N108" s="1" t="s">
        <v>6957</v>
      </c>
      <c r="O108" s="1" t="s">
        <v>59</v>
      </c>
      <c r="P108" s="1" t="s">
        <v>33</v>
      </c>
      <c r="Q108" s="1" t="s">
        <v>29</v>
      </c>
    </row>
    <row r="109" spans="1:17" ht="12.5" x14ac:dyDescent="0.25">
      <c r="A109" s="1" t="s">
        <v>152</v>
      </c>
      <c r="C109" s="1" t="s">
        <v>10330</v>
      </c>
      <c r="D109" s="1" t="s">
        <v>10331</v>
      </c>
      <c r="E109" s="1" t="s">
        <v>10169</v>
      </c>
      <c r="F109" s="1" t="s">
        <v>10186</v>
      </c>
      <c r="G109" s="1" t="s">
        <v>10186</v>
      </c>
      <c r="H109" s="1" t="s">
        <v>10172</v>
      </c>
      <c r="I109" s="1" t="s">
        <v>10172</v>
      </c>
      <c r="J109" s="1" t="s">
        <v>10173</v>
      </c>
      <c r="K109" s="1" t="s">
        <v>10173</v>
      </c>
      <c r="O109" s="1" t="s">
        <v>10155</v>
      </c>
      <c r="P109" s="1" t="s">
        <v>10155</v>
      </c>
    </row>
    <row r="110" spans="1:17" ht="12.5" x14ac:dyDescent="0.25">
      <c r="A110" s="1" t="s">
        <v>152</v>
      </c>
      <c r="C110" s="1" t="s">
        <v>5903</v>
      </c>
      <c r="D110" s="1" t="s">
        <v>10332</v>
      </c>
      <c r="E110" s="1" t="s">
        <v>10169</v>
      </c>
      <c r="F110" s="1" t="s">
        <v>10186</v>
      </c>
      <c r="G110" s="1" t="s">
        <v>10186</v>
      </c>
      <c r="H110" s="1" t="s">
        <v>10152</v>
      </c>
      <c r="I110" s="1" t="s">
        <v>10164</v>
      </c>
      <c r="M110" s="1" t="s">
        <v>5899</v>
      </c>
      <c r="N110" s="1" t="s">
        <v>10333</v>
      </c>
      <c r="O110" s="1" t="s">
        <v>169</v>
      </c>
      <c r="P110" s="1" t="s">
        <v>10155</v>
      </c>
      <c r="Q110" s="1" t="s">
        <v>20</v>
      </c>
    </row>
    <row r="111" spans="1:17" ht="12.5" x14ac:dyDescent="0.25">
      <c r="A111" s="1" t="s">
        <v>152</v>
      </c>
      <c r="C111" s="1" t="s">
        <v>666</v>
      </c>
      <c r="D111" s="1" t="s">
        <v>10334</v>
      </c>
      <c r="E111" s="1" t="s">
        <v>10169</v>
      </c>
      <c r="F111" s="1" t="s">
        <v>10186</v>
      </c>
      <c r="G111" s="1" t="s">
        <v>10186</v>
      </c>
      <c r="H111" s="1" t="s">
        <v>10152</v>
      </c>
      <c r="I111" s="1" t="s">
        <v>10153</v>
      </c>
      <c r="L111" s="1" t="s">
        <v>10197</v>
      </c>
      <c r="M111" s="1" t="s">
        <v>5899</v>
      </c>
      <c r="N111" s="1" t="s">
        <v>10333</v>
      </c>
      <c r="O111" s="1" t="s">
        <v>169</v>
      </c>
      <c r="P111" s="1" t="s">
        <v>10155</v>
      </c>
      <c r="Q111" s="1" t="s">
        <v>20</v>
      </c>
    </row>
    <row r="112" spans="1:17" ht="12.5" x14ac:dyDescent="0.25">
      <c r="A112" s="1" t="s">
        <v>152</v>
      </c>
      <c r="C112" s="1" t="s">
        <v>666</v>
      </c>
      <c r="D112" s="1" t="s">
        <v>10334</v>
      </c>
      <c r="E112" s="1" t="s">
        <v>10169</v>
      </c>
      <c r="F112" s="1" t="s">
        <v>10186</v>
      </c>
      <c r="G112" s="1" t="s">
        <v>10186</v>
      </c>
      <c r="H112" s="1" t="s">
        <v>10152</v>
      </c>
      <c r="I112" s="1" t="s">
        <v>10153</v>
      </c>
      <c r="L112" s="1" t="s">
        <v>10197</v>
      </c>
      <c r="M112" s="1" t="s">
        <v>662</v>
      </c>
      <c r="N112" s="1" t="s">
        <v>664</v>
      </c>
      <c r="O112" s="1" t="s">
        <v>271</v>
      </c>
      <c r="P112" s="1" t="s">
        <v>10155</v>
      </c>
      <c r="Q112" s="1" t="s">
        <v>29</v>
      </c>
    </row>
    <row r="113" spans="1:17" ht="12.5" x14ac:dyDescent="0.25">
      <c r="A113" s="1" t="s">
        <v>152</v>
      </c>
      <c r="C113" s="1" t="s">
        <v>10335</v>
      </c>
      <c r="D113" s="1" t="s">
        <v>10336</v>
      </c>
      <c r="E113" s="1" t="s">
        <v>10169</v>
      </c>
      <c r="F113" s="1" t="s">
        <v>10170</v>
      </c>
      <c r="G113" s="1" t="s">
        <v>10337</v>
      </c>
      <c r="H113" s="1" t="s">
        <v>10152</v>
      </c>
      <c r="I113" s="1" t="s">
        <v>10164</v>
      </c>
      <c r="L113" s="1" t="s">
        <v>10338</v>
      </c>
      <c r="O113" s="1" t="s">
        <v>10155</v>
      </c>
      <c r="P113" s="1" t="s">
        <v>10155</v>
      </c>
    </row>
    <row r="114" spans="1:17" ht="12.5" x14ac:dyDescent="0.25">
      <c r="A114" s="1" t="s">
        <v>152</v>
      </c>
      <c r="C114" s="1" t="s">
        <v>5221</v>
      </c>
      <c r="D114" s="1" t="s">
        <v>10339</v>
      </c>
      <c r="E114" s="1" t="s">
        <v>10169</v>
      </c>
      <c r="F114" s="1" t="s">
        <v>10170</v>
      </c>
      <c r="G114" s="1" t="s">
        <v>10337</v>
      </c>
      <c r="H114" s="1" t="s">
        <v>10183</v>
      </c>
      <c r="I114" s="1" t="s">
        <v>10183</v>
      </c>
      <c r="M114" s="1" t="s">
        <v>7796</v>
      </c>
      <c r="N114" s="1" t="s">
        <v>7798</v>
      </c>
      <c r="O114" s="1" t="s">
        <v>124</v>
      </c>
      <c r="P114" s="1" t="s">
        <v>59</v>
      </c>
      <c r="Q114" s="1" t="s">
        <v>29</v>
      </c>
    </row>
    <row r="115" spans="1:17" ht="12.5" x14ac:dyDescent="0.25">
      <c r="A115" s="1" t="s">
        <v>152</v>
      </c>
      <c r="C115" s="1" t="s">
        <v>10340</v>
      </c>
      <c r="D115" s="1" t="s">
        <v>10341</v>
      </c>
      <c r="E115" s="1" t="s">
        <v>10169</v>
      </c>
      <c r="F115" s="1" t="s">
        <v>10170</v>
      </c>
      <c r="G115" s="1" t="s">
        <v>10337</v>
      </c>
      <c r="H115" s="1" t="s">
        <v>10176</v>
      </c>
      <c r="I115" s="1" t="s">
        <v>10176</v>
      </c>
      <c r="J115" s="1" t="s">
        <v>10177</v>
      </c>
      <c r="K115" s="1" t="s">
        <v>10177</v>
      </c>
      <c r="O115" s="1" t="s">
        <v>10155</v>
      </c>
      <c r="P115" s="1" t="s">
        <v>10155</v>
      </c>
    </row>
    <row r="116" spans="1:17" ht="12.5" x14ac:dyDescent="0.25">
      <c r="A116" s="1" t="s">
        <v>152</v>
      </c>
      <c r="C116" s="1" t="s">
        <v>10342</v>
      </c>
      <c r="D116" s="1" t="s">
        <v>10343</v>
      </c>
      <c r="E116" s="1" t="s">
        <v>10169</v>
      </c>
      <c r="F116" s="1" t="s">
        <v>10170</v>
      </c>
      <c r="G116" s="1" t="s">
        <v>10337</v>
      </c>
      <c r="H116" s="1" t="s">
        <v>10152</v>
      </c>
      <c r="I116" s="1" t="s">
        <v>10164</v>
      </c>
      <c r="L116" s="1" t="s">
        <v>10338</v>
      </c>
      <c r="O116" s="1" t="s">
        <v>10155</v>
      </c>
      <c r="P116" s="1" t="s">
        <v>10155</v>
      </c>
    </row>
    <row r="117" spans="1:17" ht="12.5" x14ac:dyDescent="0.25">
      <c r="A117" s="1" t="s">
        <v>152</v>
      </c>
      <c r="C117" s="1" t="s">
        <v>5976</v>
      </c>
      <c r="D117" s="1" t="s">
        <v>10344</v>
      </c>
      <c r="E117" s="1" t="s">
        <v>10169</v>
      </c>
      <c r="F117" s="1" t="s">
        <v>10170</v>
      </c>
      <c r="G117" s="1" t="s">
        <v>10337</v>
      </c>
      <c r="H117" s="1" t="s">
        <v>10152</v>
      </c>
      <c r="I117" s="1" t="s">
        <v>10164</v>
      </c>
      <c r="M117" s="1" t="s">
        <v>5977</v>
      </c>
      <c r="O117" s="1" t="s">
        <v>292</v>
      </c>
      <c r="P117" s="1" t="s">
        <v>10155</v>
      </c>
      <c r="Q117" s="1" t="s">
        <v>20</v>
      </c>
    </row>
    <row r="118" spans="1:17" ht="12.5" x14ac:dyDescent="0.25">
      <c r="A118" s="1" t="s">
        <v>152</v>
      </c>
      <c r="C118" s="1" t="s">
        <v>10345</v>
      </c>
      <c r="D118" s="1" t="s">
        <v>10346</v>
      </c>
      <c r="E118" s="1" t="s">
        <v>10169</v>
      </c>
      <c r="F118" s="1" t="s">
        <v>10170</v>
      </c>
      <c r="G118" s="1" t="s">
        <v>10337</v>
      </c>
      <c r="H118" s="1" t="s">
        <v>10172</v>
      </c>
      <c r="I118" s="1" t="s">
        <v>10172</v>
      </c>
      <c r="J118" s="1" t="s">
        <v>10173</v>
      </c>
      <c r="K118" s="1" t="s">
        <v>10173</v>
      </c>
      <c r="O118" s="1" t="s">
        <v>10155</v>
      </c>
      <c r="P118" s="1" t="s">
        <v>10155</v>
      </c>
    </row>
    <row r="119" spans="1:17" ht="12.5" x14ac:dyDescent="0.25">
      <c r="A119" s="1" t="s">
        <v>152</v>
      </c>
      <c r="C119" s="1" t="s">
        <v>10347</v>
      </c>
      <c r="D119" s="1" t="s">
        <v>10348</v>
      </c>
      <c r="E119" s="1" t="s">
        <v>10169</v>
      </c>
      <c r="F119" s="1" t="s">
        <v>10188</v>
      </c>
      <c r="G119" s="1" t="s">
        <v>10349</v>
      </c>
      <c r="H119" s="1" t="s">
        <v>10176</v>
      </c>
      <c r="I119" s="1" t="s">
        <v>10176</v>
      </c>
      <c r="J119" s="1" t="s">
        <v>10262</v>
      </c>
      <c r="K119" s="1" t="s">
        <v>10262</v>
      </c>
      <c r="O119" s="1" t="s">
        <v>10155</v>
      </c>
      <c r="P119" s="1" t="s">
        <v>10155</v>
      </c>
    </row>
    <row r="120" spans="1:17" ht="12.5" x14ac:dyDescent="0.25">
      <c r="A120" s="1" t="s">
        <v>152</v>
      </c>
      <c r="C120" s="1" t="s">
        <v>5216</v>
      </c>
      <c r="D120" s="1" t="s">
        <v>10350</v>
      </c>
      <c r="E120" s="1" t="s">
        <v>10169</v>
      </c>
      <c r="F120" s="1" t="s">
        <v>10188</v>
      </c>
      <c r="G120" s="1" t="s">
        <v>10349</v>
      </c>
      <c r="H120" s="1" t="s">
        <v>10183</v>
      </c>
      <c r="I120" s="1" t="s">
        <v>10183</v>
      </c>
      <c r="M120" s="1" t="s">
        <v>5217</v>
      </c>
      <c r="N120" s="1" t="s">
        <v>10351</v>
      </c>
      <c r="O120" s="1" t="s">
        <v>59</v>
      </c>
      <c r="P120" s="1" t="s">
        <v>124</v>
      </c>
      <c r="Q120" s="1" t="s">
        <v>29</v>
      </c>
    </row>
    <row r="121" spans="1:17" ht="12.5" x14ac:dyDescent="0.25">
      <c r="A121" s="1" t="s">
        <v>152</v>
      </c>
      <c r="C121" s="1" t="s">
        <v>10352</v>
      </c>
      <c r="D121" s="1" t="s">
        <v>10353</v>
      </c>
      <c r="E121" s="1" t="s">
        <v>10169</v>
      </c>
      <c r="F121" s="1" t="s">
        <v>10188</v>
      </c>
      <c r="G121" s="1" t="s">
        <v>10349</v>
      </c>
      <c r="H121" s="1" t="s">
        <v>10172</v>
      </c>
      <c r="I121" s="1" t="s">
        <v>10172</v>
      </c>
      <c r="J121" s="1" t="s">
        <v>10173</v>
      </c>
      <c r="K121" s="1" t="s">
        <v>10173</v>
      </c>
      <c r="O121" s="1" t="s">
        <v>10155</v>
      </c>
      <c r="P121" s="1" t="s">
        <v>10155</v>
      </c>
    </row>
    <row r="122" spans="1:17" ht="12.5" x14ac:dyDescent="0.25">
      <c r="A122" s="1" t="s">
        <v>152</v>
      </c>
      <c r="C122" s="1" t="s">
        <v>10354</v>
      </c>
      <c r="D122" s="1" t="s">
        <v>10355</v>
      </c>
      <c r="E122" s="1" t="s">
        <v>10169</v>
      </c>
      <c r="F122" s="1" t="s">
        <v>10188</v>
      </c>
      <c r="G122" s="1" t="s">
        <v>10349</v>
      </c>
      <c r="H122" s="1" t="s">
        <v>10172</v>
      </c>
      <c r="I122" s="1" t="s">
        <v>10172</v>
      </c>
      <c r="J122" s="1" t="s">
        <v>10173</v>
      </c>
      <c r="K122" s="1" t="s">
        <v>10173</v>
      </c>
      <c r="O122" s="1" t="s">
        <v>10155</v>
      </c>
      <c r="P122" s="1" t="s">
        <v>10155</v>
      </c>
    </row>
    <row r="123" spans="1:17" ht="12.5" x14ac:dyDescent="0.25">
      <c r="A123" s="1" t="s">
        <v>152</v>
      </c>
      <c r="C123" s="1" t="s">
        <v>10356</v>
      </c>
      <c r="D123" s="1" t="s">
        <v>10357</v>
      </c>
      <c r="E123" s="1" t="s">
        <v>10169</v>
      </c>
      <c r="F123" s="1" t="s">
        <v>10188</v>
      </c>
      <c r="G123" s="1" t="s">
        <v>10349</v>
      </c>
      <c r="H123" s="1" t="s">
        <v>10172</v>
      </c>
      <c r="I123" s="1" t="s">
        <v>10172</v>
      </c>
      <c r="J123" s="1" t="s">
        <v>10173</v>
      </c>
      <c r="K123" s="1" t="s">
        <v>10173</v>
      </c>
      <c r="O123" s="1" t="s">
        <v>10155</v>
      </c>
      <c r="P123" s="1" t="s">
        <v>10155</v>
      </c>
    </row>
    <row r="124" spans="1:17" ht="12.5" x14ac:dyDescent="0.25">
      <c r="A124" s="1" t="s">
        <v>152</v>
      </c>
      <c r="C124" s="1" t="s">
        <v>8047</v>
      </c>
      <c r="D124" s="1" t="s">
        <v>10358</v>
      </c>
      <c r="E124" s="1" t="s">
        <v>10169</v>
      </c>
      <c r="F124" s="1" t="s">
        <v>10170</v>
      </c>
      <c r="G124" s="1" t="s">
        <v>10359</v>
      </c>
      <c r="H124" s="1" t="s">
        <v>10183</v>
      </c>
      <c r="I124" s="1" t="s">
        <v>10183</v>
      </c>
      <c r="M124" s="1" t="s">
        <v>8048</v>
      </c>
      <c r="O124" s="1" t="s">
        <v>33</v>
      </c>
      <c r="P124" s="1" t="s">
        <v>53</v>
      </c>
      <c r="Q124" s="1" t="s">
        <v>29</v>
      </c>
    </row>
    <row r="125" spans="1:17" ht="12.5" x14ac:dyDescent="0.25">
      <c r="A125" s="1" t="s">
        <v>152</v>
      </c>
      <c r="C125" s="1" t="s">
        <v>10360</v>
      </c>
      <c r="D125" s="1" t="s">
        <v>10361</v>
      </c>
      <c r="E125" s="1" t="s">
        <v>10169</v>
      </c>
      <c r="F125" s="1" t="s">
        <v>10170</v>
      </c>
      <c r="G125" s="1" t="s">
        <v>10359</v>
      </c>
      <c r="H125" s="1" t="s">
        <v>10176</v>
      </c>
      <c r="I125" s="1" t="s">
        <v>10176</v>
      </c>
      <c r="J125" s="1" t="s">
        <v>10270</v>
      </c>
      <c r="K125" s="1" t="s">
        <v>10270</v>
      </c>
      <c r="O125" s="1" t="s">
        <v>10155</v>
      </c>
      <c r="P125" s="1" t="s">
        <v>10155</v>
      </c>
    </row>
    <row r="126" spans="1:17" ht="12.5" x14ac:dyDescent="0.25">
      <c r="A126" s="1" t="s">
        <v>152</v>
      </c>
      <c r="C126" s="1" t="s">
        <v>5212</v>
      </c>
      <c r="D126" s="1" t="s">
        <v>10362</v>
      </c>
      <c r="E126" s="1" t="s">
        <v>10169</v>
      </c>
      <c r="F126" s="1" t="s">
        <v>10170</v>
      </c>
      <c r="G126" s="1" t="s">
        <v>10359</v>
      </c>
      <c r="H126" s="1" t="s">
        <v>10183</v>
      </c>
      <c r="I126" s="1" t="s">
        <v>10183</v>
      </c>
      <c r="M126" s="1" t="s">
        <v>5213</v>
      </c>
      <c r="O126" s="1" t="s">
        <v>53</v>
      </c>
      <c r="P126" s="1" t="s">
        <v>53</v>
      </c>
      <c r="Q126" s="1" t="s">
        <v>29</v>
      </c>
    </row>
    <row r="127" spans="1:17" ht="12.5" x14ac:dyDescent="0.25">
      <c r="A127" s="1" t="s">
        <v>152</v>
      </c>
      <c r="C127" s="1" t="s">
        <v>10363</v>
      </c>
      <c r="D127" s="1" t="s">
        <v>10364</v>
      </c>
      <c r="E127" s="1" t="s">
        <v>10169</v>
      </c>
      <c r="F127" s="1" t="s">
        <v>10204</v>
      </c>
      <c r="G127" s="1" t="s">
        <v>10205</v>
      </c>
      <c r="H127" s="1" t="s">
        <v>10172</v>
      </c>
      <c r="I127" s="1" t="s">
        <v>10172</v>
      </c>
      <c r="J127" s="1" t="s">
        <v>10193</v>
      </c>
      <c r="K127" s="1" t="s">
        <v>10193</v>
      </c>
      <c r="L127" s="1" t="s">
        <v>10194</v>
      </c>
      <c r="O127" s="1" t="s">
        <v>10155</v>
      </c>
      <c r="P127" s="1" t="s">
        <v>10155</v>
      </c>
    </row>
    <row r="128" spans="1:17" ht="12.5" x14ac:dyDescent="0.25">
      <c r="A128" s="1" t="s">
        <v>152</v>
      </c>
      <c r="C128" s="1" t="s">
        <v>10365</v>
      </c>
      <c r="D128" s="1" t="s">
        <v>10366</v>
      </c>
      <c r="E128" s="1" t="s">
        <v>10169</v>
      </c>
      <c r="F128" s="1" t="s">
        <v>10186</v>
      </c>
      <c r="G128" s="1" t="s">
        <v>10256</v>
      </c>
      <c r="H128" s="1" t="s">
        <v>10176</v>
      </c>
      <c r="I128" s="1" t="s">
        <v>10176</v>
      </c>
      <c r="J128" s="1" t="s">
        <v>10177</v>
      </c>
      <c r="K128" s="1" t="s">
        <v>10177</v>
      </c>
      <c r="O128" s="1" t="s">
        <v>10155</v>
      </c>
      <c r="P128" s="1" t="s">
        <v>10155</v>
      </c>
    </row>
    <row r="129" spans="1:17" ht="12.5" x14ac:dyDescent="0.25">
      <c r="A129" s="1" t="s">
        <v>152</v>
      </c>
      <c r="C129" s="1" t="s">
        <v>5208</v>
      </c>
      <c r="D129" s="1" t="s">
        <v>10367</v>
      </c>
      <c r="E129" s="1" t="s">
        <v>10169</v>
      </c>
      <c r="F129" s="1" t="s">
        <v>10170</v>
      </c>
      <c r="G129" s="1" t="s">
        <v>10228</v>
      </c>
      <c r="H129" s="1" t="s">
        <v>10152</v>
      </c>
      <c r="I129" s="1" t="s">
        <v>10164</v>
      </c>
      <c r="M129" s="1" t="s">
        <v>5209</v>
      </c>
      <c r="O129" s="1" t="s">
        <v>10155</v>
      </c>
      <c r="P129" s="1" t="s">
        <v>10155</v>
      </c>
      <c r="Q129" s="1" t="s">
        <v>29</v>
      </c>
    </row>
    <row r="130" spans="1:17" ht="12.5" x14ac:dyDescent="0.25">
      <c r="A130" s="1" t="s">
        <v>152</v>
      </c>
      <c r="C130" s="1" t="s">
        <v>5205</v>
      </c>
      <c r="D130" s="1" t="s">
        <v>10368</v>
      </c>
      <c r="E130" s="1" t="s">
        <v>10169</v>
      </c>
      <c r="F130" s="1" t="s">
        <v>10170</v>
      </c>
      <c r="G130" s="1" t="s">
        <v>10228</v>
      </c>
      <c r="H130" s="1" t="s">
        <v>10152</v>
      </c>
      <c r="I130" s="1" t="s">
        <v>10164</v>
      </c>
      <c r="M130" s="1" t="s">
        <v>5206</v>
      </c>
      <c r="O130" s="1" t="s">
        <v>10155</v>
      </c>
      <c r="P130" s="1" t="s">
        <v>10155</v>
      </c>
      <c r="Q130" s="1" t="s">
        <v>29</v>
      </c>
    </row>
    <row r="131" spans="1:17" ht="12.5" x14ac:dyDescent="0.25">
      <c r="A131" s="1" t="s">
        <v>152</v>
      </c>
      <c r="C131" s="1" t="s">
        <v>5201</v>
      </c>
      <c r="D131" s="1" t="s">
        <v>10369</v>
      </c>
      <c r="E131" s="1" t="s">
        <v>10169</v>
      </c>
      <c r="F131" s="1" t="s">
        <v>10170</v>
      </c>
      <c r="G131" s="1" t="s">
        <v>10370</v>
      </c>
      <c r="H131" s="1" t="s">
        <v>10160</v>
      </c>
      <c r="I131" s="1" t="s">
        <v>10160</v>
      </c>
      <c r="L131" s="1" t="s">
        <v>10197</v>
      </c>
      <c r="M131" s="1" t="s">
        <v>5202</v>
      </c>
      <c r="O131" s="1" t="s">
        <v>292</v>
      </c>
      <c r="P131" s="1" t="s">
        <v>10155</v>
      </c>
      <c r="Q131" s="1" t="s">
        <v>29</v>
      </c>
    </row>
    <row r="132" spans="1:17" ht="12.5" x14ac:dyDescent="0.25">
      <c r="A132" s="1" t="s">
        <v>152</v>
      </c>
      <c r="C132" s="1" t="s">
        <v>10371</v>
      </c>
      <c r="D132" s="1" t="s">
        <v>10372</v>
      </c>
      <c r="E132" s="1" t="s">
        <v>10169</v>
      </c>
      <c r="F132" s="1" t="s">
        <v>10170</v>
      </c>
      <c r="G132" s="1" t="s">
        <v>10370</v>
      </c>
      <c r="H132" s="1" t="s">
        <v>10176</v>
      </c>
      <c r="I132" s="1" t="s">
        <v>10176</v>
      </c>
      <c r="J132" s="1" t="s">
        <v>10270</v>
      </c>
      <c r="K132" s="1" t="s">
        <v>10270</v>
      </c>
      <c r="O132" s="1" t="s">
        <v>10155</v>
      </c>
      <c r="P132" s="1" t="s">
        <v>10155</v>
      </c>
    </row>
    <row r="133" spans="1:17" ht="12.5" x14ac:dyDescent="0.25">
      <c r="A133" s="1" t="s">
        <v>152</v>
      </c>
      <c r="C133" s="1" t="s">
        <v>5197</v>
      </c>
      <c r="D133" s="1" t="s">
        <v>10373</v>
      </c>
      <c r="E133" s="1" t="s">
        <v>10169</v>
      </c>
      <c r="F133" s="1" t="s">
        <v>10204</v>
      </c>
      <c r="G133" s="1" t="s">
        <v>10374</v>
      </c>
      <c r="H133" s="1" t="s">
        <v>10176</v>
      </c>
      <c r="I133" s="1" t="s">
        <v>10176</v>
      </c>
      <c r="J133" s="1" t="s">
        <v>10262</v>
      </c>
      <c r="K133" s="1" t="s">
        <v>10262</v>
      </c>
      <c r="M133" s="1" t="s">
        <v>5198</v>
      </c>
      <c r="O133" s="1" t="s">
        <v>10155</v>
      </c>
      <c r="P133" s="1" t="s">
        <v>10155</v>
      </c>
      <c r="Q133" s="1" t="s">
        <v>29</v>
      </c>
    </row>
    <row r="134" spans="1:17" ht="12.5" x14ac:dyDescent="0.25">
      <c r="A134" s="1" t="s">
        <v>152</v>
      </c>
      <c r="C134" s="1" t="s">
        <v>10375</v>
      </c>
      <c r="D134" s="1" t="s">
        <v>10376</v>
      </c>
      <c r="E134" s="1" t="s">
        <v>10169</v>
      </c>
      <c r="F134" s="1" t="s">
        <v>10204</v>
      </c>
      <c r="G134" s="1" t="s">
        <v>10374</v>
      </c>
      <c r="H134" s="1" t="s">
        <v>10176</v>
      </c>
      <c r="I134" s="1" t="s">
        <v>10176</v>
      </c>
      <c r="J134" s="1" t="s">
        <v>10177</v>
      </c>
      <c r="K134" s="1" t="s">
        <v>10177</v>
      </c>
      <c r="O134" s="1" t="s">
        <v>10155</v>
      </c>
      <c r="P134" s="1" t="s">
        <v>10155</v>
      </c>
    </row>
    <row r="135" spans="1:17" ht="12.5" x14ac:dyDescent="0.25">
      <c r="A135" s="1" t="s">
        <v>152</v>
      </c>
      <c r="C135" s="1" t="s">
        <v>5192</v>
      </c>
      <c r="D135" s="1" t="s">
        <v>10377</v>
      </c>
      <c r="E135" s="1" t="s">
        <v>10169</v>
      </c>
      <c r="F135" s="1" t="s">
        <v>10204</v>
      </c>
      <c r="G135" s="1" t="s">
        <v>10374</v>
      </c>
      <c r="H135" s="1" t="s">
        <v>10160</v>
      </c>
      <c r="I135" s="1" t="s">
        <v>10160</v>
      </c>
      <c r="L135" s="1" t="s">
        <v>10197</v>
      </c>
      <c r="M135" s="1" t="s">
        <v>5193</v>
      </c>
      <c r="N135" s="1" t="s">
        <v>10378</v>
      </c>
      <c r="O135" s="1" t="s">
        <v>124</v>
      </c>
      <c r="P135" s="1" t="s">
        <v>10155</v>
      </c>
      <c r="Q135" s="1" t="s">
        <v>29</v>
      </c>
    </row>
    <row r="136" spans="1:17" ht="12.5" x14ac:dyDescent="0.25">
      <c r="A136" s="1" t="s">
        <v>152</v>
      </c>
      <c r="C136" s="1" t="s">
        <v>5189</v>
      </c>
      <c r="D136" s="1" t="s">
        <v>10379</v>
      </c>
      <c r="E136" s="1" t="s">
        <v>10169</v>
      </c>
      <c r="F136" s="1" t="s">
        <v>10170</v>
      </c>
      <c r="G136" s="1" t="s">
        <v>10370</v>
      </c>
      <c r="H136" s="1" t="s">
        <v>10152</v>
      </c>
      <c r="I136" s="1" t="s">
        <v>10164</v>
      </c>
      <c r="M136" s="1" t="s">
        <v>5190</v>
      </c>
      <c r="O136" s="1" t="s">
        <v>10155</v>
      </c>
      <c r="P136" s="1" t="s">
        <v>10155</v>
      </c>
      <c r="Q136" s="1" t="s">
        <v>29</v>
      </c>
    </row>
    <row r="137" spans="1:17" ht="12.5" x14ac:dyDescent="0.25">
      <c r="A137" s="1" t="s">
        <v>152</v>
      </c>
      <c r="C137" s="1" t="s">
        <v>10380</v>
      </c>
      <c r="D137" s="1" t="s">
        <v>10381</v>
      </c>
      <c r="E137" s="1" t="s">
        <v>10169</v>
      </c>
      <c r="F137" s="1" t="s">
        <v>10170</v>
      </c>
      <c r="G137" s="1" t="s">
        <v>10370</v>
      </c>
      <c r="H137" s="1" t="s">
        <v>10176</v>
      </c>
      <c r="I137" s="1" t="s">
        <v>10176</v>
      </c>
      <c r="J137" s="1" t="s">
        <v>10270</v>
      </c>
      <c r="K137" s="1" t="s">
        <v>10270</v>
      </c>
      <c r="O137" s="1" t="s">
        <v>10155</v>
      </c>
      <c r="P137" s="1" t="s">
        <v>10155</v>
      </c>
    </row>
    <row r="138" spans="1:17" ht="12.5" x14ac:dyDescent="0.25">
      <c r="A138" s="1" t="s">
        <v>152</v>
      </c>
      <c r="C138" s="1" t="s">
        <v>10382</v>
      </c>
      <c r="D138" s="1" t="s">
        <v>10383</v>
      </c>
      <c r="E138" s="1" t="s">
        <v>10169</v>
      </c>
      <c r="F138" s="1" t="s">
        <v>10170</v>
      </c>
      <c r="G138" s="1" t="s">
        <v>10231</v>
      </c>
      <c r="H138" s="1" t="s">
        <v>10152</v>
      </c>
      <c r="I138" s="1" t="s">
        <v>10164</v>
      </c>
      <c r="O138" s="1" t="s">
        <v>10155</v>
      </c>
      <c r="P138" s="1" t="s">
        <v>10155</v>
      </c>
    </row>
    <row r="139" spans="1:17" ht="12.5" x14ac:dyDescent="0.25">
      <c r="A139" s="1" t="s">
        <v>152</v>
      </c>
      <c r="C139" s="1" t="s">
        <v>5185</v>
      </c>
      <c r="D139" s="1" t="s">
        <v>10384</v>
      </c>
      <c r="E139" s="1" t="s">
        <v>10169</v>
      </c>
      <c r="F139" s="1" t="s">
        <v>10170</v>
      </c>
      <c r="G139" s="1" t="s">
        <v>10231</v>
      </c>
      <c r="H139" s="1" t="s">
        <v>10152</v>
      </c>
      <c r="I139" s="1" t="s">
        <v>10153</v>
      </c>
      <c r="M139" s="1" t="s">
        <v>5186</v>
      </c>
      <c r="O139" s="1" t="s">
        <v>124</v>
      </c>
      <c r="P139" s="1" t="s">
        <v>10155</v>
      </c>
      <c r="Q139" s="1" t="s">
        <v>29</v>
      </c>
    </row>
    <row r="140" spans="1:17" ht="12.5" x14ac:dyDescent="0.25">
      <c r="A140" s="1" t="s">
        <v>152</v>
      </c>
      <c r="C140" s="1" t="s">
        <v>10385</v>
      </c>
      <c r="D140" s="1" t="s">
        <v>10386</v>
      </c>
      <c r="E140" s="1" t="s">
        <v>10169</v>
      </c>
      <c r="F140" s="1" t="s">
        <v>10170</v>
      </c>
      <c r="G140" s="1" t="s">
        <v>10231</v>
      </c>
      <c r="H140" s="1" t="s">
        <v>10176</v>
      </c>
      <c r="I140" s="1" t="s">
        <v>10176</v>
      </c>
      <c r="J140" s="1" t="s">
        <v>10262</v>
      </c>
      <c r="K140" s="1" t="s">
        <v>10262</v>
      </c>
      <c r="O140" s="1" t="s">
        <v>10155</v>
      </c>
      <c r="P140" s="1" t="s">
        <v>10155</v>
      </c>
    </row>
    <row r="141" spans="1:17" ht="12.5" x14ac:dyDescent="0.25">
      <c r="A141" s="1" t="s">
        <v>152</v>
      </c>
      <c r="C141" s="1" t="s">
        <v>5181</v>
      </c>
      <c r="D141" s="1" t="s">
        <v>10387</v>
      </c>
      <c r="E141" s="1" t="s">
        <v>10169</v>
      </c>
      <c r="F141" s="1" t="s">
        <v>10170</v>
      </c>
      <c r="G141" s="1" t="s">
        <v>10297</v>
      </c>
      <c r="H141" s="1" t="s">
        <v>10160</v>
      </c>
      <c r="I141" s="1" t="s">
        <v>10160</v>
      </c>
      <c r="M141" s="1" t="s">
        <v>8845</v>
      </c>
      <c r="N141" s="1" t="s">
        <v>10388</v>
      </c>
      <c r="O141" s="1" t="s">
        <v>169</v>
      </c>
      <c r="P141" s="1" t="s">
        <v>10155</v>
      </c>
      <c r="Q141" s="1" t="s">
        <v>29</v>
      </c>
    </row>
    <row r="142" spans="1:17" ht="12.5" x14ac:dyDescent="0.25">
      <c r="A142" s="1" t="s">
        <v>152</v>
      </c>
      <c r="C142" s="1" t="s">
        <v>5177</v>
      </c>
      <c r="D142" s="1" t="s">
        <v>10389</v>
      </c>
      <c r="E142" s="1" t="s">
        <v>10169</v>
      </c>
      <c r="F142" s="1" t="s">
        <v>10170</v>
      </c>
      <c r="G142" s="1" t="s">
        <v>10231</v>
      </c>
      <c r="H142" s="1" t="s">
        <v>10183</v>
      </c>
      <c r="I142" s="1" t="s">
        <v>10183</v>
      </c>
      <c r="M142" s="1" t="s">
        <v>5178</v>
      </c>
      <c r="O142" s="1" t="s">
        <v>59</v>
      </c>
      <c r="P142" s="1" t="s">
        <v>124</v>
      </c>
      <c r="Q142" s="1" t="s">
        <v>29</v>
      </c>
    </row>
    <row r="143" spans="1:17" ht="12.5" x14ac:dyDescent="0.25">
      <c r="A143" s="1" t="s">
        <v>152</v>
      </c>
      <c r="C143" s="1" t="s">
        <v>5174</v>
      </c>
      <c r="D143" s="1" t="s">
        <v>10390</v>
      </c>
      <c r="E143" s="1" t="s">
        <v>10169</v>
      </c>
      <c r="F143" s="1" t="s">
        <v>10170</v>
      </c>
      <c r="G143" s="1" t="s">
        <v>10231</v>
      </c>
      <c r="H143" s="1" t="s">
        <v>10176</v>
      </c>
      <c r="I143" s="1" t="s">
        <v>10176</v>
      </c>
      <c r="J143" s="1" t="s">
        <v>10262</v>
      </c>
      <c r="K143" s="1" t="s">
        <v>10262</v>
      </c>
      <c r="M143" s="1" t="s">
        <v>5175</v>
      </c>
      <c r="O143" s="1" t="s">
        <v>169</v>
      </c>
      <c r="P143" s="1" t="s">
        <v>10155</v>
      </c>
      <c r="Q143" s="1" t="s">
        <v>29</v>
      </c>
    </row>
    <row r="144" spans="1:17" ht="12.5" x14ac:dyDescent="0.25">
      <c r="A144" s="1" t="s">
        <v>152</v>
      </c>
      <c r="C144" s="1" t="s">
        <v>9177</v>
      </c>
      <c r="D144" s="1" t="s">
        <v>10391</v>
      </c>
      <c r="E144" s="1" t="s">
        <v>10169</v>
      </c>
      <c r="F144" s="1" t="s">
        <v>10170</v>
      </c>
      <c r="G144" s="1" t="s">
        <v>10231</v>
      </c>
      <c r="H144" s="1" t="s">
        <v>10152</v>
      </c>
      <c r="I144" s="1" t="s">
        <v>10164</v>
      </c>
      <c r="M144" s="1" t="s">
        <v>9174</v>
      </c>
      <c r="O144" s="1" t="s">
        <v>10155</v>
      </c>
      <c r="P144" s="1" t="s">
        <v>10155</v>
      </c>
      <c r="Q144" s="1" t="s">
        <v>20</v>
      </c>
    </row>
    <row r="145" spans="1:17" ht="12.5" x14ac:dyDescent="0.25">
      <c r="A145" s="1" t="s">
        <v>152</v>
      </c>
      <c r="C145" s="1" t="s">
        <v>10392</v>
      </c>
      <c r="D145" s="1" t="s">
        <v>10393</v>
      </c>
      <c r="E145" s="1" t="s">
        <v>10169</v>
      </c>
      <c r="F145" s="1" t="s">
        <v>10170</v>
      </c>
      <c r="G145" s="1" t="s">
        <v>10231</v>
      </c>
      <c r="H145" s="1" t="s">
        <v>10176</v>
      </c>
      <c r="I145" s="1" t="s">
        <v>10176</v>
      </c>
      <c r="J145" s="1" t="s">
        <v>10177</v>
      </c>
      <c r="K145" s="1" t="s">
        <v>10177</v>
      </c>
      <c r="O145" s="1" t="s">
        <v>10155</v>
      </c>
      <c r="P145" s="1" t="s">
        <v>10155</v>
      </c>
    </row>
    <row r="146" spans="1:17" ht="12.5" x14ac:dyDescent="0.25">
      <c r="A146" s="1" t="s">
        <v>152</v>
      </c>
      <c r="C146" s="1" t="s">
        <v>7615</v>
      </c>
      <c r="D146" s="1" t="s">
        <v>10394</v>
      </c>
      <c r="E146" s="1" t="s">
        <v>10169</v>
      </c>
      <c r="F146" s="1" t="s">
        <v>10170</v>
      </c>
      <c r="G146" s="1" t="s">
        <v>10231</v>
      </c>
      <c r="H146" s="1" t="s">
        <v>10183</v>
      </c>
      <c r="I146" s="1" t="s">
        <v>10183</v>
      </c>
      <c r="M146" s="1" t="s">
        <v>7616</v>
      </c>
      <c r="N146" s="1" t="s">
        <v>10395</v>
      </c>
      <c r="O146" s="1" t="s">
        <v>59</v>
      </c>
      <c r="P146" s="1" t="s">
        <v>124</v>
      </c>
      <c r="Q146" s="1" t="s">
        <v>29</v>
      </c>
    </row>
    <row r="147" spans="1:17" ht="12.5" x14ac:dyDescent="0.25">
      <c r="A147" s="1" t="s">
        <v>152</v>
      </c>
      <c r="C147" s="1" t="s">
        <v>5170</v>
      </c>
      <c r="D147" s="1" t="s">
        <v>10396</v>
      </c>
      <c r="E147" s="1" t="s">
        <v>10169</v>
      </c>
      <c r="F147" s="1" t="s">
        <v>10170</v>
      </c>
      <c r="G147" s="1" t="s">
        <v>10231</v>
      </c>
      <c r="H147" s="1" t="s">
        <v>10160</v>
      </c>
      <c r="I147" s="1" t="s">
        <v>10160</v>
      </c>
      <c r="L147" s="1" t="s">
        <v>10197</v>
      </c>
      <c r="M147" s="1" t="s">
        <v>5171</v>
      </c>
      <c r="O147" s="1" t="s">
        <v>124</v>
      </c>
      <c r="P147" s="1" t="s">
        <v>10155</v>
      </c>
      <c r="Q147" s="1" t="s">
        <v>29</v>
      </c>
    </row>
    <row r="148" spans="1:17" ht="12.5" x14ac:dyDescent="0.25">
      <c r="A148" s="1" t="s">
        <v>152</v>
      </c>
      <c r="C148" s="1" t="s">
        <v>10397</v>
      </c>
      <c r="D148" s="1" t="s">
        <v>10398</v>
      </c>
      <c r="E148" s="1" t="s">
        <v>10169</v>
      </c>
      <c r="F148" s="1" t="s">
        <v>10170</v>
      </c>
      <c r="G148" s="1" t="s">
        <v>10399</v>
      </c>
      <c r="H148" s="1" t="s">
        <v>10152</v>
      </c>
      <c r="I148" s="1" t="s">
        <v>10164</v>
      </c>
      <c r="L148" s="1" t="s">
        <v>10400</v>
      </c>
      <c r="O148" s="1" t="s">
        <v>10155</v>
      </c>
      <c r="P148" s="1" t="s">
        <v>10155</v>
      </c>
    </row>
    <row r="149" spans="1:17" ht="12.5" x14ac:dyDescent="0.25">
      <c r="A149" s="1" t="s">
        <v>152</v>
      </c>
      <c r="C149" s="1" t="s">
        <v>5167</v>
      </c>
      <c r="D149" s="1" t="s">
        <v>10401</v>
      </c>
      <c r="E149" s="1" t="s">
        <v>10169</v>
      </c>
      <c r="F149" s="1" t="s">
        <v>10170</v>
      </c>
      <c r="G149" s="1" t="s">
        <v>10399</v>
      </c>
      <c r="H149" s="1" t="s">
        <v>10152</v>
      </c>
      <c r="I149" s="1" t="s">
        <v>10164</v>
      </c>
      <c r="L149" s="1" t="s">
        <v>10402</v>
      </c>
      <c r="M149" s="1" t="s">
        <v>5168</v>
      </c>
      <c r="O149" s="1" t="s">
        <v>10155</v>
      </c>
      <c r="P149" s="1" t="s">
        <v>10155</v>
      </c>
      <c r="Q149" s="1" t="s">
        <v>20</v>
      </c>
    </row>
    <row r="150" spans="1:17" ht="12.5" x14ac:dyDescent="0.25">
      <c r="A150" s="1" t="s">
        <v>152</v>
      </c>
      <c r="C150" s="1" t="s">
        <v>10403</v>
      </c>
      <c r="D150" s="1" t="s">
        <v>10404</v>
      </c>
      <c r="E150" s="1" t="s">
        <v>10169</v>
      </c>
      <c r="F150" s="1" t="s">
        <v>10170</v>
      </c>
      <c r="G150" s="1" t="s">
        <v>10399</v>
      </c>
      <c r="H150" s="1" t="s">
        <v>10152</v>
      </c>
      <c r="I150" s="1" t="s">
        <v>10164</v>
      </c>
      <c r="O150" s="1" t="s">
        <v>10155</v>
      </c>
      <c r="P150" s="1" t="s">
        <v>10155</v>
      </c>
    </row>
    <row r="151" spans="1:17" ht="12.5" x14ac:dyDescent="0.25">
      <c r="A151" s="1" t="s">
        <v>152</v>
      </c>
      <c r="C151" s="1" t="s">
        <v>10405</v>
      </c>
      <c r="D151" s="1" t="s">
        <v>10406</v>
      </c>
      <c r="E151" s="1" t="s">
        <v>10169</v>
      </c>
      <c r="F151" s="1" t="s">
        <v>10170</v>
      </c>
      <c r="G151" s="1" t="s">
        <v>10399</v>
      </c>
      <c r="H151" s="1" t="s">
        <v>10152</v>
      </c>
      <c r="I151" s="1" t="s">
        <v>10164</v>
      </c>
      <c r="O151" s="1" t="s">
        <v>10155</v>
      </c>
      <c r="P151" s="1" t="s">
        <v>10155</v>
      </c>
    </row>
    <row r="152" spans="1:17" ht="12.5" x14ac:dyDescent="0.25">
      <c r="A152" s="1" t="s">
        <v>152</v>
      </c>
      <c r="C152" s="1" t="s">
        <v>5163</v>
      </c>
      <c r="D152" s="1" t="s">
        <v>10407</v>
      </c>
      <c r="E152" s="1" t="s">
        <v>10169</v>
      </c>
      <c r="F152" s="1" t="s">
        <v>10170</v>
      </c>
      <c r="G152" s="1" t="s">
        <v>10399</v>
      </c>
      <c r="H152" s="1" t="s">
        <v>10183</v>
      </c>
      <c r="I152" s="1" t="s">
        <v>10183</v>
      </c>
      <c r="M152" s="1" t="s">
        <v>5164</v>
      </c>
      <c r="O152" s="1" t="s">
        <v>53</v>
      </c>
      <c r="P152" s="1" t="s">
        <v>53</v>
      </c>
      <c r="Q152" s="1" t="s">
        <v>29</v>
      </c>
    </row>
    <row r="153" spans="1:17" ht="12.5" x14ac:dyDescent="0.25">
      <c r="A153" s="1" t="s">
        <v>152</v>
      </c>
      <c r="C153" s="1" t="s">
        <v>8053</v>
      </c>
      <c r="D153" s="1" t="s">
        <v>10408</v>
      </c>
      <c r="E153" s="1" t="s">
        <v>10169</v>
      </c>
      <c r="F153" s="1" t="s">
        <v>10170</v>
      </c>
      <c r="G153" s="1" t="s">
        <v>10409</v>
      </c>
      <c r="H153" s="1" t="s">
        <v>10183</v>
      </c>
      <c r="I153" s="1" t="s">
        <v>10183</v>
      </c>
      <c r="M153" s="1" t="s">
        <v>8054</v>
      </c>
      <c r="N153" s="1" t="s">
        <v>8056</v>
      </c>
      <c r="O153" s="1" t="s">
        <v>33</v>
      </c>
      <c r="P153" s="1" t="s">
        <v>24</v>
      </c>
      <c r="Q153" s="1" t="s">
        <v>29</v>
      </c>
    </row>
    <row r="154" spans="1:17" ht="12.5" x14ac:dyDescent="0.25">
      <c r="A154" s="1" t="s">
        <v>152</v>
      </c>
      <c r="C154" s="1" t="s">
        <v>10410</v>
      </c>
      <c r="D154" s="1" t="s">
        <v>10411</v>
      </c>
      <c r="E154" s="1" t="s">
        <v>10169</v>
      </c>
      <c r="F154" s="1" t="s">
        <v>10170</v>
      </c>
      <c r="G154" s="1" t="s">
        <v>10409</v>
      </c>
      <c r="H154" s="1" t="s">
        <v>10176</v>
      </c>
      <c r="I154" s="1" t="s">
        <v>10176</v>
      </c>
      <c r="J154" s="1" t="s">
        <v>10177</v>
      </c>
      <c r="K154" s="1" t="s">
        <v>10177</v>
      </c>
      <c r="O154" s="1" t="s">
        <v>10155</v>
      </c>
      <c r="P154" s="1" t="s">
        <v>10155</v>
      </c>
    </row>
    <row r="155" spans="1:17" ht="12.5" x14ac:dyDescent="0.25">
      <c r="A155" s="1" t="s">
        <v>152</v>
      </c>
      <c r="C155" s="1" t="s">
        <v>10412</v>
      </c>
      <c r="D155" s="1" t="s">
        <v>10413</v>
      </c>
      <c r="E155" s="1" t="s">
        <v>10169</v>
      </c>
      <c r="F155" s="1" t="s">
        <v>10170</v>
      </c>
      <c r="G155" s="1" t="s">
        <v>10409</v>
      </c>
      <c r="H155" s="1" t="s">
        <v>10176</v>
      </c>
      <c r="I155" s="1" t="s">
        <v>10176</v>
      </c>
      <c r="J155" s="1" t="s">
        <v>10270</v>
      </c>
      <c r="K155" s="1" t="s">
        <v>10270</v>
      </c>
      <c r="O155" s="1" t="s">
        <v>10155</v>
      </c>
      <c r="P155" s="1" t="s">
        <v>10155</v>
      </c>
    </row>
    <row r="156" spans="1:17" ht="12.5" x14ac:dyDescent="0.25">
      <c r="A156" s="1" t="s">
        <v>152</v>
      </c>
      <c r="C156" s="1" t="s">
        <v>10414</v>
      </c>
      <c r="D156" s="1" t="s">
        <v>10415</v>
      </c>
      <c r="E156" s="1" t="s">
        <v>10169</v>
      </c>
      <c r="F156" s="1" t="s">
        <v>10170</v>
      </c>
      <c r="G156" s="1" t="s">
        <v>10287</v>
      </c>
      <c r="H156" s="1" t="s">
        <v>10176</v>
      </c>
      <c r="I156" s="1" t="s">
        <v>10176</v>
      </c>
      <c r="J156" s="1" t="s">
        <v>10270</v>
      </c>
      <c r="K156" s="1" t="s">
        <v>10270</v>
      </c>
      <c r="O156" s="1" t="s">
        <v>10155</v>
      </c>
      <c r="P156" s="1" t="s">
        <v>10155</v>
      </c>
    </row>
    <row r="157" spans="1:17" ht="12.5" x14ac:dyDescent="0.25">
      <c r="A157" s="1" t="s">
        <v>152</v>
      </c>
      <c r="C157" s="1" t="s">
        <v>5159</v>
      </c>
      <c r="D157" s="1" t="s">
        <v>10416</v>
      </c>
      <c r="E157" s="1" t="s">
        <v>10169</v>
      </c>
      <c r="F157" s="1" t="s">
        <v>10170</v>
      </c>
      <c r="G157" s="1" t="s">
        <v>10409</v>
      </c>
      <c r="H157" s="1" t="s">
        <v>10183</v>
      </c>
      <c r="I157" s="1" t="s">
        <v>10183</v>
      </c>
      <c r="M157" s="1" t="s">
        <v>5160</v>
      </c>
      <c r="O157" s="1" t="s">
        <v>24</v>
      </c>
      <c r="P157" s="1" t="s">
        <v>24</v>
      </c>
      <c r="Q157" s="1" t="s">
        <v>29</v>
      </c>
    </row>
    <row r="158" spans="1:17" ht="12.5" x14ac:dyDescent="0.25">
      <c r="A158" s="1" t="s">
        <v>152</v>
      </c>
      <c r="C158" s="1" t="s">
        <v>5155</v>
      </c>
      <c r="D158" s="1" t="s">
        <v>10417</v>
      </c>
      <c r="E158" s="1" t="s">
        <v>10169</v>
      </c>
      <c r="F158" s="1" t="s">
        <v>10170</v>
      </c>
      <c r="G158" s="1" t="s">
        <v>10287</v>
      </c>
      <c r="H158" s="1" t="s">
        <v>10176</v>
      </c>
      <c r="I158" s="1" t="s">
        <v>10176</v>
      </c>
      <c r="J158" s="1" t="s">
        <v>10270</v>
      </c>
      <c r="K158" s="1" t="s">
        <v>10270</v>
      </c>
      <c r="M158" s="1" t="s">
        <v>5156</v>
      </c>
      <c r="O158" s="1" t="s">
        <v>10155</v>
      </c>
      <c r="P158" s="1" t="s">
        <v>10155</v>
      </c>
      <c r="Q158" s="1" t="s">
        <v>29</v>
      </c>
    </row>
    <row r="159" spans="1:17" ht="12.5" x14ac:dyDescent="0.25">
      <c r="A159" s="1" t="s">
        <v>152</v>
      </c>
      <c r="C159" s="1" t="s">
        <v>5151</v>
      </c>
      <c r="D159" s="1" t="s">
        <v>10418</v>
      </c>
      <c r="E159" s="1" t="s">
        <v>10169</v>
      </c>
      <c r="F159" s="1" t="s">
        <v>10186</v>
      </c>
      <c r="G159" s="1" t="s">
        <v>10238</v>
      </c>
      <c r="H159" s="1" t="s">
        <v>10176</v>
      </c>
      <c r="I159" s="1" t="s">
        <v>10176</v>
      </c>
      <c r="J159" s="1" t="s">
        <v>10177</v>
      </c>
      <c r="K159" s="1" t="s">
        <v>10177</v>
      </c>
      <c r="M159" s="1" t="s">
        <v>5152</v>
      </c>
      <c r="O159" s="1" t="s">
        <v>10155</v>
      </c>
      <c r="P159" s="1" t="s">
        <v>10155</v>
      </c>
      <c r="Q159" s="1" t="s">
        <v>29</v>
      </c>
    </row>
    <row r="160" spans="1:17" ht="12.5" x14ac:dyDescent="0.25">
      <c r="A160" s="1" t="s">
        <v>152</v>
      </c>
      <c r="C160" s="1" t="s">
        <v>5150</v>
      </c>
      <c r="D160" s="1" t="s">
        <v>10419</v>
      </c>
      <c r="E160" s="1" t="s">
        <v>10169</v>
      </c>
      <c r="F160" s="1" t="s">
        <v>10188</v>
      </c>
      <c r="G160" s="1" t="s">
        <v>10420</v>
      </c>
      <c r="H160" s="1" t="s">
        <v>10183</v>
      </c>
      <c r="I160" s="1" t="s">
        <v>10183</v>
      </c>
      <c r="M160" s="1" t="s">
        <v>5404</v>
      </c>
      <c r="N160" s="1" t="s">
        <v>10421</v>
      </c>
      <c r="O160" s="1" t="s">
        <v>53</v>
      </c>
      <c r="P160" s="1" t="s">
        <v>10155</v>
      </c>
      <c r="Q160" s="1" t="s">
        <v>29</v>
      </c>
    </row>
    <row r="161" spans="1:17" ht="12.5" x14ac:dyDescent="0.25">
      <c r="A161" s="1" t="s">
        <v>152</v>
      </c>
      <c r="C161" s="1" t="s">
        <v>5145</v>
      </c>
      <c r="D161" s="1" t="s">
        <v>10422</v>
      </c>
      <c r="E161" s="1" t="s">
        <v>10169</v>
      </c>
      <c r="F161" s="1" t="s">
        <v>10188</v>
      </c>
      <c r="G161" s="1" t="s">
        <v>10420</v>
      </c>
      <c r="H161" s="1" t="s">
        <v>10160</v>
      </c>
      <c r="I161" s="1" t="s">
        <v>10160</v>
      </c>
      <c r="M161" s="1" t="s">
        <v>5146</v>
      </c>
      <c r="N161" s="1" t="s">
        <v>5148</v>
      </c>
      <c r="O161" s="1" t="s">
        <v>59</v>
      </c>
      <c r="P161" s="1" t="s">
        <v>10155</v>
      </c>
      <c r="Q161" s="1" t="s">
        <v>29</v>
      </c>
    </row>
    <row r="162" spans="1:17" ht="12.5" x14ac:dyDescent="0.25">
      <c r="A162" s="1" t="s">
        <v>152</v>
      </c>
      <c r="C162" s="1" t="s">
        <v>5142</v>
      </c>
      <c r="D162" s="1" t="s">
        <v>10423</v>
      </c>
      <c r="E162" s="1" t="s">
        <v>10169</v>
      </c>
      <c r="F162" s="1" t="s">
        <v>10188</v>
      </c>
      <c r="G162" s="1" t="s">
        <v>10420</v>
      </c>
      <c r="H162" s="1" t="s">
        <v>10152</v>
      </c>
      <c r="I162" s="1" t="s">
        <v>10153</v>
      </c>
      <c r="L162" s="1" t="s">
        <v>10197</v>
      </c>
      <c r="M162" s="1" t="s">
        <v>5143</v>
      </c>
      <c r="O162" s="1" t="s">
        <v>124</v>
      </c>
      <c r="P162" s="1" t="s">
        <v>10155</v>
      </c>
      <c r="Q162" s="1" t="s">
        <v>29</v>
      </c>
    </row>
    <row r="163" spans="1:17" ht="12.5" x14ac:dyDescent="0.25">
      <c r="A163" s="1" t="s">
        <v>152</v>
      </c>
      <c r="C163" s="1" t="s">
        <v>10424</v>
      </c>
      <c r="D163" s="1" t="s">
        <v>10425</v>
      </c>
      <c r="E163" s="1" t="s">
        <v>10169</v>
      </c>
      <c r="F163" s="1" t="s">
        <v>10188</v>
      </c>
      <c r="G163" s="1" t="s">
        <v>10420</v>
      </c>
      <c r="H163" s="1" t="s">
        <v>10176</v>
      </c>
      <c r="I163" s="1" t="s">
        <v>10176</v>
      </c>
      <c r="J163" s="1" t="s">
        <v>10270</v>
      </c>
      <c r="K163" s="1" t="s">
        <v>10270</v>
      </c>
      <c r="O163" s="1" t="s">
        <v>10155</v>
      </c>
      <c r="P163" s="1" t="s">
        <v>10155</v>
      </c>
    </row>
    <row r="164" spans="1:17" ht="12.5" x14ac:dyDescent="0.25">
      <c r="A164" s="1" t="s">
        <v>152</v>
      </c>
      <c r="C164" s="1" t="s">
        <v>6981</v>
      </c>
      <c r="D164" s="1" t="s">
        <v>10426</v>
      </c>
      <c r="E164" s="1" t="s">
        <v>10169</v>
      </c>
      <c r="F164" s="1" t="s">
        <v>10188</v>
      </c>
      <c r="G164" s="1" t="s">
        <v>10420</v>
      </c>
      <c r="H164" s="1" t="s">
        <v>10152</v>
      </c>
      <c r="I164" s="1" t="s">
        <v>10153</v>
      </c>
      <c r="M164" s="1" t="s">
        <v>6982</v>
      </c>
      <c r="N164" s="1" t="s">
        <v>6984</v>
      </c>
      <c r="O164" s="1" t="s">
        <v>169</v>
      </c>
      <c r="P164" s="1" t="s">
        <v>10155</v>
      </c>
      <c r="Q164" s="1" t="s">
        <v>29</v>
      </c>
    </row>
    <row r="165" spans="1:17" ht="12.5" x14ac:dyDescent="0.25">
      <c r="A165" s="1" t="s">
        <v>152</v>
      </c>
      <c r="C165" s="1" t="s">
        <v>5139</v>
      </c>
      <c r="D165" s="1" t="s">
        <v>10427</v>
      </c>
      <c r="E165" s="1" t="s">
        <v>10169</v>
      </c>
      <c r="F165" s="1" t="s">
        <v>10170</v>
      </c>
      <c r="G165" s="1" t="s">
        <v>10428</v>
      </c>
      <c r="H165" s="1" t="s">
        <v>10176</v>
      </c>
      <c r="I165" s="1" t="s">
        <v>10176</v>
      </c>
      <c r="J165" s="1" t="s">
        <v>10262</v>
      </c>
      <c r="K165" s="1" t="s">
        <v>10262</v>
      </c>
      <c r="M165" s="1" t="s">
        <v>5140</v>
      </c>
      <c r="O165" s="1" t="s">
        <v>10155</v>
      </c>
      <c r="P165" s="1" t="s">
        <v>10155</v>
      </c>
      <c r="Q165" s="1" t="s">
        <v>29</v>
      </c>
    </row>
    <row r="166" spans="1:17" ht="12.5" x14ac:dyDescent="0.25">
      <c r="A166" s="1" t="s">
        <v>152</v>
      </c>
      <c r="C166" s="1" t="s">
        <v>5135</v>
      </c>
      <c r="D166" s="1" t="s">
        <v>10429</v>
      </c>
      <c r="E166" s="1" t="s">
        <v>10169</v>
      </c>
      <c r="F166" s="1" t="s">
        <v>10170</v>
      </c>
      <c r="G166" s="1" t="s">
        <v>10428</v>
      </c>
      <c r="H166" s="1" t="s">
        <v>10183</v>
      </c>
      <c r="I166" s="1" t="s">
        <v>10183</v>
      </c>
      <c r="M166" s="1" t="s">
        <v>8682</v>
      </c>
      <c r="N166" s="1" t="s">
        <v>8684</v>
      </c>
      <c r="O166" s="1" t="s">
        <v>59</v>
      </c>
      <c r="P166" s="1" t="s">
        <v>59</v>
      </c>
      <c r="Q166" s="1" t="s">
        <v>29</v>
      </c>
    </row>
    <row r="167" spans="1:17" ht="12.5" x14ac:dyDescent="0.25">
      <c r="A167" s="1" t="s">
        <v>152</v>
      </c>
      <c r="C167" s="1" t="s">
        <v>5131</v>
      </c>
      <c r="D167" s="1" t="s">
        <v>10430</v>
      </c>
      <c r="E167" s="1" t="s">
        <v>10169</v>
      </c>
      <c r="F167" s="1" t="s">
        <v>10170</v>
      </c>
      <c r="G167" s="1" t="s">
        <v>10428</v>
      </c>
      <c r="H167" s="1" t="s">
        <v>10183</v>
      </c>
      <c r="I167" s="1" t="s">
        <v>10183</v>
      </c>
      <c r="M167" s="1" t="s">
        <v>5132</v>
      </c>
      <c r="O167" s="1" t="s">
        <v>33</v>
      </c>
      <c r="P167" s="1" t="s">
        <v>59</v>
      </c>
      <c r="Q167" s="1" t="s">
        <v>20</v>
      </c>
    </row>
    <row r="168" spans="1:17" ht="12.5" x14ac:dyDescent="0.25">
      <c r="A168" s="1" t="s">
        <v>152</v>
      </c>
      <c r="C168" s="1" t="s">
        <v>5127</v>
      </c>
      <c r="D168" s="1" t="s">
        <v>10431</v>
      </c>
      <c r="E168" s="1" t="s">
        <v>10169</v>
      </c>
      <c r="F168" s="1" t="s">
        <v>10170</v>
      </c>
      <c r="G168" s="1" t="s">
        <v>10428</v>
      </c>
      <c r="H168" s="1" t="s">
        <v>10183</v>
      </c>
      <c r="I168" s="1" t="s">
        <v>10183</v>
      </c>
      <c r="M168" s="1" t="s">
        <v>7488</v>
      </c>
      <c r="N168" s="1" t="s">
        <v>7490</v>
      </c>
      <c r="O168" s="1" t="s">
        <v>59</v>
      </c>
      <c r="P168" s="1" t="s">
        <v>59</v>
      </c>
      <c r="Q168" s="1" t="s">
        <v>29</v>
      </c>
    </row>
    <row r="169" spans="1:17" ht="12.5" x14ac:dyDescent="0.25">
      <c r="A169" s="1" t="s">
        <v>152</v>
      </c>
      <c r="C169" s="1" t="s">
        <v>5123</v>
      </c>
      <c r="D169" s="1" t="s">
        <v>10432</v>
      </c>
      <c r="E169" s="1" t="s">
        <v>10169</v>
      </c>
      <c r="F169" s="1" t="s">
        <v>10170</v>
      </c>
      <c r="G169" s="1" t="s">
        <v>10428</v>
      </c>
      <c r="H169" s="1" t="s">
        <v>10172</v>
      </c>
      <c r="I169" s="1" t="s">
        <v>10172</v>
      </c>
      <c r="J169" s="1" t="s">
        <v>10193</v>
      </c>
      <c r="K169" s="1" t="s">
        <v>10433</v>
      </c>
      <c r="L169" s="1" t="s">
        <v>10434</v>
      </c>
      <c r="M169" s="1" t="s">
        <v>5124</v>
      </c>
      <c r="O169" s="1" t="s">
        <v>271</v>
      </c>
      <c r="P169" s="1" t="s">
        <v>10155</v>
      </c>
      <c r="Q169" s="1" t="s">
        <v>29</v>
      </c>
    </row>
    <row r="170" spans="1:17" ht="12.5" x14ac:dyDescent="0.25">
      <c r="A170" s="1" t="s">
        <v>152</v>
      </c>
      <c r="C170" s="1" t="s">
        <v>10435</v>
      </c>
      <c r="D170" s="1" t="s">
        <v>10436</v>
      </c>
      <c r="E170" s="1" t="s">
        <v>10169</v>
      </c>
      <c r="F170" s="1" t="s">
        <v>10170</v>
      </c>
      <c r="G170" s="1" t="s">
        <v>10428</v>
      </c>
      <c r="H170" s="1" t="s">
        <v>10176</v>
      </c>
      <c r="I170" s="1" t="s">
        <v>10176</v>
      </c>
      <c r="J170" s="1" t="s">
        <v>10270</v>
      </c>
      <c r="K170" s="1" t="s">
        <v>10270</v>
      </c>
      <c r="O170" s="1" t="s">
        <v>10155</v>
      </c>
      <c r="P170" s="1" t="s">
        <v>10155</v>
      </c>
    </row>
    <row r="171" spans="1:17" ht="12.5" x14ac:dyDescent="0.25">
      <c r="A171" s="1" t="s">
        <v>152</v>
      </c>
      <c r="C171" s="1" t="s">
        <v>5119</v>
      </c>
      <c r="D171" s="1" t="s">
        <v>10437</v>
      </c>
      <c r="E171" s="1" t="s">
        <v>10169</v>
      </c>
      <c r="F171" s="1" t="s">
        <v>10170</v>
      </c>
      <c r="G171" s="1" t="s">
        <v>10428</v>
      </c>
      <c r="H171" s="1" t="s">
        <v>10172</v>
      </c>
      <c r="I171" s="1" t="s">
        <v>10172</v>
      </c>
      <c r="J171" s="1" t="s">
        <v>10193</v>
      </c>
      <c r="K171" s="1" t="s">
        <v>10433</v>
      </c>
      <c r="L171" s="1" t="s">
        <v>10434</v>
      </c>
      <c r="M171" s="1" t="s">
        <v>5120</v>
      </c>
      <c r="O171" s="1" t="s">
        <v>271</v>
      </c>
      <c r="P171" s="1" t="s">
        <v>10155</v>
      </c>
      <c r="Q171" s="1" t="s">
        <v>29</v>
      </c>
    </row>
    <row r="172" spans="1:17" ht="12.5" x14ac:dyDescent="0.25">
      <c r="A172" s="1" t="s">
        <v>152</v>
      </c>
      <c r="C172" s="1" t="s">
        <v>10438</v>
      </c>
      <c r="D172" s="1" t="s">
        <v>10439</v>
      </c>
      <c r="E172" s="1" t="s">
        <v>10169</v>
      </c>
      <c r="F172" s="1" t="s">
        <v>10170</v>
      </c>
      <c r="G172" s="1" t="s">
        <v>10428</v>
      </c>
      <c r="H172" s="1" t="s">
        <v>10172</v>
      </c>
      <c r="I172" s="1" t="s">
        <v>10172</v>
      </c>
      <c r="J172" s="1" t="s">
        <v>10440</v>
      </c>
      <c r="K172" s="1" t="s">
        <v>10440</v>
      </c>
      <c r="O172" s="1" t="s">
        <v>10155</v>
      </c>
      <c r="P172" s="1" t="s">
        <v>10155</v>
      </c>
    </row>
    <row r="173" spans="1:17" ht="12.5" x14ac:dyDescent="0.25">
      <c r="A173" s="1" t="s">
        <v>152</v>
      </c>
      <c r="C173" s="1" t="s">
        <v>5115</v>
      </c>
      <c r="D173" s="1" t="s">
        <v>10441</v>
      </c>
      <c r="E173" s="1" t="s">
        <v>10169</v>
      </c>
      <c r="F173" s="1" t="s">
        <v>10170</v>
      </c>
      <c r="G173" s="1" t="s">
        <v>10428</v>
      </c>
      <c r="H173" s="1" t="s">
        <v>10152</v>
      </c>
      <c r="I173" s="1" t="s">
        <v>10153</v>
      </c>
      <c r="L173" s="1" t="s">
        <v>10197</v>
      </c>
      <c r="M173" s="1" t="s">
        <v>5116</v>
      </c>
      <c r="O173" s="1" t="s">
        <v>10155</v>
      </c>
      <c r="P173" s="1" t="s">
        <v>10155</v>
      </c>
      <c r="Q173" s="1" t="s">
        <v>20</v>
      </c>
    </row>
    <row r="174" spans="1:17" ht="12.5" x14ac:dyDescent="0.25">
      <c r="A174" s="1" t="s">
        <v>152</v>
      </c>
      <c r="C174" s="1" t="s">
        <v>5112</v>
      </c>
      <c r="D174" s="1" t="s">
        <v>10442</v>
      </c>
      <c r="E174" s="1" t="s">
        <v>10169</v>
      </c>
      <c r="F174" s="1" t="s">
        <v>10170</v>
      </c>
      <c r="G174" s="1" t="s">
        <v>10243</v>
      </c>
      <c r="H174" s="1" t="s">
        <v>10160</v>
      </c>
      <c r="I174" s="1" t="s">
        <v>10160</v>
      </c>
      <c r="M174" s="1" t="s">
        <v>9474</v>
      </c>
      <c r="N174" s="1" t="s">
        <v>9475</v>
      </c>
      <c r="O174" s="1" t="s">
        <v>169</v>
      </c>
      <c r="P174" s="1" t="s">
        <v>10155</v>
      </c>
      <c r="Q174" s="1" t="s">
        <v>29</v>
      </c>
    </row>
    <row r="175" spans="1:17" ht="12.5" x14ac:dyDescent="0.25">
      <c r="A175" s="1" t="s">
        <v>152</v>
      </c>
      <c r="C175" s="1" t="s">
        <v>5108</v>
      </c>
      <c r="D175" s="1" t="s">
        <v>10443</v>
      </c>
      <c r="E175" s="1" t="s">
        <v>10169</v>
      </c>
      <c r="F175" s="1" t="s">
        <v>10170</v>
      </c>
      <c r="G175" s="1" t="s">
        <v>10243</v>
      </c>
      <c r="H175" s="1" t="s">
        <v>10176</v>
      </c>
      <c r="I175" s="1" t="s">
        <v>10176</v>
      </c>
      <c r="J175" s="1" t="s">
        <v>10270</v>
      </c>
      <c r="K175" s="1" t="s">
        <v>10270</v>
      </c>
      <c r="M175" s="1" t="s">
        <v>5109</v>
      </c>
      <c r="O175" s="1" t="s">
        <v>10155</v>
      </c>
      <c r="P175" s="1" t="s">
        <v>10155</v>
      </c>
      <c r="Q175" s="1" t="s">
        <v>29</v>
      </c>
    </row>
    <row r="176" spans="1:17" ht="12.5" x14ac:dyDescent="0.25">
      <c r="A176" s="1" t="s">
        <v>152</v>
      </c>
      <c r="C176" s="1" t="s">
        <v>5104</v>
      </c>
      <c r="D176" s="1" t="s">
        <v>10444</v>
      </c>
      <c r="E176" s="1" t="s">
        <v>10169</v>
      </c>
      <c r="F176" s="1" t="s">
        <v>10170</v>
      </c>
      <c r="G176" s="1" t="s">
        <v>10243</v>
      </c>
      <c r="H176" s="1" t="s">
        <v>10176</v>
      </c>
      <c r="I176" s="1" t="s">
        <v>10176</v>
      </c>
      <c r="J176" s="1" t="s">
        <v>10270</v>
      </c>
      <c r="K176" s="1" t="s">
        <v>10270</v>
      </c>
      <c r="M176" s="1" t="s">
        <v>5105</v>
      </c>
      <c r="O176" s="1" t="s">
        <v>10155</v>
      </c>
      <c r="P176" s="1" t="s">
        <v>10155</v>
      </c>
      <c r="Q176" s="1" t="s">
        <v>29</v>
      </c>
    </row>
    <row r="177" spans="1:17" ht="12.5" x14ac:dyDescent="0.25">
      <c r="A177" s="1" t="s">
        <v>152</v>
      </c>
      <c r="C177" s="1" t="s">
        <v>5100</v>
      </c>
      <c r="D177" s="1" t="s">
        <v>10445</v>
      </c>
      <c r="E177" s="1" t="s">
        <v>10169</v>
      </c>
      <c r="F177" s="1" t="s">
        <v>10170</v>
      </c>
      <c r="G177" s="1" t="s">
        <v>10243</v>
      </c>
      <c r="H177" s="1" t="s">
        <v>10176</v>
      </c>
      <c r="I177" s="1" t="s">
        <v>10176</v>
      </c>
      <c r="J177" s="1" t="s">
        <v>10270</v>
      </c>
      <c r="K177" s="1" t="s">
        <v>10270</v>
      </c>
      <c r="M177" s="1" t="s">
        <v>5101</v>
      </c>
      <c r="O177" s="1" t="s">
        <v>10155</v>
      </c>
      <c r="P177" s="1" t="s">
        <v>10155</v>
      </c>
      <c r="Q177" s="1" t="s">
        <v>29</v>
      </c>
    </row>
    <row r="178" spans="1:17" ht="12.5" x14ac:dyDescent="0.25">
      <c r="A178" s="1" t="s">
        <v>152</v>
      </c>
      <c r="C178" s="1" t="s">
        <v>5096</v>
      </c>
      <c r="D178" s="1" t="s">
        <v>10446</v>
      </c>
      <c r="E178" s="1" t="s">
        <v>10169</v>
      </c>
      <c r="F178" s="1" t="s">
        <v>10170</v>
      </c>
      <c r="G178" s="1" t="s">
        <v>10243</v>
      </c>
      <c r="H178" s="1" t="s">
        <v>10176</v>
      </c>
      <c r="I178" s="1" t="s">
        <v>10176</v>
      </c>
      <c r="J178" s="1" t="s">
        <v>10270</v>
      </c>
      <c r="K178" s="1" t="s">
        <v>10270</v>
      </c>
      <c r="M178" s="1" t="s">
        <v>5097</v>
      </c>
      <c r="O178" s="1" t="s">
        <v>10155</v>
      </c>
      <c r="P178" s="1" t="s">
        <v>10155</v>
      </c>
      <c r="Q178" s="1" t="s">
        <v>29</v>
      </c>
    </row>
    <row r="179" spans="1:17" ht="12.5" x14ac:dyDescent="0.25">
      <c r="A179" s="1" t="s">
        <v>152</v>
      </c>
      <c r="C179" s="1" t="s">
        <v>5092</v>
      </c>
      <c r="D179" s="1" t="s">
        <v>10447</v>
      </c>
      <c r="E179" s="1" t="s">
        <v>10169</v>
      </c>
      <c r="F179" s="1" t="s">
        <v>10170</v>
      </c>
      <c r="G179" s="1" t="s">
        <v>10243</v>
      </c>
      <c r="H179" s="1" t="s">
        <v>10176</v>
      </c>
      <c r="I179" s="1" t="s">
        <v>10176</v>
      </c>
      <c r="J179" s="1" t="s">
        <v>10270</v>
      </c>
      <c r="K179" s="1" t="s">
        <v>10270</v>
      </c>
      <c r="M179" s="1" t="s">
        <v>5093</v>
      </c>
      <c r="O179" s="1" t="s">
        <v>10155</v>
      </c>
      <c r="P179" s="1" t="s">
        <v>10155</v>
      </c>
      <c r="Q179" s="1" t="s">
        <v>29</v>
      </c>
    </row>
    <row r="180" spans="1:17" ht="12.5" x14ac:dyDescent="0.25">
      <c r="A180" s="1" t="s">
        <v>152</v>
      </c>
      <c r="C180" s="1" t="s">
        <v>5087</v>
      </c>
      <c r="D180" s="1" t="s">
        <v>10448</v>
      </c>
      <c r="E180" s="1" t="s">
        <v>10169</v>
      </c>
      <c r="F180" s="1" t="s">
        <v>10188</v>
      </c>
      <c r="G180" s="1" t="s">
        <v>10449</v>
      </c>
      <c r="H180" s="1" t="s">
        <v>10160</v>
      </c>
      <c r="I180" s="1" t="s">
        <v>10160</v>
      </c>
      <c r="L180" s="1" t="s">
        <v>10197</v>
      </c>
      <c r="M180" s="1" t="s">
        <v>5088</v>
      </c>
      <c r="N180" s="1" t="s">
        <v>5090</v>
      </c>
      <c r="O180" s="1" t="s">
        <v>124</v>
      </c>
      <c r="P180" s="1" t="s">
        <v>10155</v>
      </c>
      <c r="Q180" s="1" t="s">
        <v>29</v>
      </c>
    </row>
    <row r="181" spans="1:17" ht="12.5" x14ac:dyDescent="0.25">
      <c r="A181" s="1" t="s">
        <v>152</v>
      </c>
      <c r="C181" s="1" t="s">
        <v>5082</v>
      </c>
      <c r="D181" s="1" t="s">
        <v>10450</v>
      </c>
      <c r="E181" s="1" t="s">
        <v>10169</v>
      </c>
      <c r="F181" s="1" t="s">
        <v>10188</v>
      </c>
      <c r="G181" s="1" t="s">
        <v>10449</v>
      </c>
      <c r="H181" s="1" t="s">
        <v>10160</v>
      </c>
      <c r="I181" s="1" t="s">
        <v>10160</v>
      </c>
      <c r="L181" s="1" t="s">
        <v>10197</v>
      </c>
      <c r="M181" s="1" t="s">
        <v>5083</v>
      </c>
      <c r="N181" s="1" t="s">
        <v>5085</v>
      </c>
      <c r="O181" s="1" t="s">
        <v>124</v>
      </c>
      <c r="P181" s="1" t="s">
        <v>10155</v>
      </c>
      <c r="Q181" s="1" t="s">
        <v>29</v>
      </c>
    </row>
    <row r="182" spans="1:17" ht="12.5" x14ac:dyDescent="0.25">
      <c r="A182" s="1" t="s">
        <v>152</v>
      </c>
      <c r="C182" s="1" t="s">
        <v>5077</v>
      </c>
      <c r="D182" s="1" t="s">
        <v>10451</v>
      </c>
      <c r="E182" s="1" t="s">
        <v>10169</v>
      </c>
      <c r="F182" s="1" t="s">
        <v>10188</v>
      </c>
      <c r="G182" s="1" t="s">
        <v>10449</v>
      </c>
      <c r="H182" s="1" t="s">
        <v>10160</v>
      </c>
      <c r="I182" s="1" t="s">
        <v>10160</v>
      </c>
      <c r="L182" s="1" t="s">
        <v>10197</v>
      </c>
      <c r="M182" s="1" t="s">
        <v>5078</v>
      </c>
      <c r="N182" s="1" t="s">
        <v>5080</v>
      </c>
      <c r="O182" s="1" t="s">
        <v>124</v>
      </c>
      <c r="P182" s="1" t="s">
        <v>10155</v>
      </c>
      <c r="Q182" s="1" t="s">
        <v>29</v>
      </c>
    </row>
    <row r="183" spans="1:17" ht="12.5" x14ac:dyDescent="0.25">
      <c r="A183" s="1" t="s">
        <v>152</v>
      </c>
      <c r="C183" s="1" t="s">
        <v>5073</v>
      </c>
      <c r="D183" s="1" t="s">
        <v>10452</v>
      </c>
      <c r="E183" s="1" t="s">
        <v>10169</v>
      </c>
      <c r="F183" s="1" t="s">
        <v>10188</v>
      </c>
      <c r="G183" s="1" t="s">
        <v>10449</v>
      </c>
      <c r="H183" s="1" t="s">
        <v>10152</v>
      </c>
      <c r="I183" s="1" t="s">
        <v>10153</v>
      </c>
      <c r="L183" s="1" t="s">
        <v>10197</v>
      </c>
      <c r="M183" s="1" t="s">
        <v>5074</v>
      </c>
      <c r="O183" s="1" t="s">
        <v>10155</v>
      </c>
      <c r="P183" s="1" t="s">
        <v>10155</v>
      </c>
      <c r="Q183" s="1" t="s">
        <v>29</v>
      </c>
    </row>
    <row r="184" spans="1:17" ht="12.5" x14ac:dyDescent="0.25">
      <c r="A184" s="1" t="s">
        <v>152</v>
      </c>
      <c r="C184" s="1" t="s">
        <v>5069</v>
      </c>
      <c r="D184" s="1" t="s">
        <v>10453</v>
      </c>
      <c r="E184" s="1" t="s">
        <v>10169</v>
      </c>
      <c r="F184" s="1" t="s">
        <v>10188</v>
      </c>
      <c r="G184" s="1" t="s">
        <v>10449</v>
      </c>
      <c r="H184" s="1" t="s">
        <v>10152</v>
      </c>
      <c r="I184" s="1" t="s">
        <v>10153</v>
      </c>
      <c r="L184" s="1" t="s">
        <v>10197</v>
      </c>
      <c r="M184" s="1" t="s">
        <v>5070</v>
      </c>
      <c r="O184" s="1" t="s">
        <v>124</v>
      </c>
      <c r="P184" s="1" t="s">
        <v>10155</v>
      </c>
      <c r="Q184" s="1" t="s">
        <v>29</v>
      </c>
    </row>
    <row r="185" spans="1:17" ht="12.5" x14ac:dyDescent="0.25">
      <c r="A185" s="1" t="s">
        <v>152</v>
      </c>
      <c r="C185" s="1" t="s">
        <v>10454</v>
      </c>
      <c r="D185" s="1" t="s">
        <v>10455</v>
      </c>
      <c r="E185" s="1" t="s">
        <v>10169</v>
      </c>
      <c r="F185" s="1" t="s">
        <v>10186</v>
      </c>
      <c r="G185" s="1" t="s">
        <v>10246</v>
      </c>
      <c r="H185" s="1" t="s">
        <v>10176</v>
      </c>
      <c r="I185" s="1" t="s">
        <v>10176</v>
      </c>
      <c r="J185" s="1" t="s">
        <v>10293</v>
      </c>
      <c r="K185" s="1" t="s">
        <v>10293</v>
      </c>
      <c r="L185" s="1" t="s">
        <v>10197</v>
      </c>
      <c r="O185" s="1" t="s">
        <v>10155</v>
      </c>
      <c r="P185" s="1" t="s">
        <v>10155</v>
      </c>
    </row>
    <row r="186" spans="1:17" ht="12.5" x14ac:dyDescent="0.25">
      <c r="A186" s="1" t="s">
        <v>152</v>
      </c>
      <c r="C186" s="1" t="s">
        <v>5570</v>
      </c>
      <c r="D186" s="1" t="s">
        <v>10456</v>
      </c>
      <c r="E186" s="1" t="s">
        <v>10169</v>
      </c>
      <c r="F186" s="1" t="s">
        <v>10186</v>
      </c>
      <c r="G186" s="1" t="s">
        <v>10246</v>
      </c>
      <c r="H186" s="1" t="s">
        <v>10152</v>
      </c>
      <c r="I186" s="1" t="s">
        <v>10153</v>
      </c>
      <c r="M186" s="1" t="s">
        <v>5571</v>
      </c>
      <c r="N186" s="1" t="s">
        <v>5573</v>
      </c>
      <c r="O186" s="1" t="s">
        <v>10155</v>
      </c>
      <c r="P186" s="1" t="s">
        <v>10155</v>
      </c>
      <c r="Q186" s="1" t="s">
        <v>29</v>
      </c>
    </row>
    <row r="187" spans="1:17" ht="12.5" x14ac:dyDescent="0.25">
      <c r="A187" s="1" t="s">
        <v>152</v>
      </c>
      <c r="C187" s="1" t="s">
        <v>5063</v>
      </c>
      <c r="D187" s="1" t="s">
        <v>10457</v>
      </c>
      <c r="E187" s="1" t="s">
        <v>10169</v>
      </c>
      <c r="F187" s="1" t="s">
        <v>10186</v>
      </c>
      <c r="G187" s="1" t="s">
        <v>10246</v>
      </c>
      <c r="H187" s="1" t="s">
        <v>10160</v>
      </c>
      <c r="I187" s="1" t="s">
        <v>10160</v>
      </c>
      <c r="M187" s="1" t="s">
        <v>8678</v>
      </c>
      <c r="N187" s="1" t="s">
        <v>8680</v>
      </c>
      <c r="O187" s="1" t="s">
        <v>124</v>
      </c>
      <c r="P187" s="1" t="s">
        <v>10155</v>
      </c>
      <c r="Q187" s="1" t="s">
        <v>29</v>
      </c>
    </row>
    <row r="188" spans="1:17" ht="12.5" x14ac:dyDescent="0.25">
      <c r="A188" s="1" t="s">
        <v>152</v>
      </c>
      <c r="C188" s="1" t="s">
        <v>10458</v>
      </c>
      <c r="D188" s="1" t="s">
        <v>10459</v>
      </c>
      <c r="E188" s="1" t="s">
        <v>10169</v>
      </c>
      <c r="F188" s="1" t="s">
        <v>10186</v>
      </c>
      <c r="G188" s="1" t="s">
        <v>10246</v>
      </c>
      <c r="H188" s="1" t="s">
        <v>10172</v>
      </c>
      <c r="I188" s="1" t="s">
        <v>10172</v>
      </c>
      <c r="J188" s="1" t="s">
        <v>10173</v>
      </c>
      <c r="K188" s="1" t="s">
        <v>10173</v>
      </c>
      <c r="O188" s="1" t="s">
        <v>10155</v>
      </c>
      <c r="P188" s="1" t="s">
        <v>10155</v>
      </c>
    </row>
    <row r="189" spans="1:17" ht="12.5" x14ac:dyDescent="0.25">
      <c r="A189" s="1" t="s">
        <v>152</v>
      </c>
      <c r="C189" s="1" t="s">
        <v>5060</v>
      </c>
      <c r="D189" s="1" t="s">
        <v>10460</v>
      </c>
      <c r="E189" s="1" t="s">
        <v>10169</v>
      </c>
      <c r="F189" s="1" t="s">
        <v>10170</v>
      </c>
      <c r="G189" s="1" t="s">
        <v>10254</v>
      </c>
      <c r="H189" s="1" t="s">
        <v>10176</v>
      </c>
      <c r="I189" s="1" t="s">
        <v>10176</v>
      </c>
      <c r="J189" s="1" t="s">
        <v>10270</v>
      </c>
      <c r="K189" s="1" t="s">
        <v>10270</v>
      </c>
      <c r="M189" s="1" t="s">
        <v>5061</v>
      </c>
      <c r="O189" s="1" t="s">
        <v>10155</v>
      </c>
      <c r="P189" s="1" t="s">
        <v>10155</v>
      </c>
      <c r="Q189" s="1" t="s">
        <v>20</v>
      </c>
    </row>
    <row r="190" spans="1:17" ht="12.5" x14ac:dyDescent="0.25">
      <c r="A190" s="1" t="s">
        <v>152</v>
      </c>
      <c r="C190" s="1" t="s">
        <v>5055</v>
      </c>
      <c r="D190" s="1" t="s">
        <v>10461</v>
      </c>
      <c r="E190" s="1" t="s">
        <v>10169</v>
      </c>
      <c r="F190" s="1" t="s">
        <v>10170</v>
      </c>
      <c r="G190" s="1" t="s">
        <v>10254</v>
      </c>
      <c r="H190" s="1" t="s">
        <v>10183</v>
      </c>
      <c r="I190" s="1" t="s">
        <v>10183</v>
      </c>
      <c r="M190" s="1" t="s">
        <v>5051</v>
      </c>
      <c r="O190" s="1" t="s">
        <v>59</v>
      </c>
      <c r="P190" s="1" t="s">
        <v>59</v>
      </c>
      <c r="Q190" s="1" t="s">
        <v>29</v>
      </c>
    </row>
    <row r="191" spans="1:17" ht="12.5" x14ac:dyDescent="0.25">
      <c r="A191" s="1" t="s">
        <v>152</v>
      </c>
      <c r="C191" s="1" t="s">
        <v>5054</v>
      </c>
      <c r="D191" s="1" t="s">
        <v>10462</v>
      </c>
      <c r="E191" s="1" t="s">
        <v>10169</v>
      </c>
      <c r="F191" s="1" t="s">
        <v>10170</v>
      </c>
      <c r="G191" s="1" t="s">
        <v>10254</v>
      </c>
      <c r="H191" s="1" t="s">
        <v>10183</v>
      </c>
      <c r="I191" s="1" t="s">
        <v>10183</v>
      </c>
      <c r="M191" s="1" t="s">
        <v>5051</v>
      </c>
      <c r="O191" s="1" t="s">
        <v>59</v>
      </c>
      <c r="P191" s="1" t="s">
        <v>59</v>
      </c>
      <c r="Q191" s="1" t="s">
        <v>29</v>
      </c>
    </row>
    <row r="192" spans="1:17" ht="12.5" x14ac:dyDescent="0.25">
      <c r="A192" s="1" t="s">
        <v>152</v>
      </c>
      <c r="C192" s="1" t="s">
        <v>5050</v>
      </c>
      <c r="D192" s="1" t="s">
        <v>10463</v>
      </c>
      <c r="E192" s="1" t="s">
        <v>10169</v>
      </c>
      <c r="F192" s="1" t="s">
        <v>10170</v>
      </c>
      <c r="G192" s="1" t="s">
        <v>10254</v>
      </c>
      <c r="H192" s="1" t="s">
        <v>10183</v>
      </c>
      <c r="I192" s="1" t="s">
        <v>10183</v>
      </c>
      <c r="M192" s="1" t="s">
        <v>5051</v>
      </c>
      <c r="O192" s="1" t="s">
        <v>59</v>
      </c>
      <c r="P192" s="1" t="s">
        <v>59</v>
      </c>
      <c r="Q192" s="1" t="s">
        <v>29</v>
      </c>
    </row>
    <row r="193" spans="1:17" ht="12.5" x14ac:dyDescent="0.25">
      <c r="A193" s="1" t="s">
        <v>152</v>
      </c>
      <c r="C193" s="1" t="s">
        <v>7174</v>
      </c>
      <c r="D193" s="1" t="s">
        <v>10464</v>
      </c>
      <c r="E193" s="1" t="s">
        <v>10169</v>
      </c>
      <c r="F193" s="1" t="s">
        <v>10170</v>
      </c>
      <c r="G193" s="1" t="s">
        <v>10254</v>
      </c>
      <c r="H193" s="1" t="s">
        <v>10183</v>
      </c>
      <c r="I193" s="1" t="s">
        <v>10183</v>
      </c>
      <c r="M193" s="1" t="s">
        <v>7170</v>
      </c>
      <c r="N193" s="1" t="s">
        <v>10465</v>
      </c>
      <c r="O193" s="1" t="s">
        <v>59</v>
      </c>
      <c r="P193" s="1" t="s">
        <v>59</v>
      </c>
      <c r="Q193" s="1" t="s">
        <v>29</v>
      </c>
    </row>
    <row r="194" spans="1:17" ht="12.5" x14ac:dyDescent="0.25">
      <c r="A194" s="1" t="s">
        <v>152</v>
      </c>
      <c r="C194" s="1" t="s">
        <v>10466</v>
      </c>
      <c r="D194" s="1" t="s">
        <v>10467</v>
      </c>
      <c r="E194" s="1" t="s">
        <v>10169</v>
      </c>
      <c r="F194" s="1" t="s">
        <v>10170</v>
      </c>
      <c r="G194" s="1" t="s">
        <v>10254</v>
      </c>
      <c r="H194" s="1" t="s">
        <v>10176</v>
      </c>
      <c r="I194" s="1" t="s">
        <v>10176</v>
      </c>
      <c r="J194" s="1" t="s">
        <v>10270</v>
      </c>
      <c r="K194" s="1" t="s">
        <v>10270</v>
      </c>
      <c r="O194" s="1" t="s">
        <v>10155</v>
      </c>
      <c r="P194" s="1" t="s">
        <v>10155</v>
      </c>
    </row>
    <row r="195" spans="1:17" ht="12.5" x14ac:dyDescent="0.25">
      <c r="A195" s="1" t="s">
        <v>152</v>
      </c>
      <c r="C195" s="1" t="s">
        <v>5046</v>
      </c>
      <c r="D195" s="1" t="s">
        <v>10468</v>
      </c>
      <c r="E195" s="1" t="s">
        <v>10169</v>
      </c>
      <c r="F195" s="1" t="s">
        <v>10170</v>
      </c>
      <c r="G195" s="1" t="s">
        <v>10254</v>
      </c>
      <c r="H195" s="1" t="s">
        <v>10152</v>
      </c>
      <c r="I195" s="1" t="s">
        <v>10153</v>
      </c>
      <c r="L195" s="1" t="s">
        <v>10197</v>
      </c>
      <c r="M195" s="1" t="s">
        <v>5047</v>
      </c>
      <c r="O195" s="1" t="s">
        <v>124</v>
      </c>
      <c r="P195" s="1" t="s">
        <v>10155</v>
      </c>
      <c r="Q195" s="1" t="s">
        <v>29</v>
      </c>
    </row>
    <row r="196" spans="1:17" ht="12.5" x14ac:dyDescent="0.25">
      <c r="A196" s="1" t="s">
        <v>152</v>
      </c>
      <c r="C196" s="1" t="s">
        <v>5043</v>
      </c>
      <c r="D196" s="1" t="s">
        <v>10469</v>
      </c>
      <c r="E196" s="1" t="s">
        <v>10169</v>
      </c>
      <c r="F196" s="1" t="s">
        <v>10170</v>
      </c>
      <c r="G196" s="1" t="s">
        <v>10254</v>
      </c>
      <c r="H196" s="1" t="s">
        <v>10176</v>
      </c>
      <c r="I196" s="1" t="s">
        <v>10176</v>
      </c>
      <c r="J196" s="1" t="s">
        <v>10270</v>
      </c>
      <c r="K196" s="1" t="s">
        <v>10270</v>
      </c>
      <c r="M196" s="1" t="s">
        <v>5044</v>
      </c>
      <c r="O196" s="1" t="s">
        <v>10155</v>
      </c>
      <c r="P196" s="1" t="s">
        <v>10155</v>
      </c>
      <c r="Q196" s="1" t="s">
        <v>20</v>
      </c>
    </row>
    <row r="197" spans="1:17" ht="12.5" x14ac:dyDescent="0.25">
      <c r="A197" s="1" t="s">
        <v>152</v>
      </c>
      <c r="C197" s="1" t="s">
        <v>5040</v>
      </c>
      <c r="D197" s="1" t="s">
        <v>10470</v>
      </c>
      <c r="E197" s="1" t="s">
        <v>10169</v>
      </c>
      <c r="F197" s="1" t="s">
        <v>10170</v>
      </c>
      <c r="G197" s="1" t="s">
        <v>10254</v>
      </c>
      <c r="H197" s="1" t="s">
        <v>10152</v>
      </c>
      <c r="I197" s="1" t="s">
        <v>10164</v>
      </c>
      <c r="L197" s="1" t="s">
        <v>10197</v>
      </c>
      <c r="M197" s="1" t="s">
        <v>5041</v>
      </c>
      <c r="O197" s="1" t="s">
        <v>10155</v>
      </c>
      <c r="P197" s="1" t="s">
        <v>10155</v>
      </c>
      <c r="Q197" s="1" t="s">
        <v>20</v>
      </c>
    </row>
    <row r="198" spans="1:17" ht="12.5" x14ac:dyDescent="0.25">
      <c r="A198" s="1" t="s">
        <v>152</v>
      </c>
      <c r="C198" s="1" t="s">
        <v>5040</v>
      </c>
      <c r="D198" s="1" t="s">
        <v>10470</v>
      </c>
      <c r="E198" s="1" t="s">
        <v>10169</v>
      </c>
      <c r="F198" s="1" t="s">
        <v>10170</v>
      </c>
      <c r="G198" s="1" t="s">
        <v>10254</v>
      </c>
      <c r="H198" s="1" t="s">
        <v>10152</v>
      </c>
      <c r="I198" s="1" t="s">
        <v>10164</v>
      </c>
      <c r="L198" s="1" t="s">
        <v>10197</v>
      </c>
      <c r="M198" s="1" t="s">
        <v>5036</v>
      </c>
      <c r="N198" s="1" t="s">
        <v>5038</v>
      </c>
      <c r="O198" s="1" t="s">
        <v>10155</v>
      </c>
      <c r="P198" s="1" t="s">
        <v>10155</v>
      </c>
      <c r="Q198" s="1" t="s">
        <v>20</v>
      </c>
    </row>
    <row r="199" spans="1:17" ht="12.5" x14ac:dyDescent="0.25">
      <c r="A199" s="1" t="s">
        <v>152</v>
      </c>
      <c r="C199" s="1" t="s">
        <v>5035</v>
      </c>
      <c r="D199" s="1" t="s">
        <v>10471</v>
      </c>
      <c r="E199" s="1" t="s">
        <v>10169</v>
      </c>
      <c r="F199" s="1" t="s">
        <v>10170</v>
      </c>
      <c r="G199" s="1" t="s">
        <v>10254</v>
      </c>
      <c r="H199" s="1" t="s">
        <v>10152</v>
      </c>
      <c r="I199" s="1" t="s">
        <v>10164</v>
      </c>
      <c r="L199" s="1" t="s">
        <v>10197</v>
      </c>
      <c r="M199" s="1" t="s">
        <v>5036</v>
      </c>
      <c r="N199" s="1" t="s">
        <v>5038</v>
      </c>
      <c r="O199" s="1" t="s">
        <v>10155</v>
      </c>
      <c r="P199" s="1" t="s">
        <v>10155</v>
      </c>
      <c r="Q199" s="1" t="s">
        <v>20</v>
      </c>
    </row>
    <row r="200" spans="1:17" ht="12.5" x14ac:dyDescent="0.25">
      <c r="A200" s="1" t="s">
        <v>152</v>
      </c>
      <c r="C200" s="1" t="s">
        <v>5031</v>
      </c>
      <c r="D200" s="1" t="s">
        <v>10472</v>
      </c>
      <c r="E200" s="1" t="s">
        <v>10169</v>
      </c>
      <c r="F200" s="1" t="s">
        <v>10170</v>
      </c>
      <c r="G200" s="1" t="s">
        <v>10473</v>
      </c>
      <c r="H200" s="1" t="s">
        <v>10176</v>
      </c>
      <c r="I200" s="1" t="s">
        <v>10176</v>
      </c>
      <c r="J200" s="1" t="s">
        <v>10177</v>
      </c>
      <c r="K200" s="1" t="s">
        <v>10177</v>
      </c>
      <c r="M200" s="1" t="s">
        <v>5032</v>
      </c>
      <c r="O200" s="1" t="s">
        <v>10155</v>
      </c>
      <c r="P200" s="1" t="s">
        <v>10155</v>
      </c>
      <c r="Q200" s="1" t="s">
        <v>29</v>
      </c>
    </row>
    <row r="201" spans="1:17" ht="12.5" x14ac:dyDescent="0.25">
      <c r="A201" s="1" t="s">
        <v>152</v>
      </c>
      <c r="C201" s="1" t="s">
        <v>10474</v>
      </c>
      <c r="D201" s="1" t="s">
        <v>10475</v>
      </c>
      <c r="E201" s="1" t="s">
        <v>10169</v>
      </c>
      <c r="F201" s="1" t="s">
        <v>10170</v>
      </c>
      <c r="G201" s="1" t="s">
        <v>10476</v>
      </c>
      <c r="H201" s="1" t="s">
        <v>10172</v>
      </c>
      <c r="I201" s="1" t="s">
        <v>10172</v>
      </c>
      <c r="J201" s="1" t="s">
        <v>10173</v>
      </c>
      <c r="K201" s="1" t="s">
        <v>10173</v>
      </c>
      <c r="O201" s="1" t="s">
        <v>10155</v>
      </c>
      <c r="P201" s="1" t="s">
        <v>10155</v>
      </c>
    </row>
    <row r="202" spans="1:17" ht="12.5" x14ac:dyDescent="0.25">
      <c r="A202" s="1" t="s">
        <v>152</v>
      </c>
      <c r="C202" s="1" t="s">
        <v>5027</v>
      </c>
      <c r="D202" s="1" t="s">
        <v>10477</v>
      </c>
      <c r="E202" s="1" t="s">
        <v>10169</v>
      </c>
      <c r="F202" s="1" t="s">
        <v>10170</v>
      </c>
      <c r="G202" s="1" t="s">
        <v>10476</v>
      </c>
      <c r="H202" s="1" t="s">
        <v>10152</v>
      </c>
      <c r="I202" s="1" t="s">
        <v>10164</v>
      </c>
      <c r="M202" s="1" t="s">
        <v>5028</v>
      </c>
      <c r="O202" s="1" t="s">
        <v>10155</v>
      </c>
      <c r="P202" s="1" t="s">
        <v>10155</v>
      </c>
      <c r="Q202" s="1" t="s">
        <v>29</v>
      </c>
    </row>
    <row r="203" spans="1:17" ht="12.5" x14ac:dyDescent="0.25">
      <c r="A203" s="1" t="s">
        <v>152</v>
      </c>
      <c r="C203" s="1" t="s">
        <v>8657</v>
      </c>
      <c r="D203" s="1" t="s">
        <v>10478</v>
      </c>
      <c r="E203" s="1" t="s">
        <v>10169</v>
      </c>
      <c r="F203" s="1" t="s">
        <v>10186</v>
      </c>
      <c r="G203" s="1" t="s">
        <v>10256</v>
      </c>
      <c r="H203" s="1" t="s">
        <v>10183</v>
      </c>
      <c r="I203" s="1" t="s">
        <v>10183</v>
      </c>
      <c r="M203" s="1" t="s">
        <v>8658</v>
      </c>
      <c r="N203" s="1" t="s">
        <v>8659</v>
      </c>
      <c r="O203" s="1" t="s">
        <v>59</v>
      </c>
      <c r="P203" s="1" t="s">
        <v>59</v>
      </c>
      <c r="Q203" s="1" t="s">
        <v>29</v>
      </c>
    </row>
    <row r="204" spans="1:17" ht="12.5" x14ac:dyDescent="0.25">
      <c r="A204" s="1" t="s">
        <v>152</v>
      </c>
      <c r="C204" s="1" t="s">
        <v>5024</v>
      </c>
      <c r="D204" s="1" t="s">
        <v>10479</v>
      </c>
      <c r="E204" s="1" t="s">
        <v>10169</v>
      </c>
      <c r="F204" s="1" t="s">
        <v>10188</v>
      </c>
      <c r="G204" s="1" t="s">
        <v>10258</v>
      </c>
      <c r="H204" s="1" t="s">
        <v>10152</v>
      </c>
      <c r="I204" s="1" t="s">
        <v>10153</v>
      </c>
      <c r="M204" s="1" t="s">
        <v>9906</v>
      </c>
      <c r="N204" s="1" t="s">
        <v>9907</v>
      </c>
      <c r="O204" s="1" t="s">
        <v>112</v>
      </c>
      <c r="P204" s="1" t="s">
        <v>10155</v>
      </c>
      <c r="Q204" s="1" t="s">
        <v>29</v>
      </c>
    </row>
    <row r="205" spans="1:17" ht="12.5" x14ac:dyDescent="0.25">
      <c r="A205" s="1" t="s">
        <v>152</v>
      </c>
      <c r="C205" s="1" t="s">
        <v>5024</v>
      </c>
      <c r="D205" s="1" t="s">
        <v>10479</v>
      </c>
      <c r="E205" s="1" t="s">
        <v>10169</v>
      </c>
      <c r="F205" s="1" t="s">
        <v>10188</v>
      </c>
      <c r="G205" s="1" t="s">
        <v>10258</v>
      </c>
      <c r="H205" s="1" t="s">
        <v>10152</v>
      </c>
      <c r="I205" s="1" t="s">
        <v>10153</v>
      </c>
      <c r="M205" s="1" t="s">
        <v>5025</v>
      </c>
      <c r="O205" s="1" t="s">
        <v>10155</v>
      </c>
      <c r="P205" s="1" t="s">
        <v>10155</v>
      </c>
      <c r="Q205" s="1" t="s">
        <v>29</v>
      </c>
    </row>
    <row r="206" spans="1:17" ht="12.5" x14ac:dyDescent="0.25">
      <c r="A206" s="1" t="s">
        <v>152</v>
      </c>
      <c r="C206" s="1" t="s">
        <v>10480</v>
      </c>
      <c r="D206" s="1" t="s">
        <v>10481</v>
      </c>
      <c r="E206" s="1" t="s">
        <v>10169</v>
      </c>
      <c r="F206" s="1" t="s">
        <v>10188</v>
      </c>
      <c r="G206" s="1" t="s">
        <v>10258</v>
      </c>
      <c r="H206" s="1" t="s">
        <v>10176</v>
      </c>
      <c r="I206" s="1" t="s">
        <v>10176</v>
      </c>
      <c r="J206" s="1" t="s">
        <v>10262</v>
      </c>
      <c r="K206" s="1" t="s">
        <v>10262</v>
      </c>
      <c r="O206" s="1" t="s">
        <v>10155</v>
      </c>
      <c r="P206" s="1" t="s">
        <v>10155</v>
      </c>
    </row>
    <row r="207" spans="1:17" ht="12.5" x14ac:dyDescent="0.25">
      <c r="A207" s="1" t="s">
        <v>152</v>
      </c>
      <c r="C207" s="1" t="s">
        <v>5021</v>
      </c>
      <c r="D207" s="1" t="s">
        <v>10482</v>
      </c>
      <c r="E207" s="1" t="s">
        <v>10169</v>
      </c>
      <c r="F207" s="1" t="s">
        <v>10188</v>
      </c>
      <c r="G207" s="1" t="s">
        <v>10258</v>
      </c>
      <c r="H207" s="1" t="s">
        <v>10176</v>
      </c>
      <c r="I207" s="1" t="s">
        <v>10176</v>
      </c>
      <c r="J207" s="1" t="s">
        <v>10262</v>
      </c>
      <c r="K207" s="1" t="s">
        <v>10262</v>
      </c>
      <c r="M207" s="1" t="s">
        <v>5022</v>
      </c>
      <c r="O207" s="1" t="s">
        <v>10155</v>
      </c>
      <c r="P207" s="1" t="s">
        <v>10155</v>
      </c>
      <c r="Q207" s="1" t="s">
        <v>29</v>
      </c>
    </row>
    <row r="208" spans="1:17" ht="12.5" x14ac:dyDescent="0.25">
      <c r="A208" s="1" t="s">
        <v>152</v>
      </c>
      <c r="C208" s="1" t="s">
        <v>5790</v>
      </c>
      <c r="D208" s="1" t="s">
        <v>10483</v>
      </c>
      <c r="E208" s="1" t="s">
        <v>10169</v>
      </c>
      <c r="F208" s="1" t="s">
        <v>10204</v>
      </c>
      <c r="G208" s="1" t="s">
        <v>10484</v>
      </c>
      <c r="H208" s="1" t="s">
        <v>10152</v>
      </c>
      <c r="I208" s="1" t="s">
        <v>10164</v>
      </c>
      <c r="M208" s="1" t="s">
        <v>5791</v>
      </c>
      <c r="O208" s="1" t="s">
        <v>10155</v>
      </c>
      <c r="P208" s="1" t="s">
        <v>10155</v>
      </c>
      <c r="Q208" s="1" t="s">
        <v>20</v>
      </c>
    </row>
    <row r="209" spans="1:17" ht="12.5" x14ac:dyDescent="0.25">
      <c r="A209" s="1" t="s">
        <v>152</v>
      </c>
      <c r="C209" s="1" t="s">
        <v>5020</v>
      </c>
      <c r="D209" s="1" t="s">
        <v>10485</v>
      </c>
      <c r="E209" s="1" t="s">
        <v>10169</v>
      </c>
      <c r="F209" s="1" t="s">
        <v>10204</v>
      </c>
      <c r="G209" s="1" t="s">
        <v>10484</v>
      </c>
      <c r="H209" s="1" t="s">
        <v>10486</v>
      </c>
      <c r="I209" s="1" t="s">
        <v>10486</v>
      </c>
      <c r="L209" s="1" t="s">
        <v>10197</v>
      </c>
      <c r="M209" s="1" t="s">
        <v>5017</v>
      </c>
      <c r="O209" s="1" t="s">
        <v>10155</v>
      </c>
      <c r="P209" s="1" t="s">
        <v>10155</v>
      </c>
      <c r="Q209" s="1" t="s">
        <v>20</v>
      </c>
    </row>
    <row r="210" spans="1:17" ht="12.5" x14ac:dyDescent="0.25">
      <c r="A210" s="1" t="s">
        <v>152</v>
      </c>
      <c r="C210" s="1" t="s">
        <v>5014</v>
      </c>
      <c r="D210" s="1" t="s">
        <v>10487</v>
      </c>
      <c r="E210" s="1" t="s">
        <v>10169</v>
      </c>
      <c r="F210" s="1" t="s">
        <v>10204</v>
      </c>
      <c r="G210" s="1" t="s">
        <v>10484</v>
      </c>
      <c r="H210" s="1" t="s">
        <v>10486</v>
      </c>
      <c r="I210" s="1" t="s">
        <v>10486</v>
      </c>
      <c r="L210" s="1" t="s">
        <v>10197</v>
      </c>
      <c r="M210" s="1" t="s">
        <v>5017</v>
      </c>
      <c r="O210" s="1" t="s">
        <v>10155</v>
      </c>
      <c r="P210" s="1" t="s">
        <v>10155</v>
      </c>
      <c r="Q210" s="1" t="s">
        <v>20</v>
      </c>
    </row>
    <row r="211" spans="1:17" ht="12.5" x14ac:dyDescent="0.25">
      <c r="A211" s="1" t="s">
        <v>152</v>
      </c>
      <c r="C211" s="1" t="s">
        <v>5783</v>
      </c>
      <c r="D211" s="1" t="s">
        <v>10488</v>
      </c>
      <c r="E211" s="1" t="s">
        <v>10169</v>
      </c>
      <c r="F211" s="1" t="s">
        <v>10204</v>
      </c>
      <c r="G211" s="1" t="s">
        <v>10484</v>
      </c>
      <c r="H211" s="1" t="s">
        <v>10152</v>
      </c>
      <c r="I211" s="1" t="s">
        <v>10164</v>
      </c>
      <c r="M211" s="1" t="s">
        <v>5784</v>
      </c>
      <c r="O211" s="1" t="s">
        <v>10155</v>
      </c>
      <c r="P211" s="1" t="s">
        <v>10155</v>
      </c>
      <c r="Q211" s="1" t="s">
        <v>20</v>
      </c>
    </row>
    <row r="212" spans="1:17" ht="12.5" x14ac:dyDescent="0.25">
      <c r="A212" s="1" t="s">
        <v>152</v>
      </c>
      <c r="C212" s="1" t="s">
        <v>10489</v>
      </c>
      <c r="D212" s="1" t="s">
        <v>10490</v>
      </c>
      <c r="E212" s="1" t="s">
        <v>10169</v>
      </c>
      <c r="F212" s="1" t="s">
        <v>10204</v>
      </c>
      <c r="G212" s="1" t="s">
        <v>10484</v>
      </c>
      <c r="H212" s="1" t="s">
        <v>10152</v>
      </c>
      <c r="I212" s="1" t="s">
        <v>10164</v>
      </c>
      <c r="O212" s="1" t="s">
        <v>10155</v>
      </c>
      <c r="P212" s="1" t="s">
        <v>10155</v>
      </c>
    </row>
    <row r="213" spans="1:17" ht="12.5" x14ac:dyDescent="0.25">
      <c r="A213" s="1" t="s">
        <v>152</v>
      </c>
      <c r="C213" s="1" t="s">
        <v>10491</v>
      </c>
      <c r="D213" s="1" t="s">
        <v>10492</v>
      </c>
      <c r="E213" s="1" t="s">
        <v>10169</v>
      </c>
      <c r="F213" s="1" t="s">
        <v>10204</v>
      </c>
      <c r="G213" s="1" t="s">
        <v>10264</v>
      </c>
      <c r="H213" s="1" t="s">
        <v>10172</v>
      </c>
      <c r="I213" s="1" t="s">
        <v>10172</v>
      </c>
      <c r="J213" s="1" t="s">
        <v>10173</v>
      </c>
      <c r="K213" s="1" t="s">
        <v>10173</v>
      </c>
      <c r="O213" s="1" t="s">
        <v>10155</v>
      </c>
      <c r="P213" s="1" t="s">
        <v>10155</v>
      </c>
    </row>
    <row r="214" spans="1:17" ht="12.5" x14ac:dyDescent="0.25">
      <c r="A214" s="1" t="s">
        <v>152</v>
      </c>
      <c r="C214" s="1" t="s">
        <v>10493</v>
      </c>
      <c r="D214" s="1" t="s">
        <v>10494</v>
      </c>
      <c r="E214" s="1" t="s">
        <v>10169</v>
      </c>
      <c r="F214" s="1" t="s">
        <v>10204</v>
      </c>
      <c r="G214" s="1" t="s">
        <v>10264</v>
      </c>
      <c r="H214" s="1" t="s">
        <v>10172</v>
      </c>
      <c r="I214" s="1" t="s">
        <v>10172</v>
      </c>
      <c r="J214" s="1" t="s">
        <v>10173</v>
      </c>
      <c r="K214" s="1" t="s">
        <v>10173</v>
      </c>
      <c r="O214" s="1" t="s">
        <v>10155</v>
      </c>
      <c r="P214" s="1" t="s">
        <v>10155</v>
      </c>
    </row>
    <row r="215" spans="1:17" ht="12.5" x14ac:dyDescent="0.25">
      <c r="A215" s="1" t="s">
        <v>152</v>
      </c>
      <c r="C215" s="1" t="s">
        <v>10495</v>
      </c>
      <c r="D215" s="1" t="s">
        <v>10496</v>
      </c>
      <c r="E215" s="1" t="s">
        <v>10169</v>
      </c>
      <c r="F215" s="1" t="s">
        <v>10204</v>
      </c>
      <c r="G215" s="1" t="s">
        <v>10264</v>
      </c>
      <c r="H215" s="1" t="s">
        <v>10176</v>
      </c>
      <c r="I215" s="1" t="s">
        <v>10176</v>
      </c>
      <c r="J215" s="1" t="s">
        <v>10270</v>
      </c>
      <c r="K215" s="1" t="s">
        <v>10270</v>
      </c>
      <c r="O215" s="1" t="s">
        <v>10155</v>
      </c>
      <c r="P215" s="1" t="s">
        <v>10155</v>
      </c>
    </row>
    <row r="216" spans="1:17" ht="12.5" x14ac:dyDescent="0.25">
      <c r="A216" s="1" t="s">
        <v>152</v>
      </c>
      <c r="C216" s="1" t="s">
        <v>5010</v>
      </c>
      <c r="D216" s="1" t="s">
        <v>10497</v>
      </c>
      <c r="E216" s="1" t="s">
        <v>10169</v>
      </c>
      <c r="F216" s="1" t="s">
        <v>10188</v>
      </c>
      <c r="G216" s="1" t="s">
        <v>10498</v>
      </c>
      <c r="H216" s="1" t="s">
        <v>10176</v>
      </c>
      <c r="I216" s="1" t="s">
        <v>10176</v>
      </c>
      <c r="J216" s="1" t="s">
        <v>10270</v>
      </c>
      <c r="K216" s="1" t="s">
        <v>10270</v>
      </c>
      <c r="M216" s="1" t="s">
        <v>5011</v>
      </c>
      <c r="O216" s="1" t="s">
        <v>10155</v>
      </c>
      <c r="P216" s="1" t="s">
        <v>10155</v>
      </c>
      <c r="Q216" s="1" t="s">
        <v>29</v>
      </c>
    </row>
    <row r="217" spans="1:17" ht="12.5" x14ac:dyDescent="0.25">
      <c r="A217" s="1" t="s">
        <v>152</v>
      </c>
      <c r="C217" s="1" t="s">
        <v>5006</v>
      </c>
      <c r="D217" s="1" t="s">
        <v>10499</v>
      </c>
      <c r="E217" s="1" t="s">
        <v>10169</v>
      </c>
      <c r="F217" s="1" t="s">
        <v>10204</v>
      </c>
      <c r="G217" s="1" t="s">
        <v>10374</v>
      </c>
      <c r="H217" s="1" t="s">
        <v>10176</v>
      </c>
      <c r="I217" s="1" t="s">
        <v>10176</v>
      </c>
      <c r="J217" s="1" t="s">
        <v>10262</v>
      </c>
      <c r="K217" s="1" t="s">
        <v>10262</v>
      </c>
      <c r="M217" s="1" t="s">
        <v>5007</v>
      </c>
      <c r="O217" s="1" t="s">
        <v>10155</v>
      </c>
      <c r="P217" s="1" t="s">
        <v>10155</v>
      </c>
      <c r="Q217" s="1" t="s">
        <v>29</v>
      </c>
    </row>
    <row r="218" spans="1:17" ht="12.5" x14ac:dyDescent="0.25">
      <c r="A218" s="1" t="s">
        <v>152</v>
      </c>
      <c r="C218" s="1" t="s">
        <v>10500</v>
      </c>
      <c r="D218" s="1" t="s">
        <v>10501</v>
      </c>
      <c r="E218" s="1" t="s">
        <v>10169</v>
      </c>
      <c r="F218" s="1" t="s">
        <v>10204</v>
      </c>
      <c r="G218" s="1" t="s">
        <v>10374</v>
      </c>
      <c r="H218" s="1" t="s">
        <v>10152</v>
      </c>
      <c r="I218" s="1" t="s">
        <v>10164</v>
      </c>
      <c r="O218" s="1" t="s">
        <v>10155</v>
      </c>
      <c r="P218" s="1" t="s">
        <v>10155</v>
      </c>
    </row>
    <row r="219" spans="1:17" ht="12.5" x14ac:dyDescent="0.25">
      <c r="A219" s="1" t="s">
        <v>152</v>
      </c>
      <c r="C219" s="1" t="s">
        <v>10502</v>
      </c>
      <c r="D219" s="1" t="s">
        <v>10503</v>
      </c>
      <c r="E219" s="1" t="s">
        <v>10169</v>
      </c>
      <c r="F219" s="1" t="s">
        <v>10170</v>
      </c>
      <c r="G219" s="1" t="s">
        <v>10266</v>
      </c>
      <c r="H219" s="1" t="s">
        <v>10152</v>
      </c>
      <c r="I219" s="1" t="s">
        <v>10164</v>
      </c>
      <c r="O219" s="1" t="s">
        <v>10155</v>
      </c>
      <c r="P219" s="1" t="s">
        <v>10155</v>
      </c>
    </row>
    <row r="220" spans="1:17" ht="12.5" x14ac:dyDescent="0.25">
      <c r="A220" s="1" t="s">
        <v>152</v>
      </c>
      <c r="C220" s="1" t="s">
        <v>10504</v>
      </c>
      <c r="D220" s="1" t="s">
        <v>10505</v>
      </c>
      <c r="E220" s="1" t="s">
        <v>10169</v>
      </c>
      <c r="F220" s="1" t="s">
        <v>10170</v>
      </c>
      <c r="G220" s="1" t="s">
        <v>10171</v>
      </c>
      <c r="H220" s="1" t="s">
        <v>10176</v>
      </c>
      <c r="I220" s="1" t="s">
        <v>10176</v>
      </c>
      <c r="J220" s="1" t="s">
        <v>10270</v>
      </c>
      <c r="K220" s="1" t="s">
        <v>10270</v>
      </c>
      <c r="O220" s="1" t="s">
        <v>10155</v>
      </c>
      <c r="P220" s="1" t="s">
        <v>10155</v>
      </c>
    </row>
    <row r="221" spans="1:17" ht="12.5" x14ac:dyDescent="0.25">
      <c r="A221" s="1" t="s">
        <v>152</v>
      </c>
      <c r="C221" s="1" t="s">
        <v>10506</v>
      </c>
      <c r="D221" s="1" t="s">
        <v>10507</v>
      </c>
      <c r="E221" s="1" t="s">
        <v>10169</v>
      </c>
      <c r="F221" s="1" t="s">
        <v>10170</v>
      </c>
      <c r="G221" s="1" t="s">
        <v>10171</v>
      </c>
      <c r="H221" s="1" t="s">
        <v>10176</v>
      </c>
      <c r="I221" s="1" t="s">
        <v>10176</v>
      </c>
      <c r="J221" s="1" t="s">
        <v>10177</v>
      </c>
      <c r="K221" s="1" t="s">
        <v>10177</v>
      </c>
      <c r="O221" s="1" t="s">
        <v>10155</v>
      </c>
      <c r="P221" s="1" t="s">
        <v>10155</v>
      </c>
    </row>
    <row r="222" spans="1:17" ht="12.5" x14ac:dyDescent="0.25">
      <c r="A222" s="1" t="s">
        <v>152</v>
      </c>
      <c r="C222" s="1" t="s">
        <v>5002</v>
      </c>
      <c r="D222" s="1" t="s">
        <v>10508</v>
      </c>
      <c r="E222" s="1" t="s">
        <v>10169</v>
      </c>
      <c r="F222" s="1" t="s">
        <v>10188</v>
      </c>
      <c r="G222" s="1" t="s">
        <v>10498</v>
      </c>
      <c r="H222" s="1" t="s">
        <v>10183</v>
      </c>
      <c r="I222" s="1" t="s">
        <v>10183</v>
      </c>
      <c r="M222" s="1" t="s">
        <v>5003</v>
      </c>
      <c r="O222" s="1" t="s">
        <v>33</v>
      </c>
      <c r="P222" s="1" t="s">
        <v>53</v>
      </c>
      <c r="Q222" s="1" t="s">
        <v>29</v>
      </c>
    </row>
    <row r="223" spans="1:17" ht="12.5" x14ac:dyDescent="0.25">
      <c r="A223" s="1" t="s">
        <v>152</v>
      </c>
      <c r="C223" s="1" t="s">
        <v>7277</v>
      </c>
      <c r="D223" s="1" t="s">
        <v>10509</v>
      </c>
      <c r="E223" s="1" t="s">
        <v>10169</v>
      </c>
      <c r="F223" s="1" t="s">
        <v>10170</v>
      </c>
      <c r="G223" s="1" t="s">
        <v>10510</v>
      </c>
      <c r="H223" s="1" t="s">
        <v>10183</v>
      </c>
      <c r="I223" s="1" t="s">
        <v>10183</v>
      </c>
      <c r="M223" s="1" t="s">
        <v>7278</v>
      </c>
      <c r="N223" s="1" t="s">
        <v>7280</v>
      </c>
      <c r="O223" s="1" t="s">
        <v>59</v>
      </c>
      <c r="P223" s="1" t="s">
        <v>59</v>
      </c>
      <c r="Q223" s="1" t="s">
        <v>29</v>
      </c>
    </row>
    <row r="224" spans="1:17" ht="12.5" x14ac:dyDescent="0.25">
      <c r="A224" s="1" t="s">
        <v>152</v>
      </c>
      <c r="C224" s="1" t="s">
        <v>4998</v>
      </c>
      <c r="D224" s="1" t="s">
        <v>10511</v>
      </c>
      <c r="E224" s="1" t="s">
        <v>10169</v>
      </c>
      <c r="F224" s="1" t="s">
        <v>10186</v>
      </c>
      <c r="G224" s="1" t="s">
        <v>10512</v>
      </c>
      <c r="H224" s="1" t="s">
        <v>10152</v>
      </c>
      <c r="I224" s="1" t="s">
        <v>10164</v>
      </c>
      <c r="M224" s="1" t="s">
        <v>4999</v>
      </c>
      <c r="O224" s="1" t="s">
        <v>10155</v>
      </c>
      <c r="P224" s="1" t="s">
        <v>10155</v>
      </c>
      <c r="Q224" s="1" t="s">
        <v>29</v>
      </c>
    </row>
    <row r="225" spans="1:17" ht="12.5" x14ac:dyDescent="0.25">
      <c r="A225" s="1" t="s">
        <v>152</v>
      </c>
      <c r="C225" s="1" t="s">
        <v>4994</v>
      </c>
      <c r="D225" s="1" t="s">
        <v>10513</v>
      </c>
      <c r="E225" s="1" t="s">
        <v>10169</v>
      </c>
      <c r="F225" s="1" t="s">
        <v>10188</v>
      </c>
      <c r="G225" s="1" t="s">
        <v>10514</v>
      </c>
      <c r="H225" s="1" t="s">
        <v>10152</v>
      </c>
      <c r="I225" s="1" t="s">
        <v>10153</v>
      </c>
      <c r="M225" s="1" t="s">
        <v>8841</v>
      </c>
      <c r="N225" s="1" t="s">
        <v>10515</v>
      </c>
      <c r="O225" s="1" t="s">
        <v>169</v>
      </c>
      <c r="P225" s="1" t="s">
        <v>10155</v>
      </c>
      <c r="Q225" s="1" t="s">
        <v>29</v>
      </c>
    </row>
    <row r="226" spans="1:17" ht="12.5" x14ac:dyDescent="0.25">
      <c r="A226" s="1" t="s">
        <v>152</v>
      </c>
      <c r="C226" s="1" t="s">
        <v>4994</v>
      </c>
      <c r="D226" s="1" t="s">
        <v>10513</v>
      </c>
      <c r="E226" s="1" t="s">
        <v>10169</v>
      </c>
      <c r="F226" s="1" t="s">
        <v>10188</v>
      </c>
      <c r="G226" s="1" t="s">
        <v>10514</v>
      </c>
      <c r="H226" s="1" t="s">
        <v>10152</v>
      </c>
      <c r="I226" s="1" t="s">
        <v>10153</v>
      </c>
      <c r="M226" s="1" t="s">
        <v>4995</v>
      </c>
      <c r="O226" s="1" t="s">
        <v>10155</v>
      </c>
      <c r="P226" s="1" t="s">
        <v>10155</v>
      </c>
      <c r="Q226" s="1" t="s">
        <v>29</v>
      </c>
    </row>
    <row r="227" spans="1:17" ht="12.5" x14ac:dyDescent="0.25">
      <c r="A227" s="1" t="s">
        <v>152</v>
      </c>
      <c r="C227" s="1" t="s">
        <v>5386</v>
      </c>
      <c r="D227" s="1" t="s">
        <v>5387</v>
      </c>
      <c r="E227" s="1" t="s">
        <v>10162</v>
      </c>
      <c r="F227" s="1" t="s">
        <v>10516</v>
      </c>
      <c r="G227" s="1" t="s">
        <v>10517</v>
      </c>
      <c r="H227" s="1" t="s">
        <v>10486</v>
      </c>
      <c r="I227" s="1" t="s">
        <v>10486</v>
      </c>
      <c r="L227" s="1" t="s">
        <v>10197</v>
      </c>
      <c r="M227" s="1" t="s">
        <v>5388</v>
      </c>
      <c r="O227" s="1" t="s">
        <v>124</v>
      </c>
      <c r="P227" s="1" t="s">
        <v>10155</v>
      </c>
      <c r="Q227" s="1" t="s">
        <v>29</v>
      </c>
    </row>
    <row r="228" spans="1:17" ht="12.5" x14ac:dyDescent="0.25">
      <c r="A228" s="1" t="s">
        <v>152</v>
      </c>
      <c r="C228" s="1" t="s">
        <v>4989</v>
      </c>
      <c r="D228" s="1" t="s">
        <v>4990</v>
      </c>
      <c r="E228" s="1" t="s">
        <v>9928</v>
      </c>
      <c r="F228" s="1" t="s">
        <v>10518</v>
      </c>
      <c r="G228" s="1" t="s">
        <v>10519</v>
      </c>
      <c r="H228" s="1" t="s">
        <v>10152</v>
      </c>
      <c r="I228" s="1" t="s">
        <v>10153</v>
      </c>
      <c r="M228" s="1" t="s">
        <v>4991</v>
      </c>
      <c r="O228" s="1" t="s">
        <v>169</v>
      </c>
      <c r="P228" s="1" t="s">
        <v>10155</v>
      </c>
      <c r="Q228" s="1" t="s">
        <v>29</v>
      </c>
    </row>
    <row r="229" spans="1:17" ht="12.5" x14ac:dyDescent="0.25">
      <c r="A229" s="1" t="s">
        <v>152</v>
      </c>
      <c r="C229" s="1" t="s">
        <v>4984</v>
      </c>
      <c r="D229" s="1" t="s">
        <v>4985</v>
      </c>
      <c r="E229" s="1" t="s">
        <v>9928</v>
      </c>
      <c r="F229" s="1" t="s">
        <v>10518</v>
      </c>
      <c r="G229" s="1" t="s">
        <v>10519</v>
      </c>
      <c r="H229" s="1" t="s">
        <v>10152</v>
      </c>
      <c r="I229" s="1" t="s">
        <v>10153</v>
      </c>
      <c r="M229" s="1" t="s">
        <v>4986</v>
      </c>
      <c r="O229" s="1" t="s">
        <v>169</v>
      </c>
      <c r="P229" s="1" t="s">
        <v>10155</v>
      </c>
      <c r="Q229" s="1" t="s">
        <v>29</v>
      </c>
    </row>
    <row r="230" spans="1:17" ht="12.5" x14ac:dyDescent="0.25">
      <c r="A230" s="1" t="s">
        <v>152</v>
      </c>
      <c r="C230" s="1" t="s">
        <v>6828</v>
      </c>
      <c r="D230" s="1" t="s">
        <v>6829</v>
      </c>
      <c r="E230" s="1" t="s">
        <v>10156</v>
      </c>
      <c r="F230" s="1" t="s">
        <v>10156</v>
      </c>
      <c r="G230" s="1" t="s">
        <v>10520</v>
      </c>
      <c r="H230" s="1" t="s">
        <v>10152</v>
      </c>
      <c r="I230" s="1" t="s">
        <v>10153</v>
      </c>
      <c r="M230" s="1" t="s">
        <v>6830</v>
      </c>
      <c r="O230" s="1" t="s">
        <v>169</v>
      </c>
      <c r="P230" s="1" t="s">
        <v>10155</v>
      </c>
      <c r="Q230" s="1" t="s">
        <v>29</v>
      </c>
    </row>
    <row r="231" spans="1:17" ht="12.5" x14ac:dyDescent="0.25">
      <c r="A231" s="1" t="s">
        <v>152</v>
      </c>
      <c r="C231" s="1" t="s">
        <v>4978</v>
      </c>
      <c r="D231" s="1" t="s">
        <v>4979</v>
      </c>
      <c r="E231" s="1" t="s">
        <v>10156</v>
      </c>
      <c r="F231" s="1" t="s">
        <v>10156</v>
      </c>
      <c r="G231" s="1" t="s">
        <v>10521</v>
      </c>
      <c r="H231" s="1" t="s">
        <v>10183</v>
      </c>
      <c r="I231" s="1" t="s">
        <v>10183</v>
      </c>
      <c r="M231" s="1" t="s">
        <v>4980</v>
      </c>
      <c r="O231" s="1" t="s">
        <v>24</v>
      </c>
      <c r="P231" s="1" t="s">
        <v>10155</v>
      </c>
      <c r="Q231" s="1" t="s">
        <v>29</v>
      </c>
    </row>
    <row r="232" spans="1:17" ht="12.5" x14ac:dyDescent="0.25">
      <c r="A232" s="1" t="s">
        <v>152</v>
      </c>
      <c r="C232" s="1" t="s">
        <v>4974</v>
      </c>
      <c r="D232" s="1" t="s">
        <v>10522</v>
      </c>
      <c r="E232" s="1" t="s">
        <v>10156</v>
      </c>
      <c r="F232" s="1" t="s">
        <v>10156</v>
      </c>
      <c r="G232" s="1" t="s">
        <v>10523</v>
      </c>
      <c r="H232" s="1" t="s">
        <v>10183</v>
      </c>
      <c r="I232" s="1" t="s">
        <v>10183</v>
      </c>
      <c r="L232" s="1" t="s">
        <v>10197</v>
      </c>
      <c r="M232" s="1" t="s">
        <v>4975</v>
      </c>
      <c r="N232" s="1" t="s">
        <v>10524</v>
      </c>
      <c r="O232" s="1" t="s">
        <v>53</v>
      </c>
      <c r="P232" s="1" t="s">
        <v>53</v>
      </c>
      <c r="Q232" s="1" t="s">
        <v>29</v>
      </c>
    </row>
    <row r="233" spans="1:17" ht="12.5" x14ac:dyDescent="0.25">
      <c r="A233" s="1" t="s">
        <v>152</v>
      </c>
      <c r="C233" s="1" t="s">
        <v>4969</v>
      </c>
      <c r="D233" s="1" t="s">
        <v>10525</v>
      </c>
      <c r="E233" s="1" t="s">
        <v>10156</v>
      </c>
      <c r="F233" s="1" t="s">
        <v>10156</v>
      </c>
      <c r="G233" s="1" t="s">
        <v>10523</v>
      </c>
      <c r="H233" s="1" t="s">
        <v>10183</v>
      </c>
      <c r="I233" s="1" t="s">
        <v>10183</v>
      </c>
      <c r="M233" s="1" t="s">
        <v>4970</v>
      </c>
      <c r="N233" s="1" t="s">
        <v>10526</v>
      </c>
      <c r="O233" s="1" t="s">
        <v>53</v>
      </c>
      <c r="P233" s="1" t="s">
        <v>53</v>
      </c>
      <c r="Q233" s="1" t="s">
        <v>29</v>
      </c>
    </row>
    <row r="234" spans="1:17" ht="12.5" x14ac:dyDescent="0.25">
      <c r="A234" s="1" t="s">
        <v>152</v>
      </c>
      <c r="C234" s="1" t="s">
        <v>7124</v>
      </c>
      <c r="D234" s="1" t="s">
        <v>7125</v>
      </c>
      <c r="E234" s="1" t="s">
        <v>10162</v>
      </c>
      <c r="F234" s="1" t="s">
        <v>10162</v>
      </c>
      <c r="G234" s="1" t="s">
        <v>10527</v>
      </c>
      <c r="H234" s="1" t="s">
        <v>10152</v>
      </c>
      <c r="I234" s="1" t="s">
        <v>10153</v>
      </c>
      <c r="M234" s="1" t="s">
        <v>7122</v>
      </c>
      <c r="O234" s="1" t="s">
        <v>1059</v>
      </c>
      <c r="P234" s="1" t="s">
        <v>10155</v>
      </c>
      <c r="Q234" s="1" t="s">
        <v>29</v>
      </c>
    </row>
    <row r="235" spans="1:17" ht="12.5" x14ac:dyDescent="0.25">
      <c r="A235" s="1" t="s">
        <v>152</v>
      </c>
      <c r="C235" s="1" t="s">
        <v>10528</v>
      </c>
      <c r="D235" s="1" t="s">
        <v>10529</v>
      </c>
      <c r="E235" s="1" t="s">
        <v>10162</v>
      </c>
      <c r="F235" s="1" t="s">
        <v>10162</v>
      </c>
      <c r="G235" s="1" t="s">
        <v>10527</v>
      </c>
      <c r="H235" s="1" t="s">
        <v>10152</v>
      </c>
      <c r="I235" s="1" t="s">
        <v>10164</v>
      </c>
      <c r="L235" s="1" t="s">
        <v>10197</v>
      </c>
      <c r="O235" s="1" t="s">
        <v>10155</v>
      </c>
      <c r="P235" s="1" t="s">
        <v>10155</v>
      </c>
    </row>
    <row r="236" spans="1:17" ht="12.5" x14ac:dyDescent="0.25">
      <c r="A236" s="1" t="s">
        <v>152</v>
      </c>
      <c r="C236" s="1" t="s">
        <v>4966</v>
      </c>
      <c r="D236" s="1" t="s">
        <v>10530</v>
      </c>
      <c r="E236" s="1" t="s">
        <v>9928</v>
      </c>
      <c r="F236" s="1" t="s">
        <v>10531</v>
      </c>
      <c r="G236" s="1" t="s">
        <v>10532</v>
      </c>
      <c r="H236" s="1" t="s">
        <v>10183</v>
      </c>
      <c r="I236" s="1" t="s">
        <v>10183</v>
      </c>
      <c r="M236" s="1" t="s">
        <v>4967</v>
      </c>
      <c r="O236" s="1" t="s">
        <v>169</v>
      </c>
      <c r="P236" s="1" t="s">
        <v>124</v>
      </c>
      <c r="Q236" s="1" t="s">
        <v>29</v>
      </c>
    </row>
    <row r="237" spans="1:17" ht="12.5" x14ac:dyDescent="0.25">
      <c r="A237" s="1" t="s">
        <v>152</v>
      </c>
      <c r="C237" s="1" t="s">
        <v>4963</v>
      </c>
      <c r="D237" s="1" t="s">
        <v>10533</v>
      </c>
      <c r="E237" s="1" t="s">
        <v>9928</v>
      </c>
      <c r="F237" s="1" t="s">
        <v>10531</v>
      </c>
      <c r="G237" s="1" t="s">
        <v>10532</v>
      </c>
      <c r="H237" s="1" t="s">
        <v>10486</v>
      </c>
      <c r="I237" s="1" t="s">
        <v>10486</v>
      </c>
      <c r="M237" s="1" t="s">
        <v>4964</v>
      </c>
      <c r="O237" s="1" t="s">
        <v>169</v>
      </c>
      <c r="P237" s="1" t="s">
        <v>10155</v>
      </c>
      <c r="Q237" s="1" t="s">
        <v>29</v>
      </c>
    </row>
    <row r="238" spans="1:17" ht="12.5" x14ac:dyDescent="0.25">
      <c r="A238" s="1" t="s">
        <v>152</v>
      </c>
      <c r="C238" s="1" t="s">
        <v>4958</v>
      </c>
      <c r="D238" s="1" t="s">
        <v>10534</v>
      </c>
      <c r="E238" s="1" t="s">
        <v>9928</v>
      </c>
      <c r="F238" s="1" t="s">
        <v>10531</v>
      </c>
      <c r="G238" s="1" t="s">
        <v>10532</v>
      </c>
      <c r="H238" s="1" t="s">
        <v>10152</v>
      </c>
      <c r="I238" s="1" t="s">
        <v>10153</v>
      </c>
      <c r="M238" s="1" t="s">
        <v>4959</v>
      </c>
      <c r="N238" s="1" t="s">
        <v>10535</v>
      </c>
      <c r="O238" s="1" t="s">
        <v>169</v>
      </c>
      <c r="P238" s="1" t="s">
        <v>10155</v>
      </c>
      <c r="Q238" s="1" t="s">
        <v>29</v>
      </c>
    </row>
    <row r="239" spans="1:17" ht="12.5" x14ac:dyDescent="0.25">
      <c r="A239" s="1" t="s">
        <v>152</v>
      </c>
      <c r="C239" s="1" t="s">
        <v>4955</v>
      </c>
      <c r="D239" s="1" t="s">
        <v>10536</v>
      </c>
      <c r="E239" s="1" t="s">
        <v>9928</v>
      </c>
      <c r="F239" s="1" t="s">
        <v>10531</v>
      </c>
      <c r="G239" s="1" t="s">
        <v>10532</v>
      </c>
      <c r="H239" s="1" t="s">
        <v>10183</v>
      </c>
      <c r="I239" s="1" t="s">
        <v>10183</v>
      </c>
      <c r="M239" s="1" t="s">
        <v>4956</v>
      </c>
      <c r="O239" s="1" t="s">
        <v>59</v>
      </c>
      <c r="P239" s="1" t="s">
        <v>124</v>
      </c>
      <c r="Q239" s="1" t="s">
        <v>29</v>
      </c>
    </row>
    <row r="240" spans="1:17" ht="12.5" x14ac:dyDescent="0.25">
      <c r="A240" s="1" t="s">
        <v>152</v>
      </c>
      <c r="C240" s="1" t="s">
        <v>4952</v>
      </c>
      <c r="D240" s="1" t="s">
        <v>10537</v>
      </c>
      <c r="E240" s="1" t="s">
        <v>9928</v>
      </c>
      <c r="F240" s="1" t="s">
        <v>10531</v>
      </c>
      <c r="G240" s="1" t="s">
        <v>10532</v>
      </c>
      <c r="H240" s="1" t="s">
        <v>10160</v>
      </c>
      <c r="I240" s="1" t="s">
        <v>10160</v>
      </c>
      <c r="M240" s="1" t="s">
        <v>4953</v>
      </c>
      <c r="O240" s="1" t="s">
        <v>59</v>
      </c>
      <c r="P240" s="1" t="s">
        <v>10155</v>
      </c>
      <c r="Q240" s="1" t="s">
        <v>29</v>
      </c>
    </row>
    <row r="241" spans="1:17" ht="12.5" x14ac:dyDescent="0.25">
      <c r="A241" s="1" t="s">
        <v>152</v>
      </c>
      <c r="C241" s="1" t="s">
        <v>4947</v>
      </c>
      <c r="D241" s="1" t="s">
        <v>10538</v>
      </c>
      <c r="E241" s="1" t="s">
        <v>9928</v>
      </c>
      <c r="F241" s="1" t="s">
        <v>10531</v>
      </c>
      <c r="G241" s="1" t="s">
        <v>10532</v>
      </c>
      <c r="H241" s="1" t="s">
        <v>10152</v>
      </c>
      <c r="I241" s="1" t="s">
        <v>10153</v>
      </c>
      <c r="M241" s="1" t="s">
        <v>4948</v>
      </c>
      <c r="N241" s="1" t="s">
        <v>4950</v>
      </c>
      <c r="O241" s="1" t="s">
        <v>124</v>
      </c>
      <c r="P241" s="1" t="s">
        <v>10155</v>
      </c>
      <c r="Q241" s="1" t="s">
        <v>29</v>
      </c>
    </row>
    <row r="242" spans="1:17" ht="12.5" x14ac:dyDescent="0.25">
      <c r="A242" s="1" t="s">
        <v>152</v>
      </c>
      <c r="C242" s="1" t="s">
        <v>4942</v>
      </c>
      <c r="D242" s="1" t="s">
        <v>10539</v>
      </c>
      <c r="E242" s="1" t="s">
        <v>9928</v>
      </c>
      <c r="F242" s="1" t="s">
        <v>10531</v>
      </c>
      <c r="G242" s="1" t="s">
        <v>10532</v>
      </c>
      <c r="H242" s="1" t="s">
        <v>10152</v>
      </c>
      <c r="I242" s="1" t="s">
        <v>10153</v>
      </c>
      <c r="M242" s="1" t="s">
        <v>4943</v>
      </c>
      <c r="N242" s="1" t="s">
        <v>4945</v>
      </c>
      <c r="O242" s="1" t="s">
        <v>169</v>
      </c>
      <c r="P242" s="1" t="s">
        <v>10155</v>
      </c>
      <c r="Q242" s="1" t="s">
        <v>29</v>
      </c>
    </row>
    <row r="243" spans="1:17" ht="12.5" x14ac:dyDescent="0.25">
      <c r="A243" s="1" t="s">
        <v>152</v>
      </c>
      <c r="C243" s="1" t="s">
        <v>4939</v>
      </c>
      <c r="D243" s="1" t="s">
        <v>10540</v>
      </c>
      <c r="E243" s="1" t="s">
        <v>9928</v>
      </c>
      <c r="F243" s="1" t="s">
        <v>10531</v>
      </c>
      <c r="G243" s="1" t="s">
        <v>10532</v>
      </c>
      <c r="H243" s="1" t="s">
        <v>10183</v>
      </c>
      <c r="I243" s="1" t="s">
        <v>10183</v>
      </c>
      <c r="M243" s="1" t="s">
        <v>4940</v>
      </c>
      <c r="O243" s="1" t="s">
        <v>59</v>
      </c>
      <c r="P243" s="1" t="s">
        <v>169</v>
      </c>
      <c r="Q243" s="1" t="s">
        <v>29</v>
      </c>
    </row>
    <row r="244" spans="1:17" ht="12.5" x14ac:dyDescent="0.25">
      <c r="A244" s="1" t="s">
        <v>152</v>
      </c>
      <c r="C244" s="1" t="s">
        <v>4935</v>
      </c>
      <c r="D244" s="1" t="s">
        <v>10541</v>
      </c>
      <c r="E244" s="1" t="s">
        <v>9928</v>
      </c>
      <c r="F244" s="1" t="s">
        <v>10531</v>
      </c>
      <c r="G244" s="1" t="s">
        <v>10532</v>
      </c>
      <c r="H244" s="1" t="s">
        <v>10152</v>
      </c>
      <c r="I244" s="1" t="s">
        <v>10153</v>
      </c>
      <c r="M244" s="1" t="s">
        <v>4936</v>
      </c>
      <c r="N244" s="1" t="s">
        <v>4937</v>
      </c>
      <c r="O244" s="1" t="s">
        <v>169</v>
      </c>
      <c r="P244" s="1" t="s">
        <v>10155</v>
      </c>
      <c r="Q244" s="1" t="s">
        <v>29</v>
      </c>
    </row>
    <row r="245" spans="1:17" ht="12.5" x14ac:dyDescent="0.25">
      <c r="A245" s="1" t="s">
        <v>152</v>
      </c>
      <c r="C245" s="1" t="s">
        <v>4932</v>
      </c>
      <c r="D245" s="1" t="s">
        <v>10542</v>
      </c>
      <c r="E245" s="1" t="s">
        <v>9928</v>
      </c>
      <c r="F245" s="1" t="s">
        <v>10531</v>
      </c>
      <c r="G245" s="1" t="s">
        <v>10532</v>
      </c>
      <c r="H245" s="1" t="s">
        <v>10160</v>
      </c>
      <c r="I245" s="1" t="s">
        <v>10160</v>
      </c>
      <c r="M245" s="1" t="s">
        <v>4933</v>
      </c>
      <c r="O245" s="1" t="s">
        <v>169</v>
      </c>
      <c r="P245" s="1" t="s">
        <v>10155</v>
      </c>
      <c r="Q245" s="1" t="s">
        <v>29</v>
      </c>
    </row>
    <row r="246" spans="1:17" ht="12.5" x14ac:dyDescent="0.25">
      <c r="A246" s="1" t="s">
        <v>152</v>
      </c>
      <c r="C246" s="1" t="s">
        <v>4929</v>
      </c>
      <c r="D246" s="1" t="s">
        <v>10543</v>
      </c>
      <c r="E246" s="1" t="s">
        <v>9928</v>
      </c>
      <c r="F246" s="1" t="s">
        <v>10531</v>
      </c>
      <c r="G246" s="1" t="s">
        <v>10532</v>
      </c>
      <c r="H246" s="1" t="s">
        <v>10183</v>
      </c>
      <c r="I246" s="1" t="s">
        <v>10183</v>
      </c>
      <c r="M246" s="1" t="s">
        <v>5454</v>
      </c>
      <c r="N246" s="1" t="s">
        <v>5456</v>
      </c>
      <c r="O246" s="1" t="s">
        <v>10155</v>
      </c>
      <c r="P246" s="1" t="s">
        <v>59</v>
      </c>
      <c r="Q246" s="1" t="s">
        <v>29</v>
      </c>
    </row>
    <row r="247" spans="1:17" ht="12.5" x14ac:dyDescent="0.25">
      <c r="A247" s="1" t="s">
        <v>152</v>
      </c>
      <c r="C247" s="1" t="s">
        <v>4925</v>
      </c>
      <c r="D247" s="1" t="s">
        <v>10544</v>
      </c>
      <c r="E247" s="1" t="s">
        <v>9928</v>
      </c>
      <c r="F247" s="1" t="s">
        <v>10531</v>
      </c>
      <c r="G247" s="1" t="s">
        <v>10532</v>
      </c>
      <c r="H247" s="1" t="s">
        <v>10152</v>
      </c>
      <c r="I247" s="1" t="s">
        <v>10153</v>
      </c>
      <c r="M247" s="1" t="s">
        <v>4926</v>
      </c>
      <c r="N247" s="1" t="s">
        <v>4928</v>
      </c>
      <c r="O247" s="1" t="s">
        <v>169</v>
      </c>
      <c r="P247" s="1" t="s">
        <v>10155</v>
      </c>
      <c r="Q247" s="1" t="s">
        <v>29</v>
      </c>
    </row>
    <row r="248" spans="1:17" ht="12.5" x14ac:dyDescent="0.25">
      <c r="A248" s="1" t="s">
        <v>152</v>
      </c>
      <c r="C248" s="1" t="s">
        <v>4920</v>
      </c>
      <c r="D248" s="1" t="s">
        <v>4921</v>
      </c>
      <c r="E248" s="1" t="s">
        <v>9929</v>
      </c>
      <c r="F248" s="1" t="s">
        <v>10545</v>
      </c>
      <c r="G248" s="1" t="s">
        <v>10546</v>
      </c>
      <c r="H248" s="1" t="s">
        <v>10152</v>
      </c>
      <c r="I248" s="1" t="s">
        <v>10153</v>
      </c>
      <c r="L248" s="1" t="s">
        <v>10197</v>
      </c>
      <c r="M248" s="1" t="s">
        <v>4922</v>
      </c>
      <c r="N248" s="1" t="s">
        <v>10547</v>
      </c>
      <c r="O248" s="1" t="s">
        <v>124</v>
      </c>
      <c r="P248" s="1" t="s">
        <v>10155</v>
      </c>
      <c r="Q248" s="1" t="s">
        <v>29</v>
      </c>
    </row>
    <row r="249" spans="1:17" ht="12.5" x14ac:dyDescent="0.25">
      <c r="A249" s="1" t="s">
        <v>152</v>
      </c>
      <c r="C249" s="1" t="s">
        <v>10548</v>
      </c>
      <c r="D249" s="1" t="s">
        <v>10549</v>
      </c>
      <c r="E249" s="1" t="s">
        <v>10156</v>
      </c>
      <c r="F249" s="1" t="s">
        <v>10156</v>
      </c>
      <c r="G249" s="1" t="s">
        <v>10550</v>
      </c>
      <c r="H249" s="1" t="s">
        <v>10176</v>
      </c>
      <c r="I249" s="1" t="s">
        <v>10176</v>
      </c>
      <c r="J249" s="1" t="s">
        <v>10177</v>
      </c>
      <c r="K249" s="1" t="s">
        <v>10177</v>
      </c>
      <c r="O249" s="1" t="s">
        <v>10155</v>
      </c>
      <c r="P249" s="1" t="s">
        <v>10155</v>
      </c>
    </row>
    <row r="250" spans="1:17" ht="12.5" x14ac:dyDescent="0.25">
      <c r="A250" s="1" t="s">
        <v>152</v>
      </c>
      <c r="C250" s="1" t="s">
        <v>10551</v>
      </c>
      <c r="D250" s="1" t="s">
        <v>10552</v>
      </c>
      <c r="E250" s="1" t="s">
        <v>10156</v>
      </c>
      <c r="F250" s="1" t="s">
        <v>10156</v>
      </c>
      <c r="G250" s="1" t="s">
        <v>10159</v>
      </c>
      <c r="H250" s="1" t="s">
        <v>10176</v>
      </c>
      <c r="I250" s="1" t="s">
        <v>10176</v>
      </c>
      <c r="J250" s="1" t="s">
        <v>10293</v>
      </c>
      <c r="K250" s="1" t="s">
        <v>10293</v>
      </c>
      <c r="O250" s="1" t="s">
        <v>10155</v>
      </c>
      <c r="P250" s="1" t="s">
        <v>10155</v>
      </c>
    </row>
    <row r="251" spans="1:17" ht="12.5" x14ac:dyDescent="0.25">
      <c r="A251" s="1" t="s">
        <v>152</v>
      </c>
      <c r="C251" s="1" t="s">
        <v>8058</v>
      </c>
      <c r="D251" s="1" t="s">
        <v>8059</v>
      </c>
      <c r="E251" s="1" t="s">
        <v>10162</v>
      </c>
      <c r="F251" s="1" t="s">
        <v>10553</v>
      </c>
      <c r="G251" s="1" t="s">
        <v>10553</v>
      </c>
      <c r="H251" s="1" t="s">
        <v>10183</v>
      </c>
      <c r="I251" s="1" t="s">
        <v>10183</v>
      </c>
      <c r="M251" s="1" t="s">
        <v>8060</v>
      </c>
      <c r="O251" s="1" t="s">
        <v>33</v>
      </c>
      <c r="P251" s="1" t="s">
        <v>24</v>
      </c>
      <c r="Q251" s="1" t="s">
        <v>29</v>
      </c>
    </row>
    <row r="252" spans="1:17" ht="12.5" x14ac:dyDescent="0.25">
      <c r="A252" s="1" t="s">
        <v>152</v>
      </c>
      <c r="C252" s="1" t="s">
        <v>4914</v>
      </c>
      <c r="D252" s="1" t="s">
        <v>4915</v>
      </c>
      <c r="E252" s="1" t="s">
        <v>10162</v>
      </c>
      <c r="F252" s="1" t="s">
        <v>10516</v>
      </c>
      <c r="G252" s="1" t="s">
        <v>10554</v>
      </c>
      <c r="H252" s="1" t="s">
        <v>10152</v>
      </c>
      <c r="I252" s="1" t="s">
        <v>10153</v>
      </c>
      <c r="M252" s="1" t="s">
        <v>4916</v>
      </c>
      <c r="N252" s="1" t="s">
        <v>10555</v>
      </c>
      <c r="O252" s="1" t="s">
        <v>10155</v>
      </c>
      <c r="P252" s="1" t="s">
        <v>10155</v>
      </c>
      <c r="Q252" s="1" t="s">
        <v>29</v>
      </c>
    </row>
    <row r="253" spans="1:17" ht="12.5" x14ac:dyDescent="0.25">
      <c r="A253" s="1" t="s">
        <v>152</v>
      </c>
      <c r="C253" s="1" t="s">
        <v>4909</v>
      </c>
      <c r="D253" s="1" t="s">
        <v>4910</v>
      </c>
      <c r="E253" s="1" t="s">
        <v>10162</v>
      </c>
      <c r="F253" s="1" t="s">
        <v>10516</v>
      </c>
      <c r="G253" s="1" t="s">
        <v>10554</v>
      </c>
      <c r="H253" s="1" t="s">
        <v>10172</v>
      </c>
      <c r="I253" s="1" t="s">
        <v>10172</v>
      </c>
      <c r="J253" s="1" t="s">
        <v>10193</v>
      </c>
      <c r="K253" s="1" t="s">
        <v>10173</v>
      </c>
      <c r="L253" s="1" t="s">
        <v>10434</v>
      </c>
      <c r="M253" s="1" t="s">
        <v>4911</v>
      </c>
      <c r="O253" s="1" t="s">
        <v>10155</v>
      </c>
      <c r="P253" s="1" t="s">
        <v>10155</v>
      </c>
      <c r="Q253" s="1" t="s">
        <v>29</v>
      </c>
    </row>
    <row r="254" spans="1:17" ht="12.5" x14ac:dyDescent="0.25">
      <c r="A254" s="1" t="s">
        <v>152</v>
      </c>
      <c r="C254" s="1" t="s">
        <v>6873</v>
      </c>
      <c r="D254" s="1" t="s">
        <v>6874</v>
      </c>
      <c r="E254" s="1" t="s">
        <v>10162</v>
      </c>
      <c r="F254" s="1" t="s">
        <v>10516</v>
      </c>
      <c r="G254" s="1" t="s">
        <v>10556</v>
      </c>
      <c r="H254" s="1" t="s">
        <v>10152</v>
      </c>
      <c r="I254" s="1" t="s">
        <v>10153</v>
      </c>
      <c r="M254" s="1" t="s">
        <v>6875</v>
      </c>
      <c r="N254" s="1" t="s">
        <v>3132</v>
      </c>
      <c r="O254" s="1" t="s">
        <v>124</v>
      </c>
      <c r="P254" s="1" t="s">
        <v>10155</v>
      </c>
      <c r="Q254" s="1" t="s">
        <v>29</v>
      </c>
    </row>
    <row r="255" spans="1:17" ht="12.5" x14ac:dyDescent="0.25">
      <c r="A255" s="1" t="s">
        <v>152</v>
      </c>
      <c r="C255" s="1" t="s">
        <v>4904</v>
      </c>
      <c r="D255" s="1" t="s">
        <v>4905</v>
      </c>
      <c r="E255" s="1" t="s">
        <v>9928</v>
      </c>
      <c r="F255" s="1" t="s">
        <v>10531</v>
      </c>
      <c r="G255" s="1" t="s">
        <v>10557</v>
      </c>
      <c r="H255" s="1" t="s">
        <v>10176</v>
      </c>
      <c r="I255" s="1" t="s">
        <v>10176</v>
      </c>
      <c r="J255" s="1" t="s">
        <v>10558</v>
      </c>
      <c r="K255" s="1" t="s">
        <v>10558</v>
      </c>
      <c r="M255" s="1" t="s">
        <v>4906</v>
      </c>
      <c r="O255" s="1" t="s">
        <v>59</v>
      </c>
      <c r="P255" s="1" t="s">
        <v>10155</v>
      </c>
      <c r="Q255" s="1" t="s">
        <v>29</v>
      </c>
    </row>
    <row r="256" spans="1:17" ht="12.5" x14ac:dyDescent="0.25">
      <c r="A256" s="1" t="s">
        <v>152</v>
      </c>
      <c r="C256" s="1" t="s">
        <v>4899</v>
      </c>
      <c r="D256" s="1" t="s">
        <v>4900</v>
      </c>
      <c r="E256" s="1" t="s">
        <v>10156</v>
      </c>
      <c r="F256" s="1" t="s">
        <v>10156</v>
      </c>
      <c r="G256" s="1" t="s">
        <v>10559</v>
      </c>
      <c r="H256" s="1" t="s">
        <v>10152</v>
      </c>
      <c r="I256" s="1" t="s">
        <v>10153</v>
      </c>
      <c r="M256" s="1" t="s">
        <v>7287</v>
      </c>
      <c r="O256" s="1" t="s">
        <v>10155</v>
      </c>
      <c r="P256" s="1" t="s">
        <v>10155</v>
      </c>
      <c r="Q256" s="1" t="s">
        <v>29</v>
      </c>
    </row>
    <row r="257" spans="1:17" ht="12.5" x14ac:dyDescent="0.25">
      <c r="A257" s="1" t="s">
        <v>152</v>
      </c>
      <c r="C257" s="1" t="s">
        <v>4899</v>
      </c>
      <c r="D257" s="1" t="s">
        <v>4900</v>
      </c>
      <c r="E257" s="1" t="s">
        <v>10156</v>
      </c>
      <c r="F257" s="1" t="s">
        <v>10156</v>
      </c>
      <c r="G257" s="1" t="s">
        <v>10559</v>
      </c>
      <c r="H257" s="1" t="s">
        <v>10152</v>
      </c>
      <c r="I257" s="1" t="s">
        <v>10153</v>
      </c>
      <c r="M257" s="1" t="s">
        <v>4901</v>
      </c>
      <c r="O257" s="1" t="s">
        <v>10155</v>
      </c>
      <c r="P257" s="1" t="s">
        <v>10155</v>
      </c>
      <c r="Q257" s="1" t="s">
        <v>29</v>
      </c>
    </row>
    <row r="258" spans="1:17" ht="12.5" x14ac:dyDescent="0.25">
      <c r="A258" s="1" t="s">
        <v>152</v>
      </c>
      <c r="C258" s="1" t="s">
        <v>4894</v>
      </c>
      <c r="D258" s="1" t="s">
        <v>4895</v>
      </c>
      <c r="E258" s="1" t="s">
        <v>10162</v>
      </c>
      <c r="F258" s="1" t="s">
        <v>10553</v>
      </c>
      <c r="G258" s="1" t="s">
        <v>10560</v>
      </c>
      <c r="H258" s="1" t="s">
        <v>10172</v>
      </c>
      <c r="I258" s="1" t="s">
        <v>10172</v>
      </c>
      <c r="J258" s="1" t="s">
        <v>10193</v>
      </c>
      <c r="K258" s="1" t="s">
        <v>10440</v>
      </c>
      <c r="L258" s="1" t="s">
        <v>10434</v>
      </c>
      <c r="M258" s="1" t="s">
        <v>4896</v>
      </c>
      <c r="O258" s="1" t="s">
        <v>10155</v>
      </c>
      <c r="P258" s="1" t="s">
        <v>10155</v>
      </c>
      <c r="Q258" s="1" t="s">
        <v>29</v>
      </c>
    </row>
    <row r="259" spans="1:17" ht="12.5" x14ac:dyDescent="0.25">
      <c r="A259" s="1" t="s">
        <v>152</v>
      </c>
      <c r="C259" s="1" t="s">
        <v>4889</v>
      </c>
      <c r="D259" s="1" t="s">
        <v>4890</v>
      </c>
      <c r="E259" s="1" t="s">
        <v>10162</v>
      </c>
      <c r="F259" s="1" t="s">
        <v>10553</v>
      </c>
      <c r="G259" s="1" t="s">
        <v>10560</v>
      </c>
      <c r="H259" s="1" t="s">
        <v>10172</v>
      </c>
      <c r="I259" s="1" t="s">
        <v>10172</v>
      </c>
      <c r="J259" s="1" t="s">
        <v>10193</v>
      </c>
      <c r="K259" s="1" t="s">
        <v>10193</v>
      </c>
      <c r="L259" s="1" t="s">
        <v>10434</v>
      </c>
      <c r="M259" s="1" t="s">
        <v>4891</v>
      </c>
      <c r="O259" s="1" t="s">
        <v>10155</v>
      </c>
      <c r="P259" s="1" t="s">
        <v>10155</v>
      </c>
      <c r="Q259" s="1" t="s">
        <v>29</v>
      </c>
    </row>
    <row r="260" spans="1:17" ht="12.5" x14ac:dyDescent="0.25">
      <c r="A260" s="1" t="s">
        <v>152</v>
      </c>
      <c r="C260" s="1" t="s">
        <v>4884</v>
      </c>
      <c r="D260" s="1" t="s">
        <v>10561</v>
      </c>
      <c r="E260" s="1" t="s">
        <v>10156</v>
      </c>
      <c r="F260" s="1" t="s">
        <v>10156</v>
      </c>
      <c r="G260" s="1" t="s">
        <v>10562</v>
      </c>
      <c r="H260" s="1" t="s">
        <v>10152</v>
      </c>
      <c r="I260" s="1" t="s">
        <v>10153</v>
      </c>
      <c r="L260" s="1" t="s">
        <v>10197</v>
      </c>
      <c r="M260" s="1" t="s">
        <v>4885</v>
      </c>
      <c r="N260" s="1" t="s">
        <v>4887</v>
      </c>
      <c r="O260" s="1" t="s">
        <v>169</v>
      </c>
      <c r="P260" s="1" t="s">
        <v>10155</v>
      </c>
      <c r="Q260" s="1" t="s">
        <v>29</v>
      </c>
    </row>
    <row r="261" spans="1:17" ht="12.5" x14ac:dyDescent="0.25">
      <c r="A261" s="1" t="s">
        <v>152</v>
      </c>
      <c r="C261" s="1" t="s">
        <v>4878</v>
      </c>
      <c r="D261" s="1" t="s">
        <v>4879</v>
      </c>
      <c r="E261" s="1" t="s">
        <v>9928</v>
      </c>
      <c r="F261" s="1" t="s">
        <v>10563</v>
      </c>
      <c r="G261" s="1" t="s">
        <v>10564</v>
      </c>
      <c r="H261" s="1" t="s">
        <v>10183</v>
      </c>
      <c r="I261" s="1" t="s">
        <v>10183</v>
      </c>
      <c r="M261" s="1" t="s">
        <v>4880</v>
      </c>
      <c r="N261" s="1" t="s">
        <v>4882</v>
      </c>
      <c r="O261" s="1" t="s">
        <v>53</v>
      </c>
      <c r="P261" s="1" t="s">
        <v>53</v>
      </c>
      <c r="Q261" s="1" t="s">
        <v>29</v>
      </c>
    </row>
    <row r="262" spans="1:17" ht="12.5" x14ac:dyDescent="0.25">
      <c r="A262" s="1" t="s">
        <v>152</v>
      </c>
      <c r="C262" s="1" t="s">
        <v>4874</v>
      </c>
      <c r="D262" s="1" t="s">
        <v>4875</v>
      </c>
      <c r="E262" s="1" t="s">
        <v>9928</v>
      </c>
      <c r="F262" s="1" t="s">
        <v>10563</v>
      </c>
      <c r="G262" s="1" t="s">
        <v>10564</v>
      </c>
      <c r="H262" s="1" t="s">
        <v>10152</v>
      </c>
      <c r="I262" s="1" t="s">
        <v>10153</v>
      </c>
      <c r="M262" s="1" t="s">
        <v>4876</v>
      </c>
      <c r="O262" s="1" t="s">
        <v>157</v>
      </c>
      <c r="P262" s="1" t="s">
        <v>10155</v>
      </c>
      <c r="Q262" s="1" t="s">
        <v>29</v>
      </c>
    </row>
    <row r="263" spans="1:17" ht="12.5" x14ac:dyDescent="0.25">
      <c r="A263" s="1" t="s">
        <v>152</v>
      </c>
      <c r="C263" s="1" t="s">
        <v>4869</v>
      </c>
      <c r="D263" s="1" t="s">
        <v>4870</v>
      </c>
      <c r="E263" s="1" t="s">
        <v>9928</v>
      </c>
      <c r="F263" s="1" t="s">
        <v>10563</v>
      </c>
      <c r="G263" s="1" t="s">
        <v>10564</v>
      </c>
      <c r="H263" s="1" t="s">
        <v>10152</v>
      </c>
      <c r="I263" s="1" t="s">
        <v>10153</v>
      </c>
      <c r="M263" s="1" t="s">
        <v>4871</v>
      </c>
      <c r="O263" s="1" t="s">
        <v>292</v>
      </c>
      <c r="P263" s="1" t="s">
        <v>10155</v>
      </c>
      <c r="Q263" s="1" t="s">
        <v>29</v>
      </c>
    </row>
    <row r="264" spans="1:17" ht="12.5" x14ac:dyDescent="0.25">
      <c r="A264" s="1" t="s">
        <v>152</v>
      </c>
      <c r="C264" s="1" t="s">
        <v>4864</v>
      </c>
      <c r="D264" s="1" t="s">
        <v>4865</v>
      </c>
      <c r="E264" s="1" t="s">
        <v>9928</v>
      </c>
      <c r="F264" s="1" t="s">
        <v>10565</v>
      </c>
      <c r="G264" s="1" t="s">
        <v>10566</v>
      </c>
      <c r="H264" s="1" t="s">
        <v>10183</v>
      </c>
      <c r="I264" s="1" t="s">
        <v>10183</v>
      </c>
      <c r="M264" s="1" t="s">
        <v>4866</v>
      </c>
      <c r="O264" s="1" t="s">
        <v>59</v>
      </c>
      <c r="P264" s="1" t="s">
        <v>124</v>
      </c>
      <c r="Q264" s="1" t="s">
        <v>29</v>
      </c>
    </row>
    <row r="265" spans="1:17" ht="12.5" x14ac:dyDescent="0.25">
      <c r="A265" s="1" t="s">
        <v>152</v>
      </c>
      <c r="C265" s="1" t="s">
        <v>4860</v>
      </c>
      <c r="D265" s="1" t="s">
        <v>4861</v>
      </c>
      <c r="E265" s="1" t="s">
        <v>10156</v>
      </c>
      <c r="F265" s="1" t="s">
        <v>10156</v>
      </c>
      <c r="G265" s="1" t="s">
        <v>10567</v>
      </c>
      <c r="H265" s="1" t="s">
        <v>10152</v>
      </c>
      <c r="I265" s="1" t="s">
        <v>10153</v>
      </c>
      <c r="M265" s="1" t="s">
        <v>6857</v>
      </c>
      <c r="N265" s="1" t="s">
        <v>6859</v>
      </c>
      <c r="O265" s="1" t="s">
        <v>292</v>
      </c>
      <c r="P265" s="1" t="s">
        <v>10155</v>
      </c>
      <c r="Q265" s="1" t="s">
        <v>29</v>
      </c>
    </row>
    <row r="266" spans="1:17" ht="12.5" x14ac:dyDescent="0.25">
      <c r="A266" s="1" t="s">
        <v>152</v>
      </c>
      <c r="C266" s="1" t="s">
        <v>4860</v>
      </c>
      <c r="D266" s="1" t="s">
        <v>4861</v>
      </c>
      <c r="E266" s="1" t="s">
        <v>10156</v>
      </c>
      <c r="F266" s="1" t="s">
        <v>10156</v>
      </c>
      <c r="G266" s="1" t="s">
        <v>10567</v>
      </c>
      <c r="H266" s="1" t="s">
        <v>10152</v>
      </c>
      <c r="I266" s="1" t="s">
        <v>10153</v>
      </c>
      <c r="M266" s="1" t="s">
        <v>4862</v>
      </c>
      <c r="N266" s="1" t="s">
        <v>4863</v>
      </c>
      <c r="O266" s="1" t="s">
        <v>10155</v>
      </c>
      <c r="P266" s="1" t="s">
        <v>10155</v>
      </c>
      <c r="Q266" s="1" t="s">
        <v>29</v>
      </c>
    </row>
    <row r="267" spans="1:17" ht="12.5" x14ac:dyDescent="0.25">
      <c r="A267" s="1" t="s">
        <v>152</v>
      </c>
      <c r="C267" s="1" t="s">
        <v>6750</v>
      </c>
      <c r="D267" s="1" t="s">
        <v>6751</v>
      </c>
      <c r="E267" s="1" t="s">
        <v>10156</v>
      </c>
      <c r="F267" s="1" t="s">
        <v>10156</v>
      </c>
      <c r="G267" s="1" t="s">
        <v>10567</v>
      </c>
      <c r="H267" s="1" t="s">
        <v>10152</v>
      </c>
      <c r="I267" s="1" t="s">
        <v>10153</v>
      </c>
      <c r="M267" s="1" t="s">
        <v>6752</v>
      </c>
      <c r="N267" s="1" t="s">
        <v>6754</v>
      </c>
      <c r="O267" s="1" t="s">
        <v>169</v>
      </c>
      <c r="P267" s="1" t="s">
        <v>10155</v>
      </c>
      <c r="Q267" s="1" t="s">
        <v>29</v>
      </c>
    </row>
    <row r="268" spans="1:17" ht="12.5" x14ac:dyDescent="0.25">
      <c r="A268" s="1" t="s">
        <v>152</v>
      </c>
      <c r="C268" s="1" t="s">
        <v>8934</v>
      </c>
      <c r="D268" s="1" t="s">
        <v>8935</v>
      </c>
      <c r="E268" s="1" t="s">
        <v>10156</v>
      </c>
      <c r="F268" s="1" t="s">
        <v>10156</v>
      </c>
      <c r="G268" s="1" t="s">
        <v>10567</v>
      </c>
      <c r="H268" s="1" t="s">
        <v>10152</v>
      </c>
      <c r="I268" s="1" t="s">
        <v>10164</v>
      </c>
      <c r="M268" s="1" t="s">
        <v>8936</v>
      </c>
      <c r="O268" s="1" t="s">
        <v>169</v>
      </c>
      <c r="P268" s="1" t="s">
        <v>10155</v>
      </c>
      <c r="Q268" s="1" t="s">
        <v>29</v>
      </c>
    </row>
    <row r="269" spans="1:17" ht="12.5" x14ac:dyDescent="0.25">
      <c r="A269" s="1" t="s">
        <v>152</v>
      </c>
      <c r="C269" s="1" t="s">
        <v>8938</v>
      </c>
      <c r="D269" s="1" t="s">
        <v>8939</v>
      </c>
      <c r="E269" s="1" t="s">
        <v>10156</v>
      </c>
      <c r="F269" s="1" t="s">
        <v>10156</v>
      </c>
      <c r="G269" s="1" t="s">
        <v>10567</v>
      </c>
      <c r="H269" s="1" t="s">
        <v>10152</v>
      </c>
      <c r="I269" s="1" t="s">
        <v>10164</v>
      </c>
      <c r="M269" s="1" t="s">
        <v>8940</v>
      </c>
      <c r="O269" s="1" t="s">
        <v>169</v>
      </c>
      <c r="P269" s="1" t="s">
        <v>10155</v>
      </c>
      <c r="Q269" s="1" t="s">
        <v>29</v>
      </c>
    </row>
    <row r="270" spans="1:17" ht="12.5" x14ac:dyDescent="0.25">
      <c r="A270" s="1" t="s">
        <v>152</v>
      </c>
      <c r="C270" s="1" t="s">
        <v>8942</v>
      </c>
      <c r="D270" s="1" t="s">
        <v>8943</v>
      </c>
      <c r="E270" s="1" t="s">
        <v>10156</v>
      </c>
      <c r="F270" s="1" t="s">
        <v>10156</v>
      </c>
      <c r="G270" s="1" t="s">
        <v>10567</v>
      </c>
      <c r="H270" s="1" t="s">
        <v>10152</v>
      </c>
      <c r="I270" s="1" t="s">
        <v>10164</v>
      </c>
      <c r="M270" s="1" t="s">
        <v>8944</v>
      </c>
      <c r="O270" s="1" t="s">
        <v>169</v>
      </c>
      <c r="P270" s="1" t="s">
        <v>10155</v>
      </c>
      <c r="Q270" s="1" t="s">
        <v>29</v>
      </c>
    </row>
    <row r="271" spans="1:17" ht="12.5" x14ac:dyDescent="0.25">
      <c r="A271" s="1" t="s">
        <v>152</v>
      </c>
      <c r="C271" s="1" t="s">
        <v>4855</v>
      </c>
      <c r="D271" s="1" t="s">
        <v>4856</v>
      </c>
      <c r="E271" s="1" t="s">
        <v>9928</v>
      </c>
      <c r="F271" s="1" t="s">
        <v>10531</v>
      </c>
      <c r="G271" s="1" t="s">
        <v>10568</v>
      </c>
      <c r="H271" s="1" t="s">
        <v>10160</v>
      </c>
      <c r="I271" s="1" t="s">
        <v>10160</v>
      </c>
      <c r="M271" s="1" t="s">
        <v>4857</v>
      </c>
      <c r="O271" s="1" t="s">
        <v>169</v>
      </c>
      <c r="P271" s="1" t="s">
        <v>10155</v>
      </c>
      <c r="Q271" s="1" t="s">
        <v>29</v>
      </c>
    </row>
    <row r="272" spans="1:17" ht="12.5" x14ac:dyDescent="0.25">
      <c r="A272" s="1" t="s">
        <v>152</v>
      </c>
      <c r="C272" s="1" t="s">
        <v>4849</v>
      </c>
      <c r="D272" s="1" t="s">
        <v>4850</v>
      </c>
      <c r="E272" s="1" t="s">
        <v>9928</v>
      </c>
      <c r="F272" s="1" t="s">
        <v>10531</v>
      </c>
      <c r="G272" s="1" t="s">
        <v>10568</v>
      </c>
      <c r="H272" s="1" t="s">
        <v>10183</v>
      </c>
      <c r="I272" s="1" t="s">
        <v>10183</v>
      </c>
      <c r="M272" s="1" t="s">
        <v>4851</v>
      </c>
      <c r="N272" s="1" t="s">
        <v>4853</v>
      </c>
      <c r="O272" s="1" t="s">
        <v>124</v>
      </c>
      <c r="P272" s="1" t="s">
        <v>124</v>
      </c>
      <c r="Q272" s="1" t="s">
        <v>29</v>
      </c>
    </row>
    <row r="273" spans="1:17" ht="12.5" x14ac:dyDescent="0.25">
      <c r="A273" s="1" t="s">
        <v>152</v>
      </c>
      <c r="C273" s="1" t="s">
        <v>4846</v>
      </c>
      <c r="D273" s="1" t="s">
        <v>10569</v>
      </c>
      <c r="E273" s="1" t="s">
        <v>10162</v>
      </c>
      <c r="F273" s="1" t="s">
        <v>10162</v>
      </c>
      <c r="G273" s="1" t="s">
        <v>10162</v>
      </c>
      <c r="H273" s="1" t="s">
        <v>10172</v>
      </c>
      <c r="I273" s="1" t="s">
        <v>10172</v>
      </c>
      <c r="J273" s="1" t="s">
        <v>10193</v>
      </c>
      <c r="K273" s="1" t="s">
        <v>10173</v>
      </c>
      <c r="L273" s="1" t="s">
        <v>10434</v>
      </c>
      <c r="M273" s="1" t="s">
        <v>4847</v>
      </c>
      <c r="O273" s="1" t="s">
        <v>10155</v>
      </c>
      <c r="P273" s="1" t="s">
        <v>10155</v>
      </c>
      <c r="Q273" s="1" t="s">
        <v>29</v>
      </c>
    </row>
    <row r="274" spans="1:17" ht="12.5" x14ac:dyDescent="0.25">
      <c r="A274" s="1" t="s">
        <v>152</v>
      </c>
      <c r="C274" s="1" t="s">
        <v>10570</v>
      </c>
      <c r="D274" s="1" t="s">
        <v>10571</v>
      </c>
      <c r="E274" s="1" t="s">
        <v>10162</v>
      </c>
      <c r="F274" s="1" t="s">
        <v>10162</v>
      </c>
      <c r="G274" s="1" t="s">
        <v>10162</v>
      </c>
      <c r="H274" s="1" t="s">
        <v>10152</v>
      </c>
      <c r="I274" s="1" t="s">
        <v>10164</v>
      </c>
      <c r="O274" s="1" t="s">
        <v>10155</v>
      </c>
      <c r="P274" s="1" t="s">
        <v>10155</v>
      </c>
    </row>
    <row r="275" spans="1:17" ht="12.5" x14ac:dyDescent="0.25">
      <c r="A275" s="1" t="s">
        <v>152</v>
      </c>
      <c r="C275" s="1" t="s">
        <v>1214</v>
      </c>
      <c r="D275" s="1" t="s">
        <v>10572</v>
      </c>
      <c r="E275" s="1" t="s">
        <v>10162</v>
      </c>
      <c r="F275" s="1" t="s">
        <v>10162</v>
      </c>
      <c r="G275" s="1" t="s">
        <v>10162</v>
      </c>
      <c r="H275" s="1" t="s">
        <v>10172</v>
      </c>
      <c r="I275" s="1" t="s">
        <v>10172</v>
      </c>
      <c r="J275" s="1" t="s">
        <v>10193</v>
      </c>
      <c r="K275" s="1" t="s">
        <v>10573</v>
      </c>
      <c r="L275" s="1" t="s">
        <v>10434</v>
      </c>
      <c r="M275" s="1" t="s">
        <v>1212</v>
      </c>
      <c r="N275" s="1" t="s">
        <v>1209</v>
      </c>
      <c r="O275" s="1" t="s">
        <v>10155</v>
      </c>
      <c r="P275" s="1" t="s">
        <v>10155</v>
      </c>
      <c r="Q275" s="1" t="s">
        <v>29</v>
      </c>
    </row>
    <row r="276" spans="1:17" ht="12.5" x14ac:dyDescent="0.25">
      <c r="A276" s="1" t="s">
        <v>152</v>
      </c>
      <c r="C276" s="1" t="s">
        <v>4842</v>
      </c>
      <c r="D276" s="1" t="s">
        <v>10574</v>
      </c>
      <c r="E276" s="1" t="s">
        <v>10162</v>
      </c>
      <c r="F276" s="1" t="s">
        <v>10162</v>
      </c>
      <c r="G276" s="1" t="s">
        <v>10162</v>
      </c>
      <c r="H276" s="1" t="s">
        <v>10152</v>
      </c>
      <c r="I276" s="1" t="s">
        <v>10153</v>
      </c>
      <c r="L276" s="1" t="s">
        <v>10197</v>
      </c>
      <c r="M276" s="1" t="s">
        <v>4843</v>
      </c>
      <c r="O276" s="1" t="s">
        <v>169</v>
      </c>
      <c r="P276" s="1" t="s">
        <v>10155</v>
      </c>
      <c r="Q276" s="1" t="s">
        <v>29</v>
      </c>
    </row>
    <row r="277" spans="1:17" ht="12.5" x14ac:dyDescent="0.25">
      <c r="A277" s="1" t="s">
        <v>152</v>
      </c>
      <c r="C277" s="1" t="s">
        <v>7550</v>
      </c>
      <c r="D277" s="1" t="s">
        <v>10575</v>
      </c>
      <c r="E277" s="1" t="s">
        <v>10162</v>
      </c>
      <c r="F277" s="1" t="s">
        <v>10162</v>
      </c>
      <c r="G277" s="1" t="s">
        <v>10162</v>
      </c>
      <c r="H277" s="1" t="s">
        <v>10152</v>
      </c>
      <c r="I277" s="1" t="s">
        <v>10164</v>
      </c>
      <c r="M277" s="1" t="s">
        <v>7546</v>
      </c>
      <c r="O277" s="1" t="s">
        <v>10155</v>
      </c>
      <c r="P277" s="1" t="s">
        <v>10155</v>
      </c>
      <c r="Q277" s="1" t="s">
        <v>20</v>
      </c>
    </row>
    <row r="278" spans="1:17" ht="12.5" x14ac:dyDescent="0.25">
      <c r="A278" s="1" t="s">
        <v>152</v>
      </c>
      <c r="C278" s="1" t="s">
        <v>5501</v>
      </c>
      <c r="D278" s="1" t="s">
        <v>5502</v>
      </c>
      <c r="E278" s="1" t="s">
        <v>9928</v>
      </c>
      <c r="F278" s="1" t="s">
        <v>10563</v>
      </c>
      <c r="G278" s="1" t="s">
        <v>10576</v>
      </c>
      <c r="H278" s="1" t="s">
        <v>10160</v>
      </c>
      <c r="I278" s="1" t="s">
        <v>10160</v>
      </c>
      <c r="L278" s="1" t="s">
        <v>10197</v>
      </c>
      <c r="M278" s="1" t="s">
        <v>5497</v>
      </c>
      <c r="N278" s="1" t="s">
        <v>5499</v>
      </c>
      <c r="O278" s="1" t="s">
        <v>124</v>
      </c>
      <c r="P278" s="1" t="s">
        <v>10155</v>
      </c>
      <c r="Q278" s="1" t="s">
        <v>29</v>
      </c>
    </row>
    <row r="279" spans="1:17" ht="12.5" x14ac:dyDescent="0.25">
      <c r="A279" s="1" t="s">
        <v>152</v>
      </c>
      <c r="C279" s="1" t="s">
        <v>4837</v>
      </c>
      <c r="D279" s="1" t="s">
        <v>4838</v>
      </c>
      <c r="E279" s="1" t="s">
        <v>10156</v>
      </c>
      <c r="F279" s="1" t="s">
        <v>10156</v>
      </c>
      <c r="G279" s="1" t="s">
        <v>10577</v>
      </c>
      <c r="H279" s="1" t="s">
        <v>10152</v>
      </c>
      <c r="I279" s="1" t="s">
        <v>10153</v>
      </c>
      <c r="L279" s="1" t="s">
        <v>10197</v>
      </c>
      <c r="M279" s="1" t="s">
        <v>4839</v>
      </c>
      <c r="O279" s="1" t="s">
        <v>292</v>
      </c>
      <c r="P279" s="1" t="s">
        <v>10155</v>
      </c>
      <c r="Q279" s="1" t="s">
        <v>29</v>
      </c>
    </row>
    <row r="280" spans="1:17" ht="12.5" x14ac:dyDescent="0.25">
      <c r="A280" s="1" t="s">
        <v>152</v>
      </c>
      <c r="C280" s="1" t="s">
        <v>8828</v>
      </c>
      <c r="D280" s="1" t="s">
        <v>8829</v>
      </c>
      <c r="E280" s="1" t="s">
        <v>9928</v>
      </c>
      <c r="F280" s="1" t="s">
        <v>10531</v>
      </c>
      <c r="G280" s="1" t="s">
        <v>10557</v>
      </c>
      <c r="H280" s="1" t="s">
        <v>10152</v>
      </c>
      <c r="I280" s="1" t="s">
        <v>10153</v>
      </c>
      <c r="M280" s="1" t="s">
        <v>8830</v>
      </c>
      <c r="N280" s="1" t="s">
        <v>8832</v>
      </c>
      <c r="O280" s="1" t="s">
        <v>169</v>
      </c>
      <c r="P280" s="1" t="s">
        <v>10155</v>
      </c>
      <c r="Q280" s="1" t="s">
        <v>29</v>
      </c>
    </row>
    <row r="281" spans="1:17" ht="12.5" x14ac:dyDescent="0.25">
      <c r="A281" s="1" t="s">
        <v>152</v>
      </c>
      <c r="C281" s="1" t="s">
        <v>4832</v>
      </c>
      <c r="D281" s="1" t="s">
        <v>4833</v>
      </c>
      <c r="E281" s="1" t="s">
        <v>9928</v>
      </c>
      <c r="F281" s="1" t="s">
        <v>10531</v>
      </c>
      <c r="G281" s="1" t="s">
        <v>10557</v>
      </c>
      <c r="H281" s="1" t="s">
        <v>10152</v>
      </c>
      <c r="I281" s="1" t="s">
        <v>10153</v>
      </c>
      <c r="M281" s="1" t="s">
        <v>4834</v>
      </c>
      <c r="O281" s="1" t="s">
        <v>59</v>
      </c>
      <c r="P281" s="1" t="s">
        <v>10155</v>
      </c>
      <c r="Q281" s="1" t="s">
        <v>29</v>
      </c>
    </row>
    <row r="282" spans="1:17" ht="12.5" x14ac:dyDescent="0.25">
      <c r="A282" s="1" t="s">
        <v>152</v>
      </c>
      <c r="C282" s="1" t="s">
        <v>4827</v>
      </c>
      <c r="D282" s="1" t="s">
        <v>4828</v>
      </c>
      <c r="E282" s="1" t="s">
        <v>9928</v>
      </c>
      <c r="F282" s="1" t="s">
        <v>10531</v>
      </c>
      <c r="G282" s="1" t="s">
        <v>10557</v>
      </c>
      <c r="H282" s="1" t="s">
        <v>10160</v>
      </c>
      <c r="I282" s="1" t="s">
        <v>10160</v>
      </c>
      <c r="L282" s="1" t="s">
        <v>10197</v>
      </c>
      <c r="M282" s="1" t="s">
        <v>4829</v>
      </c>
      <c r="O282" s="1" t="s">
        <v>59</v>
      </c>
      <c r="P282" s="1" t="s">
        <v>10155</v>
      </c>
      <c r="Q282" s="1" t="s">
        <v>29</v>
      </c>
    </row>
    <row r="283" spans="1:17" ht="12.5" x14ac:dyDescent="0.25">
      <c r="A283" s="1" t="s">
        <v>152</v>
      </c>
      <c r="C283" s="1" t="s">
        <v>4822</v>
      </c>
      <c r="D283" s="1" t="s">
        <v>4823</v>
      </c>
      <c r="E283" s="1" t="s">
        <v>9928</v>
      </c>
      <c r="F283" s="1" t="s">
        <v>10518</v>
      </c>
      <c r="G283" s="1" t="s">
        <v>10578</v>
      </c>
      <c r="H283" s="1" t="s">
        <v>10176</v>
      </c>
      <c r="I283" s="1" t="s">
        <v>10176</v>
      </c>
      <c r="J283" s="1" t="s">
        <v>10262</v>
      </c>
      <c r="K283" s="1" t="s">
        <v>10262</v>
      </c>
      <c r="M283" s="1" t="s">
        <v>4824</v>
      </c>
      <c r="O283" s="1" t="s">
        <v>10155</v>
      </c>
      <c r="P283" s="1" t="s">
        <v>10155</v>
      </c>
      <c r="Q283" s="1" t="s">
        <v>29</v>
      </c>
    </row>
    <row r="284" spans="1:17" ht="12.5" x14ac:dyDescent="0.25">
      <c r="A284" s="1" t="s">
        <v>152</v>
      </c>
      <c r="C284" s="1" t="s">
        <v>4818</v>
      </c>
      <c r="D284" s="1" t="s">
        <v>10579</v>
      </c>
      <c r="E284" s="1" t="s">
        <v>9928</v>
      </c>
      <c r="F284" s="1" t="s">
        <v>10518</v>
      </c>
      <c r="G284" s="1" t="s">
        <v>10578</v>
      </c>
      <c r="H284" s="1" t="s">
        <v>10183</v>
      </c>
      <c r="I284" s="1" t="s">
        <v>10183</v>
      </c>
      <c r="M284" s="1" t="s">
        <v>4819</v>
      </c>
      <c r="O284" s="1" t="s">
        <v>59</v>
      </c>
      <c r="P284" s="1" t="s">
        <v>59</v>
      </c>
      <c r="Q284" s="1" t="s">
        <v>29</v>
      </c>
    </row>
    <row r="285" spans="1:17" ht="12.5" x14ac:dyDescent="0.25">
      <c r="A285" s="1" t="s">
        <v>152</v>
      </c>
      <c r="C285" s="1" t="s">
        <v>4814</v>
      </c>
      <c r="D285" s="1" t="s">
        <v>10580</v>
      </c>
      <c r="E285" s="1" t="s">
        <v>9928</v>
      </c>
      <c r="F285" s="1" t="s">
        <v>10518</v>
      </c>
      <c r="G285" s="1" t="s">
        <v>10578</v>
      </c>
      <c r="H285" s="1" t="s">
        <v>10183</v>
      </c>
      <c r="I285" s="1" t="s">
        <v>10183</v>
      </c>
      <c r="M285" s="1" t="s">
        <v>4815</v>
      </c>
      <c r="O285" s="1" t="s">
        <v>59</v>
      </c>
      <c r="P285" s="1" t="s">
        <v>59</v>
      </c>
      <c r="Q285" s="1" t="s">
        <v>29</v>
      </c>
    </row>
    <row r="286" spans="1:17" ht="12.5" x14ac:dyDescent="0.25">
      <c r="A286" s="1" t="s">
        <v>152</v>
      </c>
      <c r="C286" s="1" t="s">
        <v>4810</v>
      </c>
      <c r="D286" s="1" t="s">
        <v>10581</v>
      </c>
      <c r="E286" s="1" t="s">
        <v>9928</v>
      </c>
      <c r="F286" s="1" t="s">
        <v>10518</v>
      </c>
      <c r="G286" s="1" t="s">
        <v>10578</v>
      </c>
      <c r="H286" s="1" t="s">
        <v>10152</v>
      </c>
      <c r="I286" s="1" t="s">
        <v>10153</v>
      </c>
      <c r="L286" s="1" t="s">
        <v>10197</v>
      </c>
      <c r="M286" s="1" t="s">
        <v>4811</v>
      </c>
      <c r="O286" s="1" t="s">
        <v>59</v>
      </c>
      <c r="P286" s="1" t="s">
        <v>10155</v>
      </c>
      <c r="Q286" s="1" t="s">
        <v>29</v>
      </c>
    </row>
    <row r="287" spans="1:17" ht="12.5" x14ac:dyDescent="0.25">
      <c r="A287" s="1" t="s">
        <v>152</v>
      </c>
      <c r="C287" s="1" t="s">
        <v>4805</v>
      </c>
      <c r="D287" s="1" t="s">
        <v>4806</v>
      </c>
      <c r="E287" s="1" t="s">
        <v>9928</v>
      </c>
      <c r="F287" s="1" t="s">
        <v>10518</v>
      </c>
      <c r="G287" s="1" t="s">
        <v>10578</v>
      </c>
      <c r="H287" s="1" t="s">
        <v>10183</v>
      </c>
      <c r="I287" s="1" t="s">
        <v>10183</v>
      </c>
      <c r="M287" s="1" t="s">
        <v>4807</v>
      </c>
      <c r="O287" s="1" t="s">
        <v>59</v>
      </c>
      <c r="P287" s="1" t="s">
        <v>59</v>
      </c>
      <c r="Q287" s="1" t="s">
        <v>29</v>
      </c>
    </row>
    <row r="288" spans="1:17" ht="12.5" x14ac:dyDescent="0.25">
      <c r="A288" s="1" t="s">
        <v>152</v>
      </c>
      <c r="C288" s="1" t="s">
        <v>10582</v>
      </c>
      <c r="D288" s="1" t="s">
        <v>10583</v>
      </c>
      <c r="E288" s="1" t="s">
        <v>10156</v>
      </c>
      <c r="F288" s="1" t="s">
        <v>10156</v>
      </c>
      <c r="G288" s="1" t="s">
        <v>10584</v>
      </c>
      <c r="H288" s="1" t="s">
        <v>10176</v>
      </c>
      <c r="I288" s="1" t="s">
        <v>10176</v>
      </c>
      <c r="J288" s="1" t="s">
        <v>10262</v>
      </c>
      <c r="K288" s="1" t="s">
        <v>10262</v>
      </c>
      <c r="O288" s="1" t="s">
        <v>10155</v>
      </c>
      <c r="P288" s="1" t="s">
        <v>10155</v>
      </c>
    </row>
    <row r="289" spans="1:17" ht="12.5" x14ac:dyDescent="0.25">
      <c r="A289" s="1" t="s">
        <v>152</v>
      </c>
      <c r="C289" s="1" t="s">
        <v>4800</v>
      </c>
      <c r="D289" s="1" t="s">
        <v>4801</v>
      </c>
      <c r="E289" s="1" t="s">
        <v>9928</v>
      </c>
      <c r="F289" s="1" t="s">
        <v>10518</v>
      </c>
      <c r="G289" s="1" t="s">
        <v>10578</v>
      </c>
      <c r="H289" s="1" t="s">
        <v>10183</v>
      </c>
      <c r="I289" s="1" t="s">
        <v>10183</v>
      </c>
      <c r="M289" s="1" t="s">
        <v>4802</v>
      </c>
      <c r="O289" s="1" t="s">
        <v>169</v>
      </c>
      <c r="P289" s="1" t="s">
        <v>59</v>
      </c>
      <c r="Q289" s="1" t="s">
        <v>29</v>
      </c>
    </row>
    <row r="290" spans="1:17" ht="12.5" x14ac:dyDescent="0.25">
      <c r="A290" s="1" t="s">
        <v>152</v>
      </c>
      <c r="C290" s="1" t="s">
        <v>4795</v>
      </c>
      <c r="D290" s="1" t="s">
        <v>4796</v>
      </c>
      <c r="E290" s="1" t="s">
        <v>10156</v>
      </c>
      <c r="F290" s="1" t="s">
        <v>10156</v>
      </c>
      <c r="G290" s="1" t="s">
        <v>10585</v>
      </c>
      <c r="H290" s="1" t="s">
        <v>10183</v>
      </c>
      <c r="I290" s="1" t="s">
        <v>10183</v>
      </c>
      <c r="L290" s="1" t="s">
        <v>10197</v>
      </c>
      <c r="M290" s="1" t="s">
        <v>5734</v>
      </c>
      <c r="O290" s="1" t="s">
        <v>46</v>
      </c>
      <c r="P290" s="1" t="s">
        <v>10155</v>
      </c>
      <c r="Q290" s="1" t="s">
        <v>29</v>
      </c>
    </row>
    <row r="291" spans="1:17" ht="12.5" x14ac:dyDescent="0.25">
      <c r="A291" s="1" t="s">
        <v>152</v>
      </c>
      <c r="C291" s="1" t="s">
        <v>4793</v>
      </c>
      <c r="D291" s="1" t="s">
        <v>10586</v>
      </c>
      <c r="E291" s="1" t="s">
        <v>10156</v>
      </c>
      <c r="F291" s="1" t="s">
        <v>10156</v>
      </c>
      <c r="G291" s="1" t="s">
        <v>10562</v>
      </c>
      <c r="H291" s="1" t="s">
        <v>10152</v>
      </c>
      <c r="I291" s="1" t="s">
        <v>10153</v>
      </c>
      <c r="M291" s="1" t="s">
        <v>7557</v>
      </c>
      <c r="O291" s="1" t="s">
        <v>169</v>
      </c>
      <c r="P291" s="1" t="s">
        <v>10155</v>
      </c>
      <c r="Q291" s="1" t="s">
        <v>29</v>
      </c>
    </row>
    <row r="292" spans="1:17" ht="12.5" x14ac:dyDescent="0.25">
      <c r="A292" s="1" t="s">
        <v>152</v>
      </c>
      <c r="C292" s="1" t="s">
        <v>4793</v>
      </c>
      <c r="D292" s="1" t="s">
        <v>10586</v>
      </c>
      <c r="E292" s="1" t="s">
        <v>10156</v>
      </c>
      <c r="F292" s="1" t="s">
        <v>10156</v>
      </c>
      <c r="G292" s="1" t="s">
        <v>10562</v>
      </c>
      <c r="H292" s="1" t="s">
        <v>10152</v>
      </c>
      <c r="I292" s="1" t="s">
        <v>10153</v>
      </c>
      <c r="M292" s="1" t="s">
        <v>4794</v>
      </c>
      <c r="O292" s="1" t="s">
        <v>10155</v>
      </c>
      <c r="P292" s="1" t="s">
        <v>10155</v>
      </c>
      <c r="Q292" s="1" t="s">
        <v>29</v>
      </c>
    </row>
    <row r="293" spans="1:17" ht="12.5" x14ac:dyDescent="0.25">
      <c r="A293" s="1" t="s">
        <v>152</v>
      </c>
      <c r="C293" s="1" t="s">
        <v>4789</v>
      </c>
      <c r="D293" s="1" t="s">
        <v>4790</v>
      </c>
      <c r="E293" s="1" t="s">
        <v>9928</v>
      </c>
      <c r="F293" s="1" t="s">
        <v>10565</v>
      </c>
      <c r="G293" s="1" t="s">
        <v>10565</v>
      </c>
      <c r="H293" s="1" t="s">
        <v>10172</v>
      </c>
      <c r="I293" s="1" t="s">
        <v>10172</v>
      </c>
      <c r="J293" s="1" t="s">
        <v>10440</v>
      </c>
      <c r="K293" s="1" t="s">
        <v>10440</v>
      </c>
      <c r="M293" s="1" t="s">
        <v>4791</v>
      </c>
      <c r="O293" s="1" t="s">
        <v>10155</v>
      </c>
      <c r="P293" s="1" t="s">
        <v>10155</v>
      </c>
      <c r="Q293" s="1" t="s">
        <v>29</v>
      </c>
    </row>
    <row r="294" spans="1:17" ht="12.5" x14ac:dyDescent="0.25">
      <c r="A294" s="1" t="s">
        <v>152</v>
      </c>
      <c r="C294" s="1" t="s">
        <v>4785</v>
      </c>
      <c r="D294" s="1" t="s">
        <v>4786</v>
      </c>
      <c r="E294" s="1" t="s">
        <v>10156</v>
      </c>
      <c r="F294" s="1" t="s">
        <v>10156</v>
      </c>
      <c r="G294" s="1" t="s">
        <v>10562</v>
      </c>
      <c r="H294" s="1" t="s">
        <v>10172</v>
      </c>
      <c r="I294" s="1" t="s">
        <v>10172</v>
      </c>
      <c r="J294" s="1" t="s">
        <v>10193</v>
      </c>
      <c r="K294" s="1" t="s">
        <v>10193</v>
      </c>
      <c r="L294" s="1" t="s">
        <v>10587</v>
      </c>
      <c r="M294" s="1" t="s">
        <v>4787</v>
      </c>
      <c r="O294" s="1" t="s">
        <v>10155</v>
      </c>
      <c r="P294" s="1" t="s">
        <v>10155</v>
      </c>
      <c r="Q294" s="1" t="s">
        <v>20</v>
      </c>
    </row>
    <row r="295" spans="1:17" ht="12.5" x14ac:dyDescent="0.25">
      <c r="A295" s="1" t="s">
        <v>152</v>
      </c>
      <c r="C295" s="1" t="s">
        <v>4781</v>
      </c>
      <c r="D295" s="1" t="s">
        <v>4782</v>
      </c>
      <c r="E295" s="1" t="s">
        <v>10156</v>
      </c>
      <c r="F295" s="1" t="s">
        <v>10156</v>
      </c>
      <c r="G295" s="1" t="s">
        <v>10562</v>
      </c>
      <c r="H295" s="1" t="s">
        <v>10183</v>
      </c>
      <c r="I295" s="1" t="s">
        <v>10183</v>
      </c>
      <c r="M295" s="1" t="s">
        <v>4783</v>
      </c>
      <c r="O295" s="1" t="s">
        <v>10155</v>
      </c>
      <c r="P295" s="1" t="s">
        <v>53</v>
      </c>
      <c r="Q295" s="1" t="s">
        <v>20</v>
      </c>
    </row>
    <row r="296" spans="1:17" ht="12.5" x14ac:dyDescent="0.25">
      <c r="A296" s="1" t="s">
        <v>152</v>
      </c>
      <c r="C296" s="1" t="s">
        <v>7023</v>
      </c>
      <c r="D296" s="1" t="s">
        <v>7024</v>
      </c>
      <c r="E296" s="1" t="s">
        <v>10156</v>
      </c>
      <c r="F296" s="1" t="s">
        <v>10156</v>
      </c>
      <c r="G296" s="1" t="s">
        <v>10562</v>
      </c>
      <c r="H296" s="1" t="s">
        <v>10152</v>
      </c>
      <c r="I296" s="1" t="s">
        <v>10153</v>
      </c>
      <c r="M296" s="1" t="s">
        <v>9668</v>
      </c>
      <c r="O296" s="1" t="s">
        <v>10155</v>
      </c>
      <c r="P296" s="1" t="s">
        <v>10155</v>
      </c>
      <c r="Q296" s="1" t="s">
        <v>20</v>
      </c>
    </row>
    <row r="297" spans="1:17" ht="12.5" x14ac:dyDescent="0.25">
      <c r="A297" s="1" t="s">
        <v>152</v>
      </c>
      <c r="C297" s="1" t="s">
        <v>7023</v>
      </c>
      <c r="D297" s="1" t="s">
        <v>7024</v>
      </c>
      <c r="E297" s="1" t="s">
        <v>10156</v>
      </c>
      <c r="F297" s="1" t="s">
        <v>10156</v>
      </c>
      <c r="G297" s="1" t="s">
        <v>10562</v>
      </c>
      <c r="H297" s="1" t="s">
        <v>10152</v>
      </c>
      <c r="I297" s="1" t="s">
        <v>10153</v>
      </c>
      <c r="M297" s="1" t="s">
        <v>7025</v>
      </c>
      <c r="O297" s="1" t="s">
        <v>169</v>
      </c>
      <c r="P297" s="1" t="s">
        <v>10155</v>
      </c>
      <c r="Q297" s="1" t="s">
        <v>29</v>
      </c>
    </row>
    <row r="298" spans="1:17" ht="12.5" x14ac:dyDescent="0.25">
      <c r="A298" s="1" t="s">
        <v>152</v>
      </c>
      <c r="C298" s="1" t="s">
        <v>6932</v>
      </c>
      <c r="D298" s="1" t="s">
        <v>6933</v>
      </c>
      <c r="E298" s="1" t="s">
        <v>10156</v>
      </c>
      <c r="F298" s="1" t="s">
        <v>10156</v>
      </c>
      <c r="G298" s="1" t="s">
        <v>10588</v>
      </c>
      <c r="H298" s="1" t="s">
        <v>10152</v>
      </c>
      <c r="I298" s="1" t="s">
        <v>10164</v>
      </c>
      <c r="M298" s="1" t="s">
        <v>6934</v>
      </c>
      <c r="O298" s="1" t="s">
        <v>10155</v>
      </c>
      <c r="P298" s="1" t="s">
        <v>10155</v>
      </c>
      <c r="Q298" s="1" t="s">
        <v>20</v>
      </c>
    </row>
    <row r="299" spans="1:17" ht="12.5" x14ac:dyDescent="0.25">
      <c r="A299" s="1" t="s">
        <v>152</v>
      </c>
      <c r="C299" s="1" t="s">
        <v>4776</v>
      </c>
      <c r="D299" s="1" t="s">
        <v>10589</v>
      </c>
      <c r="E299" s="1" t="s">
        <v>10156</v>
      </c>
      <c r="F299" s="1" t="s">
        <v>10156</v>
      </c>
      <c r="G299" s="1" t="s">
        <v>10562</v>
      </c>
      <c r="H299" s="1" t="s">
        <v>10172</v>
      </c>
      <c r="I299" s="1" t="s">
        <v>10172</v>
      </c>
      <c r="J299" s="1" t="s">
        <v>10573</v>
      </c>
      <c r="K299" s="1" t="s">
        <v>10573</v>
      </c>
      <c r="M299" s="1" t="s">
        <v>4777</v>
      </c>
      <c r="N299" s="1" t="s">
        <v>4779</v>
      </c>
      <c r="O299" s="1" t="s">
        <v>10155</v>
      </c>
      <c r="P299" s="1" t="s">
        <v>10155</v>
      </c>
      <c r="Q299" s="1" t="s">
        <v>29</v>
      </c>
    </row>
    <row r="300" spans="1:17" ht="12.5" x14ac:dyDescent="0.25">
      <c r="A300" s="1" t="s">
        <v>152</v>
      </c>
      <c r="C300" s="1" t="s">
        <v>4772</v>
      </c>
      <c r="D300" s="1" t="s">
        <v>10590</v>
      </c>
      <c r="E300" s="1" t="s">
        <v>10156</v>
      </c>
      <c r="F300" s="1" t="s">
        <v>10156</v>
      </c>
      <c r="G300" s="1" t="s">
        <v>10562</v>
      </c>
      <c r="H300" s="1" t="s">
        <v>10152</v>
      </c>
      <c r="I300" s="1" t="s">
        <v>10153</v>
      </c>
      <c r="M300" s="1" t="s">
        <v>7540</v>
      </c>
      <c r="O300" s="1" t="s">
        <v>10155</v>
      </c>
      <c r="P300" s="1" t="s">
        <v>10155</v>
      </c>
      <c r="Q300" s="1" t="s">
        <v>29</v>
      </c>
    </row>
    <row r="301" spans="1:17" ht="12.5" x14ac:dyDescent="0.25">
      <c r="A301" s="1" t="s">
        <v>152</v>
      </c>
      <c r="C301" s="1" t="s">
        <v>4772</v>
      </c>
      <c r="D301" s="1" t="s">
        <v>10590</v>
      </c>
      <c r="E301" s="1" t="s">
        <v>10156</v>
      </c>
      <c r="F301" s="1" t="s">
        <v>10156</v>
      </c>
      <c r="G301" s="1" t="s">
        <v>10562</v>
      </c>
      <c r="H301" s="1" t="s">
        <v>10152</v>
      </c>
      <c r="I301" s="1" t="s">
        <v>10153</v>
      </c>
      <c r="M301" s="1" t="s">
        <v>7537</v>
      </c>
      <c r="N301" s="1" t="s">
        <v>10591</v>
      </c>
      <c r="O301" s="1" t="s">
        <v>10155</v>
      </c>
      <c r="P301" s="1" t="s">
        <v>10155</v>
      </c>
      <c r="Q301" s="1" t="s">
        <v>29</v>
      </c>
    </row>
    <row r="302" spans="1:17" ht="12.5" x14ac:dyDescent="0.25">
      <c r="A302" s="1" t="s">
        <v>152</v>
      </c>
      <c r="C302" s="1" t="s">
        <v>4772</v>
      </c>
      <c r="D302" s="1" t="s">
        <v>10590</v>
      </c>
      <c r="E302" s="1" t="s">
        <v>10156</v>
      </c>
      <c r="F302" s="1" t="s">
        <v>10156</v>
      </c>
      <c r="G302" s="1" t="s">
        <v>10562</v>
      </c>
      <c r="H302" s="1" t="s">
        <v>10152</v>
      </c>
      <c r="I302" s="1" t="s">
        <v>10153</v>
      </c>
      <c r="M302" s="1" t="s">
        <v>4773</v>
      </c>
      <c r="O302" s="1" t="s">
        <v>10155</v>
      </c>
      <c r="P302" s="1" t="s">
        <v>10155</v>
      </c>
      <c r="Q302" s="1" t="s">
        <v>29</v>
      </c>
    </row>
    <row r="303" spans="1:17" ht="12.5" x14ac:dyDescent="0.25">
      <c r="A303" s="1" t="s">
        <v>152</v>
      </c>
      <c r="C303" s="1" t="s">
        <v>4767</v>
      </c>
      <c r="D303" s="1" t="s">
        <v>4768</v>
      </c>
      <c r="E303" s="1" t="s">
        <v>10156</v>
      </c>
      <c r="F303" s="1" t="s">
        <v>10156</v>
      </c>
      <c r="G303" s="1" t="s">
        <v>10585</v>
      </c>
      <c r="H303" s="1" t="s">
        <v>10152</v>
      </c>
      <c r="I303" s="1" t="s">
        <v>10153</v>
      </c>
      <c r="L303" s="1" t="s">
        <v>10197</v>
      </c>
      <c r="M303" s="1" t="s">
        <v>4769</v>
      </c>
      <c r="O303" s="1" t="s">
        <v>292</v>
      </c>
      <c r="P303" s="1" t="s">
        <v>10155</v>
      </c>
      <c r="Q303" s="1" t="s">
        <v>29</v>
      </c>
    </row>
    <row r="304" spans="1:17" ht="12.5" x14ac:dyDescent="0.25">
      <c r="A304" s="1" t="s">
        <v>152</v>
      </c>
      <c r="C304" s="1" t="s">
        <v>4761</v>
      </c>
      <c r="D304" s="1" t="s">
        <v>4762</v>
      </c>
      <c r="E304" s="1" t="s">
        <v>9928</v>
      </c>
      <c r="F304" s="1" t="s">
        <v>10531</v>
      </c>
      <c r="G304" s="1" t="s">
        <v>10592</v>
      </c>
      <c r="H304" s="1" t="s">
        <v>10160</v>
      </c>
      <c r="I304" s="1" t="s">
        <v>10160</v>
      </c>
      <c r="M304" s="1" t="s">
        <v>4763</v>
      </c>
      <c r="N304" s="1" t="s">
        <v>4765</v>
      </c>
      <c r="O304" s="1" t="s">
        <v>169</v>
      </c>
      <c r="P304" s="1" t="s">
        <v>10155</v>
      </c>
      <c r="Q304" s="1" t="s">
        <v>29</v>
      </c>
    </row>
    <row r="305" spans="1:17" ht="12.5" x14ac:dyDescent="0.25">
      <c r="A305" s="1" t="s">
        <v>152</v>
      </c>
      <c r="C305" s="1" t="s">
        <v>4755</v>
      </c>
      <c r="D305" s="1" t="s">
        <v>4756</v>
      </c>
      <c r="E305" s="1" t="s">
        <v>10162</v>
      </c>
      <c r="F305" s="1" t="s">
        <v>10516</v>
      </c>
      <c r="G305" s="1" t="s">
        <v>10593</v>
      </c>
      <c r="H305" s="1" t="s">
        <v>10160</v>
      </c>
      <c r="I305" s="1" t="s">
        <v>10160</v>
      </c>
      <c r="L305" s="1" t="s">
        <v>10197</v>
      </c>
      <c r="M305" s="1" t="s">
        <v>4757</v>
      </c>
      <c r="N305" s="1" t="s">
        <v>4759</v>
      </c>
      <c r="O305" s="1" t="s">
        <v>124</v>
      </c>
      <c r="P305" s="1" t="s">
        <v>10155</v>
      </c>
      <c r="Q305" s="1" t="s">
        <v>29</v>
      </c>
    </row>
    <row r="306" spans="1:17" ht="12.5" x14ac:dyDescent="0.25">
      <c r="A306" s="1" t="s">
        <v>152</v>
      </c>
      <c r="C306" s="1" t="s">
        <v>4750</v>
      </c>
      <c r="D306" s="1" t="s">
        <v>4751</v>
      </c>
      <c r="E306" s="1" t="s">
        <v>10162</v>
      </c>
      <c r="F306" s="1" t="s">
        <v>10516</v>
      </c>
      <c r="G306" s="1" t="s">
        <v>10594</v>
      </c>
      <c r="H306" s="1" t="s">
        <v>10183</v>
      </c>
      <c r="I306" s="1" t="s">
        <v>10183</v>
      </c>
      <c r="M306" s="1" t="s">
        <v>4752</v>
      </c>
      <c r="O306" s="1" t="s">
        <v>124</v>
      </c>
      <c r="P306" s="1" t="s">
        <v>124</v>
      </c>
      <c r="Q306" s="1" t="s">
        <v>29</v>
      </c>
    </row>
    <row r="307" spans="1:17" ht="12.5" x14ac:dyDescent="0.25">
      <c r="A307" s="1" t="s">
        <v>152</v>
      </c>
      <c r="C307" s="1" t="s">
        <v>5706</v>
      </c>
      <c r="D307" s="1" t="s">
        <v>5707</v>
      </c>
      <c r="E307" s="1" t="s">
        <v>9929</v>
      </c>
      <c r="F307" s="1" t="s">
        <v>10545</v>
      </c>
      <c r="G307" s="1" t="s">
        <v>10595</v>
      </c>
      <c r="H307" s="1" t="s">
        <v>10152</v>
      </c>
      <c r="I307" s="1" t="s">
        <v>10153</v>
      </c>
      <c r="M307" s="1" t="s">
        <v>5708</v>
      </c>
      <c r="N307" s="1" t="s">
        <v>5710</v>
      </c>
      <c r="O307" s="1" t="s">
        <v>112</v>
      </c>
      <c r="P307" s="1" t="s">
        <v>10155</v>
      </c>
      <c r="Q307" s="1" t="s">
        <v>29</v>
      </c>
    </row>
    <row r="308" spans="1:17" ht="12.5" x14ac:dyDescent="0.25">
      <c r="A308" s="1" t="s">
        <v>152</v>
      </c>
      <c r="C308" s="1" t="s">
        <v>5712</v>
      </c>
      <c r="D308" s="1" t="s">
        <v>5713</v>
      </c>
      <c r="E308" s="1" t="s">
        <v>9929</v>
      </c>
      <c r="F308" s="1" t="s">
        <v>10545</v>
      </c>
      <c r="G308" s="1" t="s">
        <v>10595</v>
      </c>
      <c r="H308" s="1" t="s">
        <v>10152</v>
      </c>
      <c r="I308" s="1" t="s">
        <v>10153</v>
      </c>
      <c r="M308" s="1" t="s">
        <v>5714</v>
      </c>
      <c r="N308" s="1" t="s">
        <v>5710</v>
      </c>
      <c r="O308" s="1" t="s">
        <v>112</v>
      </c>
      <c r="P308" s="1" t="s">
        <v>10155</v>
      </c>
      <c r="Q308" s="1" t="s">
        <v>29</v>
      </c>
    </row>
    <row r="309" spans="1:17" ht="12.5" x14ac:dyDescent="0.25">
      <c r="A309" s="1" t="s">
        <v>152</v>
      </c>
      <c r="C309" s="1" t="s">
        <v>8633</v>
      </c>
      <c r="D309" s="1" t="s">
        <v>8634</v>
      </c>
      <c r="E309" s="1" t="s">
        <v>10156</v>
      </c>
      <c r="F309" s="1" t="s">
        <v>10156</v>
      </c>
      <c r="G309" s="1" t="s">
        <v>10596</v>
      </c>
      <c r="H309" s="1" t="s">
        <v>10152</v>
      </c>
      <c r="I309" s="1" t="s">
        <v>10153</v>
      </c>
      <c r="M309" s="1" t="s">
        <v>8635</v>
      </c>
      <c r="O309" s="1" t="s">
        <v>292</v>
      </c>
      <c r="P309" s="1" t="s">
        <v>10155</v>
      </c>
      <c r="Q309" s="1" t="s">
        <v>29</v>
      </c>
    </row>
    <row r="310" spans="1:17" ht="12.5" x14ac:dyDescent="0.25">
      <c r="A310" s="1" t="s">
        <v>152</v>
      </c>
      <c r="C310" s="1" t="s">
        <v>10597</v>
      </c>
      <c r="D310" s="1" t="s">
        <v>10598</v>
      </c>
      <c r="E310" s="1" t="s">
        <v>10162</v>
      </c>
      <c r="F310" s="1" t="s">
        <v>10516</v>
      </c>
      <c r="G310" s="1" t="s">
        <v>10593</v>
      </c>
      <c r="H310" s="1" t="s">
        <v>10172</v>
      </c>
      <c r="I310" s="1" t="s">
        <v>10172</v>
      </c>
      <c r="J310" s="1" t="s">
        <v>10173</v>
      </c>
      <c r="K310" s="1" t="s">
        <v>10173</v>
      </c>
      <c r="O310" s="1" t="s">
        <v>10155</v>
      </c>
      <c r="P310" s="1" t="s">
        <v>10155</v>
      </c>
    </row>
    <row r="311" spans="1:17" ht="12.5" x14ac:dyDescent="0.25">
      <c r="A311" s="1" t="s">
        <v>152</v>
      </c>
      <c r="C311" s="1" t="s">
        <v>4745</v>
      </c>
      <c r="D311" s="1" t="s">
        <v>4746</v>
      </c>
      <c r="E311" s="1" t="s">
        <v>10156</v>
      </c>
      <c r="F311" s="1" t="s">
        <v>10156</v>
      </c>
      <c r="G311" s="1" t="s">
        <v>10577</v>
      </c>
      <c r="H311" s="1" t="s">
        <v>10183</v>
      </c>
      <c r="I311" s="1" t="s">
        <v>10183</v>
      </c>
      <c r="L311" s="1" t="s">
        <v>10197</v>
      </c>
      <c r="M311" s="1" t="s">
        <v>4747</v>
      </c>
      <c r="N311" s="1" t="s">
        <v>10599</v>
      </c>
      <c r="O311" s="1" t="s">
        <v>59</v>
      </c>
      <c r="P311" s="1" t="s">
        <v>124</v>
      </c>
      <c r="Q311" s="1" t="s">
        <v>29</v>
      </c>
    </row>
    <row r="312" spans="1:17" ht="12.5" x14ac:dyDescent="0.25">
      <c r="A312" s="1" t="s">
        <v>152</v>
      </c>
      <c r="C312" s="1" t="s">
        <v>4739</v>
      </c>
      <c r="D312" s="1" t="s">
        <v>4740</v>
      </c>
      <c r="E312" s="1" t="s">
        <v>10156</v>
      </c>
      <c r="F312" s="1" t="s">
        <v>10156</v>
      </c>
      <c r="G312" s="1" t="s">
        <v>10596</v>
      </c>
      <c r="H312" s="1" t="s">
        <v>10152</v>
      </c>
      <c r="I312" s="1" t="s">
        <v>10153</v>
      </c>
      <c r="L312" s="1" t="s">
        <v>10197</v>
      </c>
      <c r="M312" s="1" t="s">
        <v>4741</v>
      </c>
      <c r="N312" s="1" t="s">
        <v>4743</v>
      </c>
      <c r="O312" s="1" t="s">
        <v>292</v>
      </c>
      <c r="P312" s="1" t="s">
        <v>10155</v>
      </c>
      <c r="Q312" s="1" t="s">
        <v>29</v>
      </c>
    </row>
    <row r="313" spans="1:17" ht="12.5" x14ac:dyDescent="0.25">
      <c r="A313" s="1" t="s">
        <v>152</v>
      </c>
      <c r="C313" s="1" t="s">
        <v>4734</v>
      </c>
      <c r="D313" s="1" t="s">
        <v>4735</v>
      </c>
      <c r="E313" s="1" t="s">
        <v>10156</v>
      </c>
      <c r="F313" s="1" t="s">
        <v>10156</v>
      </c>
      <c r="G313" s="1" t="s">
        <v>10600</v>
      </c>
      <c r="H313" s="1" t="s">
        <v>10160</v>
      </c>
      <c r="I313" s="1" t="s">
        <v>10160</v>
      </c>
      <c r="L313" s="1" t="s">
        <v>10197</v>
      </c>
      <c r="M313" s="1" t="s">
        <v>4736</v>
      </c>
      <c r="N313" s="1" t="s">
        <v>4737</v>
      </c>
      <c r="O313" s="1" t="s">
        <v>124</v>
      </c>
      <c r="P313" s="1" t="s">
        <v>10155</v>
      </c>
      <c r="Q313" s="1" t="s">
        <v>29</v>
      </c>
    </row>
    <row r="314" spans="1:17" ht="12.5" x14ac:dyDescent="0.25">
      <c r="A314" s="1" t="s">
        <v>152</v>
      </c>
      <c r="C314" s="1" t="s">
        <v>5396</v>
      </c>
      <c r="D314" s="1" t="s">
        <v>5397</v>
      </c>
      <c r="E314" s="1" t="s">
        <v>10156</v>
      </c>
      <c r="F314" s="1" t="s">
        <v>10156</v>
      </c>
      <c r="G314" s="1" t="s">
        <v>10601</v>
      </c>
      <c r="H314" s="1" t="s">
        <v>10183</v>
      </c>
      <c r="I314" s="1" t="s">
        <v>10183</v>
      </c>
      <c r="M314" s="1" t="s">
        <v>5398</v>
      </c>
      <c r="N314" s="1" t="s">
        <v>10602</v>
      </c>
      <c r="O314" s="1" t="s">
        <v>1134</v>
      </c>
      <c r="P314" s="1" t="s">
        <v>10603</v>
      </c>
      <c r="Q314" s="1" t="s">
        <v>29</v>
      </c>
    </row>
    <row r="315" spans="1:17" ht="12.5" x14ac:dyDescent="0.25">
      <c r="A315" s="1" t="s">
        <v>152</v>
      </c>
      <c r="C315" s="1" t="s">
        <v>4728</v>
      </c>
      <c r="D315" s="1" t="s">
        <v>4729</v>
      </c>
      <c r="E315" s="1" t="s">
        <v>9929</v>
      </c>
      <c r="F315" s="1" t="s">
        <v>10545</v>
      </c>
      <c r="G315" s="1" t="s">
        <v>10604</v>
      </c>
      <c r="H315" s="1" t="s">
        <v>10152</v>
      </c>
      <c r="I315" s="1" t="s">
        <v>10153</v>
      </c>
      <c r="L315" s="1" t="s">
        <v>10197</v>
      </c>
      <c r="M315" s="1" t="s">
        <v>4730</v>
      </c>
      <c r="N315" s="1" t="s">
        <v>4732</v>
      </c>
      <c r="O315" s="1" t="s">
        <v>271</v>
      </c>
      <c r="P315" s="1" t="s">
        <v>10155</v>
      </c>
      <c r="Q315" s="1" t="s">
        <v>29</v>
      </c>
    </row>
    <row r="316" spans="1:17" ht="12.5" x14ac:dyDescent="0.25">
      <c r="A316" s="1" t="s">
        <v>152</v>
      </c>
      <c r="C316" s="1" t="s">
        <v>4723</v>
      </c>
      <c r="D316" s="1" t="s">
        <v>4724</v>
      </c>
      <c r="E316" s="1" t="s">
        <v>10162</v>
      </c>
      <c r="F316" s="1" t="s">
        <v>10516</v>
      </c>
      <c r="G316" s="1" t="s">
        <v>10605</v>
      </c>
      <c r="H316" s="1" t="s">
        <v>10176</v>
      </c>
      <c r="I316" s="1" t="s">
        <v>10176</v>
      </c>
      <c r="J316" s="1" t="s">
        <v>10262</v>
      </c>
      <c r="K316" s="1" t="s">
        <v>10262</v>
      </c>
      <c r="M316" s="1" t="s">
        <v>4725</v>
      </c>
      <c r="O316" s="1" t="s">
        <v>10155</v>
      </c>
      <c r="P316" s="1" t="s">
        <v>10155</v>
      </c>
      <c r="Q316" s="1" t="s">
        <v>29</v>
      </c>
    </row>
    <row r="317" spans="1:17" ht="12.5" x14ac:dyDescent="0.25">
      <c r="A317" s="1" t="s">
        <v>152</v>
      </c>
      <c r="C317" s="1" t="s">
        <v>4719</v>
      </c>
      <c r="D317" s="1" t="s">
        <v>4720</v>
      </c>
      <c r="E317" s="1" t="s">
        <v>9928</v>
      </c>
      <c r="F317" s="1" t="s">
        <v>10518</v>
      </c>
      <c r="G317" s="1" t="s">
        <v>10606</v>
      </c>
      <c r="H317" s="1" t="s">
        <v>10152</v>
      </c>
      <c r="I317" s="1" t="s">
        <v>10164</v>
      </c>
      <c r="M317" s="1" t="s">
        <v>4721</v>
      </c>
      <c r="O317" s="1" t="s">
        <v>10155</v>
      </c>
      <c r="P317" s="1" t="s">
        <v>10155</v>
      </c>
      <c r="Q317" s="1" t="s">
        <v>29</v>
      </c>
    </row>
    <row r="318" spans="1:17" ht="12.5" x14ac:dyDescent="0.25">
      <c r="A318" s="1" t="s">
        <v>152</v>
      </c>
      <c r="C318" s="1" t="s">
        <v>4714</v>
      </c>
      <c r="D318" s="1" t="s">
        <v>4715</v>
      </c>
      <c r="E318" s="1" t="s">
        <v>9929</v>
      </c>
      <c r="F318" s="1" t="s">
        <v>10545</v>
      </c>
      <c r="G318" s="1" t="s">
        <v>10607</v>
      </c>
      <c r="H318" s="1" t="s">
        <v>10172</v>
      </c>
      <c r="I318" s="1" t="s">
        <v>10172</v>
      </c>
      <c r="J318" s="1" t="s">
        <v>10193</v>
      </c>
      <c r="K318" s="1" t="s">
        <v>10173</v>
      </c>
      <c r="L318" s="1" t="s">
        <v>10434</v>
      </c>
      <c r="M318" s="1" t="s">
        <v>6924</v>
      </c>
      <c r="N318" s="1" t="s">
        <v>6926</v>
      </c>
      <c r="O318" s="1" t="s">
        <v>10155</v>
      </c>
      <c r="P318" s="1" t="s">
        <v>10155</v>
      </c>
      <c r="Q318" s="1" t="s">
        <v>29</v>
      </c>
    </row>
    <row r="319" spans="1:17" ht="12.5" x14ac:dyDescent="0.25">
      <c r="A319" s="1" t="s">
        <v>152</v>
      </c>
      <c r="C319" s="1" t="s">
        <v>4714</v>
      </c>
      <c r="D319" s="1" t="s">
        <v>4715</v>
      </c>
      <c r="E319" s="1" t="s">
        <v>9929</v>
      </c>
      <c r="F319" s="1" t="s">
        <v>10545</v>
      </c>
      <c r="G319" s="1" t="s">
        <v>10607</v>
      </c>
      <c r="H319" s="1" t="s">
        <v>10172</v>
      </c>
      <c r="I319" s="1" t="s">
        <v>10172</v>
      </c>
      <c r="J319" s="1" t="s">
        <v>10193</v>
      </c>
      <c r="K319" s="1" t="s">
        <v>10193</v>
      </c>
      <c r="L319" s="1" t="s">
        <v>10434</v>
      </c>
      <c r="M319" s="1" t="s">
        <v>4716</v>
      </c>
      <c r="O319" s="1" t="s">
        <v>10155</v>
      </c>
      <c r="P319" s="1" t="s">
        <v>10155</v>
      </c>
      <c r="Q319" s="1" t="s">
        <v>29</v>
      </c>
    </row>
    <row r="320" spans="1:17" ht="12.5" x14ac:dyDescent="0.25">
      <c r="A320" s="1" t="s">
        <v>152</v>
      </c>
      <c r="C320" s="1" t="s">
        <v>4709</v>
      </c>
      <c r="D320" s="1" t="s">
        <v>4710</v>
      </c>
      <c r="E320" s="1" t="s">
        <v>9929</v>
      </c>
      <c r="F320" s="1" t="s">
        <v>10545</v>
      </c>
      <c r="G320" s="1" t="s">
        <v>10607</v>
      </c>
      <c r="H320" s="1" t="s">
        <v>10160</v>
      </c>
      <c r="I320" s="1" t="s">
        <v>10160</v>
      </c>
      <c r="L320" s="1" t="s">
        <v>10197</v>
      </c>
      <c r="M320" s="1" t="s">
        <v>4711</v>
      </c>
      <c r="O320" s="1" t="s">
        <v>124</v>
      </c>
      <c r="P320" s="1" t="s">
        <v>10155</v>
      </c>
      <c r="Q320" s="1" t="s">
        <v>29</v>
      </c>
    </row>
    <row r="321" spans="1:17" ht="12.5" x14ac:dyDescent="0.25">
      <c r="A321" s="1" t="s">
        <v>152</v>
      </c>
      <c r="C321" s="1" t="s">
        <v>3021</v>
      </c>
      <c r="D321" s="1" t="s">
        <v>3022</v>
      </c>
      <c r="E321" s="1" t="s">
        <v>10162</v>
      </c>
      <c r="F321" s="1" t="s">
        <v>10553</v>
      </c>
      <c r="G321" s="1" t="s">
        <v>10553</v>
      </c>
      <c r="H321" s="1" t="s">
        <v>10160</v>
      </c>
      <c r="I321" s="1" t="s">
        <v>10160</v>
      </c>
      <c r="L321" s="1" t="s">
        <v>10197</v>
      </c>
      <c r="M321" s="1" t="s">
        <v>3008</v>
      </c>
      <c r="N321" s="1" t="s">
        <v>3010</v>
      </c>
      <c r="O321" s="1" t="s">
        <v>33</v>
      </c>
      <c r="P321" s="1" t="s">
        <v>10155</v>
      </c>
      <c r="Q321" s="1" t="s">
        <v>20</v>
      </c>
    </row>
    <row r="322" spans="1:17" ht="12.5" x14ac:dyDescent="0.25">
      <c r="A322" s="1" t="s">
        <v>152</v>
      </c>
      <c r="C322" s="1" t="s">
        <v>3019</v>
      </c>
      <c r="D322" s="1" t="s">
        <v>3020</v>
      </c>
      <c r="E322" s="1" t="s">
        <v>10162</v>
      </c>
      <c r="F322" s="1" t="s">
        <v>10553</v>
      </c>
      <c r="G322" s="1" t="s">
        <v>10553</v>
      </c>
      <c r="H322" s="1" t="s">
        <v>10160</v>
      </c>
      <c r="I322" s="1" t="s">
        <v>10160</v>
      </c>
      <c r="M322" s="1" t="s">
        <v>3008</v>
      </c>
      <c r="N322" s="1" t="s">
        <v>3010</v>
      </c>
      <c r="O322" s="1" t="s">
        <v>33</v>
      </c>
      <c r="P322" s="1" t="s">
        <v>10155</v>
      </c>
      <c r="Q322" s="1" t="s">
        <v>20</v>
      </c>
    </row>
    <row r="323" spans="1:17" ht="12.5" x14ac:dyDescent="0.25">
      <c r="A323" s="1" t="s">
        <v>152</v>
      </c>
      <c r="C323" s="1" t="s">
        <v>10608</v>
      </c>
      <c r="D323" s="1" t="s">
        <v>10609</v>
      </c>
      <c r="E323" s="1" t="s">
        <v>10162</v>
      </c>
      <c r="F323" s="1" t="s">
        <v>10553</v>
      </c>
      <c r="G323" s="1" t="s">
        <v>10553</v>
      </c>
      <c r="H323" s="1" t="s">
        <v>10176</v>
      </c>
      <c r="I323" s="1" t="s">
        <v>10176</v>
      </c>
      <c r="J323" s="1" t="s">
        <v>10177</v>
      </c>
      <c r="K323" s="1" t="s">
        <v>10177</v>
      </c>
      <c r="O323" s="1" t="s">
        <v>10155</v>
      </c>
      <c r="P323" s="1" t="s">
        <v>10155</v>
      </c>
    </row>
    <row r="324" spans="1:17" ht="12.5" x14ac:dyDescent="0.25">
      <c r="A324" s="1" t="s">
        <v>152</v>
      </c>
      <c r="C324" s="1" t="s">
        <v>3534</v>
      </c>
      <c r="D324" s="1" t="s">
        <v>3535</v>
      </c>
      <c r="E324" s="1" t="s">
        <v>9929</v>
      </c>
      <c r="F324" s="1" t="s">
        <v>10553</v>
      </c>
      <c r="G324" s="1" t="s">
        <v>10553</v>
      </c>
      <c r="H324" s="1" t="s">
        <v>10172</v>
      </c>
      <c r="I324" s="1" t="s">
        <v>10172</v>
      </c>
      <c r="J324" s="1" t="s">
        <v>10193</v>
      </c>
      <c r="K324" s="1" t="s">
        <v>10440</v>
      </c>
      <c r="L324" s="1" t="s">
        <v>10434</v>
      </c>
      <c r="M324" s="1" t="s">
        <v>3531</v>
      </c>
      <c r="O324" s="1" t="s">
        <v>112</v>
      </c>
      <c r="P324" s="1" t="s">
        <v>10155</v>
      </c>
      <c r="Q324" s="1" t="s">
        <v>29</v>
      </c>
    </row>
    <row r="325" spans="1:17" ht="12.5" x14ac:dyDescent="0.25">
      <c r="A325" s="1" t="s">
        <v>152</v>
      </c>
      <c r="C325" s="1" t="s">
        <v>5392</v>
      </c>
      <c r="D325" s="1" t="s">
        <v>5393</v>
      </c>
      <c r="E325" s="1" t="s">
        <v>10162</v>
      </c>
      <c r="F325" s="1" t="s">
        <v>10162</v>
      </c>
      <c r="G325" s="1" t="s">
        <v>10610</v>
      </c>
      <c r="H325" s="1" t="s">
        <v>10152</v>
      </c>
      <c r="I325" s="1" t="s">
        <v>10153</v>
      </c>
      <c r="L325" s="1" t="s">
        <v>10197</v>
      </c>
      <c r="M325" s="1" t="s">
        <v>5391</v>
      </c>
      <c r="O325" s="1" t="s">
        <v>33</v>
      </c>
      <c r="P325" s="1" t="s">
        <v>10155</v>
      </c>
      <c r="Q325" s="1" t="s">
        <v>29</v>
      </c>
    </row>
    <row r="326" spans="1:17" ht="12.5" x14ac:dyDescent="0.25">
      <c r="A326" s="1" t="s">
        <v>152</v>
      </c>
      <c r="C326" s="1" t="s">
        <v>4699</v>
      </c>
      <c r="D326" s="1" t="s">
        <v>4700</v>
      </c>
      <c r="E326" s="1" t="s">
        <v>9928</v>
      </c>
      <c r="F326" s="1" t="s">
        <v>10531</v>
      </c>
      <c r="G326" s="1" t="s">
        <v>10531</v>
      </c>
      <c r="H326" s="1" t="s">
        <v>10183</v>
      </c>
      <c r="I326" s="1" t="s">
        <v>10183</v>
      </c>
      <c r="M326" s="1" t="s">
        <v>4701</v>
      </c>
      <c r="N326" s="1" t="s">
        <v>4703</v>
      </c>
      <c r="O326" s="1" t="s">
        <v>59</v>
      </c>
      <c r="P326" s="1" t="s">
        <v>124</v>
      </c>
      <c r="Q326" s="1" t="s">
        <v>29</v>
      </c>
    </row>
    <row r="327" spans="1:17" ht="12.5" x14ac:dyDescent="0.25">
      <c r="A327" s="1" t="s">
        <v>152</v>
      </c>
      <c r="C327" s="1" t="s">
        <v>4695</v>
      </c>
      <c r="D327" s="1" t="s">
        <v>4696</v>
      </c>
      <c r="E327" s="1" t="s">
        <v>9928</v>
      </c>
      <c r="F327" s="1" t="s">
        <v>10531</v>
      </c>
      <c r="G327" s="1" t="s">
        <v>10531</v>
      </c>
      <c r="H327" s="1" t="s">
        <v>10183</v>
      </c>
      <c r="I327" s="1" t="s">
        <v>10183</v>
      </c>
      <c r="M327" s="1" t="s">
        <v>4697</v>
      </c>
      <c r="O327" s="1" t="s">
        <v>10155</v>
      </c>
      <c r="P327" s="1" t="s">
        <v>10155</v>
      </c>
      <c r="Q327" s="1" t="s">
        <v>29</v>
      </c>
    </row>
    <row r="328" spans="1:17" ht="12.5" x14ac:dyDescent="0.25">
      <c r="A328" s="1" t="s">
        <v>152</v>
      </c>
      <c r="C328" s="1" t="s">
        <v>5488</v>
      </c>
      <c r="D328" s="1" t="s">
        <v>5489</v>
      </c>
      <c r="E328" s="1" t="s">
        <v>9928</v>
      </c>
      <c r="F328" s="1" t="s">
        <v>10563</v>
      </c>
      <c r="G328" s="1" t="s">
        <v>10611</v>
      </c>
      <c r="H328" s="1" t="s">
        <v>10183</v>
      </c>
      <c r="I328" s="1" t="s">
        <v>10183</v>
      </c>
      <c r="M328" s="1" t="s">
        <v>5490</v>
      </c>
      <c r="N328" s="1" t="s">
        <v>5492</v>
      </c>
      <c r="O328" s="1" t="s">
        <v>33</v>
      </c>
      <c r="P328" s="1" t="s">
        <v>33</v>
      </c>
      <c r="Q328" s="1" t="s">
        <v>29</v>
      </c>
    </row>
    <row r="329" spans="1:17" ht="12.5" x14ac:dyDescent="0.25">
      <c r="A329" s="1" t="s">
        <v>152</v>
      </c>
      <c r="C329" s="1" t="s">
        <v>4691</v>
      </c>
      <c r="D329" s="1" t="s">
        <v>4692</v>
      </c>
      <c r="E329" s="1" t="s">
        <v>9928</v>
      </c>
      <c r="F329" s="1" t="s">
        <v>10531</v>
      </c>
      <c r="G329" s="1" t="s">
        <v>10531</v>
      </c>
      <c r="H329" s="1" t="s">
        <v>10183</v>
      </c>
      <c r="I329" s="1" t="s">
        <v>10183</v>
      </c>
      <c r="M329" s="1" t="s">
        <v>4693</v>
      </c>
      <c r="O329" s="1" t="s">
        <v>10155</v>
      </c>
      <c r="P329" s="1" t="s">
        <v>10155</v>
      </c>
      <c r="Q329" s="1" t="s">
        <v>29</v>
      </c>
    </row>
    <row r="330" spans="1:17" ht="12.5" x14ac:dyDescent="0.25">
      <c r="A330" s="1" t="s">
        <v>152</v>
      </c>
      <c r="C330" s="1" t="s">
        <v>4685</v>
      </c>
      <c r="D330" s="1" t="s">
        <v>4686</v>
      </c>
      <c r="E330" s="1" t="s">
        <v>9928</v>
      </c>
      <c r="F330" s="1" t="s">
        <v>10531</v>
      </c>
      <c r="G330" s="1" t="s">
        <v>10531</v>
      </c>
      <c r="H330" s="1" t="s">
        <v>10160</v>
      </c>
      <c r="I330" s="1" t="s">
        <v>10160</v>
      </c>
      <c r="M330" s="1" t="s">
        <v>4687</v>
      </c>
      <c r="N330" s="1" t="s">
        <v>4689</v>
      </c>
      <c r="O330" s="1" t="s">
        <v>59</v>
      </c>
      <c r="P330" s="1" t="s">
        <v>10155</v>
      </c>
      <c r="Q330" s="1" t="s">
        <v>29</v>
      </c>
    </row>
    <row r="331" spans="1:17" ht="12.5" x14ac:dyDescent="0.25">
      <c r="A331" s="1" t="s">
        <v>152</v>
      </c>
      <c r="C331" s="1" t="s">
        <v>6868</v>
      </c>
      <c r="D331" s="1" t="s">
        <v>6869</v>
      </c>
      <c r="E331" s="1" t="s">
        <v>10162</v>
      </c>
      <c r="F331" s="1" t="s">
        <v>10516</v>
      </c>
      <c r="G331" s="1" t="s">
        <v>10556</v>
      </c>
      <c r="H331" s="1" t="s">
        <v>10160</v>
      </c>
      <c r="I331" s="1" t="s">
        <v>10160</v>
      </c>
      <c r="M331" s="1" t="s">
        <v>6870</v>
      </c>
      <c r="N331" s="1" t="s">
        <v>3132</v>
      </c>
      <c r="O331" s="1" t="s">
        <v>124</v>
      </c>
      <c r="P331" s="1" t="s">
        <v>10155</v>
      </c>
      <c r="Q331" s="1" t="s">
        <v>29</v>
      </c>
    </row>
    <row r="332" spans="1:17" ht="12.5" x14ac:dyDescent="0.25">
      <c r="A332" s="1" t="s">
        <v>152</v>
      </c>
      <c r="C332" s="1" t="s">
        <v>6863</v>
      </c>
      <c r="D332" s="1" t="s">
        <v>6864</v>
      </c>
      <c r="E332" s="1" t="s">
        <v>10162</v>
      </c>
      <c r="F332" s="1" t="s">
        <v>10516</v>
      </c>
      <c r="G332" s="1" t="s">
        <v>10556</v>
      </c>
      <c r="H332" s="1" t="s">
        <v>10183</v>
      </c>
      <c r="I332" s="1" t="s">
        <v>10183</v>
      </c>
      <c r="M332" s="1" t="s">
        <v>6865</v>
      </c>
      <c r="N332" s="1" t="s">
        <v>3132</v>
      </c>
      <c r="O332" s="1" t="s">
        <v>33</v>
      </c>
      <c r="P332" s="1" t="s">
        <v>33</v>
      </c>
      <c r="Q332" s="1" t="s">
        <v>29</v>
      </c>
    </row>
    <row r="333" spans="1:17" ht="12.5" x14ac:dyDescent="0.25">
      <c r="A333" s="1" t="s">
        <v>152</v>
      </c>
      <c r="C333" s="1" t="s">
        <v>4680</v>
      </c>
      <c r="D333" s="1" t="s">
        <v>4681</v>
      </c>
      <c r="E333" s="1" t="s">
        <v>9928</v>
      </c>
      <c r="F333" s="1" t="s">
        <v>10565</v>
      </c>
      <c r="G333" s="1" t="s">
        <v>10612</v>
      </c>
      <c r="H333" s="1" t="s">
        <v>10152</v>
      </c>
      <c r="I333" s="1" t="s">
        <v>10153</v>
      </c>
      <c r="L333" s="1" t="s">
        <v>10197</v>
      </c>
      <c r="M333" s="1" t="s">
        <v>4682</v>
      </c>
      <c r="O333" s="1" t="s">
        <v>112</v>
      </c>
      <c r="P333" s="1" t="s">
        <v>10155</v>
      </c>
      <c r="Q333" s="1" t="s">
        <v>29</v>
      </c>
    </row>
    <row r="334" spans="1:17" ht="12.5" x14ac:dyDescent="0.25">
      <c r="A334" s="1" t="s">
        <v>152</v>
      </c>
      <c r="C334" s="1" t="s">
        <v>4677</v>
      </c>
      <c r="D334" s="1" t="s">
        <v>10613</v>
      </c>
      <c r="E334" s="1" t="s">
        <v>9928</v>
      </c>
      <c r="F334" s="1" t="s">
        <v>10565</v>
      </c>
      <c r="G334" s="1" t="s">
        <v>10612</v>
      </c>
      <c r="H334" s="1" t="s">
        <v>10152</v>
      </c>
      <c r="I334" s="1" t="s">
        <v>10153</v>
      </c>
      <c r="M334" s="1" t="s">
        <v>4678</v>
      </c>
      <c r="O334" s="1" t="s">
        <v>169</v>
      </c>
      <c r="P334" s="1" t="s">
        <v>10155</v>
      </c>
      <c r="Q334" s="1" t="s">
        <v>29</v>
      </c>
    </row>
    <row r="335" spans="1:17" ht="12.5" x14ac:dyDescent="0.25">
      <c r="A335" s="1" t="s">
        <v>152</v>
      </c>
      <c r="C335" s="1" t="s">
        <v>4672</v>
      </c>
      <c r="D335" s="1" t="s">
        <v>4673</v>
      </c>
      <c r="E335" s="1" t="s">
        <v>10162</v>
      </c>
      <c r="F335" s="1" t="s">
        <v>10516</v>
      </c>
      <c r="G335" s="1" t="s">
        <v>10614</v>
      </c>
      <c r="H335" s="1" t="s">
        <v>10172</v>
      </c>
      <c r="I335" s="1" t="s">
        <v>10172</v>
      </c>
      <c r="J335" s="1" t="s">
        <v>10193</v>
      </c>
      <c r="K335" s="1" t="s">
        <v>10573</v>
      </c>
      <c r="L335" s="1" t="s">
        <v>10434</v>
      </c>
      <c r="M335" s="1" t="s">
        <v>4674</v>
      </c>
      <c r="O335" s="1" t="s">
        <v>10155</v>
      </c>
      <c r="P335" s="1" t="s">
        <v>10155</v>
      </c>
      <c r="Q335" s="1" t="s">
        <v>29</v>
      </c>
    </row>
    <row r="336" spans="1:17" ht="12.5" x14ac:dyDescent="0.25">
      <c r="A336" s="1" t="s">
        <v>152</v>
      </c>
      <c r="C336" s="1" t="s">
        <v>6741</v>
      </c>
      <c r="D336" s="1" t="s">
        <v>6742</v>
      </c>
      <c r="E336" s="1" t="s">
        <v>10156</v>
      </c>
      <c r="F336" s="1" t="s">
        <v>10156</v>
      </c>
      <c r="G336" s="1" t="s">
        <v>10615</v>
      </c>
      <c r="H336" s="1" t="s">
        <v>10152</v>
      </c>
      <c r="I336" s="1" t="s">
        <v>10153</v>
      </c>
      <c r="M336" s="1" t="s">
        <v>6743</v>
      </c>
      <c r="N336" s="1" t="s">
        <v>6745</v>
      </c>
      <c r="O336" s="1" t="s">
        <v>292</v>
      </c>
      <c r="P336" s="1" t="s">
        <v>10155</v>
      </c>
      <c r="Q336" s="1" t="s">
        <v>29</v>
      </c>
    </row>
    <row r="337" spans="1:17" ht="12.5" x14ac:dyDescent="0.25">
      <c r="A337" s="1" t="s">
        <v>152</v>
      </c>
      <c r="C337" s="1" t="s">
        <v>4667</v>
      </c>
      <c r="D337" s="1" t="s">
        <v>4668</v>
      </c>
      <c r="E337" s="1" t="s">
        <v>10156</v>
      </c>
      <c r="F337" s="1" t="s">
        <v>10156</v>
      </c>
      <c r="G337" s="1" t="s">
        <v>10550</v>
      </c>
      <c r="H337" s="1" t="s">
        <v>10183</v>
      </c>
      <c r="I337" s="1" t="s">
        <v>10183</v>
      </c>
      <c r="M337" s="1" t="s">
        <v>7089</v>
      </c>
      <c r="N337" s="1" t="s">
        <v>7091</v>
      </c>
      <c r="O337" s="1" t="s">
        <v>59</v>
      </c>
      <c r="P337" s="1" t="s">
        <v>124</v>
      </c>
      <c r="Q337" s="1" t="s">
        <v>29</v>
      </c>
    </row>
    <row r="338" spans="1:17" ht="12.5" x14ac:dyDescent="0.25">
      <c r="A338" s="1" t="s">
        <v>152</v>
      </c>
      <c r="C338" s="1" t="s">
        <v>4667</v>
      </c>
      <c r="D338" s="1" t="s">
        <v>4668</v>
      </c>
      <c r="E338" s="1" t="s">
        <v>10156</v>
      </c>
      <c r="F338" s="1" t="s">
        <v>10156</v>
      </c>
      <c r="G338" s="1" t="s">
        <v>10550</v>
      </c>
      <c r="H338" s="1" t="s">
        <v>10183</v>
      </c>
      <c r="I338" s="1" t="s">
        <v>10183</v>
      </c>
      <c r="M338" s="1" t="s">
        <v>4669</v>
      </c>
      <c r="N338" s="1" t="s">
        <v>10524</v>
      </c>
      <c r="O338" s="1" t="s">
        <v>24</v>
      </c>
      <c r="P338" s="1" t="s">
        <v>53</v>
      </c>
      <c r="Q338" s="1" t="s">
        <v>29</v>
      </c>
    </row>
    <row r="339" spans="1:17" ht="12.5" x14ac:dyDescent="0.25">
      <c r="A339" s="1" t="s">
        <v>152</v>
      </c>
      <c r="C339" s="1" t="s">
        <v>4662</v>
      </c>
      <c r="D339" s="1" t="s">
        <v>4663</v>
      </c>
      <c r="E339" s="1" t="s">
        <v>10156</v>
      </c>
      <c r="F339" s="1" t="s">
        <v>10156</v>
      </c>
      <c r="G339" s="1" t="s">
        <v>10550</v>
      </c>
      <c r="H339" s="1" t="s">
        <v>10152</v>
      </c>
      <c r="I339" s="1" t="s">
        <v>10153</v>
      </c>
      <c r="L339" s="1" t="s">
        <v>10197</v>
      </c>
      <c r="M339" s="1" t="s">
        <v>4664</v>
      </c>
      <c r="O339" s="1" t="s">
        <v>10155</v>
      </c>
      <c r="P339" s="1" t="s">
        <v>10155</v>
      </c>
      <c r="Q339" s="1" t="s">
        <v>29</v>
      </c>
    </row>
    <row r="340" spans="1:17" ht="12.5" x14ac:dyDescent="0.25">
      <c r="A340" s="1" t="s">
        <v>152</v>
      </c>
      <c r="C340" s="1" t="s">
        <v>10616</v>
      </c>
      <c r="D340" s="1" t="s">
        <v>10617</v>
      </c>
      <c r="E340" s="1" t="s">
        <v>10156</v>
      </c>
      <c r="F340" s="1" t="s">
        <v>10156</v>
      </c>
      <c r="G340" s="1" t="s">
        <v>10550</v>
      </c>
      <c r="H340" s="1" t="s">
        <v>10176</v>
      </c>
      <c r="I340" s="1" t="s">
        <v>10176</v>
      </c>
      <c r="J340" s="1" t="s">
        <v>10262</v>
      </c>
      <c r="K340" s="1" t="s">
        <v>10262</v>
      </c>
      <c r="O340" s="1" t="s">
        <v>10155</v>
      </c>
      <c r="P340" s="1" t="s">
        <v>10155</v>
      </c>
    </row>
    <row r="341" spans="1:17" ht="12.5" x14ac:dyDescent="0.25">
      <c r="A341" s="1" t="s">
        <v>152</v>
      </c>
      <c r="C341" s="1" t="s">
        <v>10618</v>
      </c>
      <c r="D341" s="1" t="s">
        <v>10619</v>
      </c>
      <c r="E341" s="1" t="s">
        <v>10156</v>
      </c>
      <c r="F341" s="1" t="s">
        <v>10156</v>
      </c>
      <c r="G341" s="1" t="s">
        <v>10550</v>
      </c>
      <c r="H341" s="1" t="s">
        <v>10152</v>
      </c>
      <c r="I341" s="1" t="s">
        <v>10164</v>
      </c>
      <c r="O341" s="1" t="s">
        <v>10155</v>
      </c>
      <c r="P341" s="1" t="s">
        <v>10155</v>
      </c>
    </row>
    <row r="342" spans="1:17" ht="12.5" x14ac:dyDescent="0.25">
      <c r="A342" s="1" t="s">
        <v>152</v>
      </c>
      <c r="C342" s="1" t="s">
        <v>10620</v>
      </c>
      <c r="D342" s="1" t="s">
        <v>10621</v>
      </c>
      <c r="E342" s="1" t="s">
        <v>10156</v>
      </c>
      <c r="F342" s="1" t="s">
        <v>10156</v>
      </c>
      <c r="G342" s="1" t="s">
        <v>10550</v>
      </c>
      <c r="H342" s="1" t="s">
        <v>10172</v>
      </c>
      <c r="I342" s="1" t="s">
        <v>10172</v>
      </c>
      <c r="J342" s="1" t="s">
        <v>10193</v>
      </c>
      <c r="K342" s="1" t="s">
        <v>10193</v>
      </c>
      <c r="L342" s="1" t="s">
        <v>10622</v>
      </c>
      <c r="O342" s="1" t="s">
        <v>10155</v>
      </c>
      <c r="P342" s="1" t="s">
        <v>10155</v>
      </c>
    </row>
    <row r="343" spans="1:17" ht="12.5" x14ac:dyDescent="0.25">
      <c r="A343" s="1" t="s">
        <v>152</v>
      </c>
      <c r="C343" s="1" t="s">
        <v>4658</v>
      </c>
      <c r="D343" s="1" t="s">
        <v>4659</v>
      </c>
      <c r="E343" s="1" t="s">
        <v>10156</v>
      </c>
      <c r="F343" s="1" t="s">
        <v>10156</v>
      </c>
      <c r="G343" s="1" t="s">
        <v>10550</v>
      </c>
      <c r="H343" s="1" t="s">
        <v>10172</v>
      </c>
      <c r="I343" s="1" t="s">
        <v>10172</v>
      </c>
      <c r="J343" s="1" t="s">
        <v>10193</v>
      </c>
      <c r="K343" s="1" t="s">
        <v>10193</v>
      </c>
      <c r="L343" s="1" t="s">
        <v>10622</v>
      </c>
      <c r="M343" s="1" t="s">
        <v>4660</v>
      </c>
      <c r="O343" s="1" t="s">
        <v>10155</v>
      </c>
      <c r="P343" s="1" t="s">
        <v>10155</v>
      </c>
      <c r="Q343" s="1" t="s">
        <v>20</v>
      </c>
    </row>
    <row r="344" spans="1:17" ht="12.5" x14ac:dyDescent="0.25">
      <c r="A344" s="1" t="s">
        <v>152</v>
      </c>
      <c r="C344" s="1" t="s">
        <v>10623</v>
      </c>
      <c r="D344" s="1" t="s">
        <v>10624</v>
      </c>
      <c r="E344" s="1" t="s">
        <v>10156</v>
      </c>
      <c r="F344" s="1" t="s">
        <v>10156</v>
      </c>
      <c r="G344" s="1" t="s">
        <v>10550</v>
      </c>
      <c r="H344" s="1" t="s">
        <v>10172</v>
      </c>
      <c r="I344" s="1" t="s">
        <v>10172</v>
      </c>
      <c r="J344" s="1" t="s">
        <v>10193</v>
      </c>
      <c r="K344" s="1" t="s">
        <v>10193</v>
      </c>
      <c r="L344" s="1" t="s">
        <v>10622</v>
      </c>
      <c r="O344" s="1" t="s">
        <v>10155</v>
      </c>
      <c r="P344" s="1" t="s">
        <v>10155</v>
      </c>
    </row>
    <row r="345" spans="1:17" ht="12.5" x14ac:dyDescent="0.25">
      <c r="A345" s="1" t="s">
        <v>152</v>
      </c>
      <c r="C345" s="1" t="s">
        <v>10625</v>
      </c>
      <c r="D345" s="1" t="s">
        <v>10626</v>
      </c>
      <c r="E345" s="1" t="s">
        <v>10156</v>
      </c>
      <c r="F345" s="1" t="s">
        <v>10156</v>
      </c>
      <c r="G345" s="1" t="s">
        <v>10521</v>
      </c>
      <c r="H345" s="1" t="s">
        <v>10176</v>
      </c>
      <c r="I345" s="1" t="s">
        <v>10176</v>
      </c>
      <c r="J345" s="1" t="s">
        <v>10262</v>
      </c>
      <c r="K345" s="1" t="s">
        <v>10262</v>
      </c>
      <c r="O345" s="1" t="s">
        <v>10155</v>
      </c>
      <c r="P345" s="1" t="s">
        <v>10155</v>
      </c>
    </row>
    <row r="346" spans="1:17" ht="12.5" x14ac:dyDescent="0.25">
      <c r="A346" s="1" t="s">
        <v>152</v>
      </c>
      <c r="C346" s="1" t="s">
        <v>4653</v>
      </c>
      <c r="D346" s="1" t="s">
        <v>4654</v>
      </c>
      <c r="E346" s="1" t="s">
        <v>10156</v>
      </c>
      <c r="F346" s="1" t="s">
        <v>10156</v>
      </c>
      <c r="G346" s="1" t="s">
        <v>10627</v>
      </c>
      <c r="H346" s="1" t="s">
        <v>10152</v>
      </c>
      <c r="I346" s="1" t="s">
        <v>10153</v>
      </c>
      <c r="L346" s="1" t="s">
        <v>10197</v>
      </c>
      <c r="M346" s="1" t="s">
        <v>4655</v>
      </c>
      <c r="O346" s="1" t="s">
        <v>169</v>
      </c>
      <c r="P346" s="1" t="s">
        <v>10155</v>
      </c>
      <c r="Q346" s="1" t="s">
        <v>29</v>
      </c>
    </row>
    <row r="347" spans="1:17" ht="12.5" x14ac:dyDescent="0.25">
      <c r="A347" s="1" t="s">
        <v>152</v>
      </c>
      <c r="C347" s="1" t="s">
        <v>4649</v>
      </c>
      <c r="D347" s="1" t="s">
        <v>10628</v>
      </c>
      <c r="E347" s="1" t="s">
        <v>9928</v>
      </c>
      <c r="F347" s="1" t="s">
        <v>10629</v>
      </c>
      <c r="G347" s="1" t="s">
        <v>10630</v>
      </c>
      <c r="H347" s="1" t="s">
        <v>10160</v>
      </c>
      <c r="I347" s="1" t="s">
        <v>10160</v>
      </c>
      <c r="L347" s="1" t="s">
        <v>10197</v>
      </c>
      <c r="M347" s="1" t="s">
        <v>4650</v>
      </c>
      <c r="N347" s="1" t="s">
        <v>3357</v>
      </c>
      <c r="O347" s="1" t="s">
        <v>59</v>
      </c>
      <c r="P347" s="1" t="s">
        <v>10155</v>
      </c>
      <c r="Q347" s="1" t="s">
        <v>29</v>
      </c>
    </row>
    <row r="348" spans="1:17" ht="12.5" x14ac:dyDescent="0.25">
      <c r="A348" s="1" t="s">
        <v>152</v>
      </c>
      <c r="C348" s="1" t="s">
        <v>4643</v>
      </c>
      <c r="D348" s="1" t="s">
        <v>4644</v>
      </c>
      <c r="E348" s="1" t="s">
        <v>10162</v>
      </c>
      <c r="F348" s="1" t="s">
        <v>10516</v>
      </c>
      <c r="G348" s="1" t="s">
        <v>10631</v>
      </c>
      <c r="H348" s="1" t="s">
        <v>10172</v>
      </c>
      <c r="I348" s="1" t="s">
        <v>10172</v>
      </c>
      <c r="J348" s="1" t="s">
        <v>10173</v>
      </c>
      <c r="K348" s="1" t="s">
        <v>10173</v>
      </c>
      <c r="M348" s="1" t="s">
        <v>4645</v>
      </c>
      <c r="N348" s="1" t="s">
        <v>4647</v>
      </c>
      <c r="O348" s="1" t="s">
        <v>10155</v>
      </c>
      <c r="P348" s="1" t="s">
        <v>10155</v>
      </c>
      <c r="Q348" s="1" t="s">
        <v>29</v>
      </c>
    </row>
    <row r="349" spans="1:17" ht="12.5" x14ac:dyDescent="0.25">
      <c r="A349" s="1" t="s">
        <v>152</v>
      </c>
      <c r="C349" s="1" t="s">
        <v>8068</v>
      </c>
      <c r="D349" s="1" t="s">
        <v>8069</v>
      </c>
      <c r="E349" s="1" t="s">
        <v>10162</v>
      </c>
      <c r="F349" s="1" t="s">
        <v>10162</v>
      </c>
      <c r="G349" s="1" t="s">
        <v>10632</v>
      </c>
      <c r="H349" s="1" t="s">
        <v>10183</v>
      </c>
      <c r="I349" s="1" t="s">
        <v>10183</v>
      </c>
      <c r="M349" s="1" t="s">
        <v>8070</v>
      </c>
      <c r="O349" s="1" t="s">
        <v>33</v>
      </c>
      <c r="P349" s="1" t="s">
        <v>53</v>
      </c>
      <c r="Q349" s="1" t="s">
        <v>29</v>
      </c>
    </row>
    <row r="350" spans="1:17" ht="12.5" x14ac:dyDescent="0.25">
      <c r="A350" s="1" t="s">
        <v>152</v>
      </c>
      <c r="C350" s="1" t="s">
        <v>10633</v>
      </c>
      <c r="D350" s="1" t="s">
        <v>10634</v>
      </c>
      <c r="E350" s="1" t="s">
        <v>10162</v>
      </c>
      <c r="F350" s="1" t="s">
        <v>10162</v>
      </c>
      <c r="G350" s="1" t="s">
        <v>10632</v>
      </c>
      <c r="H350" s="1" t="s">
        <v>10172</v>
      </c>
      <c r="I350" s="1" t="s">
        <v>10172</v>
      </c>
      <c r="J350" s="1" t="s">
        <v>10173</v>
      </c>
      <c r="K350" s="1" t="s">
        <v>10173</v>
      </c>
      <c r="O350" s="1" t="s">
        <v>10155</v>
      </c>
      <c r="P350" s="1" t="s">
        <v>10155</v>
      </c>
    </row>
    <row r="351" spans="1:17" ht="12.5" x14ac:dyDescent="0.25">
      <c r="A351" s="1" t="s">
        <v>152</v>
      </c>
      <c r="C351" s="1" t="s">
        <v>4637</v>
      </c>
      <c r="D351" s="1" t="s">
        <v>4638</v>
      </c>
      <c r="E351" s="1" t="s">
        <v>9928</v>
      </c>
      <c r="F351" s="1" t="s">
        <v>10563</v>
      </c>
      <c r="G351" s="1" t="s">
        <v>10635</v>
      </c>
      <c r="H351" s="1" t="s">
        <v>10160</v>
      </c>
      <c r="I351" s="1" t="s">
        <v>10160</v>
      </c>
      <c r="M351" s="1" t="s">
        <v>4639</v>
      </c>
      <c r="N351" s="1" t="s">
        <v>4641</v>
      </c>
      <c r="O351" s="1" t="s">
        <v>124</v>
      </c>
      <c r="P351" s="1" t="s">
        <v>10155</v>
      </c>
      <c r="Q351" s="1" t="s">
        <v>29</v>
      </c>
    </row>
    <row r="352" spans="1:17" ht="12.5" x14ac:dyDescent="0.25">
      <c r="A352" s="1" t="s">
        <v>152</v>
      </c>
      <c r="C352" s="1" t="s">
        <v>4633</v>
      </c>
      <c r="D352" s="1" t="s">
        <v>4634</v>
      </c>
      <c r="E352" s="1" t="s">
        <v>10162</v>
      </c>
      <c r="F352" s="1" t="s">
        <v>10162</v>
      </c>
      <c r="G352" s="1" t="s">
        <v>10632</v>
      </c>
      <c r="H352" s="1" t="s">
        <v>10152</v>
      </c>
      <c r="I352" s="1" t="s">
        <v>10153</v>
      </c>
      <c r="L352" s="1" t="s">
        <v>10197</v>
      </c>
      <c r="M352" s="1" t="s">
        <v>4635</v>
      </c>
      <c r="O352" s="1" t="s">
        <v>124</v>
      </c>
      <c r="P352" s="1" t="s">
        <v>10155</v>
      </c>
      <c r="Q352" s="1" t="s">
        <v>29</v>
      </c>
    </row>
    <row r="353" spans="1:17" ht="12.5" x14ac:dyDescent="0.25">
      <c r="A353" s="1" t="s">
        <v>152</v>
      </c>
      <c r="C353" s="1" t="s">
        <v>4628</v>
      </c>
      <c r="D353" s="1" t="s">
        <v>4629</v>
      </c>
      <c r="E353" s="1" t="s">
        <v>10162</v>
      </c>
      <c r="F353" s="1" t="s">
        <v>10162</v>
      </c>
      <c r="G353" s="1" t="s">
        <v>10632</v>
      </c>
      <c r="H353" s="1" t="s">
        <v>10152</v>
      </c>
      <c r="I353" s="1" t="s">
        <v>10153</v>
      </c>
      <c r="L353" s="1" t="s">
        <v>10197</v>
      </c>
      <c r="M353" s="1" t="s">
        <v>4630</v>
      </c>
      <c r="O353" s="1" t="s">
        <v>169</v>
      </c>
      <c r="P353" s="1" t="s">
        <v>10155</v>
      </c>
      <c r="Q353" s="1" t="s">
        <v>29</v>
      </c>
    </row>
    <row r="354" spans="1:17" ht="12.5" x14ac:dyDescent="0.25">
      <c r="A354" s="1" t="s">
        <v>152</v>
      </c>
      <c r="C354" s="1" t="s">
        <v>4622</v>
      </c>
      <c r="D354" s="1" t="s">
        <v>4623</v>
      </c>
      <c r="E354" s="1" t="s">
        <v>10162</v>
      </c>
      <c r="F354" s="1" t="s">
        <v>10162</v>
      </c>
      <c r="G354" s="1" t="s">
        <v>10632</v>
      </c>
      <c r="H354" s="1" t="s">
        <v>10152</v>
      </c>
      <c r="I354" s="1" t="s">
        <v>10153</v>
      </c>
      <c r="L354" s="1" t="s">
        <v>10197</v>
      </c>
      <c r="M354" s="1" t="s">
        <v>4624</v>
      </c>
      <c r="N354" s="1" t="s">
        <v>4626</v>
      </c>
      <c r="O354" s="1" t="s">
        <v>59</v>
      </c>
      <c r="P354" s="1" t="s">
        <v>10155</v>
      </c>
      <c r="Q354" s="1" t="s">
        <v>29</v>
      </c>
    </row>
    <row r="355" spans="1:17" ht="12.5" x14ac:dyDescent="0.25">
      <c r="A355" s="1" t="s">
        <v>152</v>
      </c>
      <c r="C355" s="1" t="s">
        <v>4618</v>
      </c>
      <c r="D355" s="1" t="s">
        <v>4619</v>
      </c>
      <c r="E355" s="1" t="s">
        <v>9928</v>
      </c>
      <c r="F355" s="1" t="s">
        <v>10563</v>
      </c>
      <c r="G355" s="1" t="s">
        <v>10636</v>
      </c>
      <c r="H355" s="1" t="s">
        <v>10152</v>
      </c>
      <c r="I355" s="1" t="s">
        <v>10164</v>
      </c>
      <c r="M355" s="1" t="s">
        <v>4620</v>
      </c>
      <c r="O355" s="1" t="s">
        <v>10155</v>
      </c>
      <c r="P355" s="1" t="s">
        <v>10155</v>
      </c>
      <c r="Q355" s="1" t="s">
        <v>29</v>
      </c>
    </row>
    <row r="356" spans="1:17" ht="12.5" x14ac:dyDescent="0.25">
      <c r="A356" s="1" t="s">
        <v>152</v>
      </c>
      <c r="C356" s="1" t="s">
        <v>4613</v>
      </c>
      <c r="D356" s="1" t="s">
        <v>4614</v>
      </c>
      <c r="E356" s="1" t="s">
        <v>10162</v>
      </c>
      <c r="F356" s="1" t="s">
        <v>10162</v>
      </c>
      <c r="G356" s="1" t="s">
        <v>10637</v>
      </c>
      <c r="H356" s="1" t="s">
        <v>10183</v>
      </c>
      <c r="I356" s="1" t="s">
        <v>10183</v>
      </c>
      <c r="M356" s="1" t="s">
        <v>4615</v>
      </c>
      <c r="O356" s="1" t="s">
        <v>10155</v>
      </c>
      <c r="P356" s="1" t="s">
        <v>10155</v>
      </c>
      <c r="Q356" s="1" t="s">
        <v>29</v>
      </c>
    </row>
    <row r="357" spans="1:17" ht="12.5" x14ac:dyDescent="0.25">
      <c r="A357" s="1" t="s">
        <v>152</v>
      </c>
      <c r="C357" s="1" t="s">
        <v>6113</v>
      </c>
      <c r="D357" s="1" t="s">
        <v>6114</v>
      </c>
      <c r="E357" s="1" t="s">
        <v>10162</v>
      </c>
      <c r="F357" s="1" t="s">
        <v>10162</v>
      </c>
      <c r="G357" s="1" t="s">
        <v>10637</v>
      </c>
      <c r="H357" s="1" t="s">
        <v>10486</v>
      </c>
      <c r="I357" s="1" t="s">
        <v>10486</v>
      </c>
      <c r="M357" s="1" t="s">
        <v>6115</v>
      </c>
      <c r="N357" s="1" t="s">
        <v>3132</v>
      </c>
      <c r="O357" s="1" t="s">
        <v>169</v>
      </c>
      <c r="P357" s="1" t="s">
        <v>10155</v>
      </c>
      <c r="Q357" s="1" t="s">
        <v>29</v>
      </c>
    </row>
    <row r="358" spans="1:17" ht="12.5" x14ac:dyDescent="0.25">
      <c r="A358" s="1" t="s">
        <v>152</v>
      </c>
      <c r="C358" s="1" t="s">
        <v>795</v>
      </c>
      <c r="D358" s="1" t="s">
        <v>796</v>
      </c>
      <c r="E358" s="1" t="s">
        <v>10162</v>
      </c>
      <c r="F358" s="1" t="s">
        <v>10162</v>
      </c>
      <c r="G358" s="1" t="s">
        <v>10637</v>
      </c>
      <c r="H358" s="1" t="s">
        <v>10152</v>
      </c>
      <c r="I358" s="1" t="s">
        <v>10153</v>
      </c>
      <c r="M358" s="1" t="s">
        <v>791</v>
      </c>
      <c r="N358" s="1" t="s">
        <v>793</v>
      </c>
      <c r="O358" s="1" t="s">
        <v>10155</v>
      </c>
      <c r="P358" s="1" t="s">
        <v>10155</v>
      </c>
      <c r="Q358" s="1" t="s">
        <v>29</v>
      </c>
    </row>
    <row r="359" spans="1:17" ht="12.5" x14ac:dyDescent="0.25">
      <c r="A359" s="1" t="s">
        <v>152</v>
      </c>
      <c r="C359" s="1" t="s">
        <v>4608</v>
      </c>
      <c r="D359" s="1" t="s">
        <v>4609</v>
      </c>
      <c r="E359" s="1" t="s">
        <v>9928</v>
      </c>
      <c r="F359" s="1" t="s">
        <v>10629</v>
      </c>
      <c r="G359" s="1" t="s">
        <v>10638</v>
      </c>
      <c r="H359" s="1" t="s">
        <v>10152</v>
      </c>
      <c r="I359" s="1" t="s">
        <v>10153</v>
      </c>
      <c r="M359" s="1" t="s">
        <v>4610</v>
      </c>
      <c r="N359" s="1" t="s">
        <v>4612</v>
      </c>
      <c r="O359" s="1" t="s">
        <v>169</v>
      </c>
      <c r="P359" s="1" t="s">
        <v>10155</v>
      </c>
      <c r="Q359" s="1" t="s">
        <v>29</v>
      </c>
    </row>
    <row r="360" spans="1:17" ht="12.5" x14ac:dyDescent="0.25">
      <c r="A360" s="1" t="s">
        <v>152</v>
      </c>
      <c r="C360" s="1" t="s">
        <v>4603</v>
      </c>
      <c r="D360" s="1" t="s">
        <v>4604</v>
      </c>
      <c r="E360" s="1" t="s">
        <v>9928</v>
      </c>
      <c r="F360" s="1" t="s">
        <v>10518</v>
      </c>
      <c r="G360" s="1" t="s">
        <v>10639</v>
      </c>
      <c r="H360" s="1" t="s">
        <v>10152</v>
      </c>
      <c r="I360" s="1" t="s">
        <v>10153</v>
      </c>
      <c r="M360" s="1" t="s">
        <v>6824</v>
      </c>
      <c r="N360" s="1" t="s">
        <v>6826</v>
      </c>
      <c r="O360" s="1" t="s">
        <v>169</v>
      </c>
      <c r="P360" s="1" t="s">
        <v>10155</v>
      </c>
      <c r="Q360" s="1" t="s">
        <v>29</v>
      </c>
    </row>
    <row r="361" spans="1:17" ht="12.5" x14ac:dyDescent="0.25">
      <c r="A361" s="1" t="s">
        <v>152</v>
      </c>
      <c r="C361" s="1" t="s">
        <v>4603</v>
      </c>
      <c r="D361" s="1" t="s">
        <v>4604</v>
      </c>
      <c r="E361" s="1" t="s">
        <v>9928</v>
      </c>
      <c r="F361" s="1" t="s">
        <v>10518</v>
      </c>
      <c r="G361" s="1" t="s">
        <v>10639</v>
      </c>
      <c r="H361" s="1" t="s">
        <v>10152</v>
      </c>
      <c r="I361" s="1" t="s">
        <v>10153</v>
      </c>
      <c r="M361" s="1" t="s">
        <v>4605</v>
      </c>
      <c r="O361" s="1" t="s">
        <v>10155</v>
      </c>
      <c r="P361" s="1" t="s">
        <v>10155</v>
      </c>
      <c r="Q361" s="1" t="s">
        <v>29</v>
      </c>
    </row>
    <row r="362" spans="1:17" ht="12.5" x14ac:dyDescent="0.25">
      <c r="A362" s="1" t="s">
        <v>152</v>
      </c>
      <c r="C362" s="1" t="s">
        <v>10640</v>
      </c>
      <c r="D362" s="1" t="s">
        <v>10641</v>
      </c>
      <c r="E362" s="1" t="s">
        <v>10156</v>
      </c>
      <c r="F362" s="1" t="s">
        <v>10156</v>
      </c>
      <c r="G362" s="1" t="s">
        <v>10520</v>
      </c>
      <c r="H362" s="1" t="s">
        <v>10176</v>
      </c>
      <c r="I362" s="1" t="s">
        <v>10176</v>
      </c>
      <c r="J362" s="1" t="s">
        <v>10558</v>
      </c>
      <c r="K362" s="1" t="s">
        <v>10558</v>
      </c>
      <c r="O362" s="1" t="s">
        <v>10155</v>
      </c>
      <c r="P362" s="1" t="s">
        <v>10155</v>
      </c>
    </row>
    <row r="363" spans="1:17" ht="12.5" x14ac:dyDescent="0.25">
      <c r="A363" s="1" t="s">
        <v>152</v>
      </c>
      <c r="C363" s="1" t="s">
        <v>4599</v>
      </c>
      <c r="D363" s="1" t="s">
        <v>4600</v>
      </c>
      <c r="E363" s="1" t="s">
        <v>10156</v>
      </c>
      <c r="F363" s="1" t="s">
        <v>10156</v>
      </c>
      <c r="G363" s="1" t="s">
        <v>10520</v>
      </c>
      <c r="H363" s="1" t="s">
        <v>10183</v>
      </c>
      <c r="I363" s="1" t="s">
        <v>10183</v>
      </c>
      <c r="M363" s="1" t="s">
        <v>4601</v>
      </c>
      <c r="O363" s="1" t="s">
        <v>24</v>
      </c>
      <c r="P363" s="1" t="s">
        <v>10155</v>
      </c>
      <c r="Q363" s="1" t="s">
        <v>29</v>
      </c>
    </row>
    <row r="364" spans="1:17" ht="12.5" x14ac:dyDescent="0.25">
      <c r="A364" s="1" t="s">
        <v>152</v>
      </c>
      <c r="C364" s="1" t="s">
        <v>4594</v>
      </c>
      <c r="D364" s="1" t="s">
        <v>4595</v>
      </c>
      <c r="E364" s="1" t="s">
        <v>10156</v>
      </c>
      <c r="F364" s="1" t="s">
        <v>10156</v>
      </c>
      <c r="G364" s="1" t="s">
        <v>10520</v>
      </c>
      <c r="H364" s="1" t="s">
        <v>10160</v>
      </c>
      <c r="I364" s="1" t="s">
        <v>10160</v>
      </c>
      <c r="L364" s="1" t="s">
        <v>10197</v>
      </c>
      <c r="M364" s="1" t="s">
        <v>4596</v>
      </c>
      <c r="O364" s="1" t="s">
        <v>124</v>
      </c>
      <c r="P364" s="1" t="s">
        <v>10155</v>
      </c>
      <c r="Q364" s="1" t="s">
        <v>29</v>
      </c>
    </row>
    <row r="365" spans="1:17" ht="12.5" x14ac:dyDescent="0.25">
      <c r="A365" s="1" t="s">
        <v>152</v>
      </c>
      <c r="C365" s="1" t="s">
        <v>4588</v>
      </c>
      <c r="D365" s="1" t="s">
        <v>4589</v>
      </c>
      <c r="E365" s="1" t="s">
        <v>10156</v>
      </c>
      <c r="F365" s="1" t="s">
        <v>10156</v>
      </c>
      <c r="G365" s="1" t="s">
        <v>10520</v>
      </c>
      <c r="H365" s="1" t="s">
        <v>10183</v>
      </c>
      <c r="I365" s="1" t="s">
        <v>10183</v>
      </c>
      <c r="M365" s="1" t="s">
        <v>4590</v>
      </c>
      <c r="N365" s="1" t="s">
        <v>4592</v>
      </c>
      <c r="O365" s="1" t="s">
        <v>24</v>
      </c>
      <c r="P365" s="1" t="s">
        <v>10155</v>
      </c>
      <c r="Q365" s="1" t="s">
        <v>29</v>
      </c>
    </row>
    <row r="366" spans="1:17" ht="12.5" x14ac:dyDescent="0.25">
      <c r="A366" s="1" t="s">
        <v>152</v>
      </c>
      <c r="C366" s="1" t="s">
        <v>4584</v>
      </c>
      <c r="D366" s="1" t="s">
        <v>4585</v>
      </c>
      <c r="E366" s="1" t="s">
        <v>10156</v>
      </c>
      <c r="F366" s="1" t="s">
        <v>10156</v>
      </c>
      <c r="G366" s="1" t="s">
        <v>10520</v>
      </c>
      <c r="H366" s="1" t="s">
        <v>10152</v>
      </c>
      <c r="I366" s="1" t="s">
        <v>10153</v>
      </c>
      <c r="L366" s="1" t="s">
        <v>10197</v>
      </c>
      <c r="M366" s="1" t="s">
        <v>4586</v>
      </c>
      <c r="O366" s="1" t="s">
        <v>169</v>
      </c>
      <c r="P366" s="1" t="s">
        <v>10155</v>
      </c>
      <c r="Q366" s="1" t="s">
        <v>29</v>
      </c>
    </row>
    <row r="367" spans="1:17" ht="12.5" x14ac:dyDescent="0.25">
      <c r="A367" s="1" t="s">
        <v>152</v>
      </c>
      <c r="C367" s="1" t="s">
        <v>240</v>
      </c>
      <c r="D367" s="1" t="s">
        <v>241</v>
      </c>
      <c r="E367" s="1" t="s">
        <v>10162</v>
      </c>
      <c r="F367" s="1" t="s">
        <v>10516</v>
      </c>
      <c r="G367" s="1" t="s">
        <v>10605</v>
      </c>
      <c r="H367" s="1" t="s">
        <v>10160</v>
      </c>
      <c r="I367" s="1" t="s">
        <v>10160</v>
      </c>
      <c r="M367" s="1" t="s">
        <v>230</v>
      </c>
      <c r="N367" s="1" t="s">
        <v>232</v>
      </c>
      <c r="O367" s="1" t="s">
        <v>46</v>
      </c>
      <c r="P367" s="1" t="s">
        <v>10155</v>
      </c>
      <c r="Q367" s="1" t="s">
        <v>29</v>
      </c>
    </row>
    <row r="368" spans="1:17" ht="12.5" x14ac:dyDescent="0.25">
      <c r="A368" s="1" t="s">
        <v>152</v>
      </c>
      <c r="C368" s="1" t="s">
        <v>720</v>
      </c>
      <c r="D368" s="1" t="s">
        <v>721</v>
      </c>
      <c r="E368" s="1" t="s">
        <v>10162</v>
      </c>
      <c r="F368" s="1" t="s">
        <v>10516</v>
      </c>
      <c r="G368" s="1" t="s">
        <v>10594</v>
      </c>
      <c r="H368" s="1" t="s">
        <v>10160</v>
      </c>
      <c r="I368" s="1" t="s">
        <v>10160</v>
      </c>
      <c r="M368" s="1" t="s">
        <v>712</v>
      </c>
      <c r="N368" s="1" t="s">
        <v>714</v>
      </c>
      <c r="O368" s="1" t="s">
        <v>24</v>
      </c>
      <c r="P368" s="1" t="s">
        <v>10155</v>
      </c>
      <c r="Q368" s="1" t="s">
        <v>29</v>
      </c>
    </row>
    <row r="369" spans="1:17" ht="12.5" x14ac:dyDescent="0.25">
      <c r="A369" s="1" t="s">
        <v>152</v>
      </c>
      <c r="C369" s="1" t="s">
        <v>7269</v>
      </c>
      <c r="D369" s="1" t="s">
        <v>7270</v>
      </c>
      <c r="E369" s="1" t="s">
        <v>9928</v>
      </c>
      <c r="F369" s="1" t="s">
        <v>10531</v>
      </c>
      <c r="G369" s="1" t="s">
        <v>10642</v>
      </c>
      <c r="H369" s="1" t="s">
        <v>10160</v>
      </c>
      <c r="I369" s="1" t="s">
        <v>10160</v>
      </c>
      <c r="M369" s="1" t="s">
        <v>7271</v>
      </c>
      <c r="O369" s="1" t="s">
        <v>10155</v>
      </c>
      <c r="P369" s="1" t="s">
        <v>10155</v>
      </c>
      <c r="Q369" s="1" t="s">
        <v>29</v>
      </c>
    </row>
    <row r="370" spans="1:17" ht="12.5" x14ac:dyDescent="0.25">
      <c r="A370" s="1" t="s">
        <v>152</v>
      </c>
      <c r="C370" s="1" t="s">
        <v>8075</v>
      </c>
      <c r="D370" s="1" t="s">
        <v>8076</v>
      </c>
      <c r="E370" s="1" t="s">
        <v>9929</v>
      </c>
      <c r="F370" s="1" t="s">
        <v>10545</v>
      </c>
      <c r="G370" s="1" t="s">
        <v>10643</v>
      </c>
      <c r="H370" s="1" t="s">
        <v>10183</v>
      </c>
      <c r="I370" s="1" t="s">
        <v>10183</v>
      </c>
      <c r="M370" s="1" t="s">
        <v>8077</v>
      </c>
      <c r="N370" s="1" t="s">
        <v>8079</v>
      </c>
      <c r="O370" s="1" t="s">
        <v>59</v>
      </c>
      <c r="P370" s="1" t="s">
        <v>59</v>
      </c>
      <c r="Q370" s="1" t="s">
        <v>29</v>
      </c>
    </row>
    <row r="371" spans="1:17" ht="12.5" x14ac:dyDescent="0.25">
      <c r="A371" s="1" t="s">
        <v>152</v>
      </c>
      <c r="C371" s="1" t="s">
        <v>9208</v>
      </c>
      <c r="D371" s="1" t="s">
        <v>9209</v>
      </c>
      <c r="E371" s="1" t="s">
        <v>9929</v>
      </c>
      <c r="F371" s="1" t="s">
        <v>10545</v>
      </c>
      <c r="G371" s="1" t="s">
        <v>10545</v>
      </c>
      <c r="H371" s="1" t="s">
        <v>10172</v>
      </c>
      <c r="I371" s="1" t="s">
        <v>10172</v>
      </c>
      <c r="J371" s="1" t="s">
        <v>10193</v>
      </c>
      <c r="K371" s="1" t="s">
        <v>10173</v>
      </c>
      <c r="L371" s="1" t="s">
        <v>10434</v>
      </c>
      <c r="M371" s="1" t="s">
        <v>9210</v>
      </c>
      <c r="N371" s="1" t="s">
        <v>10644</v>
      </c>
      <c r="O371" s="1" t="s">
        <v>112</v>
      </c>
      <c r="P371" s="1" t="s">
        <v>10155</v>
      </c>
      <c r="Q371" s="1" t="s">
        <v>29</v>
      </c>
    </row>
    <row r="372" spans="1:17" ht="12.5" x14ac:dyDescent="0.25">
      <c r="A372" s="1" t="s">
        <v>152</v>
      </c>
      <c r="C372" s="1" t="s">
        <v>4575</v>
      </c>
      <c r="D372" s="1" t="s">
        <v>4576</v>
      </c>
      <c r="E372" s="1" t="s">
        <v>9929</v>
      </c>
      <c r="F372" s="1" t="s">
        <v>10545</v>
      </c>
      <c r="G372" s="1" t="s">
        <v>10643</v>
      </c>
      <c r="H372" s="1" t="s">
        <v>10152</v>
      </c>
      <c r="I372" s="1" t="s">
        <v>10153</v>
      </c>
      <c r="M372" s="1" t="s">
        <v>4577</v>
      </c>
      <c r="O372" s="1" t="s">
        <v>112</v>
      </c>
      <c r="P372" s="1" t="s">
        <v>10155</v>
      </c>
      <c r="Q372" s="1" t="s">
        <v>29</v>
      </c>
    </row>
    <row r="373" spans="1:17" ht="12.5" x14ac:dyDescent="0.25">
      <c r="A373" s="1" t="s">
        <v>152</v>
      </c>
      <c r="C373" s="1" t="s">
        <v>4570</v>
      </c>
      <c r="D373" s="1" t="s">
        <v>4571</v>
      </c>
      <c r="E373" s="1" t="s">
        <v>10162</v>
      </c>
      <c r="F373" s="1" t="s">
        <v>10516</v>
      </c>
      <c r="G373" s="1" t="s">
        <v>10645</v>
      </c>
      <c r="H373" s="1" t="s">
        <v>10152</v>
      </c>
      <c r="I373" s="1" t="s">
        <v>10153</v>
      </c>
      <c r="L373" s="1" t="s">
        <v>10197</v>
      </c>
      <c r="M373" s="1" t="s">
        <v>4572</v>
      </c>
      <c r="O373" s="1" t="s">
        <v>10155</v>
      </c>
      <c r="P373" s="1" t="s">
        <v>10155</v>
      </c>
      <c r="Q373" s="1" t="s">
        <v>29</v>
      </c>
    </row>
    <row r="374" spans="1:17" ht="12.5" x14ac:dyDescent="0.25">
      <c r="A374" s="1" t="s">
        <v>152</v>
      </c>
      <c r="C374" s="1" t="s">
        <v>4566</v>
      </c>
      <c r="D374" s="1" t="s">
        <v>4567</v>
      </c>
      <c r="E374" s="1" t="s">
        <v>10162</v>
      </c>
      <c r="F374" s="1" t="s">
        <v>10516</v>
      </c>
      <c r="G374" s="1" t="s">
        <v>10645</v>
      </c>
      <c r="H374" s="1" t="s">
        <v>10172</v>
      </c>
      <c r="I374" s="1" t="s">
        <v>10172</v>
      </c>
      <c r="J374" s="1" t="s">
        <v>10173</v>
      </c>
      <c r="K374" s="1" t="s">
        <v>10173</v>
      </c>
      <c r="M374" s="1" t="s">
        <v>4568</v>
      </c>
      <c r="O374" s="1" t="s">
        <v>10155</v>
      </c>
      <c r="P374" s="1" t="s">
        <v>10155</v>
      </c>
      <c r="Q374" s="1" t="s">
        <v>20</v>
      </c>
    </row>
    <row r="375" spans="1:17" ht="12.5" x14ac:dyDescent="0.25">
      <c r="A375" s="1" t="s">
        <v>152</v>
      </c>
      <c r="C375" s="1" t="s">
        <v>4561</v>
      </c>
      <c r="D375" s="1" t="s">
        <v>4562</v>
      </c>
      <c r="E375" s="1" t="s">
        <v>10162</v>
      </c>
      <c r="F375" s="1" t="s">
        <v>10516</v>
      </c>
      <c r="G375" s="1" t="s">
        <v>10645</v>
      </c>
      <c r="H375" s="1" t="s">
        <v>10152</v>
      </c>
      <c r="I375" s="1" t="s">
        <v>10153</v>
      </c>
      <c r="M375" s="1" t="s">
        <v>8591</v>
      </c>
      <c r="N375" s="1" t="s">
        <v>10646</v>
      </c>
      <c r="O375" s="1" t="s">
        <v>169</v>
      </c>
      <c r="P375" s="1" t="s">
        <v>10155</v>
      </c>
      <c r="Q375" s="1" t="s">
        <v>29</v>
      </c>
    </row>
    <row r="376" spans="1:17" ht="12.5" x14ac:dyDescent="0.25">
      <c r="A376" s="1" t="s">
        <v>152</v>
      </c>
      <c r="C376" s="1" t="s">
        <v>4561</v>
      </c>
      <c r="D376" s="1" t="s">
        <v>4562</v>
      </c>
      <c r="E376" s="1" t="s">
        <v>10162</v>
      </c>
      <c r="F376" s="1" t="s">
        <v>10516</v>
      </c>
      <c r="G376" s="1" t="s">
        <v>10645</v>
      </c>
      <c r="H376" s="1" t="s">
        <v>10152</v>
      </c>
      <c r="I376" s="1" t="s">
        <v>10153</v>
      </c>
      <c r="M376" s="1" t="s">
        <v>4563</v>
      </c>
      <c r="O376" s="1" t="s">
        <v>10155</v>
      </c>
      <c r="P376" s="1" t="s">
        <v>10155</v>
      </c>
      <c r="Q376" s="1" t="s">
        <v>29</v>
      </c>
    </row>
    <row r="377" spans="1:17" ht="12.5" x14ac:dyDescent="0.25">
      <c r="A377" s="1" t="s">
        <v>152</v>
      </c>
      <c r="C377" s="1" t="s">
        <v>4556</v>
      </c>
      <c r="D377" s="1" t="s">
        <v>4557</v>
      </c>
      <c r="E377" s="1" t="s">
        <v>10162</v>
      </c>
      <c r="F377" s="1" t="s">
        <v>10516</v>
      </c>
      <c r="G377" s="1" t="s">
        <v>10647</v>
      </c>
      <c r="H377" s="1" t="s">
        <v>10152</v>
      </c>
      <c r="I377" s="1" t="s">
        <v>10153</v>
      </c>
      <c r="L377" s="1" t="s">
        <v>10197</v>
      </c>
      <c r="M377" s="1" t="s">
        <v>4558</v>
      </c>
      <c r="O377" s="1" t="s">
        <v>292</v>
      </c>
      <c r="P377" s="1" t="s">
        <v>10155</v>
      </c>
      <c r="Q377" s="1" t="s">
        <v>20</v>
      </c>
    </row>
    <row r="378" spans="1:17" ht="12.5" x14ac:dyDescent="0.25">
      <c r="A378" s="1" t="s">
        <v>152</v>
      </c>
      <c r="C378" s="1" t="s">
        <v>4551</v>
      </c>
      <c r="D378" s="1" t="s">
        <v>4552</v>
      </c>
      <c r="E378" s="1" t="s">
        <v>10162</v>
      </c>
      <c r="F378" s="1" t="s">
        <v>10516</v>
      </c>
      <c r="G378" s="1" t="s">
        <v>10647</v>
      </c>
      <c r="H378" s="1" t="s">
        <v>10152</v>
      </c>
      <c r="I378" s="1" t="s">
        <v>10153</v>
      </c>
      <c r="L378" s="1" t="s">
        <v>10197</v>
      </c>
      <c r="M378" s="1" t="s">
        <v>4553</v>
      </c>
      <c r="O378" s="1" t="s">
        <v>53</v>
      </c>
      <c r="P378" s="1" t="s">
        <v>10155</v>
      </c>
      <c r="Q378" s="1" t="s">
        <v>29</v>
      </c>
    </row>
    <row r="379" spans="1:17" ht="12.5" x14ac:dyDescent="0.25">
      <c r="A379" s="1" t="s">
        <v>152</v>
      </c>
      <c r="C379" s="1" t="s">
        <v>4546</v>
      </c>
      <c r="D379" s="1" t="s">
        <v>4547</v>
      </c>
      <c r="E379" s="1" t="s">
        <v>10162</v>
      </c>
      <c r="F379" s="1" t="s">
        <v>10516</v>
      </c>
      <c r="G379" s="1" t="s">
        <v>10647</v>
      </c>
      <c r="H379" s="1" t="s">
        <v>10486</v>
      </c>
      <c r="I379" s="1" t="s">
        <v>10486</v>
      </c>
      <c r="L379" s="1" t="s">
        <v>10197</v>
      </c>
      <c r="M379" s="1" t="s">
        <v>4548</v>
      </c>
      <c r="O379" s="1" t="s">
        <v>59</v>
      </c>
      <c r="P379" s="1" t="s">
        <v>10155</v>
      </c>
      <c r="Q379" s="1" t="s">
        <v>29</v>
      </c>
    </row>
    <row r="380" spans="1:17" ht="12.5" x14ac:dyDescent="0.25">
      <c r="A380" s="1" t="s">
        <v>152</v>
      </c>
      <c r="C380" s="1" t="s">
        <v>4542</v>
      </c>
      <c r="D380" s="1" t="s">
        <v>4543</v>
      </c>
      <c r="E380" s="1" t="s">
        <v>10162</v>
      </c>
      <c r="F380" s="1" t="s">
        <v>10516</v>
      </c>
      <c r="G380" s="1" t="s">
        <v>10647</v>
      </c>
      <c r="H380" s="1" t="s">
        <v>10176</v>
      </c>
      <c r="I380" s="1" t="s">
        <v>10176</v>
      </c>
      <c r="J380" s="1" t="s">
        <v>10262</v>
      </c>
      <c r="K380" s="1" t="s">
        <v>10262</v>
      </c>
      <c r="M380" s="1" t="s">
        <v>4544</v>
      </c>
      <c r="O380" s="1" t="s">
        <v>10155</v>
      </c>
      <c r="P380" s="1" t="s">
        <v>10155</v>
      </c>
      <c r="Q380" s="1" t="s">
        <v>29</v>
      </c>
    </row>
    <row r="381" spans="1:17" ht="12.5" x14ac:dyDescent="0.25">
      <c r="A381" s="1" t="s">
        <v>152</v>
      </c>
      <c r="C381" s="1" t="s">
        <v>4537</v>
      </c>
      <c r="D381" s="1" t="s">
        <v>4538</v>
      </c>
      <c r="E381" s="1" t="s">
        <v>10162</v>
      </c>
      <c r="F381" s="1" t="s">
        <v>10516</v>
      </c>
      <c r="G381" s="1" t="s">
        <v>10647</v>
      </c>
      <c r="H381" s="1" t="s">
        <v>10486</v>
      </c>
      <c r="I381" s="1" t="s">
        <v>10486</v>
      </c>
      <c r="L381" s="1" t="s">
        <v>10197</v>
      </c>
      <c r="M381" s="1" t="s">
        <v>4539</v>
      </c>
      <c r="O381" s="1" t="s">
        <v>59</v>
      </c>
      <c r="P381" s="1" t="s">
        <v>10155</v>
      </c>
      <c r="Q381" s="1" t="s">
        <v>29</v>
      </c>
    </row>
    <row r="382" spans="1:17" ht="12.5" x14ac:dyDescent="0.25">
      <c r="A382" s="1" t="s">
        <v>152</v>
      </c>
      <c r="C382" s="1" t="s">
        <v>4533</v>
      </c>
      <c r="D382" s="1" t="s">
        <v>10648</v>
      </c>
      <c r="E382" s="1" t="s">
        <v>10156</v>
      </c>
      <c r="F382" s="1" t="s">
        <v>10156</v>
      </c>
      <c r="G382" s="1" t="s">
        <v>10523</v>
      </c>
      <c r="H382" s="1" t="s">
        <v>10183</v>
      </c>
      <c r="I382" s="1" t="s">
        <v>10183</v>
      </c>
      <c r="M382" s="1" t="s">
        <v>4534</v>
      </c>
      <c r="O382" s="1" t="s">
        <v>53</v>
      </c>
      <c r="P382" s="1" t="s">
        <v>33</v>
      </c>
      <c r="Q382" s="1" t="s">
        <v>29</v>
      </c>
    </row>
    <row r="383" spans="1:17" ht="12.5" x14ac:dyDescent="0.25">
      <c r="A383" s="1" t="s">
        <v>152</v>
      </c>
      <c r="C383" s="1" t="s">
        <v>4529</v>
      </c>
      <c r="D383" s="1" t="s">
        <v>4530</v>
      </c>
      <c r="E383" s="1" t="s">
        <v>10162</v>
      </c>
      <c r="F383" s="1" t="s">
        <v>10162</v>
      </c>
      <c r="G383" s="1" t="s">
        <v>10527</v>
      </c>
      <c r="H383" s="1" t="s">
        <v>10152</v>
      </c>
      <c r="I383" s="1" t="s">
        <v>10164</v>
      </c>
      <c r="M383" s="1" t="s">
        <v>8546</v>
      </c>
      <c r="O383" s="1" t="s">
        <v>10155</v>
      </c>
      <c r="P383" s="1" t="s">
        <v>10155</v>
      </c>
      <c r="Q383" s="1" t="s">
        <v>20</v>
      </c>
    </row>
    <row r="384" spans="1:17" ht="12.5" x14ac:dyDescent="0.25">
      <c r="A384" s="1" t="s">
        <v>152</v>
      </c>
      <c r="C384" s="1" t="s">
        <v>4529</v>
      </c>
      <c r="D384" s="1" t="s">
        <v>4530</v>
      </c>
      <c r="E384" s="1" t="s">
        <v>10162</v>
      </c>
      <c r="F384" s="1" t="s">
        <v>10162</v>
      </c>
      <c r="G384" s="1" t="s">
        <v>10527</v>
      </c>
      <c r="H384" s="1" t="s">
        <v>10152</v>
      </c>
      <c r="I384" s="1" t="s">
        <v>10164</v>
      </c>
      <c r="M384" s="1" t="s">
        <v>4531</v>
      </c>
      <c r="O384" s="1" t="s">
        <v>10155</v>
      </c>
      <c r="P384" s="1" t="s">
        <v>10155</v>
      </c>
      <c r="Q384" s="1" t="s">
        <v>20</v>
      </c>
    </row>
    <row r="385" spans="1:17" ht="12.5" x14ac:dyDescent="0.25">
      <c r="A385" s="1" t="s">
        <v>152</v>
      </c>
      <c r="C385" s="1" t="s">
        <v>4525</v>
      </c>
      <c r="D385" s="1" t="s">
        <v>4526</v>
      </c>
      <c r="E385" s="1" t="s">
        <v>10162</v>
      </c>
      <c r="F385" s="1" t="s">
        <v>10162</v>
      </c>
      <c r="G385" s="1" t="s">
        <v>10527</v>
      </c>
      <c r="H385" s="1" t="s">
        <v>10172</v>
      </c>
      <c r="I385" s="1" t="s">
        <v>10172</v>
      </c>
      <c r="J385" s="1" t="s">
        <v>10440</v>
      </c>
      <c r="K385" s="1" t="s">
        <v>10440</v>
      </c>
      <c r="L385" s="1" t="s">
        <v>10197</v>
      </c>
      <c r="M385" s="1" t="s">
        <v>4527</v>
      </c>
      <c r="O385" s="1" t="s">
        <v>10155</v>
      </c>
      <c r="P385" s="1" t="s">
        <v>10155</v>
      </c>
      <c r="Q385" s="1" t="s">
        <v>20</v>
      </c>
    </row>
    <row r="386" spans="1:17" ht="12.5" x14ac:dyDescent="0.25">
      <c r="A386" s="1" t="s">
        <v>152</v>
      </c>
      <c r="C386" s="1" t="s">
        <v>4521</v>
      </c>
      <c r="D386" s="1" t="s">
        <v>4522</v>
      </c>
      <c r="E386" s="1" t="s">
        <v>10162</v>
      </c>
      <c r="F386" s="1" t="s">
        <v>10162</v>
      </c>
      <c r="G386" s="1" t="s">
        <v>10527</v>
      </c>
      <c r="H386" s="1" t="s">
        <v>10172</v>
      </c>
      <c r="I386" s="1" t="s">
        <v>10172</v>
      </c>
      <c r="J386" s="1" t="s">
        <v>10440</v>
      </c>
      <c r="K386" s="1" t="s">
        <v>10440</v>
      </c>
      <c r="L386" s="1" t="s">
        <v>10197</v>
      </c>
      <c r="M386" s="1" t="s">
        <v>4523</v>
      </c>
      <c r="O386" s="1" t="s">
        <v>10155</v>
      </c>
      <c r="P386" s="1" t="s">
        <v>10155</v>
      </c>
      <c r="Q386" s="1" t="s">
        <v>20</v>
      </c>
    </row>
    <row r="387" spans="1:17" ht="12.5" x14ac:dyDescent="0.25">
      <c r="A387" s="1" t="s">
        <v>152</v>
      </c>
      <c r="C387" s="1" t="s">
        <v>5880</v>
      </c>
      <c r="D387" s="1" t="s">
        <v>5881</v>
      </c>
      <c r="E387" s="1" t="s">
        <v>9929</v>
      </c>
      <c r="F387" s="1" t="s">
        <v>10150</v>
      </c>
      <c r="G387" s="1" t="s">
        <v>10649</v>
      </c>
      <c r="H387" s="1" t="s">
        <v>10152</v>
      </c>
      <c r="I387" s="1" t="s">
        <v>10153</v>
      </c>
      <c r="M387" s="1" t="s">
        <v>5882</v>
      </c>
      <c r="N387" s="1" t="s">
        <v>10650</v>
      </c>
      <c r="O387" s="1" t="s">
        <v>112</v>
      </c>
      <c r="P387" s="1" t="s">
        <v>10155</v>
      </c>
      <c r="Q387" s="1" t="s">
        <v>29</v>
      </c>
    </row>
    <row r="388" spans="1:17" ht="12.5" x14ac:dyDescent="0.25">
      <c r="A388" s="1" t="s">
        <v>152</v>
      </c>
      <c r="C388" s="1" t="s">
        <v>10651</v>
      </c>
      <c r="D388" s="1" t="s">
        <v>10652</v>
      </c>
      <c r="E388" s="1" t="s">
        <v>9929</v>
      </c>
      <c r="F388" s="1" t="s">
        <v>10150</v>
      </c>
      <c r="G388" s="1" t="s">
        <v>10653</v>
      </c>
      <c r="H388" s="1" t="s">
        <v>10176</v>
      </c>
      <c r="I388" s="1" t="s">
        <v>10176</v>
      </c>
      <c r="J388" s="1" t="s">
        <v>10177</v>
      </c>
      <c r="K388" s="1" t="s">
        <v>10177</v>
      </c>
      <c r="O388" s="1" t="s">
        <v>10155</v>
      </c>
      <c r="P388" s="1" t="s">
        <v>10155</v>
      </c>
    </row>
    <row r="389" spans="1:17" ht="12.5" x14ac:dyDescent="0.25">
      <c r="A389" s="1" t="s">
        <v>152</v>
      </c>
      <c r="C389" s="1" t="s">
        <v>4517</v>
      </c>
      <c r="D389" s="1" t="s">
        <v>4518</v>
      </c>
      <c r="E389" s="1" t="s">
        <v>9929</v>
      </c>
      <c r="F389" s="1" t="s">
        <v>10150</v>
      </c>
      <c r="G389" s="1" t="s">
        <v>10653</v>
      </c>
      <c r="H389" s="1" t="s">
        <v>10183</v>
      </c>
      <c r="I389" s="1" t="s">
        <v>10183</v>
      </c>
      <c r="M389" s="1" t="s">
        <v>4519</v>
      </c>
      <c r="N389" s="1" t="s">
        <v>4515</v>
      </c>
      <c r="O389" s="1" t="s">
        <v>33</v>
      </c>
      <c r="P389" s="1" t="s">
        <v>33</v>
      </c>
      <c r="Q389" s="1" t="s">
        <v>29</v>
      </c>
    </row>
    <row r="390" spans="1:17" ht="12.5" x14ac:dyDescent="0.25">
      <c r="A390" s="1" t="s">
        <v>152</v>
      </c>
      <c r="C390" s="1" t="s">
        <v>4511</v>
      </c>
      <c r="D390" s="1" t="s">
        <v>4512</v>
      </c>
      <c r="E390" s="1" t="s">
        <v>9929</v>
      </c>
      <c r="F390" s="1" t="s">
        <v>10150</v>
      </c>
      <c r="G390" s="1" t="s">
        <v>10653</v>
      </c>
      <c r="H390" s="1" t="s">
        <v>10183</v>
      </c>
      <c r="I390" s="1" t="s">
        <v>10183</v>
      </c>
      <c r="M390" s="1" t="s">
        <v>4513</v>
      </c>
      <c r="N390" s="1" t="s">
        <v>4515</v>
      </c>
      <c r="O390" s="1" t="s">
        <v>33</v>
      </c>
      <c r="P390" s="1" t="s">
        <v>33</v>
      </c>
      <c r="Q390" s="1" t="s">
        <v>29</v>
      </c>
    </row>
    <row r="391" spans="1:17" ht="12.5" x14ac:dyDescent="0.25">
      <c r="A391" s="1" t="s">
        <v>152</v>
      </c>
      <c r="C391" s="1" t="s">
        <v>10654</v>
      </c>
      <c r="D391" s="1" t="s">
        <v>10655</v>
      </c>
      <c r="E391" s="1" t="s">
        <v>9929</v>
      </c>
      <c r="F391" s="1" t="s">
        <v>10150</v>
      </c>
      <c r="G391" s="1" t="s">
        <v>10653</v>
      </c>
      <c r="H391" s="1" t="s">
        <v>10172</v>
      </c>
      <c r="I391" s="1" t="s">
        <v>10172</v>
      </c>
      <c r="J391" s="1" t="s">
        <v>10573</v>
      </c>
      <c r="K391" s="1" t="s">
        <v>10573</v>
      </c>
      <c r="O391" s="1" t="s">
        <v>10155</v>
      </c>
      <c r="P391" s="1" t="s">
        <v>10155</v>
      </c>
    </row>
    <row r="392" spans="1:17" ht="12.5" x14ac:dyDescent="0.25">
      <c r="A392" s="1" t="s">
        <v>152</v>
      </c>
      <c r="C392" s="1" t="s">
        <v>4505</v>
      </c>
      <c r="D392" s="1" t="s">
        <v>4506</v>
      </c>
      <c r="E392" s="1" t="s">
        <v>9929</v>
      </c>
      <c r="F392" s="1" t="s">
        <v>10150</v>
      </c>
      <c r="G392" s="1" t="s">
        <v>10653</v>
      </c>
      <c r="H392" s="1" t="s">
        <v>10183</v>
      </c>
      <c r="I392" s="1" t="s">
        <v>10183</v>
      </c>
      <c r="M392" s="1" t="s">
        <v>4507</v>
      </c>
      <c r="N392" s="1" t="s">
        <v>4509</v>
      </c>
      <c r="O392" s="1" t="s">
        <v>33</v>
      </c>
      <c r="P392" s="1" t="s">
        <v>33</v>
      </c>
      <c r="Q392" s="1" t="s">
        <v>29</v>
      </c>
    </row>
    <row r="393" spans="1:17" ht="12.5" x14ac:dyDescent="0.25">
      <c r="A393" s="1" t="s">
        <v>152</v>
      </c>
      <c r="C393" s="1" t="s">
        <v>4500</v>
      </c>
      <c r="D393" s="1" t="s">
        <v>4501</v>
      </c>
      <c r="E393" s="1" t="s">
        <v>9929</v>
      </c>
      <c r="F393" s="1" t="s">
        <v>10150</v>
      </c>
      <c r="G393" s="1" t="s">
        <v>10653</v>
      </c>
      <c r="H393" s="1" t="s">
        <v>10183</v>
      </c>
      <c r="I393" s="1" t="s">
        <v>10183</v>
      </c>
      <c r="M393" s="1" t="s">
        <v>4502</v>
      </c>
      <c r="O393" s="1" t="s">
        <v>53</v>
      </c>
      <c r="P393" s="1" t="s">
        <v>59</v>
      </c>
      <c r="Q393" s="1" t="s">
        <v>29</v>
      </c>
    </row>
    <row r="394" spans="1:17" ht="12.5" x14ac:dyDescent="0.25">
      <c r="A394" s="1" t="s">
        <v>152</v>
      </c>
      <c r="C394" s="1" t="s">
        <v>8081</v>
      </c>
      <c r="D394" s="1" t="s">
        <v>8082</v>
      </c>
      <c r="E394" s="1" t="s">
        <v>9929</v>
      </c>
      <c r="F394" s="1" t="s">
        <v>10150</v>
      </c>
      <c r="G394" s="1" t="s">
        <v>10653</v>
      </c>
      <c r="H394" s="1" t="s">
        <v>10183</v>
      </c>
      <c r="I394" s="1" t="s">
        <v>10183</v>
      </c>
      <c r="M394" s="1" t="s">
        <v>8083</v>
      </c>
      <c r="O394" s="1" t="s">
        <v>33</v>
      </c>
      <c r="P394" s="1" t="s">
        <v>46</v>
      </c>
      <c r="Q394" s="1" t="s">
        <v>29</v>
      </c>
    </row>
    <row r="395" spans="1:17" ht="12.5" x14ac:dyDescent="0.25">
      <c r="A395" s="1" t="s">
        <v>152</v>
      </c>
      <c r="C395" s="1" t="s">
        <v>4495</v>
      </c>
      <c r="D395" s="1" t="s">
        <v>4496</v>
      </c>
      <c r="E395" s="1" t="s">
        <v>10156</v>
      </c>
      <c r="F395" s="1" t="s">
        <v>10156</v>
      </c>
      <c r="G395" s="1" t="s">
        <v>10656</v>
      </c>
      <c r="H395" s="1" t="s">
        <v>10176</v>
      </c>
      <c r="I395" s="1" t="s">
        <v>10176</v>
      </c>
      <c r="J395" s="1" t="s">
        <v>10293</v>
      </c>
      <c r="K395" s="1" t="s">
        <v>10293</v>
      </c>
      <c r="L395" s="1" t="s">
        <v>10197</v>
      </c>
      <c r="M395" s="1" t="s">
        <v>4497</v>
      </c>
      <c r="O395" s="1" t="s">
        <v>10155</v>
      </c>
      <c r="P395" s="1" t="s">
        <v>10155</v>
      </c>
      <c r="Q395" s="1" t="s">
        <v>29</v>
      </c>
    </row>
    <row r="396" spans="1:17" ht="12.5" x14ac:dyDescent="0.25">
      <c r="A396" s="1" t="s">
        <v>152</v>
      </c>
      <c r="C396" s="1" t="s">
        <v>10657</v>
      </c>
      <c r="D396" s="1" t="s">
        <v>4496</v>
      </c>
      <c r="E396" s="1" t="s">
        <v>10156</v>
      </c>
      <c r="F396" s="1" t="s">
        <v>10156</v>
      </c>
      <c r="G396" s="1" t="s">
        <v>10656</v>
      </c>
      <c r="H396" s="1" t="s">
        <v>10176</v>
      </c>
      <c r="I396" s="1" t="s">
        <v>10176</v>
      </c>
      <c r="J396" s="1" t="s">
        <v>10293</v>
      </c>
      <c r="K396" s="1" t="s">
        <v>10293</v>
      </c>
      <c r="L396" s="1" t="s">
        <v>10197</v>
      </c>
      <c r="O396" s="1" t="s">
        <v>10155</v>
      </c>
      <c r="P396" s="1" t="s">
        <v>10155</v>
      </c>
    </row>
    <row r="397" spans="1:17" ht="12.5" x14ac:dyDescent="0.25">
      <c r="A397" s="1" t="s">
        <v>152</v>
      </c>
      <c r="C397" s="1" t="s">
        <v>10658</v>
      </c>
      <c r="D397" s="1" t="s">
        <v>4496</v>
      </c>
      <c r="E397" s="1" t="s">
        <v>10156</v>
      </c>
      <c r="F397" s="1" t="s">
        <v>10156</v>
      </c>
      <c r="G397" s="1" t="s">
        <v>10656</v>
      </c>
      <c r="H397" s="1" t="s">
        <v>10176</v>
      </c>
      <c r="I397" s="1" t="s">
        <v>10176</v>
      </c>
      <c r="J397" s="1" t="s">
        <v>10293</v>
      </c>
      <c r="K397" s="1" t="s">
        <v>10293</v>
      </c>
      <c r="L397" s="1" t="s">
        <v>10197</v>
      </c>
      <c r="O397" s="1" t="s">
        <v>10155</v>
      </c>
      <c r="P397" s="1" t="s">
        <v>10155</v>
      </c>
    </row>
    <row r="398" spans="1:17" ht="12.5" x14ac:dyDescent="0.25">
      <c r="A398" s="1" t="s">
        <v>152</v>
      </c>
      <c r="C398" s="1" t="s">
        <v>5724</v>
      </c>
      <c r="D398" s="1" t="s">
        <v>5725</v>
      </c>
      <c r="E398" s="1" t="s">
        <v>9929</v>
      </c>
      <c r="F398" s="1" t="s">
        <v>10545</v>
      </c>
      <c r="G398" s="1" t="s">
        <v>10659</v>
      </c>
      <c r="H398" s="1" t="s">
        <v>10183</v>
      </c>
      <c r="I398" s="1" t="s">
        <v>10183</v>
      </c>
      <c r="M398" s="1" t="s">
        <v>5726</v>
      </c>
      <c r="N398" s="1" t="s">
        <v>5727</v>
      </c>
      <c r="O398" s="1" t="s">
        <v>53</v>
      </c>
      <c r="P398" s="1" t="s">
        <v>53</v>
      </c>
      <c r="Q398" s="1" t="s">
        <v>29</v>
      </c>
    </row>
    <row r="399" spans="1:17" ht="12.5" x14ac:dyDescent="0.25">
      <c r="A399" s="1" t="s">
        <v>152</v>
      </c>
      <c r="C399" s="1" t="s">
        <v>4490</v>
      </c>
      <c r="D399" s="1" t="s">
        <v>4491</v>
      </c>
      <c r="E399" s="1" t="s">
        <v>9929</v>
      </c>
      <c r="F399" s="1" t="s">
        <v>10545</v>
      </c>
      <c r="G399" s="1" t="s">
        <v>10660</v>
      </c>
      <c r="H399" s="1" t="s">
        <v>10183</v>
      </c>
      <c r="I399" s="1" t="s">
        <v>10183</v>
      </c>
      <c r="M399" s="1" t="s">
        <v>4492</v>
      </c>
      <c r="O399" s="1" t="s">
        <v>59</v>
      </c>
      <c r="P399" s="1" t="s">
        <v>59</v>
      </c>
      <c r="Q399" s="1" t="s">
        <v>29</v>
      </c>
    </row>
    <row r="400" spans="1:17" ht="12.5" x14ac:dyDescent="0.25">
      <c r="A400" s="1" t="s">
        <v>152</v>
      </c>
      <c r="C400" s="1" t="s">
        <v>4484</v>
      </c>
      <c r="D400" s="1" t="s">
        <v>4485</v>
      </c>
      <c r="E400" s="1" t="s">
        <v>9929</v>
      </c>
      <c r="F400" s="1" t="s">
        <v>10545</v>
      </c>
      <c r="G400" s="1" t="s">
        <v>10660</v>
      </c>
      <c r="H400" s="1" t="s">
        <v>10183</v>
      </c>
      <c r="I400" s="1" t="s">
        <v>10183</v>
      </c>
      <c r="M400" s="1" t="s">
        <v>4486</v>
      </c>
      <c r="N400" s="1" t="s">
        <v>4488</v>
      </c>
      <c r="O400" s="1" t="s">
        <v>59</v>
      </c>
      <c r="P400" s="1" t="s">
        <v>59</v>
      </c>
      <c r="Q400" s="1" t="s">
        <v>29</v>
      </c>
    </row>
    <row r="401" spans="1:17" ht="12.5" x14ac:dyDescent="0.25">
      <c r="A401" s="1" t="s">
        <v>152</v>
      </c>
      <c r="C401" s="1" t="s">
        <v>10661</v>
      </c>
      <c r="D401" s="1" t="s">
        <v>10662</v>
      </c>
      <c r="E401" s="1" t="s">
        <v>9929</v>
      </c>
      <c r="F401" s="1" t="s">
        <v>10545</v>
      </c>
      <c r="G401" s="1" t="s">
        <v>10660</v>
      </c>
      <c r="H401" s="1" t="s">
        <v>10176</v>
      </c>
      <c r="I401" s="1" t="s">
        <v>10176</v>
      </c>
      <c r="J401" s="1" t="s">
        <v>10262</v>
      </c>
      <c r="K401" s="1" t="s">
        <v>10262</v>
      </c>
      <c r="O401" s="1" t="s">
        <v>10155</v>
      </c>
      <c r="P401" s="1" t="s">
        <v>10155</v>
      </c>
    </row>
    <row r="402" spans="1:17" ht="12.5" x14ac:dyDescent="0.25">
      <c r="A402" s="1" t="s">
        <v>152</v>
      </c>
      <c r="C402" s="1" t="s">
        <v>10663</v>
      </c>
      <c r="D402" s="1" t="s">
        <v>10664</v>
      </c>
      <c r="E402" s="1" t="s">
        <v>9929</v>
      </c>
      <c r="F402" s="1" t="s">
        <v>10545</v>
      </c>
      <c r="G402" s="1" t="s">
        <v>10660</v>
      </c>
      <c r="H402" s="1" t="s">
        <v>10176</v>
      </c>
      <c r="I402" s="1" t="s">
        <v>10176</v>
      </c>
      <c r="J402" s="1" t="s">
        <v>10177</v>
      </c>
      <c r="K402" s="1" t="s">
        <v>10177</v>
      </c>
      <c r="O402" s="1" t="s">
        <v>10155</v>
      </c>
      <c r="P402" s="1" t="s">
        <v>10155</v>
      </c>
    </row>
    <row r="403" spans="1:17" ht="12.5" x14ac:dyDescent="0.25">
      <c r="A403" s="1" t="s">
        <v>152</v>
      </c>
      <c r="C403" s="1" t="s">
        <v>4479</v>
      </c>
      <c r="D403" s="1" t="s">
        <v>4480</v>
      </c>
      <c r="E403" s="1" t="s">
        <v>9929</v>
      </c>
      <c r="F403" s="1" t="s">
        <v>10545</v>
      </c>
      <c r="G403" s="1" t="s">
        <v>10660</v>
      </c>
      <c r="H403" s="1" t="s">
        <v>10176</v>
      </c>
      <c r="I403" s="1" t="s">
        <v>10176</v>
      </c>
      <c r="J403" s="1" t="s">
        <v>10177</v>
      </c>
      <c r="K403" s="1" t="s">
        <v>10177</v>
      </c>
      <c r="M403" s="1" t="s">
        <v>4481</v>
      </c>
      <c r="O403" s="1" t="s">
        <v>10155</v>
      </c>
      <c r="P403" s="1" t="s">
        <v>10155</v>
      </c>
      <c r="Q403" s="1" t="s">
        <v>29</v>
      </c>
    </row>
    <row r="404" spans="1:17" ht="12.5" x14ac:dyDescent="0.25">
      <c r="A404" s="1" t="s">
        <v>152</v>
      </c>
      <c r="C404" s="1" t="s">
        <v>4474</v>
      </c>
      <c r="D404" s="1" t="s">
        <v>4475</v>
      </c>
      <c r="E404" s="1" t="s">
        <v>9929</v>
      </c>
      <c r="F404" s="1" t="s">
        <v>10545</v>
      </c>
      <c r="G404" s="1" t="s">
        <v>10665</v>
      </c>
      <c r="H404" s="1" t="s">
        <v>10152</v>
      </c>
      <c r="I404" s="1" t="s">
        <v>10153</v>
      </c>
      <c r="L404" s="1" t="s">
        <v>10197</v>
      </c>
      <c r="M404" s="1" t="s">
        <v>4476</v>
      </c>
      <c r="O404" s="1" t="s">
        <v>271</v>
      </c>
      <c r="P404" s="1" t="s">
        <v>10155</v>
      </c>
      <c r="Q404" s="1" t="s">
        <v>29</v>
      </c>
    </row>
    <row r="405" spans="1:17" ht="12.5" x14ac:dyDescent="0.25">
      <c r="A405" s="1" t="s">
        <v>152</v>
      </c>
      <c r="C405" s="1" t="s">
        <v>10666</v>
      </c>
      <c r="D405" s="1" t="s">
        <v>10667</v>
      </c>
      <c r="E405" s="1" t="s">
        <v>10156</v>
      </c>
      <c r="F405" s="1" t="s">
        <v>10156</v>
      </c>
      <c r="G405" s="1" t="s">
        <v>10668</v>
      </c>
      <c r="H405" s="1" t="s">
        <v>10176</v>
      </c>
      <c r="I405" s="1" t="s">
        <v>10176</v>
      </c>
      <c r="J405" s="1" t="s">
        <v>10293</v>
      </c>
      <c r="K405" s="1" t="s">
        <v>10293</v>
      </c>
      <c r="O405" s="1" t="s">
        <v>10155</v>
      </c>
      <c r="P405" s="1" t="s">
        <v>10155</v>
      </c>
    </row>
    <row r="406" spans="1:17" ht="12.5" x14ac:dyDescent="0.25">
      <c r="A406" s="1" t="s">
        <v>152</v>
      </c>
      <c r="C406" s="1" t="s">
        <v>10669</v>
      </c>
      <c r="D406" s="1" t="s">
        <v>10670</v>
      </c>
      <c r="E406" s="1" t="s">
        <v>10156</v>
      </c>
      <c r="F406" s="1" t="s">
        <v>10156</v>
      </c>
      <c r="G406" s="1" t="s">
        <v>10668</v>
      </c>
      <c r="H406" s="1" t="s">
        <v>10176</v>
      </c>
      <c r="I406" s="1" t="s">
        <v>10176</v>
      </c>
      <c r="J406" s="1" t="s">
        <v>10293</v>
      </c>
      <c r="K406" s="1" t="s">
        <v>10293</v>
      </c>
      <c r="O406" s="1" t="s">
        <v>10155</v>
      </c>
      <c r="P406" s="1" t="s">
        <v>10155</v>
      </c>
    </row>
    <row r="407" spans="1:17" ht="12.5" x14ac:dyDescent="0.25">
      <c r="A407" s="1" t="s">
        <v>152</v>
      </c>
      <c r="C407" s="1" t="s">
        <v>10671</v>
      </c>
      <c r="D407" s="1" t="s">
        <v>10672</v>
      </c>
      <c r="E407" s="1" t="s">
        <v>10156</v>
      </c>
      <c r="F407" s="1" t="s">
        <v>10156</v>
      </c>
      <c r="G407" s="1" t="s">
        <v>10668</v>
      </c>
      <c r="H407" s="1" t="s">
        <v>10176</v>
      </c>
      <c r="I407" s="1" t="s">
        <v>10176</v>
      </c>
      <c r="J407" s="1" t="s">
        <v>10293</v>
      </c>
      <c r="K407" s="1" t="s">
        <v>10293</v>
      </c>
      <c r="O407" s="1" t="s">
        <v>10155</v>
      </c>
      <c r="P407" s="1" t="s">
        <v>10155</v>
      </c>
    </row>
    <row r="408" spans="1:17" ht="12.5" x14ac:dyDescent="0.25">
      <c r="A408" s="1" t="s">
        <v>152</v>
      </c>
      <c r="C408" s="1" t="s">
        <v>4468</v>
      </c>
      <c r="D408" s="1" t="s">
        <v>4469</v>
      </c>
      <c r="E408" s="1" t="s">
        <v>9929</v>
      </c>
      <c r="F408" s="1" t="s">
        <v>10545</v>
      </c>
      <c r="G408" s="1" t="s">
        <v>10546</v>
      </c>
      <c r="H408" s="1" t="s">
        <v>10152</v>
      </c>
      <c r="I408" s="1" t="s">
        <v>10153</v>
      </c>
      <c r="L408" s="1" t="s">
        <v>10197</v>
      </c>
      <c r="M408" s="1" t="s">
        <v>4470</v>
      </c>
      <c r="N408" s="1" t="s">
        <v>10673</v>
      </c>
      <c r="O408" s="1" t="s">
        <v>59</v>
      </c>
      <c r="P408" s="1" t="s">
        <v>10155</v>
      </c>
      <c r="Q408" s="1" t="s">
        <v>29</v>
      </c>
    </row>
    <row r="409" spans="1:17" ht="12.5" x14ac:dyDescent="0.25">
      <c r="A409" s="1" t="s">
        <v>152</v>
      </c>
      <c r="C409" s="1" t="s">
        <v>9228</v>
      </c>
      <c r="D409" s="1" t="s">
        <v>9229</v>
      </c>
      <c r="E409" s="1" t="s">
        <v>9929</v>
      </c>
      <c r="F409" s="1" t="s">
        <v>10553</v>
      </c>
      <c r="G409" s="1" t="s">
        <v>10674</v>
      </c>
      <c r="H409" s="1" t="s">
        <v>10152</v>
      </c>
      <c r="I409" s="1" t="s">
        <v>10153</v>
      </c>
      <c r="M409" s="1" t="s">
        <v>9230</v>
      </c>
      <c r="N409" s="1" t="s">
        <v>9232</v>
      </c>
      <c r="O409" s="1" t="s">
        <v>292</v>
      </c>
      <c r="P409" s="1" t="s">
        <v>10155</v>
      </c>
      <c r="Q409" s="1" t="s">
        <v>29</v>
      </c>
    </row>
    <row r="410" spans="1:17" ht="12.5" x14ac:dyDescent="0.25">
      <c r="A410" s="1" t="s">
        <v>152</v>
      </c>
      <c r="C410" s="1" t="s">
        <v>4462</v>
      </c>
      <c r="D410" s="1" t="s">
        <v>4463</v>
      </c>
      <c r="E410" s="1" t="s">
        <v>9929</v>
      </c>
      <c r="F410" s="1" t="s">
        <v>10545</v>
      </c>
      <c r="G410" s="1" t="s">
        <v>10546</v>
      </c>
      <c r="H410" s="1" t="s">
        <v>10172</v>
      </c>
      <c r="I410" s="1" t="s">
        <v>10172</v>
      </c>
      <c r="J410" s="1" t="s">
        <v>10193</v>
      </c>
      <c r="K410" s="1" t="s">
        <v>10440</v>
      </c>
      <c r="L410" s="1" t="s">
        <v>10434</v>
      </c>
      <c r="M410" s="1" t="s">
        <v>4464</v>
      </c>
      <c r="N410" s="1" t="s">
        <v>4466</v>
      </c>
      <c r="O410" s="1" t="s">
        <v>112</v>
      </c>
      <c r="P410" s="1" t="s">
        <v>10155</v>
      </c>
      <c r="Q410" s="1" t="s">
        <v>29</v>
      </c>
    </row>
    <row r="411" spans="1:17" ht="12.5" x14ac:dyDescent="0.25">
      <c r="A411" s="1" t="s">
        <v>152</v>
      </c>
      <c r="C411" s="1" t="s">
        <v>7662</v>
      </c>
      <c r="D411" s="1" t="s">
        <v>7663</v>
      </c>
      <c r="E411" s="1" t="s">
        <v>9929</v>
      </c>
      <c r="F411" s="1" t="s">
        <v>10545</v>
      </c>
      <c r="G411" s="1" t="s">
        <v>10659</v>
      </c>
      <c r="H411" s="1" t="s">
        <v>10152</v>
      </c>
      <c r="I411" s="1" t="s">
        <v>10153</v>
      </c>
      <c r="M411" s="1" t="s">
        <v>7664</v>
      </c>
      <c r="N411" s="1" t="s">
        <v>10675</v>
      </c>
      <c r="O411" s="1" t="s">
        <v>292</v>
      </c>
      <c r="P411" s="1" t="s">
        <v>10155</v>
      </c>
      <c r="Q411" s="1" t="s">
        <v>29</v>
      </c>
    </row>
    <row r="412" spans="1:17" ht="12.5" x14ac:dyDescent="0.25">
      <c r="A412" s="1" t="s">
        <v>152</v>
      </c>
      <c r="C412" s="1" t="s">
        <v>10676</v>
      </c>
      <c r="D412" s="1" t="s">
        <v>10677</v>
      </c>
      <c r="E412" s="1" t="s">
        <v>10162</v>
      </c>
      <c r="F412" s="1" t="s">
        <v>10162</v>
      </c>
      <c r="G412" s="1" t="s">
        <v>10678</v>
      </c>
      <c r="H412" s="1" t="s">
        <v>10176</v>
      </c>
      <c r="I412" s="1" t="s">
        <v>10176</v>
      </c>
      <c r="J412" s="1" t="s">
        <v>10293</v>
      </c>
      <c r="K412" s="1" t="s">
        <v>10293</v>
      </c>
      <c r="O412" s="1" t="s">
        <v>10155</v>
      </c>
      <c r="P412" s="1" t="s">
        <v>10155</v>
      </c>
    </row>
    <row r="413" spans="1:17" ht="12.5" x14ac:dyDescent="0.25">
      <c r="A413" s="1" t="s">
        <v>152</v>
      </c>
      <c r="C413" s="1" t="s">
        <v>1558</v>
      </c>
      <c r="D413" s="1" t="s">
        <v>1559</v>
      </c>
      <c r="E413" s="1" t="s">
        <v>10162</v>
      </c>
      <c r="F413" s="1" t="s">
        <v>10162</v>
      </c>
      <c r="G413" s="1" t="s">
        <v>10679</v>
      </c>
      <c r="H413" s="1" t="s">
        <v>10152</v>
      </c>
      <c r="I413" s="1" t="s">
        <v>10153</v>
      </c>
      <c r="M413" s="1" t="s">
        <v>1555</v>
      </c>
      <c r="N413" s="1" t="s">
        <v>1557</v>
      </c>
      <c r="O413" s="1" t="s">
        <v>292</v>
      </c>
      <c r="P413" s="1" t="s">
        <v>10155</v>
      </c>
      <c r="Q413" s="1" t="s">
        <v>29</v>
      </c>
    </row>
    <row r="414" spans="1:17" ht="12.5" x14ac:dyDescent="0.25">
      <c r="A414" s="1" t="s">
        <v>152</v>
      </c>
      <c r="C414" s="1" t="s">
        <v>4458</v>
      </c>
      <c r="D414" s="1" t="s">
        <v>4459</v>
      </c>
      <c r="E414" s="1" t="s">
        <v>10162</v>
      </c>
      <c r="F414" s="1" t="s">
        <v>10162</v>
      </c>
      <c r="G414" s="1" t="s">
        <v>10680</v>
      </c>
      <c r="H414" s="1" t="s">
        <v>10172</v>
      </c>
      <c r="I414" s="1" t="s">
        <v>10172</v>
      </c>
      <c r="J414" s="1" t="s">
        <v>10193</v>
      </c>
      <c r="K414" s="1" t="s">
        <v>10193</v>
      </c>
      <c r="L414" s="1" t="s">
        <v>10434</v>
      </c>
      <c r="M414" s="1" t="s">
        <v>4460</v>
      </c>
      <c r="O414" s="1" t="s">
        <v>10155</v>
      </c>
      <c r="P414" s="1" t="s">
        <v>10155</v>
      </c>
      <c r="Q414" s="1" t="s">
        <v>29</v>
      </c>
    </row>
    <row r="415" spans="1:17" ht="12.5" x14ac:dyDescent="0.25">
      <c r="A415" s="1" t="s">
        <v>152</v>
      </c>
      <c r="C415" s="1" t="s">
        <v>10681</v>
      </c>
      <c r="D415" s="1" t="s">
        <v>10682</v>
      </c>
      <c r="E415" s="1" t="s">
        <v>10162</v>
      </c>
      <c r="F415" s="1" t="s">
        <v>10162</v>
      </c>
      <c r="G415" s="1" t="s">
        <v>10680</v>
      </c>
      <c r="H415" s="1" t="s">
        <v>10176</v>
      </c>
      <c r="I415" s="1" t="s">
        <v>10176</v>
      </c>
      <c r="J415" s="1" t="s">
        <v>10262</v>
      </c>
      <c r="K415" s="1" t="s">
        <v>10262</v>
      </c>
      <c r="O415" s="1" t="s">
        <v>10155</v>
      </c>
      <c r="P415" s="1" t="s">
        <v>10155</v>
      </c>
    </row>
    <row r="416" spans="1:17" ht="12.5" x14ac:dyDescent="0.25">
      <c r="A416" s="1" t="s">
        <v>152</v>
      </c>
      <c r="C416" s="1" t="s">
        <v>4454</v>
      </c>
      <c r="D416" s="1" t="s">
        <v>4455</v>
      </c>
      <c r="E416" s="1" t="s">
        <v>10162</v>
      </c>
      <c r="F416" s="1" t="s">
        <v>10162</v>
      </c>
      <c r="G416" s="1" t="s">
        <v>10680</v>
      </c>
      <c r="H416" s="1" t="s">
        <v>10176</v>
      </c>
      <c r="I416" s="1" t="s">
        <v>10176</v>
      </c>
      <c r="J416" s="1" t="s">
        <v>10262</v>
      </c>
      <c r="K416" s="1" t="s">
        <v>10262</v>
      </c>
      <c r="M416" s="1" t="s">
        <v>4456</v>
      </c>
      <c r="O416" s="1" t="s">
        <v>10155</v>
      </c>
      <c r="P416" s="1" t="s">
        <v>10155</v>
      </c>
      <c r="Q416" s="1" t="s">
        <v>29</v>
      </c>
    </row>
    <row r="417" spans="1:17" ht="12.5" x14ac:dyDescent="0.25">
      <c r="A417" s="1" t="s">
        <v>152</v>
      </c>
      <c r="C417" s="1" t="s">
        <v>10683</v>
      </c>
      <c r="D417" s="1" t="s">
        <v>10684</v>
      </c>
      <c r="E417" s="1" t="s">
        <v>10162</v>
      </c>
      <c r="F417" s="1" t="s">
        <v>10162</v>
      </c>
      <c r="G417" s="1" t="s">
        <v>10680</v>
      </c>
      <c r="H417" s="1" t="s">
        <v>10172</v>
      </c>
      <c r="I417" s="1" t="s">
        <v>10172</v>
      </c>
      <c r="J417" s="1" t="s">
        <v>10440</v>
      </c>
      <c r="K417" s="1" t="s">
        <v>10440</v>
      </c>
      <c r="O417" s="1" t="s">
        <v>10155</v>
      </c>
      <c r="P417" s="1" t="s">
        <v>10155</v>
      </c>
    </row>
    <row r="418" spans="1:17" ht="12.5" x14ac:dyDescent="0.25">
      <c r="A418" s="1" t="s">
        <v>152</v>
      </c>
      <c r="C418" s="1" t="s">
        <v>4449</v>
      </c>
      <c r="D418" s="1" t="s">
        <v>4450</v>
      </c>
      <c r="E418" s="1" t="s">
        <v>10162</v>
      </c>
      <c r="F418" s="1" t="s">
        <v>10162</v>
      </c>
      <c r="G418" s="1" t="s">
        <v>10680</v>
      </c>
      <c r="H418" s="1" t="s">
        <v>10152</v>
      </c>
      <c r="I418" s="1" t="s">
        <v>10153</v>
      </c>
      <c r="L418" s="1" t="s">
        <v>10197</v>
      </c>
      <c r="M418" s="1" t="s">
        <v>4451</v>
      </c>
      <c r="O418" s="1" t="s">
        <v>10155</v>
      </c>
      <c r="P418" s="1" t="s">
        <v>10155</v>
      </c>
      <c r="Q418" s="1" t="s">
        <v>29</v>
      </c>
    </row>
    <row r="419" spans="1:17" ht="12.5" x14ac:dyDescent="0.25">
      <c r="A419" s="1" t="s">
        <v>152</v>
      </c>
      <c r="C419" s="1" t="s">
        <v>10685</v>
      </c>
      <c r="D419" s="1" t="s">
        <v>10686</v>
      </c>
      <c r="E419" s="1" t="s">
        <v>10162</v>
      </c>
      <c r="F419" s="1" t="s">
        <v>10162</v>
      </c>
      <c r="G419" s="1" t="s">
        <v>10680</v>
      </c>
      <c r="H419" s="1" t="s">
        <v>10172</v>
      </c>
      <c r="I419" s="1" t="s">
        <v>10172</v>
      </c>
      <c r="J419" s="1" t="s">
        <v>10193</v>
      </c>
      <c r="K419" s="1" t="s">
        <v>10193</v>
      </c>
      <c r="L419" s="1" t="s">
        <v>10687</v>
      </c>
      <c r="O419" s="1" t="s">
        <v>10155</v>
      </c>
      <c r="P419" s="1" t="s">
        <v>10155</v>
      </c>
    </row>
    <row r="420" spans="1:17" ht="12.5" x14ac:dyDescent="0.25">
      <c r="A420" s="1" t="s">
        <v>152</v>
      </c>
      <c r="C420" s="1" t="s">
        <v>10688</v>
      </c>
      <c r="D420" s="1" t="s">
        <v>10689</v>
      </c>
      <c r="E420" s="1" t="s">
        <v>10162</v>
      </c>
      <c r="F420" s="1" t="s">
        <v>10162</v>
      </c>
      <c r="G420" s="1" t="s">
        <v>10680</v>
      </c>
      <c r="H420" s="1" t="s">
        <v>10172</v>
      </c>
      <c r="I420" s="1" t="s">
        <v>10172</v>
      </c>
      <c r="J420" s="1" t="s">
        <v>10193</v>
      </c>
      <c r="K420" s="1" t="s">
        <v>10193</v>
      </c>
      <c r="L420" s="1" t="s">
        <v>10690</v>
      </c>
      <c r="O420" s="1" t="s">
        <v>10155</v>
      </c>
      <c r="P420" s="1" t="s">
        <v>10155</v>
      </c>
    </row>
    <row r="421" spans="1:17" ht="12.5" x14ac:dyDescent="0.25">
      <c r="A421" s="1" t="s">
        <v>152</v>
      </c>
      <c r="C421" s="1" t="s">
        <v>4444</v>
      </c>
      <c r="D421" s="1" t="s">
        <v>4445</v>
      </c>
      <c r="E421" s="1" t="s">
        <v>10162</v>
      </c>
      <c r="F421" s="1" t="s">
        <v>10516</v>
      </c>
      <c r="G421" s="1" t="s">
        <v>10554</v>
      </c>
      <c r="H421" s="1" t="s">
        <v>10152</v>
      </c>
      <c r="I421" s="1" t="s">
        <v>10153</v>
      </c>
      <c r="L421" s="1" t="s">
        <v>10197</v>
      </c>
      <c r="M421" s="1" t="s">
        <v>4446</v>
      </c>
      <c r="O421" s="1" t="s">
        <v>10155</v>
      </c>
      <c r="P421" s="1" t="s">
        <v>10155</v>
      </c>
      <c r="Q421" s="1" t="s">
        <v>29</v>
      </c>
    </row>
    <row r="422" spans="1:17" ht="12.5" x14ac:dyDescent="0.25">
      <c r="A422" s="1" t="s">
        <v>152</v>
      </c>
      <c r="C422" s="1" t="s">
        <v>4440</v>
      </c>
      <c r="D422" s="1" t="s">
        <v>4441</v>
      </c>
      <c r="E422" s="1" t="s">
        <v>10162</v>
      </c>
      <c r="F422" s="1" t="s">
        <v>10516</v>
      </c>
      <c r="G422" s="1" t="s">
        <v>10556</v>
      </c>
      <c r="H422" s="1" t="s">
        <v>10160</v>
      </c>
      <c r="I422" s="1" t="s">
        <v>10160</v>
      </c>
      <c r="L422" s="1" t="s">
        <v>10197</v>
      </c>
      <c r="M422" s="1" t="s">
        <v>4442</v>
      </c>
      <c r="O422" s="1" t="s">
        <v>10155</v>
      </c>
      <c r="P422" s="1" t="s">
        <v>10155</v>
      </c>
      <c r="Q422" s="1" t="s">
        <v>29</v>
      </c>
    </row>
    <row r="423" spans="1:17" ht="12.5" x14ac:dyDescent="0.25">
      <c r="A423" s="1" t="s">
        <v>152</v>
      </c>
      <c r="C423" s="1" t="s">
        <v>4437</v>
      </c>
      <c r="D423" s="1" t="s">
        <v>4438</v>
      </c>
      <c r="E423" s="1" t="s">
        <v>10162</v>
      </c>
      <c r="F423" s="1" t="s">
        <v>10516</v>
      </c>
      <c r="G423" s="1" t="s">
        <v>10556</v>
      </c>
      <c r="H423" s="1" t="s">
        <v>10160</v>
      </c>
      <c r="I423" s="1" t="s">
        <v>10160</v>
      </c>
      <c r="L423" s="1" t="s">
        <v>10197</v>
      </c>
      <c r="M423" s="1" t="s">
        <v>4439</v>
      </c>
      <c r="O423" s="1" t="s">
        <v>10155</v>
      </c>
      <c r="P423" s="1" t="s">
        <v>10155</v>
      </c>
      <c r="Q423" s="1" t="s">
        <v>29</v>
      </c>
    </row>
    <row r="424" spans="1:17" ht="12.5" x14ac:dyDescent="0.25">
      <c r="A424" s="1" t="s">
        <v>152</v>
      </c>
      <c r="C424" s="1" t="s">
        <v>4433</v>
      </c>
      <c r="D424" s="1" t="s">
        <v>4434</v>
      </c>
      <c r="E424" s="1" t="s">
        <v>10162</v>
      </c>
      <c r="F424" s="1" t="s">
        <v>10516</v>
      </c>
      <c r="G424" s="1" t="s">
        <v>10556</v>
      </c>
      <c r="H424" s="1" t="s">
        <v>10160</v>
      </c>
      <c r="I424" s="1" t="s">
        <v>10160</v>
      </c>
      <c r="L424" s="1" t="s">
        <v>10197</v>
      </c>
      <c r="M424" s="1" t="s">
        <v>4435</v>
      </c>
      <c r="O424" s="1" t="s">
        <v>10155</v>
      </c>
      <c r="P424" s="1" t="s">
        <v>10155</v>
      </c>
      <c r="Q424" s="1" t="s">
        <v>29</v>
      </c>
    </row>
    <row r="425" spans="1:17" ht="12.5" x14ac:dyDescent="0.25">
      <c r="A425" s="1" t="s">
        <v>152</v>
      </c>
      <c r="C425" s="1" t="s">
        <v>4430</v>
      </c>
      <c r="D425" s="1" t="s">
        <v>4431</v>
      </c>
      <c r="E425" s="1" t="s">
        <v>10162</v>
      </c>
      <c r="F425" s="1" t="s">
        <v>10516</v>
      </c>
      <c r="G425" s="1" t="s">
        <v>10556</v>
      </c>
      <c r="H425" s="1" t="s">
        <v>10160</v>
      </c>
      <c r="I425" s="1" t="s">
        <v>10160</v>
      </c>
      <c r="L425" s="1" t="s">
        <v>10197</v>
      </c>
      <c r="M425" s="1" t="s">
        <v>4432</v>
      </c>
      <c r="O425" s="1" t="s">
        <v>10155</v>
      </c>
      <c r="P425" s="1" t="s">
        <v>10155</v>
      </c>
      <c r="Q425" s="1" t="s">
        <v>29</v>
      </c>
    </row>
    <row r="426" spans="1:17" ht="12.5" x14ac:dyDescent="0.25">
      <c r="A426" s="1" t="s">
        <v>152</v>
      </c>
      <c r="C426" s="1" t="s">
        <v>4426</v>
      </c>
      <c r="D426" s="1" t="s">
        <v>4427</v>
      </c>
      <c r="E426" s="1" t="s">
        <v>10162</v>
      </c>
      <c r="F426" s="1" t="s">
        <v>10516</v>
      </c>
      <c r="G426" s="1" t="s">
        <v>10556</v>
      </c>
      <c r="H426" s="1" t="s">
        <v>10160</v>
      </c>
      <c r="I426" s="1" t="s">
        <v>10160</v>
      </c>
      <c r="L426" s="1" t="s">
        <v>10197</v>
      </c>
      <c r="M426" s="1" t="s">
        <v>4428</v>
      </c>
      <c r="O426" s="1" t="s">
        <v>10155</v>
      </c>
      <c r="P426" s="1" t="s">
        <v>10155</v>
      </c>
      <c r="Q426" s="1" t="s">
        <v>29</v>
      </c>
    </row>
    <row r="427" spans="1:17" ht="12.5" x14ac:dyDescent="0.25">
      <c r="A427" s="1" t="s">
        <v>152</v>
      </c>
      <c r="C427" s="1" t="s">
        <v>4421</v>
      </c>
      <c r="D427" s="1" t="s">
        <v>4422</v>
      </c>
      <c r="E427" s="1" t="s">
        <v>10162</v>
      </c>
      <c r="F427" s="1" t="s">
        <v>10516</v>
      </c>
      <c r="G427" s="1" t="s">
        <v>10556</v>
      </c>
      <c r="H427" s="1" t="s">
        <v>10160</v>
      </c>
      <c r="I427" s="1" t="s">
        <v>10160</v>
      </c>
      <c r="L427" s="1" t="s">
        <v>10197</v>
      </c>
      <c r="M427" s="1" t="s">
        <v>4423</v>
      </c>
      <c r="O427" s="1" t="s">
        <v>10155</v>
      </c>
      <c r="P427" s="1" t="s">
        <v>10155</v>
      </c>
      <c r="Q427" s="1" t="s">
        <v>29</v>
      </c>
    </row>
    <row r="428" spans="1:17" ht="12.5" x14ac:dyDescent="0.25">
      <c r="A428" s="1" t="s">
        <v>152</v>
      </c>
      <c r="C428" s="1" t="s">
        <v>10691</v>
      </c>
      <c r="D428" s="1" t="s">
        <v>10692</v>
      </c>
      <c r="E428" s="1" t="s">
        <v>10162</v>
      </c>
      <c r="F428" s="1" t="s">
        <v>10516</v>
      </c>
      <c r="G428" s="1" t="s">
        <v>10554</v>
      </c>
      <c r="H428" s="1" t="s">
        <v>10172</v>
      </c>
      <c r="I428" s="1" t="s">
        <v>10172</v>
      </c>
      <c r="J428" s="1" t="s">
        <v>10173</v>
      </c>
      <c r="K428" s="1" t="s">
        <v>10173</v>
      </c>
      <c r="O428" s="1" t="s">
        <v>10155</v>
      </c>
      <c r="P428" s="1" t="s">
        <v>10155</v>
      </c>
    </row>
    <row r="429" spans="1:17" ht="12.5" x14ac:dyDescent="0.25">
      <c r="A429" s="1" t="s">
        <v>152</v>
      </c>
      <c r="C429" s="1" t="s">
        <v>10693</v>
      </c>
      <c r="D429" s="1" t="s">
        <v>10694</v>
      </c>
      <c r="E429" s="1" t="s">
        <v>10162</v>
      </c>
      <c r="F429" s="1" t="s">
        <v>10516</v>
      </c>
      <c r="G429" s="1" t="s">
        <v>10554</v>
      </c>
      <c r="H429" s="1" t="s">
        <v>10176</v>
      </c>
      <c r="I429" s="1" t="s">
        <v>10176</v>
      </c>
      <c r="J429" s="1" t="s">
        <v>10293</v>
      </c>
      <c r="K429" s="1" t="s">
        <v>10293</v>
      </c>
      <c r="O429" s="1" t="s">
        <v>10155</v>
      </c>
      <c r="P429" s="1" t="s">
        <v>10155</v>
      </c>
    </row>
    <row r="430" spans="1:17" ht="12.5" x14ac:dyDescent="0.25">
      <c r="A430" s="1" t="s">
        <v>152</v>
      </c>
      <c r="C430" s="1" t="s">
        <v>4415</v>
      </c>
      <c r="D430" s="1" t="s">
        <v>4416</v>
      </c>
      <c r="E430" s="1" t="s">
        <v>10156</v>
      </c>
      <c r="F430" s="1" t="s">
        <v>10156</v>
      </c>
      <c r="G430" s="1" t="s">
        <v>10695</v>
      </c>
      <c r="H430" s="1" t="s">
        <v>10152</v>
      </c>
      <c r="I430" s="1" t="s">
        <v>10153</v>
      </c>
      <c r="M430" s="1" t="s">
        <v>4417</v>
      </c>
      <c r="N430" s="1" t="s">
        <v>10696</v>
      </c>
      <c r="O430" s="1" t="s">
        <v>169</v>
      </c>
      <c r="P430" s="1" t="s">
        <v>10155</v>
      </c>
      <c r="Q430" s="1" t="s">
        <v>29</v>
      </c>
    </row>
    <row r="431" spans="1:17" ht="12.5" x14ac:dyDescent="0.25">
      <c r="A431" s="1" t="s">
        <v>152</v>
      </c>
      <c r="C431" s="1" t="s">
        <v>10697</v>
      </c>
      <c r="D431" s="1" t="s">
        <v>10698</v>
      </c>
      <c r="E431" s="1" t="s">
        <v>9928</v>
      </c>
      <c r="F431" s="1" t="s">
        <v>10531</v>
      </c>
      <c r="G431" s="1" t="s">
        <v>10557</v>
      </c>
      <c r="H431" s="1" t="s">
        <v>10176</v>
      </c>
      <c r="I431" s="1" t="s">
        <v>10176</v>
      </c>
      <c r="J431" s="1" t="s">
        <v>10177</v>
      </c>
      <c r="K431" s="1" t="s">
        <v>10177</v>
      </c>
      <c r="O431" s="1" t="s">
        <v>10155</v>
      </c>
      <c r="P431" s="1" t="s">
        <v>10155</v>
      </c>
    </row>
    <row r="432" spans="1:17" ht="12.5" x14ac:dyDescent="0.25">
      <c r="A432" s="1" t="s">
        <v>152</v>
      </c>
      <c r="C432" s="1" t="s">
        <v>10699</v>
      </c>
      <c r="D432" s="1" t="s">
        <v>10700</v>
      </c>
      <c r="E432" s="1" t="s">
        <v>9928</v>
      </c>
      <c r="F432" s="1" t="s">
        <v>10531</v>
      </c>
      <c r="G432" s="1" t="s">
        <v>10557</v>
      </c>
      <c r="H432" s="1" t="s">
        <v>10172</v>
      </c>
      <c r="I432" s="1" t="s">
        <v>10172</v>
      </c>
      <c r="J432" s="1" t="s">
        <v>10173</v>
      </c>
      <c r="K432" s="1" t="s">
        <v>10173</v>
      </c>
      <c r="O432" s="1" t="s">
        <v>10155</v>
      </c>
      <c r="P432" s="1" t="s">
        <v>10155</v>
      </c>
    </row>
    <row r="433" spans="1:17" ht="12.5" x14ac:dyDescent="0.25">
      <c r="A433" s="1" t="s">
        <v>152</v>
      </c>
      <c r="C433" s="1" t="s">
        <v>4411</v>
      </c>
      <c r="D433" s="1" t="s">
        <v>4412</v>
      </c>
      <c r="E433" s="1" t="s">
        <v>10162</v>
      </c>
      <c r="F433" s="1" t="s">
        <v>10162</v>
      </c>
      <c r="G433" s="1" t="s">
        <v>10701</v>
      </c>
      <c r="H433" s="1" t="s">
        <v>10152</v>
      </c>
      <c r="I433" s="1" t="s">
        <v>10164</v>
      </c>
      <c r="M433" s="1" t="s">
        <v>4413</v>
      </c>
      <c r="O433" s="1" t="s">
        <v>10155</v>
      </c>
      <c r="P433" s="1" t="s">
        <v>10155</v>
      </c>
      <c r="Q433" s="1" t="s">
        <v>20</v>
      </c>
    </row>
    <row r="434" spans="1:17" ht="12.5" x14ac:dyDescent="0.25">
      <c r="A434" s="1" t="s">
        <v>152</v>
      </c>
      <c r="C434" s="1" t="s">
        <v>4407</v>
      </c>
      <c r="D434" s="1" t="s">
        <v>10702</v>
      </c>
      <c r="E434" s="1" t="s">
        <v>9928</v>
      </c>
      <c r="F434" s="1" t="s">
        <v>10565</v>
      </c>
      <c r="G434" s="1" t="s">
        <v>10703</v>
      </c>
      <c r="H434" s="1" t="s">
        <v>10152</v>
      </c>
      <c r="I434" s="1" t="s">
        <v>10153</v>
      </c>
      <c r="M434" s="1" t="s">
        <v>4408</v>
      </c>
      <c r="O434" s="1" t="s">
        <v>292</v>
      </c>
      <c r="P434" s="1" t="s">
        <v>10155</v>
      </c>
      <c r="Q434" s="1" t="s">
        <v>29</v>
      </c>
    </row>
    <row r="435" spans="1:17" ht="12.5" x14ac:dyDescent="0.25">
      <c r="A435" s="1" t="s">
        <v>152</v>
      </c>
      <c r="C435" s="1" t="s">
        <v>788</v>
      </c>
      <c r="D435" s="1" t="s">
        <v>789</v>
      </c>
      <c r="E435" s="1" t="s">
        <v>10162</v>
      </c>
      <c r="F435" s="1" t="s">
        <v>10162</v>
      </c>
      <c r="G435" s="1" t="s">
        <v>10701</v>
      </c>
      <c r="H435" s="1" t="s">
        <v>10152</v>
      </c>
      <c r="I435" s="1" t="s">
        <v>10153</v>
      </c>
      <c r="L435" s="1" t="s">
        <v>10197</v>
      </c>
      <c r="M435" s="1" t="s">
        <v>4404</v>
      </c>
      <c r="O435" s="1" t="s">
        <v>10155</v>
      </c>
      <c r="P435" s="1" t="s">
        <v>10155</v>
      </c>
      <c r="Q435" s="1" t="s">
        <v>29</v>
      </c>
    </row>
    <row r="436" spans="1:17" ht="12.5" x14ac:dyDescent="0.25">
      <c r="A436" s="1" t="s">
        <v>152</v>
      </c>
      <c r="C436" s="1" t="s">
        <v>788</v>
      </c>
      <c r="D436" s="1" t="s">
        <v>789</v>
      </c>
      <c r="E436" s="1" t="s">
        <v>10162</v>
      </c>
      <c r="F436" s="1" t="s">
        <v>10162</v>
      </c>
      <c r="G436" s="1" t="s">
        <v>10701</v>
      </c>
      <c r="H436" s="1" t="s">
        <v>10152</v>
      </c>
      <c r="I436" s="1" t="s">
        <v>10153</v>
      </c>
      <c r="L436" s="1" t="s">
        <v>10197</v>
      </c>
      <c r="M436" s="1" t="s">
        <v>782</v>
      </c>
      <c r="N436" s="1" t="s">
        <v>784</v>
      </c>
      <c r="O436" s="1" t="s">
        <v>10155</v>
      </c>
      <c r="P436" s="1" t="s">
        <v>10155</v>
      </c>
      <c r="Q436" s="1" t="s">
        <v>29</v>
      </c>
    </row>
    <row r="437" spans="1:17" ht="12.5" x14ac:dyDescent="0.25">
      <c r="A437" s="1" t="s">
        <v>152</v>
      </c>
      <c r="C437" s="1" t="s">
        <v>786</v>
      </c>
      <c r="D437" s="1" t="s">
        <v>787</v>
      </c>
      <c r="E437" s="1" t="s">
        <v>10162</v>
      </c>
      <c r="F437" s="1" t="s">
        <v>10162</v>
      </c>
      <c r="G437" s="1" t="s">
        <v>10701</v>
      </c>
      <c r="H437" s="1" t="s">
        <v>10152</v>
      </c>
      <c r="I437" s="1" t="s">
        <v>10153</v>
      </c>
      <c r="L437" s="1" t="s">
        <v>10197</v>
      </c>
      <c r="M437" s="1" t="s">
        <v>4402</v>
      </c>
      <c r="O437" s="1" t="s">
        <v>292</v>
      </c>
      <c r="P437" s="1" t="s">
        <v>10155</v>
      </c>
      <c r="Q437" s="1" t="s">
        <v>29</v>
      </c>
    </row>
    <row r="438" spans="1:17" ht="12.5" x14ac:dyDescent="0.25">
      <c r="A438" s="1" t="s">
        <v>152</v>
      </c>
      <c r="C438" s="1" t="s">
        <v>786</v>
      </c>
      <c r="D438" s="1" t="s">
        <v>787</v>
      </c>
      <c r="E438" s="1" t="s">
        <v>10162</v>
      </c>
      <c r="F438" s="1" t="s">
        <v>10162</v>
      </c>
      <c r="G438" s="1" t="s">
        <v>10701</v>
      </c>
      <c r="H438" s="1" t="s">
        <v>10152</v>
      </c>
      <c r="I438" s="1" t="s">
        <v>10153</v>
      </c>
      <c r="L438" s="1" t="s">
        <v>10197</v>
      </c>
      <c r="M438" s="1" t="s">
        <v>782</v>
      </c>
      <c r="N438" s="1" t="s">
        <v>784</v>
      </c>
      <c r="O438" s="1" t="s">
        <v>10155</v>
      </c>
      <c r="P438" s="1" t="s">
        <v>10155</v>
      </c>
      <c r="Q438" s="1" t="s">
        <v>29</v>
      </c>
    </row>
    <row r="439" spans="1:17" ht="12.5" x14ac:dyDescent="0.25">
      <c r="A439" s="1" t="s">
        <v>152</v>
      </c>
      <c r="C439" s="1" t="s">
        <v>10704</v>
      </c>
      <c r="D439" s="1" t="s">
        <v>10705</v>
      </c>
      <c r="E439" s="1" t="s">
        <v>9928</v>
      </c>
      <c r="F439" s="1" t="s">
        <v>10565</v>
      </c>
      <c r="G439" s="1" t="s">
        <v>10703</v>
      </c>
      <c r="H439" s="1" t="s">
        <v>10176</v>
      </c>
      <c r="I439" s="1" t="s">
        <v>10176</v>
      </c>
      <c r="J439" s="1" t="s">
        <v>10262</v>
      </c>
      <c r="K439" s="1" t="s">
        <v>10262</v>
      </c>
      <c r="O439" s="1" t="s">
        <v>10155</v>
      </c>
      <c r="P439" s="1" t="s">
        <v>10155</v>
      </c>
    </row>
    <row r="440" spans="1:17" ht="12.5" x14ac:dyDescent="0.25">
      <c r="A440" s="1" t="s">
        <v>152</v>
      </c>
      <c r="C440" s="1" t="s">
        <v>4396</v>
      </c>
      <c r="D440" s="1" t="s">
        <v>4397</v>
      </c>
      <c r="E440" s="1" t="s">
        <v>10156</v>
      </c>
      <c r="F440" s="1" t="s">
        <v>10156</v>
      </c>
      <c r="G440" s="1" t="s">
        <v>10559</v>
      </c>
      <c r="H440" s="1" t="s">
        <v>10486</v>
      </c>
      <c r="I440" s="1" t="s">
        <v>10486</v>
      </c>
      <c r="L440" s="1" t="s">
        <v>10197</v>
      </c>
      <c r="M440" s="1" t="s">
        <v>4398</v>
      </c>
      <c r="N440" s="1" t="s">
        <v>4400</v>
      </c>
      <c r="O440" s="1" t="s">
        <v>124</v>
      </c>
      <c r="P440" s="1" t="s">
        <v>10155</v>
      </c>
      <c r="Q440" s="1" t="s">
        <v>29</v>
      </c>
    </row>
    <row r="441" spans="1:17" ht="12.5" x14ac:dyDescent="0.25">
      <c r="A441" s="1" t="s">
        <v>152</v>
      </c>
      <c r="C441" s="1" t="s">
        <v>4390</v>
      </c>
      <c r="D441" s="1" t="s">
        <v>4391</v>
      </c>
      <c r="E441" s="1" t="s">
        <v>9928</v>
      </c>
      <c r="F441" s="1" t="s">
        <v>10565</v>
      </c>
      <c r="G441" s="1" t="s">
        <v>10703</v>
      </c>
      <c r="H441" s="1" t="s">
        <v>10183</v>
      </c>
      <c r="I441" s="1" t="s">
        <v>10183</v>
      </c>
      <c r="M441" s="1" t="s">
        <v>4392</v>
      </c>
      <c r="N441" s="1" t="s">
        <v>4394</v>
      </c>
      <c r="O441" s="1" t="s">
        <v>53</v>
      </c>
      <c r="P441" s="1" t="s">
        <v>46</v>
      </c>
      <c r="Q441" s="1" t="s">
        <v>29</v>
      </c>
    </row>
    <row r="442" spans="1:17" ht="12.5" x14ac:dyDescent="0.25">
      <c r="A442" s="1" t="s">
        <v>152</v>
      </c>
      <c r="C442" s="1" t="s">
        <v>4386</v>
      </c>
      <c r="D442" s="1" t="s">
        <v>4387</v>
      </c>
      <c r="E442" s="1" t="s">
        <v>10162</v>
      </c>
      <c r="F442" s="1" t="s">
        <v>10553</v>
      </c>
      <c r="G442" s="1" t="s">
        <v>10560</v>
      </c>
      <c r="H442" s="1" t="s">
        <v>10183</v>
      </c>
      <c r="I442" s="1" t="s">
        <v>10183</v>
      </c>
      <c r="M442" s="1" t="s">
        <v>4388</v>
      </c>
      <c r="O442" s="1" t="s">
        <v>53</v>
      </c>
      <c r="P442" s="1" t="s">
        <v>59</v>
      </c>
      <c r="Q442" s="1" t="s">
        <v>29</v>
      </c>
    </row>
    <row r="443" spans="1:17" ht="12.5" x14ac:dyDescent="0.25">
      <c r="A443" s="1" t="s">
        <v>152</v>
      </c>
      <c r="C443" s="1" t="s">
        <v>4381</v>
      </c>
      <c r="D443" s="1" t="s">
        <v>4382</v>
      </c>
      <c r="E443" s="1" t="s">
        <v>10162</v>
      </c>
      <c r="F443" s="1" t="s">
        <v>10553</v>
      </c>
      <c r="G443" s="1" t="s">
        <v>10560</v>
      </c>
      <c r="H443" s="1" t="s">
        <v>10152</v>
      </c>
      <c r="I443" s="1" t="s">
        <v>10164</v>
      </c>
      <c r="M443" s="1" t="s">
        <v>4383</v>
      </c>
      <c r="O443" s="1" t="s">
        <v>10155</v>
      </c>
      <c r="P443" s="1" t="s">
        <v>10155</v>
      </c>
      <c r="Q443" s="1" t="s">
        <v>29</v>
      </c>
    </row>
    <row r="444" spans="1:17" ht="12.5" x14ac:dyDescent="0.25">
      <c r="A444" s="1" t="s">
        <v>152</v>
      </c>
      <c r="C444" s="1" t="s">
        <v>10706</v>
      </c>
      <c r="D444" s="1" t="s">
        <v>10707</v>
      </c>
      <c r="E444" s="1" t="s">
        <v>10162</v>
      </c>
      <c r="F444" s="1" t="s">
        <v>10553</v>
      </c>
      <c r="G444" s="1" t="s">
        <v>10560</v>
      </c>
      <c r="H444" s="1" t="s">
        <v>10176</v>
      </c>
      <c r="I444" s="1" t="s">
        <v>10176</v>
      </c>
      <c r="J444" s="1" t="s">
        <v>10293</v>
      </c>
      <c r="K444" s="1" t="s">
        <v>10293</v>
      </c>
      <c r="O444" s="1" t="s">
        <v>10155</v>
      </c>
      <c r="P444" s="1" t="s">
        <v>10155</v>
      </c>
    </row>
    <row r="445" spans="1:17" ht="12.5" x14ac:dyDescent="0.25">
      <c r="A445" s="1" t="s">
        <v>152</v>
      </c>
      <c r="C445" s="1" t="s">
        <v>4377</v>
      </c>
      <c r="D445" s="1" t="s">
        <v>4378</v>
      </c>
      <c r="E445" s="1" t="s">
        <v>10162</v>
      </c>
      <c r="F445" s="1" t="s">
        <v>10553</v>
      </c>
      <c r="G445" s="1" t="s">
        <v>10560</v>
      </c>
      <c r="H445" s="1" t="s">
        <v>10160</v>
      </c>
      <c r="I445" s="1" t="s">
        <v>10160</v>
      </c>
      <c r="L445" s="1" t="s">
        <v>10197</v>
      </c>
      <c r="M445" s="1" t="s">
        <v>4379</v>
      </c>
      <c r="O445" s="1" t="s">
        <v>53</v>
      </c>
      <c r="P445" s="1" t="s">
        <v>10155</v>
      </c>
      <c r="Q445" s="1" t="s">
        <v>20</v>
      </c>
    </row>
    <row r="446" spans="1:17" ht="12.5" x14ac:dyDescent="0.25">
      <c r="A446" s="1" t="s">
        <v>152</v>
      </c>
      <c r="C446" s="1" t="s">
        <v>4373</v>
      </c>
      <c r="D446" s="1" t="s">
        <v>10708</v>
      </c>
      <c r="E446" s="1" t="s">
        <v>10162</v>
      </c>
      <c r="F446" s="1" t="s">
        <v>10553</v>
      </c>
      <c r="G446" s="1" t="s">
        <v>10560</v>
      </c>
      <c r="H446" s="1" t="s">
        <v>10152</v>
      </c>
      <c r="I446" s="1" t="s">
        <v>10164</v>
      </c>
      <c r="M446" s="1" t="s">
        <v>4374</v>
      </c>
      <c r="O446" s="1" t="s">
        <v>10155</v>
      </c>
      <c r="P446" s="1" t="s">
        <v>10155</v>
      </c>
      <c r="Q446" s="1" t="s">
        <v>29</v>
      </c>
    </row>
    <row r="447" spans="1:17" ht="12.5" x14ac:dyDescent="0.25">
      <c r="A447" s="1" t="s">
        <v>152</v>
      </c>
      <c r="C447" s="1" t="s">
        <v>4368</v>
      </c>
      <c r="D447" s="1" t="s">
        <v>4369</v>
      </c>
      <c r="E447" s="1" t="s">
        <v>9928</v>
      </c>
      <c r="F447" s="1" t="s">
        <v>10563</v>
      </c>
      <c r="G447" s="1" t="s">
        <v>10564</v>
      </c>
      <c r="H447" s="1" t="s">
        <v>10183</v>
      </c>
      <c r="I447" s="1" t="s">
        <v>10183</v>
      </c>
      <c r="M447" s="1" t="s">
        <v>4370</v>
      </c>
      <c r="O447" s="1" t="s">
        <v>53</v>
      </c>
      <c r="P447" s="1" t="s">
        <v>53</v>
      </c>
      <c r="Q447" s="1" t="s">
        <v>29</v>
      </c>
    </row>
    <row r="448" spans="1:17" ht="12.5" x14ac:dyDescent="0.25">
      <c r="A448" s="1" t="s">
        <v>152</v>
      </c>
      <c r="C448" s="1" t="s">
        <v>10709</v>
      </c>
      <c r="D448" s="1" t="s">
        <v>10710</v>
      </c>
      <c r="E448" s="1" t="s">
        <v>9928</v>
      </c>
      <c r="F448" s="1" t="s">
        <v>10563</v>
      </c>
      <c r="G448" s="1" t="s">
        <v>10564</v>
      </c>
      <c r="H448" s="1" t="s">
        <v>10172</v>
      </c>
      <c r="I448" s="1" t="s">
        <v>10172</v>
      </c>
      <c r="J448" s="1" t="s">
        <v>10573</v>
      </c>
      <c r="K448" s="1" t="s">
        <v>10573</v>
      </c>
      <c r="O448" s="1" t="s">
        <v>10155</v>
      </c>
      <c r="P448" s="1" t="s">
        <v>10155</v>
      </c>
    </row>
    <row r="449" spans="1:17" ht="12.5" x14ac:dyDescent="0.25">
      <c r="A449" s="1" t="s">
        <v>152</v>
      </c>
      <c r="C449" s="1" t="s">
        <v>8086</v>
      </c>
      <c r="D449" s="1" t="s">
        <v>8087</v>
      </c>
      <c r="E449" s="1" t="s">
        <v>10162</v>
      </c>
      <c r="F449" s="1" t="s">
        <v>10553</v>
      </c>
      <c r="G449" s="1" t="s">
        <v>10560</v>
      </c>
      <c r="H449" s="1" t="s">
        <v>10183</v>
      </c>
      <c r="I449" s="1" t="s">
        <v>10183</v>
      </c>
      <c r="M449" s="1" t="s">
        <v>8088</v>
      </c>
      <c r="O449" s="1" t="s">
        <v>33</v>
      </c>
      <c r="P449" s="1" t="s">
        <v>53</v>
      </c>
      <c r="Q449" s="1" t="s">
        <v>29</v>
      </c>
    </row>
    <row r="450" spans="1:17" ht="12.5" x14ac:dyDescent="0.25">
      <c r="A450" s="1" t="s">
        <v>152</v>
      </c>
      <c r="C450" s="1" t="s">
        <v>4362</v>
      </c>
      <c r="D450" s="1" t="s">
        <v>4363</v>
      </c>
      <c r="E450" s="1" t="s">
        <v>9929</v>
      </c>
      <c r="F450" s="1" t="s">
        <v>10545</v>
      </c>
      <c r="G450" s="1" t="s">
        <v>10711</v>
      </c>
      <c r="H450" s="1" t="s">
        <v>10152</v>
      </c>
      <c r="I450" s="1" t="s">
        <v>10153</v>
      </c>
      <c r="L450" s="1" t="s">
        <v>10197</v>
      </c>
      <c r="M450" s="1" t="s">
        <v>4364</v>
      </c>
      <c r="N450" s="1" t="s">
        <v>4366</v>
      </c>
      <c r="O450" s="1" t="s">
        <v>112</v>
      </c>
      <c r="P450" s="1" t="s">
        <v>10155</v>
      </c>
      <c r="Q450" s="1" t="s">
        <v>29</v>
      </c>
    </row>
    <row r="451" spans="1:17" ht="12.5" x14ac:dyDescent="0.25">
      <c r="A451" s="1" t="s">
        <v>152</v>
      </c>
      <c r="C451" s="1" t="s">
        <v>10712</v>
      </c>
      <c r="D451" s="1" t="s">
        <v>10713</v>
      </c>
      <c r="E451" s="1" t="s">
        <v>9929</v>
      </c>
      <c r="F451" s="1" t="s">
        <v>10545</v>
      </c>
      <c r="G451" s="1" t="s">
        <v>10711</v>
      </c>
      <c r="H451" s="1" t="s">
        <v>10176</v>
      </c>
      <c r="I451" s="1" t="s">
        <v>10176</v>
      </c>
      <c r="J451" s="1" t="s">
        <v>10177</v>
      </c>
      <c r="K451" s="1" t="s">
        <v>10177</v>
      </c>
      <c r="O451" s="1" t="s">
        <v>10155</v>
      </c>
      <c r="P451" s="1" t="s">
        <v>10155</v>
      </c>
    </row>
    <row r="452" spans="1:17" ht="12.5" x14ac:dyDescent="0.25">
      <c r="A452" s="1" t="s">
        <v>152</v>
      </c>
      <c r="C452" s="1" t="s">
        <v>8091</v>
      </c>
      <c r="D452" s="1" t="s">
        <v>8092</v>
      </c>
      <c r="E452" s="1" t="s">
        <v>9929</v>
      </c>
      <c r="F452" s="1" t="s">
        <v>10545</v>
      </c>
      <c r="G452" s="1" t="s">
        <v>10711</v>
      </c>
      <c r="H452" s="1" t="s">
        <v>10183</v>
      </c>
      <c r="I452" s="1" t="s">
        <v>10183</v>
      </c>
      <c r="M452" s="1" t="s">
        <v>8093</v>
      </c>
      <c r="N452" s="1" t="s">
        <v>8095</v>
      </c>
      <c r="O452" s="1" t="s">
        <v>33</v>
      </c>
      <c r="P452" s="1" t="s">
        <v>53</v>
      </c>
      <c r="Q452" s="1" t="s">
        <v>29</v>
      </c>
    </row>
    <row r="453" spans="1:17" ht="12.5" x14ac:dyDescent="0.25">
      <c r="A453" s="1" t="s">
        <v>152</v>
      </c>
      <c r="C453" s="1" t="s">
        <v>4356</v>
      </c>
      <c r="D453" s="1" t="s">
        <v>4357</v>
      </c>
      <c r="E453" s="1" t="s">
        <v>9929</v>
      </c>
      <c r="F453" s="1" t="s">
        <v>10545</v>
      </c>
      <c r="G453" s="1" t="s">
        <v>10711</v>
      </c>
      <c r="H453" s="1" t="s">
        <v>10152</v>
      </c>
      <c r="I453" s="1" t="s">
        <v>10153</v>
      </c>
      <c r="L453" s="1" t="s">
        <v>10197</v>
      </c>
      <c r="M453" s="1" t="s">
        <v>4358</v>
      </c>
      <c r="N453" s="1" t="s">
        <v>10714</v>
      </c>
      <c r="O453" s="1" t="s">
        <v>157</v>
      </c>
      <c r="P453" s="1" t="s">
        <v>10155</v>
      </c>
      <c r="Q453" s="1" t="s">
        <v>29</v>
      </c>
    </row>
    <row r="454" spans="1:17" ht="12.5" x14ac:dyDescent="0.25">
      <c r="A454" s="1" t="s">
        <v>152</v>
      </c>
      <c r="C454" s="1" t="s">
        <v>10715</v>
      </c>
      <c r="D454" s="1" t="s">
        <v>10716</v>
      </c>
      <c r="E454" s="1" t="s">
        <v>9929</v>
      </c>
      <c r="F454" s="1" t="s">
        <v>10545</v>
      </c>
      <c r="G454" s="1" t="s">
        <v>10711</v>
      </c>
      <c r="H454" s="1" t="s">
        <v>10176</v>
      </c>
      <c r="I454" s="1" t="s">
        <v>10176</v>
      </c>
      <c r="J454" s="1" t="s">
        <v>10177</v>
      </c>
      <c r="K454" s="1" t="s">
        <v>10177</v>
      </c>
      <c r="O454" s="1" t="s">
        <v>10155</v>
      </c>
      <c r="P454" s="1" t="s">
        <v>10155</v>
      </c>
    </row>
    <row r="455" spans="1:17" ht="12.5" x14ac:dyDescent="0.25">
      <c r="A455" s="1" t="s">
        <v>152</v>
      </c>
      <c r="C455" s="1" t="s">
        <v>4351</v>
      </c>
      <c r="D455" s="1" t="s">
        <v>4352</v>
      </c>
      <c r="E455" s="1" t="s">
        <v>9929</v>
      </c>
      <c r="F455" s="1" t="s">
        <v>10545</v>
      </c>
      <c r="G455" s="1" t="s">
        <v>10711</v>
      </c>
      <c r="H455" s="1" t="s">
        <v>10152</v>
      </c>
      <c r="I455" s="1" t="s">
        <v>10153</v>
      </c>
      <c r="M455" s="1" t="s">
        <v>4353</v>
      </c>
      <c r="O455" s="1" t="s">
        <v>169</v>
      </c>
      <c r="P455" s="1" t="s">
        <v>10155</v>
      </c>
      <c r="Q455" s="1" t="s">
        <v>29</v>
      </c>
    </row>
    <row r="456" spans="1:17" ht="12.5" x14ac:dyDescent="0.25">
      <c r="A456" s="1" t="s">
        <v>152</v>
      </c>
      <c r="C456" s="1" t="s">
        <v>4345</v>
      </c>
      <c r="D456" s="1" t="s">
        <v>4346</v>
      </c>
      <c r="E456" s="1" t="s">
        <v>9929</v>
      </c>
      <c r="F456" s="1" t="s">
        <v>10545</v>
      </c>
      <c r="G456" s="1" t="s">
        <v>10711</v>
      </c>
      <c r="H456" s="1" t="s">
        <v>10152</v>
      </c>
      <c r="I456" s="1" t="s">
        <v>10153</v>
      </c>
      <c r="L456" s="1" t="s">
        <v>10197</v>
      </c>
      <c r="M456" s="1" t="s">
        <v>4347</v>
      </c>
      <c r="N456" s="1" t="s">
        <v>4349</v>
      </c>
      <c r="O456" s="1" t="s">
        <v>292</v>
      </c>
      <c r="P456" s="1" t="s">
        <v>10155</v>
      </c>
      <c r="Q456" s="1" t="s">
        <v>29</v>
      </c>
    </row>
    <row r="457" spans="1:17" ht="12.5" x14ac:dyDescent="0.25">
      <c r="A457" s="1" t="s">
        <v>152</v>
      </c>
      <c r="C457" s="1" t="s">
        <v>10717</v>
      </c>
      <c r="D457" s="1" t="s">
        <v>10718</v>
      </c>
      <c r="E457" s="1" t="s">
        <v>9929</v>
      </c>
      <c r="F457" s="1" t="s">
        <v>10545</v>
      </c>
      <c r="G457" s="1" t="s">
        <v>10711</v>
      </c>
      <c r="H457" s="1" t="s">
        <v>10176</v>
      </c>
      <c r="I457" s="1" t="s">
        <v>10176</v>
      </c>
      <c r="J457" s="1" t="s">
        <v>10558</v>
      </c>
      <c r="K457" s="1" t="s">
        <v>10558</v>
      </c>
      <c r="O457" s="1" t="s">
        <v>10155</v>
      </c>
      <c r="P457" s="1" t="s">
        <v>10155</v>
      </c>
    </row>
    <row r="458" spans="1:17" ht="12.5" x14ac:dyDescent="0.25">
      <c r="A458" s="1" t="s">
        <v>152</v>
      </c>
      <c r="C458" s="1" t="s">
        <v>4340</v>
      </c>
      <c r="D458" s="1" t="s">
        <v>4341</v>
      </c>
      <c r="E458" s="1" t="s">
        <v>10162</v>
      </c>
      <c r="F458" s="1" t="s">
        <v>10516</v>
      </c>
      <c r="G458" s="1" t="s">
        <v>10719</v>
      </c>
      <c r="H458" s="1" t="s">
        <v>10486</v>
      </c>
      <c r="I458" s="1" t="s">
        <v>10486</v>
      </c>
      <c r="L458" s="1" t="s">
        <v>10197</v>
      </c>
      <c r="M458" s="1" t="s">
        <v>4342</v>
      </c>
      <c r="O458" s="1" t="s">
        <v>33</v>
      </c>
      <c r="P458" s="1" t="s">
        <v>10155</v>
      </c>
      <c r="Q458" s="1" t="s">
        <v>29</v>
      </c>
    </row>
    <row r="459" spans="1:17" ht="12.5" x14ac:dyDescent="0.25">
      <c r="A459" s="1" t="s">
        <v>152</v>
      </c>
      <c r="C459" s="1" t="s">
        <v>4335</v>
      </c>
      <c r="D459" s="1" t="s">
        <v>4336</v>
      </c>
      <c r="E459" s="1" t="s">
        <v>10162</v>
      </c>
      <c r="F459" s="1" t="s">
        <v>10516</v>
      </c>
      <c r="G459" s="1" t="s">
        <v>10719</v>
      </c>
      <c r="H459" s="1" t="s">
        <v>10486</v>
      </c>
      <c r="I459" s="1" t="s">
        <v>10486</v>
      </c>
      <c r="L459" s="1" t="s">
        <v>10197</v>
      </c>
      <c r="M459" s="1" t="s">
        <v>4337</v>
      </c>
      <c r="O459" s="1" t="s">
        <v>33</v>
      </c>
      <c r="P459" s="1" t="s">
        <v>10155</v>
      </c>
      <c r="Q459" s="1" t="s">
        <v>29</v>
      </c>
    </row>
    <row r="460" spans="1:17" ht="12.5" x14ac:dyDescent="0.25">
      <c r="A460" s="1" t="s">
        <v>152</v>
      </c>
      <c r="C460" s="1" t="s">
        <v>4330</v>
      </c>
      <c r="D460" s="1" t="s">
        <v>4331</v>
      </c>
      <c r="E460" s="1" t="s">
        <v>10162</v>
      </c>
      <c r="F460" s="1" t="s">
        <v>10516</v>
      </c>
      <c r="G460" s="1" t="s">
        <v>10719</v>
      </c>
      <c r="H460" s="1" t="s">
        <v>10152</v>
      </c>
      <c r="I460" s="1" t="s">
        <v>10153</v>
      </c>
      <c r="L460" s="1" t="s">
        <v>10197</v>
      </c>
      <c r="M460" s="1" t="s">
        <v>4332</v>
      </c>
      <c r="O460" s="1" t="s">
        <v>124</v>
      </c>
      <c r="P460" s="1" t="s">
        <v>10155</v>
      </c>
      <c r="Q460" s="1" t="s">
        <v>29</v>
      </c>
    </row>
    <row r="461" spans="1:17" ht="12.5" x14ac:dyDescent="0.25">
      <c r="A461" s="1" t="s">
        <v>152</v>
      </c>
      <c r="C461" s="1" t="s">
        <v>10720</v>
      </c>
      <c r="D461" s="1" t="s">
        <v>10721</v>
      </c>
      <c r="E461" s="1" t="s">
        <v>9928</v>
      </c>
      <c r="F461" s="1" t="s">
        <v>10565</v>
      </c>
      <c r="G461" s="1" t="s">
        <v>10566</v>
      </c>
      <c r="H461" s="1" t="s">
        <v>10152</v>
      </c>
      <c r="I461" s="1" t="s">
        <v>10164</v>
      </c>
      <c r="L461" s="1" t="s">
        <v>10197</v>
      </c>
      <c r="O461" s="1" t="s">
        <v>10155</v>
      </c>
      <c r="P461" s="1" t="s">
        <v>10155</v>
      </c>
    </row>
    <row r="462" spans="1:17" ht="12.5" x14ac:dyDescent="0.25">
      <c r="A462" s="1" t="s">
        <v>152</v>
      </c>
      <c r="C462" s="1" t="s">
        <v>10722</v>
      </c>
      <c r="D462" s="1" t="s">
        <v>10723</v>
      </c>
      <c r="E462" s="1" t="s">
        <v>9928</v>
      </c>
      <c r="F462" s="1" t="s">
        <v>10565</v>
      </c>
      <c r="G462" s="1" t="s">
        <v>10566</v>
      </c>
      <c r="H462" s="1" t="s">
        <v>10176</v>
      </c>
      <c r="I462" s="1" t="s">
        <v>10176</v>
      </c>
      <c r="J462" s="1" t="s">
        <v>10270</v>
      </c>
      <c r="K462" s="1" t="s">
        <v>10270</v>
      </c>
      <c r="O462" s="1" t="s">
        <v>10155</v>
      </c>
      <c r="P462" s="1" t="s">
        <v>10155</v>
      </c>
    </row>
    <row r="463" spans="1:17" ht="12.5" x14ac:dyDescent="0.25">
      <c r="A463" s="1" t="s">
        <v>152</v>
      </c>
      <c r="C463" s="1" t="s">
        <v>10724</v>
      </c>
      <c r="D463" s="1" t="s">
        <v>10725</v>
      </c>
      <c r="E463" s="1" t="s">
        <v>9928</v>
      </c>
      <c r="F463" s="1" t="s">
        <v>10565</v>
      </c>
      <c r="G463" s="1" t="s">
        <v>10566</v>
      </c>
      <c r="H463" s="1" t="s">
        <v>10172</v>
      </c>
      <c r="I463" s="1" t="s">
        <v>10172</v>
      </c>
      <c r="J463" s="1" t="s">
        <v>10440</v>
      </c>
      <c r="K463" s="1" t="s">
        <v>10440</v>
      </c>
      <c r="O463" s="1" t="s">
        <v>10155</v>
      </c>
      <c r="P463" s="1" t="s">
        <v>10155</v>
      </c>
    </row>
    <row r="464" spans="1:17" ht="12.5" x14ac:dyDescent="0.25">
      <c r="A464" s="1" t="s">
        <v>152</v>
      </c>
      <c r="C464" s="1" t="s">
        <v>4325</v>
      </c>
      <c r="D464" s="1" t="s">
        <v>4326</v>
      </c>
      <c r="E464" s="1" t="s">
        <v>9928</v>
      </c>
      <c r="F464" s="1" t="s">
        <v>10565</v>
      </c>
      <c r="G464" s="1" t="s">
        <v>10566</v>
      </c>
      <c r="H464" s="1" t="s">
        <v>10152</v>
      </c>
      <c r="I464" s="1" t="s">
        <v>10153</v>
      </c>
      <c r="M464" s="1" t="s">
        <v>4327</v>
      </c>
      <c r="O464" s="1" t="s">
        <v>169</v>
      </c>
      <c r="P464" s="1" t="s">
        <v>10155</v>
      </c>
      <c r="Q464" s="1" t="s">
        <v>29</v>
      </c>
    </row>
    <row r="465" spans="1:17" ht="12.5" x14ac:dyDescent="0.25">
      <c r="A465" s="1" t="s">
        <v>152</v>
      </c>
      <c r="C465" s="1" t="s">
        <v>4322</v>
      </c>
      <c r="D465" s="1" t="s">
        <v>10726</v>
      </c>
      <c r="E465" s="1" t="s">
        <v>9928</v>
      </c>
      <c r="F465" s="1" t="s">
        <v>10531</v>
      </c>
      <c r="G465" s="1" t="s">
        <v>10727</v>
      </c>
      <c r="H465" s="1" t="s">
        <v>10152</v>
      </c>
      <c r="I465" s="1" t="s">
        <v>10153</v>
      </c>
      <c r="M465" s="1" t="s">
        <v>4323</v>
      </c>
      <c r="O465" s="1" t="s">
        <v>10155</v>
      </c>
      <c r="P465" s="1" t="s">
        <v>10155</v>
      </c>
      <c r="Q465" s="1" t="s">
        <v>29</v>
      </c>
    </row>
    <row r="466" spans="1:17" ht="12.5" x14ac:dyDescent="0.25">
      <c r="A466" s="1" t="s">
        <v>152</v>
      </c>
      <c r="C466" s="1" t="s">
        <v>4317</v>
      </c>
      <c r="D466" s="1" t="s">
        <v>10728</v>
      </c>
      <c r="E466" s="1" t="s">
        <v>9929</v>
      </c>
      <c r="F466" s="1" t="s">
        <v>10150</v>
      </c>
      <c r="G466" s="1" t="s">
        <v>10729</v>
      </c>
      <c r="H466" s="1" t="s">
        <v>10183</v>
      </c>
      <c r="I466" s="1" t="s">
        <v>10183</v>
      </c>
      <c r="M466" s="1" t="s">
        <v>4318</v>
      </c>
      <c r="N466" s="1" t="s">
        <v>10730</v>
      </c>
      <c r="O466" s="1" t="s">
        <v>124</v>
      </c>
      <c r="P466" s="1" t="s">
        <v>124</v>
      </c>
      <c r="Q466" s="1" t="s">
        <v>29</v>
      </c>
    </row>
    <row r="467" spans="1:17" ht="12.5" x14ac:dyDescent="0.25">
      <c r="A467" s="1" t="s">
        <v>152</v>
      </c>
      <c r="C467" s="1" t="s">
        <v>4313</v>
      </c>
      <c r="D467" s="1" t="s">
        <v>10731</v>
      </c>
      <c r="E467" s="1" t="s">
        <v>9929</v>
      </c>
      <c r="F467" s="1" t="s">
        <v>10150</v>
      </c>
      <c r="G467" s="1" t="s">
        <v>10729</v>
      </c>
      <c r="H467" s="1" t="s">
        <v>10172</v>
      </c>
      <c r="I467" s="1" t="s">
        <v>10172</v>
      </c>
      <c r="J467" s="1" t="s">
        <v>10193</v>
      </c>
      <c r="K467" s="1" t="s">
        <v>10173</v>
      </c>
      <c r="L467" s="1" t="s">
        <v>10434</v>
      </c>
      <c r="M467" s="1" t="s">
        <v>4314</v>
      </c>
      <c r="O467" s="1" t="s">
        <v>292</v>
      </c>
      <c r="P467" s="1" t="s">
        <v>10155</v>
      </c>
      <c r="Q467" s="1" t="s">
        <v>29</v>
      </c>
    </row>
    <row r="468" spans="1:17" ht="12.5" x14ac:dyDescent="0.25">
      <c r="A468" s="1" t="s">
        <v>152</v>
      </c>
      <c r="C468" s="1" t="s">
        <v>4309</v>
      </c>
      <c r="D468" s="1" t="s">
        <v>10732</v>
      </c>
      <c r="E468" s="1" t="s">
        <v>9929</v>
      </c>
      <c r="F468" s="1" t="s">
        <v>10150</v>
      </c>
      <c r="G468" s="1" t="s">
        <v>10729</v>
      </c>
      <c r="H468" s="1" t="s">
        <v>10176</v>
      </c>
      <c r="I468" s="1" t="s">
        <v>10176</v>
      </c>
      <c r="J468" s="1" t="s">
        <v>10558</v>
      </c>
      <c r="K468" s="1" t="s">
        <v>10558</v>
      </c>
      <c r="M468" s="1" t="s">
        <v>4310</v>
      </c>
      <c r="O468" s="1" t="s">
        <v>10155</v>
      </c>
      <c r="P468" s="1" t="s">
        <v>10155</v>
      </c>
      <c r="Q468" s="1" t="s">
        <v>29</v>
      </c>
    </row>
    <row r="469" spans="1:17" ht="12.5" x14ac:dyDescent="0.25">
      <c r="A469" s="1" t="s">
        <v>152</v>
      </c>
      <c r="C469" s="1" t="s">
        <v>10733</v>
      </c>
      <c r="D469" s="1" t="s">
        <v>10734</v>
      </c>
      <c r="E469" s="1" t="s">
        <v>9929</v>
      </c>
      <c r="F469" s="1" t="s">
        <v>10150</v>
      </c>
      <c r="G469" s="1" t="s">
        <v>10729</v>
      </c>
      <c r="H469" s="1" t="s">
        <v>10172</v>
      </c>
      <c r="I469" s="1" t="s">
        <v>10172</v>
      </c>
      <c r="J469" s="1" t="s">
        <v>10193</v>
      </c>
      <c r="K469" s="1" t="s">
        <v>10193</v>
      </c>
      <c r="L469" s="1" t="s">
        <v>10735</v>
      </c>
      <c r="O469" s="1" t="s">
        <v>10155</v>
      </c>
      <c r="P469" s="1" t="s">
        <v>10155</v>
      </c>
    </row>
    <row r="470" spans="1:17" ht="12.5" x14ac:dyDescent="0.25">
      <c r="A470" s="1" t="s">
        <v>152</v>
      </c>
      <c r="C470" s="1" t="s">
        <v>4304</v>
      </c>
      <c r="D470" s="1" t="s">
        <v>4305</v>
      </c>
      <c r="E470" s="1" t="s">
        <v>9929</v>
      </c>
      <c r="F470" s="1" t="s">
        <v>10545</v>
      </c>
      <c r="G470" s="1" t="s">
        <v>10659</v>
      </c>
      <c r="H470" s="1" t="s">
        <v>10172</v>
      </c>
      <c r="I470" s="1" t="s">
        <v>10172</v>
      </c>
      <c r="J470" s="1" t="s">
        <v>10193</v>
      </c>
      <c r="K470" s="1" t="s">
        <v>10433</v>
      </c>
      <c r="L470" s="1" t="s">
        <v>10434</v>
      </c>
      <c r="M470" s="1" t="s">
        <v>4306</v>
      </c>
      <c r="N470" s="1" t="s">
        <v>4308</v>
      </c>
      <c r="O470" s="1" t="s">
        <v>112</v>
      </c>
      <c r="P470" s="1" t="s">
        <v>10155</v>
      </c>
      <c r="Q470" s="1" t="s">
        <v>29</v>
      </c>
    </row>
    <row r="471" spans="1:17" ht="12.5" x14ac:dyDescent="0.25">
      <c r="A471" s="1" t="s">
        <v>152</v>
      </c>
      <c r="C471" s="1" t="s">
        <v>10736</v>
      </c>
      <c r="D471" s="1" t="s">
        <v>10737</v>
      </c>
      <c r="E471" s="1" t="s">
        <v>9929</v>
      </c>
      <c r="F471" s="1" t="s">
        <v>10545</v>
      </c>
      <c r="G471" s="1" t="s">
        <v>10659</v>
      </c>
      <c r="H471" s="1" t="s">
        <v>10172</v>
      </c>
      <c r="I471" s="1" t="s">
        <v>10172</v>
      </c>
      <c r="J471" s="1" t="s">
        <v>10193</v>
      </c>
      <c r="K471" s="1" t="s">
        <v>10193</v>
      </c>
      <c r="O471" s="1" t="s">
        <v>10155</v>
      </c>
      <c r="P471" s="1" t="s">
        <v>10155</v>
      </c>
    </row>
    <row r="472" spans="1:17" ht="12.5" x14ac:dyDescent="0.25">
      <c r="A472" s="1" t="s">
        <v>152</v>
      </c>
      <c r="C472" s="1" t="s">
        <v>10738</v>
      </c>
      <c r="D472" s="1" t="s">
        <v>10739</v>
      </c>
      <c r="E472" s="1" t="s">
        <v>9929</v>
      </c>
      <c r="F472" s="1" t="s">
        <v>10545</v>
      </c>
      <c r="G472" s="1" t="s">
        <v>10659</v>
      </c>
      <c r="H472" s="1" t="s">
        <v>10176</v>
      </c>
      <c r="I472" s="1" t="s">
        <v>10176</v>
      </c>
      <c r="J472" s="1" t="s">
        <v>10262</v>
      </c>
      <c r="K472" s="1" t="s">
        <v>10262</v>
      </c>
      <c r="O472" s="1" t="s">
        <v>10155</v>
      </c>
      <c r="P472" s="1" t="s">
        <v>10155</v>
      </c>
    </row>
    <row r="473" spans="1:17" ht="12.5" x14ac:dyDescent="0.25">
      <c r="A473" s="1" t="s">
        <v>152</v>
      </c>
      <c r="C473" s="1" t="s">
        <v>4298</v>
      </c>
      <c r="D473" s="1" t="s">
        <v>4299</v>
      </c>
      <c r="E473" s="1" t="s">
        <v>9929</v>
      </c>
      <c r="F473" s="1" t="s">
        <v>10545</v>
      </c>
      <c r="G473" s="1" t="s">
        <v>10740</v>
      </c>
      <c r="H473" s="1" t="s">
        <v>10152</v>
      </c>
      <c r="I473" s="1" t="s">
        <v>10153</v>
      </c>
      <c r="M473" s="1" t="s">
        <v>4300</v>
      </c>
      <c r="N473" s="1" t="s">
        <v>4302</v>
      </c>
      <c r="O473" s="1" t="s">
        <v>271</v>
      </c>
      <c r="P473" s="1" t="s">
        <v>10155</v>
      </c>
      <c r="Q473" s="1" t="s">
        <v>29</v>
      </c>
    </row>
    <row r="474" spans="1:17" ht="12.5" x14ac:dyDescent="0.25">
      <c r="A474" s="1" t="s">
        <v>152</v>
      </c>
      <c r="C474" s="1" t="s">
        <v>4292</v>
      </c>
      <c r="D474" s="1" t="s">
        <v>4293</v>
      </c>
      <c r="E474" s="1" t="s">
        <v>9929</v>
      </c>
      <c r="F474" s="1" t="s">
        <v>10545</v>
      </c>
      <c r="G474" s="1" t="s">
        <v>10740</v>
      </c>
      <c r="H474" s="1" t="s">
        <v>10152</v>
      </c>
      <c r="I474" s="1" t="s">
        <v>10153</v>
      </c>
      <c r="L474" s="1" t="s">
        <v>10197</v>
      </c>
      <c r="M474" s="1" t="s">
        <v>4294</v>
      </c>
      <c r="N474" s="1" t="s">
        <v>4296</v>
      </c>
      <c r="O474" s="1" t="s">
        <v>59</v>
      </c>
      <c r="P474" s="1" t="s">
        <v>10155</v>
      </c>
      <c r="Q474" s="1" t="s">
        <v>29</v>
      </c>
    </row>
    <row r="475" spans="1:17" ht="12.5" x14ac:dyDescent="0.25">
      <c r="A475" s="1" t="s">
        <v>152</v>
      </c>
      <c r="C475" s="1" t="s">
        <v>4286</v>
      </c>
      <c r="D475" s="1" t="s">
        <v>4287</v>
      </c>
      <c r="E475" s="1" t="s">
        <v>9929</v>
      </c>
      <c r="F475" s="1" t="s">
        <v>10545</v>
      </c>
      <c r="G475" s="1" t="s">
        <v>10740</v>
      </c>
      <c r="H475" s="1" t="s">
        <v>10160</v>
      </c>
      <c r="I475" s="1" t="s">
        <v>10160</v>
      </c>
      <c r="L475" s="1" t="s">
        <v>10197</v>
      </c>
      <c r="M475" s="1" t="s">
        <v>4288</v>
      </c>
      <c r="N475" s="1" t="s">
        <v>4290</v>
      </c>
      <c r="O475" s="1" t="s">
        <v>124</v>
      </c>
      <c r="P475" s="1" t="s">
        <v>10155</v>
      </c>
      <c r="Q475" s="1" t="s">
        <v>29</v>
      </c>
    </row>
    <row r="476" spans="1:17" ht="12.5" x14ac:dyDescent="0.25">
      <c r="A476" s="1" t="s">
        <v>152</v>
      </c>
      <c r="C476" s="1" t="s">
        <v>4281</v>
      </c>
      <c r="D476" s="1" t="s">
        <v>4282</v>
      </c>
      <c r="E476" s="1" t="s">
        <v>9929</v>
      </c>
      <c r="F476" s="1" t="s">
        <v>10545</v>
      </c>
      <c r="G476" s="1" t="s">
        <v>10740</v>
      </c>
      <c r="H476" s="1" t="s">
        <v>10152</v>
      </c>
      <c r="I476" s="1" t="s">
        <v>10153</v>
      </c>
      <c r="M476" s="1" t="s">
        <v>4283</v>
      </c>
      <c r="O476" s="1" t="s">
        <v>377</v>
      </c>
      <c r="P476" s="1" t="s">
        <v>10155</v>
      </c>
      <c r="Q476" s="1" t="s">
        <v>29</v>
      </c>
    </row>
    <row r="477" spans="1:17" ht="12.5" x14ac:dyDescent="0.25">
      <c r="A477" s="1" t="s">
        <v>152</v>
      </c>
      <c r="C477" s="1" t="s">
        <v>4275</v>
      </c>
      <c r="D477" s="1" t="s">
        <v>4276</v>
      </c>
      <c r="E477" s="1" t="s">
        <v>9929</v>
      </c>
      <c r="F477" s="1" t="s">
        <v>10545</v>
      </c>
      <c r="G477" s="1" t="s">
        <v>10740</v>
      </c>
      <c r="H477" s="1" t="s">
        <v>10152</v>
      </c>
      <c r="I477" s="1" t="s">
        <v>10153</v>
      </c>
      <c r="L477" s="1" t="s">
        <v>10197</v>
      </c>
      <c r="M477" s="1" t="s">
        <v>4277</v>
      </c>
      <c r="N477" s="1" t="s">
        <v>4279</v>
      </c>
      <c r="O477" s="1" t="s">
        <v>157</v>
      </c>
      <c r="P477" s="1" t="s">
        <v>10155</v>
      </c>
      <c r="Q477" s="1" t="s">
        <v>29</v>
      </c>
    </row>
    <row r="478" spans="1:17" ht="12.5" x14ac:dyDescent="0.25">
      <c r="A478" s="1" t="s">
        <v>152</v>
      </c>
      <c r="C478" s="1" t="s">
        <v>4269</v>
      </c>
      <c r="D478" s="1" t="s">
        <v>4270</v>
      </c>
      <c r="E478" s="1" t="s">
        <v>9929</v>
      </c>
      <c r="F478" s="1" t="s">
        <v>10545</v>
      </c>
      <c r="G478" s="1" t="s">
        <v>10740</v>
      </c>
      <c r="H478" s="1" t="s">
        <v>10152</v>
      </c>
      <c r="I478" s="1" t="s">
        <v>10153</v>
      </c>
      <c r="L478" s="1" t="s">
        <v>10197</v>
      </c>
      <c r="M478" s="1" t="s">
        <v>5872</v>
      </c>
      <c r="N478" s="1" t="s">
        <v>10741</v>
      </c>
      <c r="O478" s="1" t="s">
        <v>157</v>
      </c>
      <c r="P478" s="1" t="s">
        <v>10155</v>
      </c>
      <c r="Q478" s="1" t="s">
        <v>29</v>
      </c>
    </row>
    <row r="479" spans="1:17" ht="12.5" x14ac:dyDescent="0.25">
      <c r="A479" s="1" t="s">
        <v>152</v>
      </c>
      <c r="C479" s="1" t="s">
        <v>4269</v>
      </c>
      <c r="D479" s="1" t="s">
        <v>4270</v>
      </c>
      <c r="E479" s="1" t="s">
        <v>9929</v>
      </c>
      <c r="F479" s="1" t="s">
        <v>10545</v>
      </c>
      <c r="G479" s="1" t="s">
        <v>10740</v>
      </c>
      <c r="H479" s="1" t="s">
        <v>10152</v>
      </c>
      <c r="I479" s="1" t="s">
        <v>10153</v>
      </c>
      <c r="L479" s="1" t="s">
        <v>10197</v>
      </c>
      <c r="M479" s="1" t="s">
        <v>4271</v>
      </c>
      <c r="N479" s="1" t="s">
        <v>10742</v>
      </c>
      <c r="O479" s="1" t="s">
        <v>169</v>
      </c>
      <c r="P479" s="1" t="s">
        <v>10155</v>
      </c>
      <c r="Q479" s="1" t="s">
        <v>29</v>
      </c>
    </row>
    <row r="480" spans="1:17" ht="12.5" x14ac:dyDescent="0.25">
      <c r="A480" s="1" t="s">
        <v>152</v>
      </c>
      <c r="C480" s="1" t="s">
        <v>4264</v>
      </c>
      <c r="D480" s="1" t="s">
        <v>4265</v>
      </c>
      <c r="E480" s="1" t="s">
        <v>10156</v>
      </c>
      <c r="F480" s="1" t="s">
        <v>10156</v>
      </c>
      <c r="G480" s="1" t="s">
        <v>10567</v>
      </c>
      <c r="H480" s="1" t="s">
        <v>10183</v>
      </c>
      <c r="I480" s="1" t="s">
        <v>10183</v>
      </c>
      <c r="M480" s="1" t="s">
        <v>6861</v>
      </c>
      <c r="O480" s="1" t="s">
        <v>59</v>
      </c>
      <c r="P480" s="1" t="s">
        <v>124</v>
      </c>
      <c r="Q480" s="1" t="s">
        <v>29</v>
      </c>
    </row>
    <row r="481" spans="1:17" ht="12.5" x14ac:dyDescent="0.25">
      <c r="A481" s="1" t="s">
        <v>152</v>
      </c>
      <c r="C481" s="1" t="s">
        <v>4264</v>
      </c>
      <c r="D481" s="1" t="s">
        <v>4265</v>
      </c>
      <c r="E481" s="1" t="s">
        <v>10156</v>
      </c>
      <c r="F481" s="1" t="s">
        <v>10156</v>
      </c>
      <c r="G481" s="1" t="s">
        <v>10567</v>
      </c>
      <c r="H481" s="1" t="s">
        <v>10183</v>
      </c>
      <c r="I481" s="1" t="s">
        <v>10183</v>
      </c>
      <c r="M481" s="1" t="s">
        <v>4266</v>
      </c>
      <c r="O481" s="1" t="s">
        <v>10155</v>
      </c>
      <c r="P481" s="1" t="s">
        <v>24</v>
      </c>
      <c r="Q481" s="1" t="s">
        <v>29</v>
      </c>
    </row>
    <row r="482" spans="1:17" ht="12.5" x14ac:dyDescent="0.25">
      <c r="A482" s="1" t="s">
        <v>152</v>
      </c>
      <c r="C482" s="1" t="s">
        <v>4260</v>
      </c>
      <c r="D482" s="1" t="s">
        <v>4261</v>
      </c>
      <c r="E482" s="1" t="s">
        <v>10156</v>
      </c>
      <c r="F482" s="1" t="s">
        <v>10156</v>
      </c>
      <c r="G482" s="1" t="s">
        <v>10567</v>
      </c>
      <c r="H482" s="1" t="s">
        <v>10152</v>
      </c>
      <c r="I482" s="1" t="s">
        <v>10153</v>
      </c>
      <c r="M482" s="1" t="s">
        <v>9895</v>
      </c>
      <c r="O482" s="1" t="s">
        <v>292</v>
      </c>
      <c r="P482" s="1" t="s">
        <v>10155</v>
      </c>
      <c r="Q482" s="1" t="s">
        <v>29</v>
      </c>
    </row>
    <row r="483" spans="1:17" ht="12.5" x14ac:dyDescent="0.25">
      <c r="A483" s="1" t="s">
        <v>152</v>
      </c>
      <c r="C483" s="1" t="s">
        <v>4260</v>
      </c>
      <c r="D483" s="1" t="s">
        <v>4261</v>
      </c>
      <c r="E483" s="1" t="s">
        <v>10156</v>
      </c>
      <c r="F483" s="1" t="s">
        <v>10156</v>
      </c>
      <c r="G483" s="1" t="s">
        <v>10567</v>
      </c>
      <c r="H483" s="1" t="s">
        <v>10152</v>
      </c>
      <c r="I483" s="1" t="s">
        <v>10153</v>
      </c>
      <c r="M483" s="1" t="s">
        <v>4262</v>
      </c>
      <c r="O483" s="1" t="s">
        <v>10155</v>
      </c>
      <c r="P483" s="1" t="s">
        <v>10155</v>
      </c>
      <c r="Q483" s="1" t="s">
        <v>29</v>
      </c>
    </row>
    <row r="484" spans="1:17" ht="12.5" x14ac:dyDescent="0.25">
      <c r="A484" s="1" t="s">
        <v>152</v>
      </c>
      <c r="C484" s="1" t="s">
        <v>6648</v>
      </c>
      <c r="D484" s="1" t="s">
        <v>10743</v>
      </c>
      <c r="E484" s="1" t="s">
        <v>9929</v>
      </c>
      <c r="F484" s="1" t="s">
        <v>10545</v>
      </c>
      <c r="G484" s="1" t="s">
        <v>10740</v>
      </c>
      <c r="H484" s="1" t="s">
        <v>10152</v>
      </c>
      <c r="I484" s="1" t="s">
        <v>10153</v>
      </c>
      <c r="M484" s="1" t="s">
        <v>6649</v>
      </c>
      <c r="N484" s="1" t="s">
        <v>10744</v>
      </c>
      <c r="O484" s="1" t="s">
        <v>10155</v>
      </c>
      <c r="P484" s="1" t="s">
        <v>10155</v>
      </c>
      <c r="Q484" s="1" t="s">
        <v>29</v>
      </c>
    </row>
    <row r="485" spans="1:17" ht="12.5" x14ac:dyDescent="0.25">
      <c r="A485" s="1" t="s">
        <v>152</v>
      </c>
      <c r="C485" s="1" t="s">
        <v>10745</v>
      </c>
      <c r="D485" s="1" t="s">
        <v>10746</v>
      </c>
      <c r="E485" s="1" t="s">
        <v>9928</v>
      </c>
      <c r="F485" s="1" t="s">
        <v>10531</v>
      </c>
      <c r="G485" s="1" t="s">
        <v>10568</v>
      </c>
      <c r="H485" s="1" t="s">
        <v>10176</v>
      </c>
      <c r="I485" s="1" t="s">
        <v>10176</v>
      </c>
      <c r="J485" s="1" t="s">
        <v>10262</v>
      </c>
      <c r="K485" s="1" t="s">
        <v>10262</v>
      </c>
      <c r="O485" s="1" t="s">
        <v>10155</v>
      </c>
      <c r="P485" s="1" t="s">
        <v>10155</v>
      </c>
    </row>
    <row r="486" spans="1:17" ht="12.5" x14ac:dyDescent="0.25">
      <c r="A486" s="1" t="s">
        <v>152</v>
      </c>
      <c r="C486" s="1" t="s">
        <v>4254</v>
      </c>
      <c r="D486" s="1" t="s">
        <v>4255</v>
      </c>
      <c r="E486" s="1" t="s">
        <v>9928</v>
      </c>
      <c r="F486" s="1" t="s">
        <v>10531</v>
      </c>
      <c r="G486" s="1" t="s">
        <v>10568</v>
      </c>
      <c r="H486" s="1" t="s">
        <v>10152</v>
      </c>
      <c r="I486" s="1" t="s">
        <v>10153</v>
      </c>
      <c r="M486" s="1" t="s">
        <v>4256</v>
      </c>
      <c r="N486" s="1" t="s">
        <v>10747</v>
      </c>
      <c r="O486" s="1" t="s">
        <v>157</v>
      </c>
      <c r="P486" s="1" t="s">
        <v>10155</v>
      </c>
      <c r="Q486" s="1" t="s">
        <v>29</v>
      </c>
    </row>
    <row r="487" spans="1:17" ht="12.5" x14ac:dyDescent="0.25">
      <c r="A487" s="1" t="s">
        <v>152</v>
      </c>
      <c r="C487" s="1" t="s">
        <v>4249</v>
      </c>
      <c r="D487" s="1" t="s">
        <v>4250</v>
      </c>
      <c r="E487" s="1" t="s">
        <v>9928</v>
      </c>
      <c r="F487" s="1" t="s">
        <v>10531</v>
      </c>
      <c r="G487" s="1" t="s">
        <v>10568</v>
      </c>
      <c r="H487" s="1" t="s">
        <v>10183</v>
      </c>
      <c r="I487" s="1" t="s">
        <v>10183</v>
      </c>
      <c r="M487" s="1" t="s">
        <v>4251</v>
      </c>
      <c r="O487" s="1" t="s">
        <v>53</v>
      </c>
      <c r="P487" s="1" t="s">
        <v>53</v>
      </c>
      <c r="Q487" s="1" t="s">
        <v>29</v>
      </c>
    </row>
    <row r="488" spans="1:17" ht="12.5" x14ac:dyDescent="0.25">
      <c r="A488" s="1" t="s">
        <v>152</v>
      </c>
      <c r="C488" s="1" t="s">
        <v>4243</v>
      </c>
      <c r="D488" s="1" t="s">
        <v>4244</v>
      </c>
      <c r="E488" s="1" t="s">
        <v>9928</v>
      </c>
      <c r="F488" s="1" t="s">
        <v>10531</v>
      </c>
      <c r="G488" s="1" t="s">
        <v>10568</v>
      </c>
      <c r="H488" s="1" t="s">
        <v>10176</v>
      </c>
      <c r="I488" s="1" t="s">
        <v>10176</v>
      </c>
      <c r="J488" s="1" t="s">
        <v>10177</v>
      </c>
      <c r="K488" s="1" t="s">
        <v>10177</v>
      </c>
      <c r="M488" s="1" t="s">
        <v>4245</v>
      </c>
      <c r="N488" s="1" t="s">
        <v>10748</v>
      </c>
      <c r="O488" s="1" t="s">
        <v>157</v>
      </c>
      <c r="P488" s="1" t="s">
        <v>10155</v>
      </c>
      <c r="Q488" s="1" t="s">
        <v>29</v>
      </c>
    </row>
    <row r="489" spans="1:17" ht="12.5" x14ac:dyDescent="0.25">
      <c r="A489" s="1" t="s">
        <v>152</v>
      </c>
      <c r="C489" s="1" t="s">
        <v>10749</v>
      </c>
      <c r="D489" s="1" t="s">
        <v>10750</v>
      </c>
      <c r="E489" s="1" t="s">
        <v>10162</v>
      </c>
      <c r="F489" s="1" t="s">
        <v>10162</v>
      </c>
      <c r="G489" s="1" t="s">
        <v>10162</v>
      </c>
      <c r="H489" s="1" t="s">
        <v>10176</v>
      </c>
      <c r="I489" s="1" t="s">
        <v>10176</v>
      </c>
      <c r="J489" s="1" t="s">
        <v>10177</v>
      </c>
      <c r="K489" s="1" t="s">
        <v>10177</v>
      </c>
      <c r="O489" s="1" t="s">
        <v>10155</v>
      </c>
      <c r="P489" s="1" t="s">
        <v>10155</v>
      </c>
    </row>
    <row r="490" spans="1:17" ht="12.5" x14ac:dyDescent="0.25">
      <c r="A490" s="1" t="s">
        <v>152</v>
      </c>
      <c r="C490" s="1" t="s">
        <v>1310</v>
      </c>
      <c r="D490" s="1" t="s">
        <v>10751</v>
      </c>
      <c r="E490" s="1" t="s">
        <v>10162</v>
      </c>
      <c r="F490" s="1" t="s">
        <v>10162</v>
      </c>
      <c r="G490" s="1" t="s">
        <v>10162</v>
      </c>
      <c r="H490" s="1" t="s">
        <v>10486</v>
      </c>
      <c r="I490" s="1" t="s">
        <v>10486</v>
      </c>
      <c r="M490" s="1" t="s">
        <v>1305</v>
      </c>
      <c r="N490" s="1" t="s">
        <v>1307</v>
      </c>
      <c r="O490" s="1" t="s">
        <v>33</v>
      </c>
      <c r="P490" s="1" t="s">
        <v>10155</v>
      </c>
      <c r="Q490" s="1" t="s">
        <v>20</v>
      </c>
    </row>
    <row r="491" spans="1:17" ht="12.5" x14ac:dyDescent="0.25">
      <c r="A491" s="1" t="s">
        <v>152</v>
      </c>
      <c r="C491" s="1" t="s">
        <v>1284</v>
      </c>
      <c r="D491" s="1" t="s">
        <v>10752</v>
      </c>
      <c r="E491" s="1" t="s">
        <v>10162</v>
      </c>
      <c r="F491" s="1" t="s">
        <v>10162</v>
      </c>
      <c r="G491" s="1" t="s">
        <v>10162</v>
      </c>
      <c r="H491" s="1" t="s">
        <v>10486</v>
      </c>
      <c r="I491" s="1" t="s">
        <v>10486</v>
      </c>
      <c r="L491" s="1" t="s">
        <v>10197</v>
      </c>
      <c r="M491" s="1" t="s">
        <v>1281</v>
      </c>
      <c r="N491" s="1" t="s">
        <v>1282</v>
      </c>
      <c r="O491" s="1" t="s">
        <v>292</v>
      </c>
      <c r="P491" s="1" t="s">
        <v>10155</v>
      </c>
      <c r="Q491" s="1" t="s">
        <v>20</v>
      </c>
    </row>
    <row r="492" spans="1:17" ht="12.5" x14ac:dyDescent="0.25">
      <c r="A492" s="1" t="s">
        <v>152</v>
      </c>
      <c r="C492" s="1" t="s">
        <v>1333</v>
      </c>
      <c r="D492" s="1" t="s">
        <v>10753</v>
      </c>
      <c r="E492" s="1" t="s">
        <v>10162</v>
      </c>
      <c r="F492" s="1" t="s">
        <v>10162</v>
      </c>
      <c r="G492" s="1" t="s">
        <v>10162</v>
      </c>
      <c r="H492" s="1" t="s">
        <v>10152</v>
      </c>
      <c r="I492" s="1" t="s">
        <v>10153</v>
      </c>
      <c r="L492" s="1" t="s">
        <v>10197</v>
      </c>
      <c r="M492" s="1" t="s">
        <v>4235</v>
      </c>
      <c r="N492" s="1" t="s">
        <v>10754</v>
      </c>
      <c r="O492" s="1" t="s">
        <v>124</v>
      </c>
      <c r="P492" s="1" t="s">
        <v>10155</v>
      </c>
      <c r="Q492" s="1" t="s">
        <v>29</v>
      </c>
    </row>
    <row r="493" spans="1:17" ht="12.5" x14ac:dyDescent="0.25">
      <c r="A493" s="1" t="s">
        <v>152</v>
      </c>
      <c r="C493" s="1" t="s">
        <v>1333</v>
      </c>
      <c r="D493" s="1" t="s">
        <v>10753</v>
      </c>
      <c r="E493" s="1" t="s">
        <v>10162</v>
      </c>
      <c r="F493" s="1" t="s">
        <v>10162</v>
      </c>
      <c r="G493" s="1" t="s">
        <v>10162</v>
      </c>
      <c r="H493" s="1" t="s">
        <v>10152</v>
      </c>
      <c r="I493" s="1" t="s">
        <v>10153</v>
      </c>
      <c r="L493" s="1" t="s">
        <v>10197</v>
      </c>
      <c r="M493" s="1" t="s">
        <v>1329</v>
      </c>
      <c r="N493" s="1" t="s">
        <v>1331</v>
      </c>
      <c r="O493" s="1" t="s">
        <v>124</v>
      </c>
      <c r="P493" s="1" t="s">
        <v>10155</v>
      </c>
      <c r="Q493" s="1" t="s">
        <v>29</v>
      </c>
    </row>
    <row r="494" spans="1:17" ht="12.5" x14ac:dyDescent="0.25">
      <c r="A494" s="1" t="s">
        <v>152</v>
      </c>
      <c r="C494" s="1" t="s">
        <v>4231</v>
      </c>
      <c r="D494" s="1" t="s">
        <v>4232</v>
      </c>
      <c r="E494" s="1" t="s">
        <v>9928</v>
      </c>
      <c r="F494" s="1" t="s">
        <v>10563</v>
      </c>
      <c r="G494" s="1" t="s">
        <v>10576</v>
      </c>
      <c r="H494" s="1" t="s">
        <v>10152</v>
      </c>
      <c r="I494" s="1" t="s">
        <v>10153</v>
      </c>
      <c r="M494" s="1" t="s">
        <v>4233</v>
      </c>
      <c r="O494" s="1" t="s">
        <v>59</v>
      </c>
      <c r="P494" s="1" t="s">
        <v>10155</v>
      </c>
      <c r="Q494" s="1" t="s">
        <v>20</v>
      </c>
    </row>
    <row r="495" spans="1:17" ht="12.5" x14ac:dyDescent="0.25">
      <c r="A495" s="1" t="s">
        <v>152</v>
      </c>
      <c r="C495" s="1" t="s">
        <v>5495</v>
      </c>
      <c r="D495" s="1" t="s">
        <v>5496</v>
      </c>
      <c r="E495" s="1" t="s">
        <v>9928</v>
      </c>
      <c r="F495" s="1" t="s">
        <v>10563</v>
      </c>
      <c r="G495" s="1" t="s">
        <v>10576</v>
      </c>
      <c r="H495" s="1" t="s">
        <v>10160</v>
      </c>
      <c r="I495" s="1" t="s">
        <v>10160</v>
      </c>
      <c r="L495" s="1" t="s">
        <v>10197</v>
      </c>
      <c r="M495" s="1" t="s">
        <v>5497</v>
      </c>
      <c r="N495" s="1" t="s">
        <v>5499</v>
      </c>
      <c r="O495" s="1" t="s">
        <v>124</v>
      </c>
      <c r="P495" s="1" t="s">
        <v>10155</v>
      </c>
      <c r="Q495" s="1" t="s">
        <v>29</v>
      </c>
    </row>
    <row r="496" spans="1:17" ht="12.5" x14ac:dyDescent="0.25">
      <c r="A496" s="1" t="s">
        <v>152</v>
      </c>
      <c r="C496" s="1" t="s">
        <v>4226</v>
      </c>
      <c r="D496" s="1" t="s">
        <v>4227</v>
      </c>
      <c r="E496" s="1" t="s">
        <v>10162</v>
      </c>
      <c r="F496" s="1" t="s">
        <v>10553</v>
      </c>
      <c r="G496" s="1" t="s">
        <v>10755</v>
      </c>
      <c r="H496" s="1" t="s">
        <v>10152</v>
      </c>
      <c r="I496" s="1" t="s">
        <v>10153</v>
      </c>
      <c r="L496" s="1" t="s">
        <v>10197</v>
      </c>
      <c r="M496" s="1" t="s">
        <v>4228</v>
      </c>
      <c r="O496" s="1" t="s">
        <v>53</v>
      </c>
      <c r="P496" s="1" t="s">
        <v>10155</v>
      </c>
      <c r="Q496" s="1" t="s">
        <v>29</v>
      </c>
    </row>
    <row r="497" spans="1:17" ht="12.5" x14ac:dyDescent="0.25">
      <c r="A497" s="1" t="s">
        <v>152</v>
      </c>
      <c r="C497" s="1" t="s">
        <v>4221</v>
      </c>
      <c r="D497" s="1" t="s">
        <v>4222</v>
      </c>
      <c r="E497" s="1" t="s">
        <v>10162</v>
      </c>
      <c r="F497" s="1" t="s">
        <v>10553</v>
      </c>
      <c r="G497" s="1" t="s">
        <v>10755</v>
      </c>
      <c r="H497" s="1" t="s">
        <v>10152</v>
      </c>
      <c r="I497" s="1" t="s">
        <v>10153</v>
      </c>
      <c r="L497" s="1" t="s">
        <v>10197</v>
      </c>
      <c r="M497" s="1" t="s">
        <v>4223</v>
      </c>
      <c r="O497" s="1" t="s">
        <v>169</v>
      </c>
      <c r="P497" s="1" t="s">
        <v>10155</v>
      </c>
      <c r="Q497" s="1" t="s">
        <v>29</v>
      </c>
    </row>
    <row r="498" spans="1:17" ht="12.5" x14ac:dyDescent="0.25">
      <c r="A498" s="1" t="s">
        <v>152</v>
      </c>
      <c r="C498" s="1" t="s">
        <v>4216</v>
      </c>
      <c r="D498" s="1" t="s">
        <v>4217</v>
      </c>
      <c r="E498" s="1" t="s">
        <v>10162</v>
      </c>
      <c r="F498" s="1" t="s">
        <v>10553</v>
      </c>
      <c r="G498" s="1" t="s">
        <v>10755</v>
      </c>
      <c r="H498" s="1" t="s">
        <v>10172</v>
      </c>
      <c r="I498" s="1" t="s">
        <v>10172</v>
      </c>
      <c r="J498" s="1" t="s">
        <v>10193</v>
      </c>
      <c r="K498" s="1" t="s">
        <v>10173</v>
      </c>
      <c r="L498" s="1" t="s">
        <v>10434</v>
      </c>
      <c r="M498" s="1" t="s">
        <v>4218</v>
      </c>
      <c r="O498" s="1" t="s">
        <v>10155</v>
      </c>
      <c r="P498" s="1" t="s">
        <v>10155</v>
      </c>
      <c r="Q498" s="1" t="s">
        <v>29</v>
      </c>
    </row>
    <row r="499" spans="1:17" ht="12.5" x14ac:dyDescent="0.25">
      <c r="A499" s="1" t="s">
        <v>152</v>
      </c>
      <c r="C499" s="1" t="s">
        <v>4210</v>
      </c>
      <c r="D499" s="1" t="s">
        <v>4211</v>
      </c>
      <c r="E499" s="1" t="s">
        <v>9928</v>
      </c>
      <c r="F499" s="1" t="s">
        <v>10563</v>
      </c>
      <c r="G499" s="1" t="s">
        <v>10576</v>
      </c>
      <c r="H499" s="1" t="s">
        <v>10183</v>
      </c>
      <c r="I499" s="1" t="s">
        <v>10183</v>
      </c>
      <c r="M499" s="1" t="s">
        <v>4212</v>
      </c>
      <c r="N499" s="1" t="s">
        <v>4214</v>
      </c>
      <c r="O499" s="1" t="s">
        <v>24</v>
      </c>
      <c r="P499" s="1" t="s">
        <v>24</v>
      </c>
      <c r="Q499" s="1" t="s">
        <v>29</v>
      </c>
    </row>
    <row r="500" spans="1:17" ht="12.5" x14ac:dyDescent="0.25">
      <c r="A500" s="1" t="s">
        <v>152</v>
      </c>
      <c r="C500" s="1" t="s">
        <v>4205</v>
      </c>
      <c r="D500" s="1" t="s">
        <v>4206</v>
      </c>
      <c r="E500" s="1" t="s">
        <v>9928</v>
      </c>
      <c r="F500" s="1" t="s">
        <v>10563</v>
      </c>
      <c r="G500" s="1" t="s">
        <v>10576</v>
      </c>
      <c r="H500" s="1" t="s">
        <v>10152</v>
      </c>
      <c r="I500" s="1" t="s">
        <v>10153</v>
      </c>
      <c r="L500" s="1" t="s">
        <v>10197</v>
      </c>
      <c r="M500" s="1" t="s">
        <v>4207</v>
      </c>
      <c r="O500" s="1" t="s">
        <v>271</v>
      </c>
      <c r="P500" s="1" t="s">
        <v>10155</v>
      </c>
      <c r="Q500" s="1" t="s">
        <v>29</v>
      </c>
    </row>
    <row r="501" spans="1:17" ht="12.5" x14ac:dyDescent="0.25">
      <c r="A501" s="1" t="s">
        <v>152</v>
      </c>
      <c r="C501" s="1" t="s">
        <v>4202</v>
      </c>
      <c r="D501" s="1" t="s">
        <v>10756</v>
      </c>
      <c r="E501" s="1" t="s">
        <v>9929</v>
      </c>
      <c r="F501" s="1" t="s">
        <v>10150</v>
      </c>
      <c r="G501" s="1" t="s">
        <v>10757</v>
      </c>
      <c r="H501" s="1" t="s">
        <v>10152</v>
      </c>
      <c r="I501" s="1" t="s">
        <v>10153</v>
      </c>
      <c r="M501" s="1" t="s">
        <v>4203</v>
      </c>
      <c r="O501" s="1" t="s">
        <v>112</v>
      </c>
      <c r="P501" s="1" t="s">
        <v>10155</v>
      </c>
      <c r="Q501" s="1" t="s">
        <v>29</v>
      </c>
    </row>
    <row r="502" spans="1:17" ht="12.5" x14ac:dyDescent="0.25">
      <c r="A502" s="1" t="s">
        <v>152</v>
      </c>
      <c r="C502" s="1" t="s">
        <v>10758</v>
      </c>
      <c r="D502" s="1" t="s">
        <v>10759</v>
      </c>
      <c r="E502" s="1" t="s">
        <v>10156</v>
      </c>
      <c r="F502" s="1" t="s">
        <v>10156</v>
      </c>
      <c r="G502" s="1" t="s">
        <v>10577</v>
      </c>
      <c r="H502" s="1" t="s">
        <v>10176</v>
      </c>
      <c r="I502" s="1" t="s">
        <v>10176</v>
      </c>
      <c r="J502" s="1" t="s">
        <v>10293</v>
      </c>
      <c r="K502" s="1" t="s">
        <v>10293</v>
      </c>
      <c r="O502" s="1" t="s">
        <v>10155</v>
      </c>
      <c r="P502" s="1" t="s">
        <v>10155</v>
      </c>
    </row>
    <row r="503" spans="1:17" ht="12.5" x14ac:dyDescent="0.25">
      <c r="A503" s="1" t="s">
        <v>152</v>
      </c>
      <c r="C503" s="1" t="s">
        <v>4197</v>
      </c>
      <c r="D503" s="1" t="s">
        <v>4198</v>
      </c>
      <c r="E503" s="1" t="s">
        <v>9928</v>
      </c>
      <c r="F503" s="1" t="s">
        <v>10531</v>
      </c>
      <c r="G503" s="1" t="s">
        <v>10760</v>
      </c>
      <c r="H503" s="1" t="s">
        <v>10183</v>
      </c>
      <c r="I503" s="1" t="s">
        <v>10183</v>
      </c>
      <c r="M503" s="1" t="s">
        <v>4199</v>
      </c>
      <c r="O503" s="1" t="s">
        <v>59</v>
      </c>
      <c r="P503" s="1" t="s">
        <v>124</v>
      </c>
      <c r="Q503" s="1" t="s">
        <v>29</v>
      </c>
    </row>
    <row r="504" spans="1:17" ht="12.5" x14ac:dyDescent="0.25">
      <c r="A504" s="1" t="s">
        <v>152</v>
      </c>
      <c r="C504" s="1" t="s">
        <v>8097</v>
      </c>
      <c r="D504" s="1" t="s">
        <v>8098</v>
      </c>
      <c r="E504" s="1" t="s">
        <v>9928</v>
      </c>
      <c r="F504" s="1" t="s">
        <v>10563</v>
      </c>
      <c r="G504" s="1" t="s">
        <v>10761</v>
      </c>
      <c r="H504" s="1" t="s">
        <v>10183</v>
      </c>
      <c r="I504" s="1" t="s">
        <v>10183</v>
      </c>
      <c r="M504" s="1" t="s">
        <v>8099</v>
      </c>
      <c r="N504" s="1" t="s">
        <v>8101</v>
      </c>
      <c r="O504" s="1" t="s">
        <v>33</v>
      </c>
      <c r="P504" s="1" t="s">
        <v>46</v>
      </c>
      <c r="Q504" s="1" t="s">
        <v>29</v>
      </c>
    </row>
    <row r="505" spans="1:17" ht="12.5" x14ac:dyDescent="0.25">
      <c r="A505" s="1" t="s">
        <v>152</v>
      </c>
      <c r="C505" s="1" t="s">
        <v>4192</v>
      </c>
      <c r="D505" s="1" t="s">
        <v>4193</v>
      </c>
      <c r="E505" s="1" t="s">
        <v>9928</v>
      </c>
      <c r="F505" s="1" t="s">
        <v>10565</v>
      </c>
      <c r="G505" s="1" t="s">
        <v>10762</v>
      </c>
      <c r="H505" s="1" t="s">
        <v>10486</v>
      </c>
      <c r="I505" s="1" t="s">
        <v>10486</v>
      </c>
      <c r="L505" s="1" t="s">
        <v>10197</v>
      </c>
      <c r="M505" s="1" t="s">
        <v>4194</v>
      </c>
      <c r="O505" s="1" t="s">
        <v>124</v>
      </c>
      <c r="P505" s="1" t="s">
        <v>10155</v>
      </c>
      <c r="Q505" s="1" t="s">
        <v>29</v>
      </c>
    </row>
    <row r="506" spans="1:17" ht="12.5" x14ac:dyDescent="0.25">
      <c r="A506" s="1" t="s">
        <v>152</v>
      </c>
      <c r="C506" s="1" t="s">
        <v>4187</v>
      </c>
      <c r="D506" s="1" t="s">
        <v>4188</v>
      </c>
      <c r="E506" s="1" t="s">
        <v>9928</v>
      </c>
      <c r="F506" s="1" t="s">
        <v>10531</v>
      </c>
      <c r="G506" s="1" t="s">
        <v>10760</v>
      </c>
      <c r="H506" s="1" t="s">
        <v>10160</v>
      </c>
      <c r="I506" s="1" t="s">
        <v>10160</v>
      </c>
      <c r="L506" s="1" t="s">
        <v>10197</v>
      </c>
      <c r="M506" s="1" t="s">
        <v>4189</v>
      </c>
      <c r="O506" s="1" t="s">
        <v>53</v>
      </c>
      <c r="P506" s="1" t="s">
        <v>10155</v>
      </c>
      <c r="Q506" s="1" t="s">
        <v>29</v>
      </c>
    </row>
    <row r="507" spans="1:17" ht="12.5" x14ac:dyDescent="0.25">
      <c r="A507" s="1" t="s">
        <v>152</v>
      </c>
      <c r="C507" s="1" t="s">
        <v>4182</v>
      </c>
      <c r="D507" s="1" t="s">
        <v>4183</v>
      </c>
      <c r="E507" s="1" t="s">
        <v>9928</v>
      </c>
      <c r="F507" s="1" t="s">
        <v>10531</v>
      </c>
      <c r="G507" s="1" t="s">
        <v>10760</v>
      </c>
      <c r="H507" s="1" t="s">
        <v>10160</v>
      </c>
      <c r="I507" s="1" t="s">
        <v>10160</v>
      </c>
      <c r="L507" s="1" t="s">
        <v>10197</v>
      </c>
      <c r="M507" s="1" t="s">
        <v>4184</v>
      </c>
      <c r="O507" s="1" t="s">
        <v>33</v>
      </c>
      <c r="P507" s="1" t="s">
        <v>10155</v>
      </c>
      <c r="Q507" s="1" t="s">
        <v>29</v>
      </c>
    </row>
    <row r="508" spans="1:17" ht="12.5" x14ac:dyDescent="0.25">
      <c r="A508" s="1" t="s">
        <v>152</v>
      </c>
      <c r="C508" s="1" t="s">
        <v>8103</v>
      </c>
      <c r="D508" s="1" t="s">
        <v>8104</v>
      </c>
      <c r="E508" s="1" t="s">
        <v>10156</v>
      </c>
      <c r="F508" s="1" t="s">
        <v>10156</v>
      </c>
      <c r="G508" s="1" t="s">
        <v>10577</v>
      </c>
      <c r="H508" s="1" t="s">
        <v>10183</v>
      </c>
      <c r="I508" s="1" t="s">
        <v>10183</v>
      </c>
      <c r="M508" s="1" t="s">
        <v>8105</v>
      </c>
      <c r="O508" s="1" t="s">
        <v>33</v>
      </c>
      <c r="P508" s="1" t="s">
        <v>24</v>
      </c>
      <c r="Q508" s="1" t="s">
        <v>29</v>
      </c>
    </row>
    <row r="509" spans="1:17" ht="12.5" x14ac:dyDescent="0.25">
      <c r="A509" s="1" t="s">
        <v>152</v>
      </c>
      <c r="C509" s="1" t="s">
        <v>4178</v>
      </c>
      <c r="D509" s="1" t="s">
        <v>10763</v>
      </c>
      <c r="E509" s="1" t="s">
        <v>9929</v>
      </c>
      <c r="F509" s="1" t="s">
        <v>10545</v>
      </c>
      <c r="G509" s="1" t="s">
        <v>10764</v>
      </c>
      <c r="H509" s="1" t="s">
        <v>10176</v>
      </c>
      <c r="I509" s="1" t="s">
        <v>10176</v>
      </c>
      <c r="J509" s="1" t="s">
        <v>10558</v>
      </c>
      <c r="K509" s="1" t="s">
        <v>10558</v>
      </c>
      <c r="M509" s="1" t="s">
        <v>4179</v>
      </c>
      <c r="O509" s="1" t="s">
        <v>292</v>
      </c>
      <c r="P509" s="1" t="s">
        <v>10155</v>
      </c>
      <c r="Q509" s="1" t="s">
        <v>29</v>
      </c>
    </row>
    <row r="510" spans="1:17" ht="12.5" x14ac:dyDescent="0.25">
      <c r="A510" s="1" t="s">
        <v>152</v>
      </c>
      <c r="C510" s="1" t="s">
        <v>4173</v>
      </c>
      <c r="D510" s="1" t="s">
        <v>4174</v>
      </c>
      <c r="E510" s="1" t="s">
        <v>9928</v>
      </c>
      <c r="F510" s="1" t="s">
        <v>10563</v>
      </c>
      <c r="G510" s="1" t="s">
        <v>10761</v>
      </c>
      <c r="H510" s="1" t="s">
        <v>10183</v>
      </c>
      <c r="I510" s="1" t="s">
        <v>10183</v>
      </c>
      <c r="M510" s="1" t="s">
        <v>4175</v>
      </c>
      <c r="O510" s="1" t="s">
        <v>169</v>
      </c>
      <c r="P510" s="1" t="s">
        <v>169</v>
      </c>
      <c r="Q510" s="1" t="s">
        <v>29</v>
      </c>
    </row>
    <row r="511" spans="1:17" ht="12.5" x14ac:dyDescent="0.25">
      <c r="A511" s="1" t="s">
        <v>152</v>
      </c>
      <c r="C511" s="1" t="s">
        <v>4167</v>
      </c>
      <c r="D511" s="1" t="s">
        <v>4168</v>
      </c>
      <c r="E511" s="1" t="s">
        <v>9928</v>
      </c>
      <c r="F511" s="1" t="s">
        <v>10563</v>
      </c>
      <c r="G511" s="1" t="s">
        <v>10761</v>
      </c>
      <c r="H511" s="1" t="s">
        <v>10486</v>
      </c>
      <c r="I511" s="1" t="s">
        <v>10486</v>
      </c>
      <c r="M511" s="1" t="s">
        <v>4169</v>
      </c>
      <c r="N511" s="1" t="s">
        <v>4171</v>
      </c>
      <c r="O511" s="1" t="s">
        <v>271</v>
      </c>
      <c r="P511" s="1" t="s">
        <v>10155</v>
      </c>
      <c r="Q511" s="1" t="s">
        <v>29</v>
      </c>
    </row>
    <row r="512" spans="1:17" ht="12.5" x14ac:dyDescent="0.25">
      <c r="A512" s="1" t="s">
        <v>152</v>
      </c>
      <c r="C512" s="1" t="s">
        <v>4162</v>
      </c>
      <c r="D512" s="1" t="s">
        <v>4163</v>
      </c>
      <c r="E512" s="1" t="s">
        <v>9928</v>
      </c>
      <c r="F512" s="1" t="s">
        <v>10531</v>
      </c>
      <c r="G512" s="1" t="s">
        <v>10760</v>
      </c>
      <c r="H512" s="1" t="s">
        <v>10160</v>
      </c>
      <c r="I512" s="1" t="s">
        <v>10160</v>
      </c>
      <c r="L512" s="1" t="s">
        <v>10197</v>
      </c>
      <c r="M512" s="1" t="s">
        <v>4164</v>
      </c>
      <c r="O512" s="1" t="s">
        <v>33</v>
      </c>
      <c r="P512" s="1" t="s">
        <v>10155</v>
      </c>
      <c r="Q512" s="1" t="s">
        <v>29</v>
      </c>
    </row>
    <row r="513" spans="1:17" ht="12.5" x14ac:dyDescent="0.25">
      <c r="A513" s="1" t="s">
        <v>152</v>
      </c>
      <c r="C513" s="1" t="s">
        <v>10765</v>
      </c>
      <c r="D513" s="1" t="s">
        <v>10766</v>
      </c>
      <c r="E513" s="1" t="s">
        <v>10156</v>
      </c>
      <c r="F513" s="1" t="s">
        <v>10156</v>
      </c>
      <c r="G513" s="1" t="s">
        <v>10577</v>
      </c>
      <c r="H513" s="1" t="s">
        <v>10176</v>
      </c>
      <c r="I513" s="1" t="s">
        <v>10176</v>
      </c>
      <c r="J513" s="1" t="s">
        <v>10293</v>
      </c>
      <c r="K513" s="1" t="s">
        <v>10293</v>
      </c>
      <c r="O513" s="1" t="s">
        <v>10155</v>
      </c>
      <c r="P513" s="1" t="s">
        <v>10155</v>
      </c>
    </row>
    <row r="514" spans="1:17" ht="12.5" x14ac:dyDescent="0.25">
      <c r="A514" s="1" t="s">
        <v>152</v>
      </c>
      <c r="C514" s="1" t="s">
        <v>10767</v>
      </c>
      <c r="D514" s="1" t="s">
        <v>10768</v>
      </c>
      <c r="E514" s="1" t="s">
        <v>10156</v>
      </c>
      <c r="F514" s="1" t="s">
        <v>10156</v>
      </c>
      <c r="G514" s="1" t="s">
        <v>10577</v>
      </c>
      <c r="H514" s="1" t="s">
        <v>10176</v>
      </c>
      <c r="I514" s="1" t="s">
        <v>10176</v>
      </c>
      <c r="J514" s="1" t="s">
        <v>10293</v>
      </c>
      <c r="K514" s="1" t="s">
        <v>10293</v>
      </c>
      <c r="O514" s="1" t="s">
        <v>10155</v>
      </c>
      <c r="P514" s="1" t="s">
        <v>10155</v>
      </c>
    </row>
    <row r="515" spans="1:17" ht="12.5" x14ac:dyDescent="0.25">
      <c r="A515" s="1" t="s">
        <v>152</v>
      </c>
      <c r="C515" s="1" t="s">
        <v>4157</v>
      </c>
      <c r="D515" s="1" t="s">
        <v>4158</v>
      </c>
      <c r="E515" s="1" t="s">
        <v>9928</v>
      </c>
      <c r="F515" s="1" t="s">
        <v>10518</v>
      </c>
      <c r="G515" s="1" t="s">
        <v>10769</v>
      </c>
      <c r="H515" s="1" t="s">
        <v>10183</v>
      </c>
      <c r="I515" s="1" t="s">
        <v>10183</v>
      </c>
      <c r="M515" s="1" t="s">
        <v>4159</v>
      </c>
      <c r="O515" s="1" t="s">
        <v>46</v>
      </c>
      <c r="P515" s="1" t="s">
        <v>10155</v>
      </c>
      <c r="Q515" s="1" t="s">
        <v>29</v>
      </c>
    </row>
    <row r="516" spans="1:17" ht="12.5" x14ac:dyDescent="0.25">
      <c r="A516" s="1" t="s">
        <v>152</v>
      </c>
      <c r="C516" s="1" t="s">
        <v>10770</v>
      </c>
      <c r="D516" s="1" t="s">
        <v>10771</v>
      </c>
      <c r="E516" s="1" t="s">
        <v>9928</v>
      </c>
      <c r="F516" s="1" t="s">
        <v>10518</v>
      </c>
      <c r="G516" s="1" t="s">
        <v>10769</v>
      </c>
      <c r="H516" s="1" t="s">
        <v>10176</v>
      </c>
      <c r="I516" s="1" t="s">
        <v>10176</v>
      </c>
      <c r="J516" s="1" t="s">
        <v>10270</v>
      </c>
      <c r="K516" s="1" t="s">
        <v>10270</v>
      </c>
      <c r="O516" s="1" t="s">
        <v>10155</v>
      </c>
      <c r="P516" s="1" t="s">
        <v>10155</v>
      </c>
    </row>
    <row r="517" spans="1:17" ht="12.5" x14ac:dyDescent="0.25">
      <c r="A517" s="1" t="s">
        <v>152</v>
      </c>
      <c r="C517" s="1" t="s">
        <v>10772</v>
      </c>
      <c r="D517" s="1" t="s">
        <v>10773</v>
      </c>
      <c r="E517" s="1" t="s">
        <v>9928</v>
      </c>
      <c r="F517" s="1" t="s">
        <v>10518</v>
      </c>
      <c r="G517" s="1" t="s">
        <v>10769</v>
      </c>
      <c r="H517" s="1" t="s">
        <v>10176</v>
      </c>
      <c r="I517" s="1" t="s">
        <v>10176</v>
      </c>
      <c r="J517" s="1" t="s">
        <v>10270</v>
      </c>
      <c r="K517" s="1" t="s">
        <v>10270</v>
      </c>
      <c r="O517" s="1" t="s">
        <v>10155</v>
      </c>
      <c r="P517" s="1" t="s">
        <v>10155</v>
      </c>
    </row>
    <row r="518" spans="1:17" ht="12.5" x14ac:dyDescent="0.25">
      <c r="A518" s="1" t="s">
        <v>152</v>
      </c>
      <c r="C518" s="1" t="s">
        <v>10774</v>
      </c>
      <c r="D518" s="1" t="s">
        <v>10775</v>
      </c>
      <c r="E518" s="1" t="s">
        <v>9928</v>
      </c>
      <c r="F518" s="1" t="s">
        <v>10518</v>
      </c>
      <c r="G518" s="1" t="s">
        <v>10769</v>
      </c>
      <c r="H518" s="1" t="s">
        <v>10172</v>
      </c>
      <c r="I518" s="1" t="s">
        <v>10172</v>
      </c>
      <c r="J518" s="1" t="s">
        <v>10573</v>
      </c>
      <c r="K518" s="1" t="s">
        <v>10573</v>
      </c>
      <c r="O518" s="1" t="s">
        <v>10155</v>
      </c>
      <c r="P518" s="1" t="s">
        <v>10155</v>
      </c>
    </row>
    <row r="519" spans="1:17" ht="12.5" x14ac:dyDescent="0.25">
      <c r="A519" s="1" t="s">
        <v>152</v>
      </c>
      <c r="C519" s="1" t="s">
        <v>10776</v>
      </c>
      <c r="D519" s="1" t="s">
        <v>10777</v>
      </c>
      <c r="E519" s="1" t="s">
        <v>9928</v>
      </c>
      <c r="F519" s="1" t="s">
        <v>10518</v>
      </c>
      <c r="G519" s="1" t="s">
        <v>10769</v>
      </c>
      <c r="H519" s="1" t="s">
        <v>10172</v>
      </c>
      <c r="I519" s="1" t="s">
        <v>10172</v>
      </c>
      <c r="J519" s="1" t="s">
        <v>10573</v>
      </c>
      <c r="K519" s="1" t="s">
        <v>10573</v>
      </c>
      <c r="O519" s="1" t="s">
        <v>10155</v>
      </c>
      <c r="P519" s="1" t="s">
        <v>10155</v>
      </c>
    </row>
    <row r="520" spans="1:17" ht="12.5" x14ac:dyDescent="0.25">
      <c r="A520" s="1" t="s">
        <v>152</v>
      </c>
      <c r="C520" s="1" t="s">
        <v>6842</v>
      </c>
      <c r="D520" s="1" t="s">
        <v>6843</v>
      </c>
      <c r="E520" s="1" t="s">
        <v>9928</v>
      </c>
      <c r="F520" s="1" t="s">
        <v>10518</v>
      </c>
      <c r="G520" s="1" t="s">
        <v>10769</v>
      </c>
      <c r="H520" s="1" t="s">
        <v>10152</v>
      </c>
      <c r="I520" s="1" t="s">
        <v>10153</v>
      </c>
      <c r="M520" s="1" t="s">
        <v>6848</v>
      </c>
      <c r="N520" s="1" t="s">
        <v>6850</v>
      </c>
      <c r="O520" s="1" t="s">
        <v>112</v>
      </c>
      <c r="P520" s="1" t="s">
        <v>10155</v>
      </c>
      <c r="Q520" s="1" t="s">
        <v>29</v>
      </c>
    </row>
    <row r="521" spans="1:17" ht="12.5" x14ac:dyDescent="0.25">
      <c r="A521" s="1" t="s">
        <v>152</v>
      </c>
      <c r="C521" s="1" t="s">
        <v>6842</v>
      </c>
      <c r="D521" s="1" t="s">
        <v>6843</v>
      </c>
      <c r="E521" s="1" t="s">
        <v>9928</v>
      </c>
      <c r="F521" s="1" t="s">
        <v>10518</v>
      </c>
      <c r="G521" s="1" t="s">
        <v>10769</v>
      </c>
      <c r="H521" s="1" t="s">
        <v>10152</v>
      </c>
      <c r="I521" s="1" t="s">
        <v>10153</v>
      </c>
      <c r="M521" s="1" t="s">
        <v>6844</v>
      </c>
      <c r="N521" s="1" t="s">
        <v>6846</v>
      </c>
      <c r="O521" s="1" t="s">
        <v>112</v>
      </c>
      <c r="P521" s="1" t="s">
        <v>10155</v>
      </c>
      <c r="Q521" s="1" t="s">
        <v>29</v>
      </c>
    </row>
    <row r="522" spans="1:17" ht="12.5" x14ac:dyDescent="0.25">
      <c r="A522" s="1" t="s">
        <v>152</v>
      </c>
      <c r="C522" s="1" t="s">
        <v>10778</v>
      </c>
      <c r="D522" s="1" t="s">
        <v>10779</v>
      </c>
      <c r="E522" s="1" t="s">
        <v>10156</v>
      </c>
      <c r="F522" s="1" t="s">
        <v>10156</v>
      </c>
      <c r="G522" s="1" t="s">
        <v>10780</v>
      </c>
      <c r="H522" s="1" t="s">
        <v>10176</v>
      </c>
      <c r="I522" s="1" t="s">
        <v>10176</v>
      </c>
      <c r="J522" s="1" t="s">
        <v>10177</v>
      </c>
      <c r="K522" s="1" t="s">
        <v>10177</v>
      </c>
      <c r="O522" s="1" t="s">
        <v>10155</v>
      </c>
      <c r="P522" s="1" t="s">
        <v>10155</v>
      </c>
    </row>
    <row r="523" spans="1:17" ht="12.5" x14ac:dyDescent="0.25">
      <c r="A523" s="1" t="s">
        <v>152</v>
      </c>
      <c r="C523" s="1" t="s">
        <v>10781</v>
      </c>
      <c r="D523" s="1" t="s">
        <v>10782</v>
      </c>
      <c r="E523" s="1" t="s">
        <v>10156</v>
      </c>
      <c r="F523" s="1" t="s">
        <v>10156</v>
      </c>
      <c r="G523" s="1" t="s">
        <v>10780</v>
      </c>
      <c r="H523" s="1" t="s">
        <v>10176</v>
      </c>
      <c r="I523" s="1" t="s">
        <v>10176</v>
      </c>
      <c r="J523" s="1" t="s">
        <v>10293</v>
      </c>
      <c r="K523" s="1" t="s">
        <v>10293</v>
      </c>
      <c r="O523" s="1" t="s">
        <v>10155</v>
      </c>
      <c r="P523" s="1" t="s">
        <v>10155</v>
      </c>
    </row>
    <row r="524" spans="1:17" ht="12.5" x14ac:dyDescent="0.25">
      <c r="A524" s="1" t="s">
        <v>152</v>
      </c>
      <c r="C524" s="1" t="s">
        <v>8108</v>
      </c>
      <c r="D524" s="1" t="s">
        <v>8109</v>
      </c>
      <c r="E524" s="1" t="s">
        <v>10156</v>
      </c>
      <c r="F524" s="1" t="s">
        <v>10156</v>
      </c>
      <c r="G524" s="1" t="s">
        <v>10780</v>
      </c>
      <c r="H524" s="1" t="s">
        <v>10183</v>
      </c>
      <c r="I524" s="1" t="s">
        <v>10183</v>
      </c>
      <c r="M524" s="1" t="s">
        <v>8110</v>
      </c>
      <c r="O524" s="1" t="s">
        <v>33</v>
      </c>
      <c r="P524" s="1" t="s">
        <v>24</v>
      </c>
      <c r="Q524" s="1" t="s">
        <v>29</v>
      </c>
    </row>
    <row r="525" spans="1:17" ht="12.5" x14ac:dyDescent="0.25">
      <c r="A525" s="1" t="s">
        <v>152</v>
      </c>
      <c r="C525" s="1" t="s">
        <v>4147</v>
      </c>
      <c r="D525" s="1" t="s">
        <v>4148</v>
      </c>
      <c r="E525" s="1" t="s">
        <v>9928</v>
      </c>
      <c r="F525" s="1" t="s">
        <v>10531</v>
      </c>
      <c r="G525" s="1" t="s">
        <v>10557</v>
      </c>
      <c r="H525" s="1" t="s">
        <v>10160</v>
      </c>
      <c r="I525" s="1" t="s">
        <v>10160</v>
      </c>
      <c r="L525" s="1" t="s">
        <v>10197</v>
      </c>
      <c r="M525" s="1" t="s">
        <v>4149</v>
      </c>
      <c r="O525" s="1" t="s">
        <v>33</v>
      </c>
      <c r="P525" s="1" t="s">
        <v>10155</v>
      </c>
      <c r="Q525" s="1" t="s">
        <v>29</v>
      </c>
    </row>
    <row r="526" spans="1:17" ht="12.5" x14ac:dyDescent="0.25">
      <c r="A526" s="1" t="s">
        <v>152</v>
      </c>
      <c r="C526" s="1" t="s">
        <v>4141</v>
      </c>
      <c r="D526" s="1" t="s">
        <v>4142</v>
      </c>
      <c r="E526" s="1" t="s">
        <v>10156</v>
      </c>
      <c r="F526" s="1" t="s">
        <v>10156</v>
      </c>
      <c r="G526" s="1" t="s">
        <v>10780</v>
      </c>
      <c r="H526" s="1" t="s">
        <v>10183</v>
      </c>
      <c r="I526" s="1" t="s">
        <v>10183</v>
      </c>
      <c r="M526" s="1" t="s">
        <v>4143</v>
      </c>
      <c r="N526" s="1" t="s">
        <v>4145</v>
      </c>
      <c r="O526" s="1" t="s">
        <v>24</v>
      </c>
      <c r="P526" s="1" t="s">
        <v>53</v>
      </c>
      <c r="Q526" s="1" t="s">
        <v>29</v>
      </c>
    </row>
    <row r="527" spans="1:17" ht="12.5" x14ac:dyDescent="0.25">
      <c r="A527" s="1" t="s">
        <v>152</v>
      </c>
      <c r="C527" s="1" t="s">
        <v>151</v>
      </c>
      <c r="D527" s="1" t="s">
        <v>10783</v>
      </c>
      <c r="E527" s="1" t="s">
        <v>9928</v>
      </c>
      <c r="F527" s="1" t="s">
        <v>10518</v>
      </c>
      <c r="G527" s="1" t="s">
        <v>10578</v>
      </c>
      <c r="H527" s="1" t="s">
        <v>10160</v>
      </c>
      <c r="I527" s="1" t="s">
        <v>10160</v>
      </c>
      <c r="L527" s="1" t="s">
        <v>10197</v>
      </c>
      <c r="M527" s="1" t="s">
        <v>148</v>
      </c>
      <c r="O527" s="1" t="s">
        <v>124</v>
      </c>
      <c r="P527" s="1" t="s">
        <v>10155</v>
      </c>
      <c r="Q527" s="1" t="s">
        <v>29</v>
      </c>
    </row>
    <row r="528" spans="1:17" ht="12.5" x14ac:dyDescent="0.25">
      <c r="A528" s="1" t="s">
        <v>152</v>
      </c>
      <c r="C528" s="1" t="s">
        <v>4133</v>
      </c>
      <c r="D528" s="1" t="s">
        <v>4134</v>
      </c>
      <c r="E528" s="1" t="s">
        <v>10156</v>
      </c>
      <c r="F528" s="1" t="s">
        <v>10156</v>
      </c>
      <c r="G528" s="1" t="s">
        <v>10780</v>
      </c>
      <c r="H528" s="1" t="s">
        <v>10486</v>
      </c>
      <c r="I528" s="1" t="s">
        <v>10486</v>
      </c>
      <c r="L528" s="1" t="s">
        <v>10197</v>
      </c>
      <c r="M528" s="1" t="s">
        <v>4135</v>
      </c>
      <c r="N528" s="1" t="s">
        <v>10784</v>
      </c>
      <c r="O528" s="1" t="s">
        <v>59</v>
      </c>
      <c r="P528" s="1" t="s">
        <v>10155</v>
      </c>
      <c r="Q528" s="1" t="s">
        <v>29</v>
      </c>
    </row>
    <row r="529" spans="1:17" ht="12.5" x14ac:dyDescent="0.25">
      <c r="A529" s="1" t="s">
        <v>152</v>
      </c>
      <c r="C529" s="1" t="s">
        <v>4128</v>
      </c>
      <c r="D529" s="1" t="s">
        <v>4129</v>
      </c>
      <c r="E529" s="1" t="s">
        <v>9928</v>
      </c>
      <c r="F529" s="1" t="s">
        <v>10518</v>
      </c>
      <c r="G529" s="1" t="s">
        <v>10578</v>
      </c>
      <c r="H529" s="1" t="s">
        <v>10152</v>
      </c>
      <c r="I529" s="1" t="s">
        <v>10153</v>
      </c>
      <c r="L529" s="1" t="s">
        <v>10197</v>
      </c>
      <c r="M529" s="1" t="s">
        <v>4130</v>
      </c>
      <c r="O529" s="1" t="s">
        <v>124</v>
      </c>
      <c r="P529" s="1" t="s">
        <v>10155</v>
      </c>
      <c r="Q529" s="1" t="s">
        <v>29</v>
      </c>
    </row>
    <row r="530" spans="1:17" ht="12.5" x14ac:dyDescent="0.25">
      <c r="A530" s="1" t="s">
        <v>152</v>
      </c>
      <c r="C530" s="1" t="s">
        <v>4123</v>
      </c>
      <c r="D530" s="1" t="s">
        <v>4124</v>
      </c>
      <c r="E530" s="1" t="s">
        <v>9928</v>
      </c>
      <c r="F530" s="1" t="s">
        <v>10518</v>
      </c>
      <c r="G530" s="1" t="s">
        <v>10578</v>
      </c>
      <c r="H530" s="1" t="s">
        <v>10152</v>
      </c>
      <c r="I530" s="1" t="s">
        <v>10153</v>
      </c>
      <c r="L530" s="1" t="s">
        <v>10197</v>
      </c>
      <c r="M530" s="1" t="s">
        <v>4125</v>
      </c>
      <c r="O530" s="1" t="s">
        <v>124</v>
      </c>
      <c r="P530" s="1" t="s">
        <v>10155</v>
      </c>
      <c r="Q530" s="1" t="s">
        <v>29</v>
      </c>
    </row>
    <row r="531" spans="1:17" ht="12.5" x14ac:dyDescent="0.25">
      <c r="A531" s="1" t="s">
        <v>152</v>
      </c>
      <c r="C531" s="1" t="s">
        <v>4118</v>
      </c>
      <c r="D531" s="1" t="s">
        <v>4119</v>
      </c>
      <c r="E531" s="1" t="s">
        <v>9928</v>
      </c>
      <c r="F531" s="1" t="s">
        <v>10531</v>
      </c>
      <c r="G531" s="1" t="s">
        <v>10557</v>
      </c>
      <c r="H531" s="1" t="s">
        <v>10183</v>
      </c>
      <c r="I531" s="1" t="s">
        <v>10183</v>
      </c>
      <c r="M531" s="1" t="s">
        <v>4120</v>
      </c>
      <c r="O531" s="1" t="s">
        <v>59</v>
      </c>
      <c r="P531" s="1" t="s">
        <v>124</v>
      </c>
      <c r="Q531" s="1" t="s">
        <v>29</v>
      </c>
    </row>
    <row r="532" spans="1:17" ht="12.5" x14ac:dyDescent="0.25">
      <c r="A532" s="1" t="s">
        <v>152</v>
      </c>
      <c r="C532" s="1" t="s">
        <v>4113</v>
      </c>
      <c r="D532" s="1" t="s">
        <v>4114</v>
      </c>
      <c r="E532" s="1" t="s">
        <v>9928</v>
      </c>
      <c r="F532" s="1" t="s">
        <v>10518</v>
      </c>
      <c r="G532" s="1" t="s">
        <v>10578</v>
      </c>
      <c r="H532" s="1" t="s">
        <v>10183</v>
      </c>
      <c r="I532" s="1" t="s">
        <v>10183</v>
      </c>
      <c r="M532" s="1" t="s">
        <v>4115</v>
      </c>
      <c r="O532" s="1" t="s">
        <v>59</v>
      </c>
      <c r="P532" s="1" t="s">
        <v>59</v>
      </c>
      <c r="Q532" s="1" t="s">
        <v>29</v>
      </c>
    </row>
    <row r="533" spans="1:17" ht="12.5" x14ac:dyDescent="0.25">
      <c r="A533" s="1" t="s">
        <v>152</v>
      </c>
      <c r="C533" s="1" t="s">
        <v>4107</v>
      </c>
      <c r="D533" s="1" t="s">
        <v>4108</v>
      </c>
      <c r="E533" s="1" t="s">
        <v>10156</v>
      </c>
      <c r="F533" s="1" t="s">
        <v>10156</v>
      </c>
      <c r="G533" s="1" t="s">
        <v>10585</v>
      </c>
      <c r="H533" s="1" t="s">
        <v>10183</v>
      </c>
      <c r="I533" s="1" t="s">
        <v>10183</v>
      </c>
      <c r="M533" s="1" t="s">
        <v>4109</v>
      </c>
      <c r="N533" s="1" t="s">
        <v>4111</v>
      </c>
      <c r="O533" s="1" t="s">
        <v>24</v>
      </c>
      <c r="P533" s="1" t="s">
        <v>10155</v>
      </c>
      <c r="Q533" s="1" t="s">
        <v>29</v>
      </c>
    </row>
    <row r="534" spans="1:17" ht="12.5" x14ac:dyDescent="0.25">
      <c r="A534" s="1" t="s">
        <v>152</v>
      </c>
      <c r="C534" s="1" t="s">
        <v>10785</v>
      </c>
      <c r="D534" s="1" t="s">
        <v>10786</v>
      </c>
      <c r="E534" s="1" t="s">
        <v>10156</v>
      </c>
      <c r="F534" s="1" t="s">
        <v>10156</v>
      </c>
      <c r="G534" s="1" t="s">
        <v>10585</v>
      </c>
      <c r="H534" s="1" t="s">
        <v>10176</v>
      </c>
      <c r="I534" s="1" t="s">
        <v>10176</v>
      </c>
      <c r="J534" s="1" t="s">
        <v>10262</v>
      </c>
      <c r="K534" s="1" t="s">
        <v>10262</v>
      </c>
      <c r="O534" s="1" t="s">
        <v>10155</v>
      </c>
      <c r="P534" s="1" t="s">
        <v>10155</v>
      </c>
    </row>
    <row r="535" spans="1:17" ht="12.5" x14ac:dyDescent="0.25">
      <c r="A535" s="1" t="s">
        <v>152</v>
      </c>
      <c r="C535" s="1" t="s">
        <v>4101</v>
      </c>
      <c r="D535" s="1" t="s">
        <v>4102</v>
      </c>
      <c r="E535" s="1" t="s">
        <v>9928</v>
      </c>
      <c r="F535" s="1" t="s">
        <v>10518</v>
      </c>
      <c r="G535" s="1" t="s">
        <v>10578</v>
      </c>
      <c r="H535" s="1" t="s">
        <v>10183</v>
      </c>
      <c r="I535" s="1" t="s">
        <v>10183</v>
      </c>
      <c r="M535" s="1" t="s">
        <v>4103</v>
      </c>
      <c r="N535" s="1" t="s">
        <v>4105</v>
      </c>
      <c r="O535" s="1" t="s">
        <v>59</v>
      </c>
      <c r="P535" s="1" t="s">
        <v>59</v>
      </c>
      <c r="Q535" s="1" t="s">
        <v>29</v>
      </c>
    </row>
    <row r="536" spans="1:17" ht="12.5" x14ac:dyDescent="0.25">
      <c r="A536" s="1" t="s">
        <v>152</v>
      </c>
      <c r="C536" s="1" t="s">
        <v>4097</v>
      </c>
      <c r="D536" s="1" t="s">
        <v>10787</v>
      </c>
      <c r="E536" s="1" t="s">
        <v>9928</v>
      </c>
      <c r="F536" s="1" t="s">
        <v>10518</v>
      </c>
      <c r="G536" s="1" t="s">
        <v>10578</v>
      </c>
      <c r="H536" s="1" t="s">
        <v>10152</v>
      </c>
      <c r="I536" s="1" t="s">
        <v>10153</v>
      </c>
      <c r="M536" s="1" t="s">
        <v>4098</v>
      </c>
      <c r="O536" s="1" t="s">
        <v>169</v>
      </c>
      <c r="P536" s="1" t="s">
        <v>10155</v>
      </c>
      <c r="Q536" s="1" t="s">
        <v>29</v>
      </c>
    </row>
    <row r="537" spans="1:17" ht="12.5" x14ac:dyDescent="0.25">
      <c r="A537" s="1" t="s">
        <v>152</v>
      </c>
      <c r="C537" s="1" t="s">
        <v>10788</v>
      </c>
      <c r="D537" s="1" t="s">
        <v>10789</v>
      </c>
      <c r="E537" s="1" t="s">
        <v>10156</v>
      </c>
      <c r="F537" s="1" t="s">
        <v>10156</v>
      </c>
      <c r="G537" s="1" t="s">
        <v>10584</v>
      </c>
      <c r="H537" s="1" t="s">
        <v>10176</v>
      </c>
      <c r="I537" s="1" t="s">
        <v>10176</v>
      </c>
      <c r="J537" s="1" t="s">
        <v>10293</v>
      </c>
      <c r="K537" s="1" t="s">
        <v>10293</v>
      </c>
      <c r="O537" s="1" t="s">
        <v>10155</v>
      </c>
      <c r="P537" s="1" t="s">
        <v>10155</v>
      </c>
    </row>
    <row r="538" spans="1:17" ht="12.5" x14ac:dyDescent="0.25">
      <c r="A538" s="1" t="s">
        <v>152</v>
      </c>
      <c r="C538" s="1" t="s">
        <v>10790</v>
      </c>
      <c r="D538" s="1" t="s">
        <v>10791</v>
      </c>
      <c r="E538" s="1" t="s">
        <v>10156</v>
      </c>
      <c r="F538" s="1" t="s">
        <v>10156</v>
      </c>
      <c r="G538" s="1" t="s">
        <v>10562</v>
      </c>
      <c r="H538" s="1" t="s">
        <v>10176</v>
      </c>
      <c r="I538" s="1" t="s">
        <v>10176</v>
      </c>
      <c r="J538" s="1" t="s">
        <v>10262</v>
      </c>
      <c r="K538" s="1" t="s">
        <v>10262</v>
      </c>
      <c r="O538" s="1" t="s">
        <v>10155</v>
      </c>
      <c r="P538" s="1" t="s">
        <v>10155</v>
      </c>
    </row>
    <row r="539" spans="1:17" ht="12.5" x14ac:dyDescent="0.25">
      <c r="A539" s="1" t="s">
        <v>152</v>
      </c>
      <c r="C539" s="1" t="s">
        <v>10792</v>
      </c>
      <c r="D539" s="1" t="s">
        <v>10793</v>
      </c>
      <c r="E539" s="1" t="s">
        <v>10156</v>
      </c>
      <c r="F539" s="1" t="s">
        <v>10156</v>
      </c>
      <c r="G539" s="1" t="s">
        <v>10562</v>
      </c>
      <c r="H539" s="1" t="s">
        <v>10172</v>
      </c>
      <c r="I539" s="1" t="s">
        <v>10172</v>
      </c>
      <c r="J539" s="1" t="s">
        <v>10193</v>
      </c>
      <c r="K539" s="1" t="s">
        <v>10193</v>
      </c>
      <c r="O539" s="1" t="s">
        <v>10155</v>
      </c>
      <c r="P539" s="1" t="s">
        <v>10155</v>
      </c>
    </row>
    <row r="540" spans="1:17" ht="12.5" x14ac:dyDescent="0.25">
      <c r="A540" s="1" t="s">
        <v>152</v>
      </c>
      <c r="C540" s="1" t="s">
        <v>4093</v>
      </c>
      <c r="D540" s="1" t="s">
        <v>4094</v>
      </c>
      <c r="E540" s="1" t="s">
        <v>10156</v>
      </c>
      <c r="F540" s="1" t="s">
        <v>10156</v>
      </c>
      <c r="G540" s="1" t="s">
        <v>10562</v>
      </c>
      <c r="H540" s="1" t="s">
        <v>10152</v>
      </c>
      <c r="I540" s="1" t="s">
        <v>10153</v>
      </c>
      <c r="M540" s="1" t="s">
        <v>9897</v>
      </c>
      <c r="O540" s="1" t="s">
        <v>292</v>
      </c>
      <c r="P540" s="1" t="s">
        <v>10155</v>
      </c>
      <c r="Q540" s="1" t="s">
        <v>29</v>
      </c>
    </row>
    <row r="541" spans="1:17" ht="12.5" x14ac:dyDescent="0.25">
      <c r="A541" s="1" t="s">
        <v>152</v>
      </c>
      <c r="C541" s="1" t="s">
        <v>4093</v>
      </c>
      <c r="D541" s="1" t="s">
        <v>4094</v>
      </c>
      <c r="E541" s="1" t="s">
        <v>10156</v>
      </c>
      <c r="F541" s="1" t="s">
        <v>10156</v>
      </c>
      <c r="G541" s="1" t="s">
        <v>10562</v>
      </c>
      <c r="H541" s="1" t="s">
        <v>10152</v>
      </c>
      <c r="I541" s="1" t="s">
        <v>10153</v>
      </c>
      <c r="M541" s="1" t="s">
        <v>4095</v>
      </c>
      <c r="O541" s="1" t="s">
        <v>10155</v>
      </c>
      <c r="P541" s="1" t="s">
        <v>10155</v>
      </c>
      <c r="Q541" s="1" t="s">
        <v>29</v>
      </c>
    </row>
    <row r="542" spans="1:17" ht="12.5" x14ac:dyDescent="0.25">
      <c r="A542" s="1" t="s">
        <v>152</v>
      </c>
      <c r="C542" s="1" t="s">
        <v>10794</v>
      </c>
      <c r="D542" s="1" t="s">
        <v>10795</v>
      </c>
      <c r="E542" s="1" t="s">
        <v>10156</v>
      </c>
      <c r="F542" s="1" t="s">
        <v>10156</v>
      </c>
      <c r="G542" s="1" t="s">
        <v>10562</v>
      </c>
      <c r="H542" s="1" t="s">
        <v>10176</v>
      </c>
      <c r="I542" s="1" t="s">
        <v>10176</v>
      </c>
      <c r="J542" s="1" t="s">
        <v>10270</v>
      </c>
      <c r="K542" s="1" t="s">
        <v>10270</v>
      </c>
      <c r="O542" s="1" t="s">
        <v>10155</v>
      </c>
      <c r="P542" s="1" t="s">
        <v>10155</v>
      </c>
    </row>
    <row r="543" spans="1:17" ht="12.5" x14ac:dyDescent="0.25">
      <c r="A543" s="1" t="s">
        <v>152</v>
      </c>
      <c r="C543" s="1" t="s">
        <v>8113</v>
      </c>
      <c r="D543" s="1" t="s">
        <v>8114</v>
      </c>
      <c r="E543" s="1" t="s">
        <v>9928</v>
      </c>
      <c r="F543" s="1" t="s">
        <v>10565</v>
      </c>
      <c r="G543" s="1" t="s">
        <v>10565</v>
      </c>
      <c r="H543" s="1" t="s">
        <v>10183</v>
      </c>
      <c r="I543" s="1" t="s">
        <v>10183</v>
      </c>
      <c r="M543" s="1" t="s">
        <v>8115</v>
      </c>
      <c r="O543" s="1" t="s">
        <v>33</v>
      </c>
      <c r="P543" s="1" t="s">
        <v>24</v>
      </c>
      <c r="Q543" s="1" t="s">
        <v>29</v>
      </c>
    </row>
    <row r="544" spans="1:17" ht="12.5" x14ac:dyDescent="0.25">
      <c r="A544" s="1" t="s">
        <v>152</v>
      </c>
      <c r="C544" s="1" t="s">
        <v>4088</v>
      </c>
      <c r="D544" s="1" t="s">
        <v>4089</v>
      </c>
      <c r="E544" s="1" t="s">
        <v>10156</v>
      </c>
      <c r="F544" s="1" t="s">
        <v>10156</v>
      </c>
      <c r="G544" s="1" t="s">
        <v>10584</v>
      </c>
      <c r="H544" s="1" t="s">
        <v>10183</v>
      </c>
      <c r="I544" s="1" t="s">
        <v>10183</v>
      </c>
      <c r="M544" s="1" t="s">
        <v>4090</v>
      </c>
      <c r="O544" s="1" t="s">
        <v>59</v>
      </c>
      <c r="P544" s="1" t="s">
        <v>59</v>
      </c>
      <c r="Q544" s="1" t="s">
        <v>29</v>
      </c>
    </row>
    <row r="545" spans="1:17" ht="12.5" x14ac:dyDescent="0.25">
      <c r="A545" s="1" t="s">
        <v>152</v>
      </c>
      <c r="C545" s="1" t="s">
        <v>10796</v>
      </c>
      <c r="D545" s="1" t="s">
        <v>10797</v>
      </c>
      <c r="E545" s="1" t="s">
        <v>9928</v>
      </c>
      <c r="F545" s="1" t="s">
        <v>10565</v>
      </c>
      <c r="G545" s="1" t="s">
        <v>10565</v>
      </c>
      <c r="H545" s="1" t="s">
        <v>10152</v>
      </c>
      <c r="I545" s="1" t="s">
        <v>10164</v>
      </c>
      <c r="L545" s="1" t="s">
        <v>10197</v>
      </c>
      <c r="O545" s="1" t="s">
        <v>10155</v>
      </c>
      <c r="P545" s="1" t="s">
        <v>10155</v>
      </c>
    </row>
    <row r="546" spans="1:17" ht="12.5" x14ac:dyDescent="0.25">
      <c r="A546" s="1" t="s">
        <v>152</v>
      </c>
      <c r="C546" s="1" t="s">
        <v>7514</v>
      </c>
      <c r="D546" s="1" t="s">
        <v>7515</v>
      </c>
      <c r="E546" s="1" t="s">
        <v>9928</v>
      </c>
      <c r="F546" s="1" t="s">
        <v>10565</v>
      </c>
      <c r="G546" s="1" t="s">
        <v>10565</v>
      </c>
      <c r="H546" s="1" t="s">
        <v>10152</v>
      </c>
      <c r="I546" s="1" t="s">
        <v>10153</v>
      </c>
      <c r="M546" s="1" t="s">
        <v>7516</v>
      </c>
      <c r="N546" s="1" t="s">
        <v>10798</v>
      </c>
      <c r="O546" s="1" t="s">
        <v>10155</v>
      </c>
      <c r="P546" s="1" t="s">
        <v>10155</v>
      </c>
      <c r="Q546" s="1" t="s">
        <v>29</v>
      </c>
    </row>
    <row r="547" spans="1:17" ht="12.5" x14ac:dyDescent="0.25">
      <c r="A547" s="1" t="s">
        <v>152</v>
      </c>
      <c r="C547" s="1" t="s">
        <v>6735</v>
      </c>
      <c r="D547" s="1" t="s">
        <v>6736</v>
      </c>
      <c r="E547" s="1" t="s">
        <v>10156</v>
      </c>
      <c r="F547" s="1" t="s">
        <v>10156</v>
      </c>
      <c r="G547" s="1" t="s">
        <v>10780</v>
      </c>
      <c r="H547" s="1" t="s">
        <v>10152</v>
      </c>
      <c r="I547" s="1" t="s">
        <v>10153</v>
      </c>
      <c r="M547" s="1" t="s">
        <v>6737</v>
      </c>
      <c r="N547" s="1" t="s">
        <v>6739</v>
      </c>
      <c r="O547" s="1" t="s">
        <v>169</v>
      </c>
      <c r="P547" s="1" t="s">
        <v>10155</v>
      </c>
      <c r="Q547" s="1" t="s">
        <v>29</v>
      </c>
    </row>
    <row r="548" spans="1:17" ht="12.5" x14ac:dyDescent="0.25">
      <c r="A548" s="1" t="s">
        <v>152</v>
      </c>
      <c r="C548" s="1" t="s">
        <v>10799</v>
      </c>
      <c r="D548" s="1" t="s">
        <v>10800</v>
      </c>
      <c r="E548" s="1" t="s">
        <v>9928</v>
      </c>
      <c r="F548" s="1" t="s">
        <v>10565</v>
      </c>
      <c r="G548" s="1" t="s">
        <v>10565</v>
      </c>
      <c r="H548" s="1" t="s">
        <v>10152</v>
      </c>
      <c r="I548" s="1" t="s">
        <v>10164</v>
      </c>
      <c r="L548" s="1" t="s">
        <v>10801</v>
      </c>
      <c r="O548" s="1" t="s">
        <v>10155</v>
      </c>
      <c r="P548" s="1" t="s">
        <v>10155</v>
      </c>
    </row>
    <row r="549" spans="1:17" ht="12.5" x14ac:dyDescent="0.25">
      <c r="A549" s="1" t="s">
        <v>152</v>
      </c>
      <c r="C549" s="1" t="s">
        <v>4083</v>
      </c>
      <c r="D549" s="1" t="s">
        <v>4084</v>
      </c>
      <c r="E549" s="1" t="s">
        <v>9928</v>
      </c>
      <c r="F549" s="1" t="s">
        <v>10518</v>
      </c>
      <c r="G549" s="1" t="s">
        <v>10802</v>
      </c>
      <c r="H549" s="1" t="s">
        <v>10160</v>
      </c>
      <c r="I549" s="1" t="s">
        <v>10160</v>
      </c>
      <c r="L549" s="1" t="s">
        <v>10197</v>
      </c>
      <c r="M549" s="1" t="s">
        <v>4085</v>
      </c>
      <c r="O549" s="1" t="s">
        <v>124</v>
      </c>
      <c r="P549" s="1" t="s">
        <v>10155</v>
      </c>
      <c r="Q549" s="1" t="s">
        <v>29</v>
      </c>
    </row>
    <row r="550" spans="1:17" ht="12.5" x14ac:dyDescent="0.25">
      <c r="A550" s="1" t="s">
        <v>152</v>
      </c>
      <c r="C550" s="1" t="s">
        <v>10803</v>
      </c>
      <c r="D550" s="1" t="s">
        <v>10804</v>
      </c>
      <c r="E550" s="1" t="s">
        <v>9928</v>
      </c>
      <c r="F550" s="1" t="s">
        <v>10518</v>
      </c>
      <c r="G550" s="1" t="s">
        <v>10802</v>
      </c>
      <c r="H550" s="1" t="s">
        <v>10172</v>
      </c>
      <c r="I550" s="1" t="s">
        <v>10172</v>
      </c>
      <c r="J550" s="1" t="s">
        <v>10440</v>
      </c>
      <c r="K550" s="1" t="s">
        <v>10440</v>
      </c>
      <c r="O550" s="1" t="s">
        <v>10155</v>
      </c>
      <c r="P550" s="1" t="s">
        <v>10155</v>
      </c>
    </row>
    <row r="551" spans="1:17" ht="12.5" x14ac:dyDescent="0.25">
      <c r="A551" s="1" t="s">
        <v>152</v>
      </c>
      <c r="C551" s="1" t="s">
        <v>10805</v>
      </c>
      <c r="D551" s="1" t="s">
        <v>10806</v>
      </c>
      <c r="E551" s="1" t="s">
        <v>10156</v>
      </c>
      <c r="F551" s="1" t="s">
        <v>10156</v>
      </c>
      <c r="G551" s="1" t="s">
        <v>10562</v>
      </c>
      <c r="H551" s="1" t="s">
        <v>10176</v>
      </c>
      <c r="I551" s="1" t="s">
        <v>10176</v>
      </c>
      <c r="J551" s="1" t="s">
        <v>10293</v>
      </c>
      <c r="K551" s="1" t="s">
        <v>10293</v>
      </c>
      <c r="O551" s="1" t="s">
        <v>10155</v>
      </c>
      <c r="P551" s="1" t="s">
        <v>10155</v>
      </c>
    </row>
    <row r="552" spans="1:17" ht="12.5" x14ac:dyDescent="0.25">
      <c r="A552" s="1" t="s">
        <v>152</v>
      </c>
      <c r="C552" s="1" t="s">
        <v>8118</v>
      </c>
      <c r="D552" s="1" t="s">
        <v>8119</v>
      </c>
      <c r="E552" s="1" t="s">
        <v>9928</v>
      </c>
      <c r="F552" s="1" t="s">
        <v>10518</v>
      </c>
      <c r="G552" s="1" t="s">
        <v>10802</v>
      </c>
      <c r="H552" s="1" t="s">
        <v>10183</v>
      </c>
      <c r="I552" s="1" t="s">
        <v>10183</v>
      </c>
      <c r="M552" s="1" t="s">
        <v>8120</v>
      </c>
      <c r="N552" s="1" t="s">
        <v>8121</v>
      </c>
      <c r="O552" s="1" t="s">
        <v>33</v>
      </c>
      <c r="P552" s="1" t="s">
        <v>53</v>
      </c>
      <c r="Q552" s="1" t="s">
        <v>29</v>
      </c>
    </row>
    <row r="553" spans="1:17" ht="12.5" x14ac:dyDescent="0.25">
      <c r="A553" s="1" t="s">
        <v>152</v>
      </c>
      <c r="C553" s="1" t="s">
        <v>8123</v>
      </c>
      <c r="D553" s="1" t="s">
        <v>8124</v>
      </c>
      <c r="E553" s="1" t="s">
        <v>9928</v>
      </c>
      <c r="F553" s="1" t="s">
        <v>10518</v>
      </c>
      <c r="G553" s="1" t="s">
        <v>10802</v>
      </c>
      <c r="H553" s="1" t="s">
        <v>10183</v>
      </c>
      <c r="I553" s="1" t="s">
        <v>10183</v>
      </c>
      <c r="M553" s="1" t="s">
        <v>8125</v>
      </c>
      <c r="N553" s="1" t="s">
        <v>8127</v>
      </c>
      <c r="O553" s="1" t="s">
        <v>33</v>
      </c>
      <c r="P553" s="1" t="s">
        <v>46</v>
      </c>
      <c r="Q553" s="1" t="s">
        <v>29</v>
      </c>
    </row>
    <row r="554" spans="1:17" ht="12.5" x14ac:dyDescent="0.25">
      <c r="A554" s="1" t="s">
        <v>152</v>
      </c>
      <c r="C554" s="1" t="s">
        <v>4079</v>
      </c>
      <c r="D554" s="1" t="s">
        <v>10807</v>
      </c>
      <c r="E554" s="1" t="s">
        <v>10156</v>
      </c>
      <c r="F554" s="1" t="s">
        <v>10156</v>
      </c>
      <c r="G554" s="1" t="s">
        <v>10562</v>
      </c>
      <c r="H554" s="1" t="s">
        <v>10183</v>
      </c>
      <c r="I554" s="1" t="s">
        <v>10183</v>
      </c>
      <c r="M554" s="1" t="s">
        <v>4080</v>
      </c>
      <c r="O554" s="1" t="s">
        <v>24</v>
      </c>
      <c r="P554" s="1" t="s">
        <v>10155</v>
      </c>
      <c r="Q554" s="1" t="s">
        <v>29</v>
      </c>
    </row>
    <row r="555" spans="1:17" ht="12.5" x14ac:dyDescent="0.25">
      <c r="A555" s="1" t="s">
        <v>152</v>
      </c>
      <c r="C555" s="1" t="s">
        <v>4075</v>
      </c>
      <c r="D555" s="1" t="s">
        <v>10808</v>
      </c>
      <c r="E555" s="1" t="s">
        <v>9928</v>
      </c>
      <c r="F555" s="1" t="s">
        <v>10518</v>
      </c>
      <c r="G555" s="1" t="s">
        <v>10802</v>
      </c>
      <c r="H555" s="1" t="s">
        <v>10183</v>
      </c>
      <c r="I555" s="1" t="s">
        <v>10183</v>
      </c>
      <c r="M555" s="1" t="s">
        <v>4076</v>
      </c>
      <c r="O555" s="1" t="s">
        <v>59</v>
      </c>
      <c r="P555" s="1" t="s">
        <v>59</v>
      </c>
      <c r="Q555" s="1" t="s">
        <v>29</v>
      </c>
    </row>
    <row r="556" spans="1:17" ht="12.5" x14ac:dyDescent="0.25">
      <c r="A556" s="1" t="s">
        <v>152</v>
      </c>
      <c r="C556" s="1" t="s">
        <v>10809</v>
      </c>
      <c r="D556" s="1" t="s">
        <v>10810</v>
      </c>
      <c r="E556" s="1" t="s">
        <v>10156</v>
      </c>
      <c r="F556" s="1" t="s">
        <v>10156</v>
      </c>
      <c r="G556" s="1" t="s">
        <v>10811</v>
      </c>
      <c r="H556" s="1" t="s">
        <v>10176</v>
      </c>
      <c r="I556" s="1" t="s">
        <v>10176</v>
      </c>
      <c r="J556" s="1" t="s">
        <v>10262</v>
      </c>
      <c r="K556" s="1" t="s">
        <v>10262</v>
      </c>
      <c r="O556" s="1" t="s">
        <v>10155</v>
      </c>
      <c r="P556" s="1" t="s">
        <v>10155</v>
      </c>
    </row>
    <row r="557" spans="1:17" ht="12.5" x14ac:dyDescent="0.25">
      <c r="A557" s="1" t="s">
        <v>152</v>
      </c>
      <c r="C557" s="1" t="s">
        <v>8637</v>
      </c>
      <c r="D557" s="1" t="s">
        <v>8638</v>
      </c>
      <c r="E557" s="1" t="s">
        <v>9928</v>
      </c>
      <c r="F557" s="1" t="s">
        <v>10563</v>
      </c>
      <c r="G557" s="1" t="s">
        <v>10563</v>
      </c>
      <c r="H557" s="1" t="s">
        <v>10152</v>
      </c>
      <c r="I557" s="1" t="s">
        <v>10153</v>
      </c>
      <c r="M557" s="1" t="s">
        <v>8639</v>
      </c>
      <c r="O557" s="1" t="s">
        <v>157</v>
      </c>
      <c r="P557" s="1" t="s">
        <v>10155</v>
      </c>
      <c r="Q557" s="1" t="s">
        <v>29</v>
      </c>
    </row>
    <row r="558" spans="1:17" ht="12.5" x14ac:dyDescent="0.25">
      <c r="A558" s="1" t="s">
        <v>152</v>
      </c>
      <c r="C558" s="1" t="s">
        <v>10812</v>
      </c>
      <c r="D558" s="1" t="s">
        <v>10813</v>
      </c>
      <c r="E558" s="1" t="s">
        <v>9929</v>
      </c>
      <c r="F558" s="1" t="s">
        <v>10150</v>
      </c>
      <c r="G558" s="1" t="s">
        <v>10814</v>
      </c>
      <c r="H558" s="1" t="s">
        <v>10176</v>
      </c>
      <c r="I558" s="1" t="s">
        <v>10176</v>
      </c>
      <c r="J558" s="1" t="s">
        <v>10262</v>
      </c>
      <c r="K558" s="1" t="s">
        <v>10262</v>
      </c>
      <c r="O558" s="1" t="s">
        <v>10155</v>
      </c>
      <c r="P558" s="1" t="s">
        <v>10155</v>
      </c>
    </row>
    <row r="559" spans="1:17" ht="12.5" x14ac:dyDescent="0.25">
      <c r="A559" s="1" t="s">
        <v>152</v>
      </c>
      <c r="C559" s="1" t="s">
        <v>10815</v>
      </c>
      <c r="D559" s="1" t="s">
        <v>10816</v>
      </c>
      <c r="E559" s="1" t="s">
        <v>9929</v>
      </c>
      <c r="F559" s="1" t="s">
        <v>10150</v>
      </c>
      <c r="G559" s="1" t="s">
        <v>10814</v>
      </c>
      <c r="H559" s="1" t="s">
        <v>10176</v>
      </c>
      <c r="I559" s="1" t="s">
        <v>10176</v>
      </c>
      <c r="J559" s="1" t="s">
        <v>10262</v>
      </c>
      <c r="K559" s="1" t="s">
        <v>10262</v>
      </c>
      <c r="O559" s="1" t="s">
        <v>10155</v>
      </c>
      <c r="P559" s="1" t="s">
        <v>10155</v>
      </c>
    </row>
    <row r="560" spans="1:17" ht="12.5" x14ac:dyDescent="0.25">
      <c r="A560" s="1" t="s">
        <v>152</v>
      </c>
      <c r="C560" s="1" t="s">
        <v>4070</v>
      </c>
      <c r="D560" s="1" t="s">
        <v>4071</v>
      </c>
      <c r="E560" s="1" t="s">
        <v>9929</v>
      </c>
      <c r="F560" s="1" t="s">
        <v>10150</v>
      </c>
      <c r="G560" s="1" t="s">
        <v>10814</v>
      </c>
      <c r="H560" s="1" t="s">
        <v>10160</v>
      </c>
      <c r="I560" s="1" t="s">
        <v>10160</v>
      </c>
      <c r="M560" s="1" t="s">
        <v>4072</v>
      </c>
      <c r="O560" s="1" t="s">
        <v>169</v>
      </c>
      <c r="P560" s="1" t="s">
        <v>10155</v>
      </c>
      <c r="Q560" s="1" t="s">
        <v>29</v>
      </c>
    </row>
    <row r="561" spans="1:17" ht="12.5" x14ac:dyDescent="0.25">
      <c r="A561" s="1" t="s">
        <v>152</v>
      </c>
      <c r="C561" s="1" t="s">
        <v>4065</v>
      </c>
      <c r="D561" s="1" t="s">
        <v>4066</v>
      </c>
      <c r="E561" s="1" t="s">
        <v>9928</v>
      </c>
      <c r="F561" s="1" t="s">
        <v>10563</v>
      </c>
      <c r="G561" s="1" t="s">
        <v>10563</v>
      </c>
      <c r="H561" s="1" t="s">
        <v>10152</v>
      </c>
      <c r="I561" s="1" t="s">
        <v>10153</v>
      </c>
      <c r="L561" s="1" t="s">
        <v>10197</v>
      </c>
      <c r="M561" s="1" t="s">
        <v>4067</v>
      </c>
      <c r="O561" s="1" t="s">
        <v>169</v>
      </c>
      <c r="P561" s="1" t="s">
        <v>10155</v>
      </c>
      <c r="Q561" s="1" t="s">
        <v>29</v>
      </c>
    </row>
    <row r="562" spans="1:17" ht="12.5" x14ac:dyDescent="0.25">
      <c r="A562" s="1" t="s">
        <v>152</v>
      </c>
      <c r="C562" s="1" t="s">
        <v>4060</v>
      </c>
      <c r="D562" s="1" t="s">
        <v>4061</v>
      </c>
      <c r="E562" s="1" t="s">
        <v>10156</v>
      </c>
      <c r="F562" s="1" t="s">
        <v>10156</v>
      </c>
      <c r="G562" s="1" t="s">
        <v>10811</v>
      </c>
      <c r="H562" s="1" t="s">
        <v>10152</v>
      </c>
      <c r="I562" s="1" t="s">
        <v>10153</v>
      </c>
      <c r="L562" s="1" t="s">
        <v>10197</v>
      </c>
      <c r="M562" s="1" t="s">
        <v>9675</v>
      </c>
      <c r="O562" s="1" t="s">
        <v>10155</v>
      </c>
      <c r="P562" s="1" t="s">
        <v>10155</v>
      </c>
      <c r="Q562" s="1" t="s">
        <v>20</v>
      </c>
    </row>
    <row r="563" spans="1:17" ht="12.5" x14ac:dyDescent="0.25">
      <c r="A563" s="1" t="s">
        <v>152</v>
      </c>
      <c r="C563" s="1" t="s">
        <v>4060</v>
      </c>
      <c r="D563" s="1" t="s">
        <v>4061</v>
      </c>
      <c r="E563" s="1" t="s">
        <v>10156</v>
      </c>
      <c r="F563" s="1" t="s">
        <v>10156</v>
      </c>
      <c r="G563" s="1" t="s">
        <v>10811</v>
      </c>
      <c r="H563" s="1" t="s">
        <v>10152</v>
      </c>
      <c r="I563" s="1" t="s">
        <v>10153</v>
      </c>
      <c r="L563" s="1" t="s">
        <v>10197</v>
      </c>
      <c r="M563" s="1" t="s">
        <v>4062</v>
      </c>
      <c r="N563" s="1" t="s">
        <v>10011</v>
      </c>
      <c r="O563" s="1" t="s">
        <v>124</v>
      </c>
      <c r="P563" s="1" t="s">
        <v>10155</v>
      </c>
      <c r="Q563" s="1" t="s">
        <v>29</v>
      </c>
    </row>
    <row r="564" spans="1:17" ht="12.5" x14ac:dyDescent="0.25">
      <c r="A564" s="1" t="s">
        <v>152</v>
      </c>
      <c r="C564" s="1" t="s">
        <v>2997</v>
      </c>
      <c r="D564" s="1" t="s">
        <v>10817</v>
      </c>
      <c r="E564" s="1" t="s">
        <v>10156</v>
      </c>
      <c r="F564" s="1" t="s">
        <v>10156</v>
      </c>
      <c r="G564" s="1" t="s">
        <v>10562</v>
      </c>
      <c r="H564" s="1" t="s">
        <v>10152</v>
      </c>
      <c r="I564" s="1" t="s">
        <v>10153</v>
      </c>
      <c r="M564" s="1" t="s">
        <v>2994</v>
      </c>
      <c r="N564" s="1" t="s">
        <v>2995</v>
      </c>
      <c r="O564" s="1" t="s">
        <v>10155</v>
      </c>
      <c r="P564" s="1" t="s">
        <v>10155</v>
      </c>
      <c r="Q564" s="1" t="s">
        <v>20</v>
      </c>
    </row>
    <row r="565" spans="1:17" ht="12.5" x14ac:dyDescent="0.25">
      <c r="A565" s="1" t="s">
        <v>152</v>
      </c>
      <c r="C565" s="1" t="s">
        <v>4056</v>
      </c>
      <c r="D565" s="1" t="s">
        <v>10818</v>
      </c>
      <c r="E565" s="1" t="s">
        <v>10156</v>
      </c>
      <c r="F565" s="1" t="s">
        <v>10156</v>
      </c>
      <c r="G565" s="1" t="s">
        <v>10562</v>
      </c>
      <c r="H565" s="1" t="s">
        <v>10183</v>
      </c>
      <c r="I565" s="1" t="s">
        <v>10183</v>
      </c>
      <c r="M565" s="1" t="s">
        <v>6891</v>
      </c>
      <c r="O565" s="1" t="s">
        <v>169</v>
      </c>
      <c r="P565" s="1" t="s">
        <v>59</v>
      </c>
      <c r="Q565" s="1" t="s">
        <v>29</v>
      </c>
    </row>
    <row r="566" spans="1:17" ht="12.5" x14ac:dyDescent="0.25">
      <c r="A566" s="1" t="s">
        <v>152</v>
      </c>
      <c r="C566" s="1" t="s">
        <v>4051</v>
      </c>
      <c r="D566" s="1" t="s">
        <v>4052</v>
      </c>
      <c r="E566" s="1" t="s">
        <v>10162</v>
      </c>
      <c r="F566" s="1" t="s">
        <v>10162</v>
      </c>
      <c r="G566" s="1" t="s">
        <v>10819</v>
      </c>
      <c r="H566" s="1" t="s">
        <v>10152</v>
      </c>
      <c r="I566" s="1" t="s">
        <v>10153</v>
      </c>
      <c r="L566" s="1" t="s">
        <v>10197</v>
      </c>
      <c r="M566" s="1" t="s">
        <v>4053</v>
      </c>
      <c r="O566" s="1" t="s">
        <v>10155</v>
      </c>
      <c r="P566" s="1" t="s">
        <v>10155</v>
      </c>
      <c r="Q566" s="1" t="s">
        <v>29</v>
      </c>
    </row>
    <row r="567" spans="1:17" ht="12.5" x14ac:dyDescent="0.25">
      <c r="A567" s="1" t="s">
        <v>152</v>
      </c>
      <c r="C567" s="1" t="s">
        <v>4047</v>
      </c>
      <c r="D567" s="1" t="s">
        <v>4048</v>
      </c>
      <c r="E567" s="1" t="s">
        <v>10162</v>
      </c>
      <c r="F567" s="1" t="s">
        <v>10162</v>
      </c>
      <c r="G567" s="1" t="s">
        <v>10820</v>
      </c>
      <c r="H567" s="1" t="s">
        <v>10172</v>
      </c>
      <c r="I567" s="1" t="s">
        <v>10172</v>
      </c>
      <c r="J567" s="1" t="s">
        <v>10193</v>
      </c>
      <c r="K567" s="1" t="s">
        <v>10173</v>
      </c>
      <c r="L567" s="1" t="s">
        <v>10434</v>
      </c>
      <c r="M567" s="1" t="s">
        <v>4049</v>
      </c>
      <c r="O567" s="1" t="s">
        <v>10155</v>
      </c>
      <c r="P567" s="1" t="s">
        <v>10155</v>
      </c>
      <c r="Q567" s="1" t="s">
        <v>29</v>
      </c>
    </row>
    <row r="568" spans="1:17" ht="12.5" x14ac:dyDescent="0.25">
      <c r="A568" s="1" t="s">
        <v>152</v>
      </c>
      <c r="C568" s="1" t="s">
        <v>4043</v>
      </c>
      <c r="D568" s="1" t="s">
        <v>4044</v>
      </c>
      <c r="E568" s="1" t="s">
        <v>10162</v>
      </c>
      <c r="F568" s="1" t="s">
        <v>10162</v>
      </c>
      <c r="G568" s="1" t="s">
        <v>10820</v>
      </c>
      <c r="H568" s="1" t="s">
        <v>10172</v>
      </c>
      <c r="I568" s="1" t="s">
        <v>10172</v>
      </c>
      <c r="J568" s="1" t="s">
        <v>10193</v>
      </c>
      <c r="K568" s="1" t="s">
        <v>10173</v>
      </c>
      <c r="L568" s="1" t="s">
        <v>10434</v>
      </c>
      <c r="M568" s="1" t="s">
        <v>4045</v>
      </c>
      <c r="O568" s="1" t="s">
        <v>10155</v>
      </c>
      <c r="P568" s="1" t="s">
        <v>10155</v>
      </c>
      <c r="Q568" s="1" t="s">
        <v>29</v>
      </c>
    </row>
    <row r="569" spans="1:17" ht="12.5" x14ac:dyDescent="0.25">
      <c r="A569" s="1" t="s">
        <v>152</v>
      </c>
      <c r="C569" s="1" t="s">
        <v>4038</v>
      </c>
      <c r="D569" s="1" t="s">
        <v>4039</v>
      </c>
      <c r="E569" s="1" t="s">
        <v>9928</v>
      </c>
      <c r="F569" s="1" t="s">
        <v>10563</v>
      </c>
      <c r="G569" s="1" t="s">
        <v>10563</v>
      </c>
      <c r="H569" s="1" t="s">
        <v>10183</v>
      </c>
      <c r="I569" s="1" t="s">
        <v>10183</v>
      </c>
      <c r="M569" s="1" t="s">
        <v>4040</v>
      </c>
      <c r="O569" s="1" t="s">
        <v>46</v>
      </c>
      <c r="P569" s="1" t="s">
        <v>24</v>
      </c>
      <c r="Q569" s="1" t="s">
        <v>29</v>
      </c>
    </row>
    <row r="570" spans="1:17" ht="12.5" x14ac:dyDescent="0.25">
      <c r="A570" s="1" t="s">
        <v>152</v>
      </c>
      <c r="C570" s="1" t="s">
        <v>4034</v>
      </c>
      <c r="D570" s="1" t="s">
        <v>4035</v>
      </c>
      <c r="E570" s="1" t="s">
        <v>10162</v>
      </c>
      <c r="F570" s="1" t="s">
        <v>10162</v>
      </c>
      <c r="G570" s="1" t="s">
        <v>10819</v>
      </c>
      <c r="H570" s="1" t="s">
        <v>10172</v>
      </c>
      <c r="I570" s="1" t="s">
        <v>10172</v>
      </c>
      <c r="J570" s="1" t="s">
        <v>10193</v>
      </c>
      <c r="K570" s="1" t="s">
        <v>10173</v>
      </c>
      <c r="L570" s="1" t="s">
        <v>10434</v>
      </c>
      <c r="M570" s="1" t="s">
        <v>4036</v>
      </c>
      <c r="O570" s="1" t="s">
        <v>10155</v>
      </c>
      <c r="P570" s="1" t="s">
        <v>10155</v>
      </c>
      <c r="Q570" s="1" t="s">
        <v>29</v>
      </c>
    </row>
    <row r="571" spans="1:17" ht="12.5" x14ac:dyDescent="0.25">
      <c r="A571" s="1" t="s">
        <v>152</v>
      </c>
      <c r="C571" s="1" t="s">
        <v>6168</v>
      </c>
      <c r="D571" s="1" t="s">
        <v>10821</v>
      </c>
      <c r="E571" s="1" t="s">
        <v>10162</v>
      </c>
      <c r="F571" s="1" t="s">
        <v>10162</v>
      </c>
      <c r="G571" s="1" t="s">
        <v>10701</v>
      </c>
      <c r="H571" s="1" t="s">
        <v>10152</v>
      </c>
      <c r="I571" s="1" t="s">
        <v>10153</v>
      </c>
      <c r="M571" s="1" t="s">
        <v>6169</v>
      </c>
      <c r="O571" s="1" t="s">
        <v>169</v>
      </c>
      <c r="P571" s="1" t="s">
        <v>10155</v>
      </c>
      <c r="Q571" s="1" t="s">
        <v>29</v>
      </c>
    </row>
    <row r="572" spans="1:17" ht="12.5" x14ac:dyDescent="0.25">
      <c r="A572" s="1" t="s">
        <v>152</v>
      </c>
      <c r="C572" s="1" t="s">
        <v>10822</v>
      </c>
      <c r="D572" s="1" t="s">
        <v>10823</v>
      </c>
      <c r="E572" s="1" t="s">
        <v>9928</v>
      </c>
      <c r="F572" s="1" t="s">
        <v>10563</v>
      </c>
      <c r="G572" s="1" t="s">
        <v>10563</v>
      </c>
      <c r="H572" s="1" t="s">
        <v>10152</v>
      </c>
      <c r="I572" s="1" t="s">
        <v>10164</v>
      </c>
      <c r="L572" s="1" t="s">
        <v>10824</v>
      </c>
      <c r="O572" s="1" t="s">
        <v>10155</v>
      </c>
      <c r="P572" s="1" t="s">
        <v>10155</v>
      </c>
    </row>
    <row r="573" spans="1:17" ht="12.5" x14ac:dyDescent="0.25">
      <c r="A573" s="1" t="s">
        <v>152</v>
      </c>
      <c r="C573" s="1" t="s">
        <v>10825</v>
      </c>
      <c r="D573" s="1" t="s">
        <v>10826</v>
      </c>
      <c r="E573" s="1" t="s">
        <v>10162</v>
      </c>
      <c r="F573" s="1" t="s">
        <v>10162</v>
      </c>
      <c r="G573" s="1" t="s">
        <v>10819</v>
      </c>
      <c r="H573" s="1" t="s">
        <v>10176</v>
      </c>
      <c r="I573" s="1" t="s">
        <v>10176</v>
      </c>
      <c r="J573" s="1" t="s">
        <v>10270</v>
      </c>
      <c r="K573" s="1" t="s">
        <v>10270</v>
      </c>
      <c r="O573" s="1" t="s">
        <v>10155</v>
      </c>
      <c r="P573" s="1" t="s">
        <v>10155</v>
      </c>
    </row>
    <row r="574" spans="1:17" ht="12.5" x14ac:dyDescent="0.25">
      <c r="A574" s="1" t="s">
        <v>152</v>
      </c>
      <c r="C574" s="1" t="s">
        <v>10827</v>
      </c>
      <c r="D574" s="1" t="s">
        <v>10828</v>
      </c>
      <c r="E574" s="1" t="s">
        <v>10162</v>
      </c>
      <c r="F574" s="1" t="s">
        <v>10162</v>
      </c>
      <c r="G574" s="1" t="s">
        <v>10820</v>
      </c>
      <c r="H574" s="1" t="s">
        <v>10172</v>
      </c>
      <c r="I574" s="1" t="s">
        <v>10172</v>
      </c>
      <c r="J574" s="1" t="s">
        <v>10573</v>
      </c>
      <c r="K574" s="1" t="s">
        <v>10573</v>
      </c>
      <c r="O574" s="1" t="s">
        <v>10155</v>
      </c>
      <c r="P574" s="1" t="s">
        <v>10155</v>
      </c>
    </row>
    <row r="575" spans="1:17" ht="12.5" x14ac:dyDescent="0.25">
      <c r="A575" s="1" t="s">
        <v>152</v>
      </c>
      <c r="C575" s="1" t="s">
        <v>4029</v>
      </c>
      <c r="D575" s="1" t="s">
        <v>4030</v>
      </c>
      <c r="E575" s="1" t="s">
        <v>10162</v>
      </c>
      <c r="F575" s="1" t="s">
        <v>10162</v>
      </c>
      <c r="G575" s="1" t="s">
        <v>10829</v>
      </c>
      <c r="H575" s="1" t="s">
        <v>10172</v>
      </c>
      <c r="I575" s="1" t="s">
        <v>10172</v>
      </c>
      <c r="J575" s="1" t="s">
        <v>10193</v>
      </c>
      <c r="K575" s="1" t="s">
        <v>10173</v>
      </c>
      <c r="L575" s="1" t="s">
        <v>10434</v>
      </c>
      <c r="M575" s="1" t="s">
        <v>4031</v>
      </c>
      <c r="O575" s="1" t="s">
        <v>10155</v>
      </c>
      <c r="P575" s="1" t="s">
        <v>10155</v>
      </c>
      <c r="Q575" s="1" t="s">
        <v>29</v>
      </c>
    </row>
    <row r="576" spans="1:17" ht="12.5" x14ac:dyDescent="0.25">
      <c r="A576" s="1" t="s">
        <v>152</v>
      </c>
      <c r="C576" s="1" t="s">
        <v>238</v>
      </c>
      <c r="D576" s="1" t="s">
        <v>239</v>
      </c>
      <c r="E576" s="1" t="s">
        <v>10162</v>
      </c>
      <c r="F576" s="1" t="s">
        <v>10516</v>
      </c>
      <c r="G576" s="1" t="s">
        <v>10605</v>
      </c>
      <c r="H576" s="1" t="s">
        <v>10160</v>
      </c>
      <c r="I576" s="1" t="s">
        <v>10160</v>
      </c>
      <c r="M576" s="1" t="s">
        <v>230</v>
      </c>
      <c r="N576" s="1" t="s">
        <v>232</v>
      </c>
      <c r="O576" s="1" t="s">
        <v>46</v>
      </c>
      <c r="P576" s="1" t="s">
        <v>10155</v>
      </c>
      <c r="Q576" s="1" t="s">
        <v>29</v>
      </c>
    </row>
    <row r="577" spans="1:17" ht="12.5" x14ac:dyDescent="0.25">
      <c r="A577" s="1" t="s">
        <v>152</v>
      </c>
      <c r="C577" s="1" t="s">
        <v>10830</v>
      </c>
      <c r="D577" s="1" t="s">
        <v>10831</v>
      </c>
      <c r="E577" s="1" t="s">
        <v>10162</v>
      </c>
      <c r="F577" s="1" t="s">
        <v>10162</v>
      </c>
      <c r="G577" s="1" t="s">
        <v>10820</v>
      </c>
      <c r="H577" s="1" t="s">
        <v>10172</v>
      </c>
      <c r="I577" s="1" t="s">
        <v>10172</v>
      </c>
      <c r="J577" s="1" t="s">
        <v>10193</v>
      </c>
      <c r="K577" s="1" t="s">
        <v>10193</v>
      </c>
      <c r="L577" s="1" t="s">
        <v>10690</v>
      </c>
      <c r="O577" s="1" t="s">
        <v>10155</v>
      </c>
      <c r="P577" s="1" t="s">
        <v>10155</v>
      </c>
    </row>
    <row r="578" spans="1:17" ht="12.5" x14ac:dyDescent="0.25">
      <c r="A578" s="1" t="s">
        <v>152</v>
      </c>
      <c r="C578" s="1" t="s">
        <v>4022</v>
      </c>
      <c r="D578" s="1" t="s">
        <v>4023</v>
      </c>
      <c r="E578" s="1" t="s">
        <v>10162</v>
      </c>
      <c r="F578" s="1" t="s">
        <v>10162</v>
      </c>
      <c r="G578" s="1" t="s">
        <v>10820</v>
      </c>
      <c r="H578" s="1" t="s">
        <v>10486</v>
      </c>
      <c r="I578" s="1" t="s">
        <v>10486</v>
      </c>
      <c r="L578" s="1" t="s">
        <v>10197</v>
      </c>
      <c r="M578" s="1" t="s">
        <v>4024</v>
      </c>
      <c r="O578" s="1" t="s">
        <v>33</v>
      </c>
      <c r="P578" s="1" t="s">
        <v>10155</v>
      </c>
      <c r="Q578" s="1" t="s">
        <v>29</v>
      </c>
    </row>
    <row r="579" spans="1:17" ht="12.5" x14ac:dyDescent="0.25">
      <c r="A579" s="1" t="s">
        <v>152</v>
      </c>
      <c r="C579" s="1" t="s">
        <v>4017</v>
      </c>
      <c r="D579" s="1" t="s">
        <v>4018</v>
      </c>
      <c r="E579" s="1" t="s">
        <v>10156</v>
      </c>
      <c r="F579" s="1" t="s">
        <v>10156</v>
      </c>
      <c r="G579" s="1" t="s">
        <v>10811</v>
      </c>
      <c r="H579" s="1" t="s">
        <v>10183</v>
      </c>
      <c r="I579" s="1" t="s">
        <v>10183</v>
      </c>
      <c r="M579" s="1" t="s">
        <v>4019</v>
      </c>
      <c r="O579" s="1" t="s">
        <v>24</v>
      </c>
      <c r="P579" s="1" t="s">
        <v>10155</v>
      </c>
      <c r="Q579" s="1" t="s">
        <v>29</v>
      </c>
    </row>
    <row r="580" spans="1:17" ht="12.5" x14ac:dyDescent="0.25">
      <c r="A580" s="1" t="s">
        <v>152</v>
      </c>
      <c r="C580" s="1" t="s">
        <v>10832</v>
      </c>
      <c r="D580" s="1" t="s">
        <v>10833</v>
      </c>
      <c r="E580" s="1" t="s">
        <v>9928</v>
      </c>
      <c r="F580" s="1" t="s">
        <v>10563</v>
      </c>
      <c r="G580" s="1" t="s">
        <v>10563</v>
      </c>
      <c r="H580" s="1" t="s">
        <v>10172</v>
      </c>
      <c r="I580" s="1" t="s">
        <v>10172</v>
      </c>
      <c r="J580" s="1" t="s">
        <v>10440</v>
      </c>
      <c r="K580" s="1" t="s">
        <v>10440</v>
      </c>
      <c r="O580" s="1" t="s">
        <v>10155</v>
      </c>
      <c r="P580" s="1" t="s">
        <v>10155</v>
      </c>
    </row>
    <row r="581" spans="1:17" ht="12.5" x14ac:dyDescent="0.25">
      <c r="A581" s="1" t="s">
        <v>152</v>
      </c>
      <c r="C581" s="1" t="s">
        <v>4012</v>
      </c>
      <c r="D581" s="1" t="s">
        <v>4013</v>
      </c>
      <c r="E581" s="1" t="s">
        <v>9928</v>
      </c>
      <c r="F581" s="1" t="s">
        <v>10518</v>
      </c>
      <c r="G581" s="1" t="s">
        <v>10834</v>
      </c>
      <c r="H581" s="1" t="s">
        <v>10152</v>
      </c>
      <c r="I581" s="1" t="s">
        <v>10153</v>
      </c>
      <c r="L581" s="1" t="s">
        <v>10197</v>
      </c>
      <c r="M581" s="1" t="s">
        <v>4014</v>
      </c>
      <c r="O581" s="1" t="s">
        <v>112</v>
      </c>
      <c r="P581" s="1" t="s">
        <v>10155</v>
      </c>
      <c r="Q581" s="1" t="s">
        <v>29</v>
      </c>
    </row>
    <row r="582" spans="1:17" ht="12.5" x14ac:dyDescent="0.25">
      <c r="A582" s="1" t="s">
        <v>152</v>
      </c>
      <c r="C582" s="1" t="s">
        <v>5531</v>
      </c>
      <c r="D582" s="1" t="s">
        <v>5532</v>
      </c>
      <c r="E582" s="1" t="s">
        <v>10156</v>
      </c>
      <c r="F582" s="1" t="s">
        <v>10156</v>
      </c>
      <c r="G582" s="1" t="s">
        <v>10588</v>
      </c>
      <c r="H582" s="1" t="s">
        <v>10152</v>
      </c>
      <c r="I582" s="1" t="s">
        <v>10153</v>
      </c>
      <c r="L582" s="1" t="s">
        <v>10197</v>
      </c>
      <c r="M582" s="1" t="s">
        <v>5533</v>
      </c>
      <c r="O582" s="1" t="s">
        <v>292</v>
      </c>
      <c r="P582" s="1" t="s">
        <v>10155</v>
      </c>
      <c r="Q582" s="1" t="s">
        <v>29</v>
      </c>
    </row>
    <row r="583" spans="1:17" ht="12.5" x14ac:dyDescent="0.25">
      <c r="A583" s="1" t="s">
        <v>152</v>
      </c>
      <c r="C583" s="1" t="s">
        <v>7282</v>
      </c>
      <c r="D583" s="1" t="s">
        <v>7283</v>
      </c>
      <c r="E583" s="1" t="s">
        <v>10162</v>
      </c>
      <c r="F583" s="1" t="s">
        <v>10162</v>
      </c>
      <c r="G583" s="1" t="s">
        <v>10820</v>
      </c>
      <c r="H583" s="1" t="s">
        <v>10152</v>
      </c>
      <c r="I583" s="1" t="s">
        <v>10164</v>
      </c>
      <c r="M583" s="1" t="s">
        <v>7284</v>
      </c>
      <c r="O583" s="1" t="s">
        <v>10155</v>
      </c>
      <c r="P583" s="1" t="s">
        <v>10155</v>
      </c>
      <c r="Q583" s="1" t="s">
        <v>20</v>
      </c>
    </row>
    <row r="584" spans="1:17" ht="12.5" x14ac:dyDescent="0.25">
      <c r="A584" s="1" t="s">
        <v>152</v>
      </c>
      <c r="C584" s="1" t="s">
        <v>4007</v>
      </c>
      <c r="D584" s="1" t="s">
        <v>4008</v>
      </c>
      <c r="E584" s="1" t="s">
        <v>10156</v>
      </c>
      <c r="F584" s="1" t="s">
        <v>10156</v>
      </c>
      <c r="G584" s="1" t="s">
        <v>10588</v>
      </c>
      <c r="H584" s="1" t="s">
        <v>10152</v>
      </c>
      <c r="I584" s="1" t="s">
        <v>10153</v>
      </c>
      <c r="L584" s="1" t="s">
        <v>10197</v>
      </c>
      <c r="M584" s="1" t="s">
        <v>4009</v>
      </c>
      <c r="N584" s="1" t="s">
        <v>10010</v>
      </c>
      <c r="O584" s="1" t="s">
        <v>169</v>
      </c>
      <c r="P584" s="1" t="s">
        <v>10155</v>
      </c>
      <c r="Q584" s="1" t="s">
        <v>29</v>
      </c>
    </row>
    <row r="585" spans="1:17" ht="12.5" x14ac:dyDescent="0.25">
      <c r="A585" s="1" t="s">
        <v>152</v>
      </c>
      <c r="C585" s="1" t="s">
        <v>4002</v>
      </c>
      <c r="D585" s="1" t="s">
        <v>4003</v>
      </c>
      <c r="E585" s="1" t="s">
        <v>10156</v>
      </c>
      <c r="F585" s="1" t="s">
        <v>10156</v>
      </c>
      <c r="G585" s="1" t="s">
        <v>10585</v>
      </c>
      <c r="H585" s="1" t="s">
        <v>10152</v>
      </c>
      <c r="I585" s="1" t="s">
        <v>10153</v>
      </c>
      <c r="L585" s="1" t="s">
        <v>10197</v>
      </c>
      <c r="M585" s="1" t="s">
        <v>4004</v>
      </c>
      <c r="N585" s="1" t="s">
        <v>10009</v>
      </c>
      <c r="O585" s="1" t="s">
        <v>292</v>
      </c>
      <c r="P585" s="1" t="s">
        <v>10155</v>
      </c>
      <c r="Q585" s="1" t="s">
        <v>29</v>
      </c>
    </row>
    <row r="586" spans="1:17" ht="12.5" x14ac:dyDescent="0.25">
      <c r="A586" s="1" t="s">
        <v>152</v>
      </c>
      <c r="C586" s="1" t="s">
        <v>10835</v>
      </c>
      <c r="D586" s="1" t="s">
        <v>10836</v>
      </c>
      <c r="E586" s="1" t="s">
        <v>10156</v>
      </c>
      <c r="F586" s="1" t="s">
        <v>10156</v>
      </c>
      <c r="G586" s="1" t="s">
        <v>10562</v>
      </c>
      <c r="H586" s="1" t="s">
        <v>10172</v>
      </c>
      <c r="I586" s="1" t="s">
        <v>10172</v>
      </c>
      <c r="J586" s="1" t="s">
        <v>10173</v>
      </c>
      <c r="K586" s="1" t="s">
        <v>10173</v>
      </c>
      <c r="O586" s="1" t="s">
        <v>10155</v>
      </c>
      <c r="P586" s="1" t="s">
        <v>10155</v>
      </c>
    </row>
    <row r="587" spans="1:17" ht="12.5" x14ac:dyDescent="0.25">
      <c r="A587" s="1" t="s">
        <v>152</v>
      </c>
      <c r="C587" s="1" t="s">
        <v>3998</v>
      </c>
      <c r="D587" s="1" t="s">
        <v>10837</v>
      </c>
      <c r="E587" s="1" t="s">
        <v>10156</v>
      </c>
      <c r="F587" s="1" t="s">
        <v>10156</v>
      </c>
      <c r="G587" s="1" t="s">
        <v>10562</v>
      </c>
      <c r="H587" s="1" t="s">
        <v>10183</v>
      </c>
      <c r="I587" s="1" t="s">
        <v>10183</v>
      </c>
      <c r="M587" s="1" t="s">
        <v>3999</v>
      </c>
      <c r="O587" s="1" t="s">
        <v>33</v>
      </c>
      <c r="P587" s="1" t="s">
        <v>59</v>
      </c>
      <c r="Q587" s="1" t="s">
        <v>29</v>
      </c>
    </row>
    <row r="588" spans="1:17" ht="12.5" x14ac:dyDescent="0.25">
      <c r="A588" s="1" t="s">
        <v>152</v>
      </c>
      <c r="C588" s="1" t="s">
        <v>10838</v>
      </c>
      <c r="D588" s="1" t="s">
        <v>10839</v>
      </c>
      <c r="E588" s="1" t="s">
        <v>10162</v>
      </c>
      <c r="F588" s="1" t="s">
        <v>10516</v>
      </c>
      <c r="G588" s="1" t="s">
        <v>10593</v>
      </c>
      <c r="H588" s="1" t="s">
        <v>10172</v>
      </c>
      <c r="I588" s="1" t="s">
        <v>10172</v>
      </c>
      <c r="J588" s="1" t="s">
        <v>10173</v>
      </c>
      <c r="K588" s="1" t="s">
        <v>10173</v>
      </c>
      <c r="O588" s="1" t="s">
        <v>10155</v>
      </c>
      <c r="P588" s="1" t="s">
        <v>10155</v>
      </c>
    </row>
    <row r="589" spans="1:17" ht="12.5" x14ac:dyDescent="0.25">
      <c r="A589" s="1" t="s">
        <v>152</v>
      </c>
      <c r="C589" s="1" t="s">
        <v>3996</v>
      </c>
      <c r="D589" s="1" t="s">
        <v>3997</v>
      </c>
      <c r="E589" s="1" t="s">
        <v>9929</v>
      </c>
      <c r="F589" s="1" t="s">
        <v>10545</v>
      </c>
      <c r="G589" s="1" t="s">
        <v>10840</v>
      </c>
      <c r="H589" s="1" t="s">
        <v>10183</v>
      </c>
      <c r="I589" s="1" t="s">
        <v>10183</v>
      </c>
      <c r="M589" s="1" t="s">
        <v>3993</v>
      </c>
      <c r="O589" s="1" t="s">
        <v>59</v>
      </c>
      <c r="P589" s="1" t="s">
        <v>33</v>
      </c>
      <c r="Q589" s="1" t="s">
        <v>29</v>
      </c>
    </row>
    <row r="590" spans="1:17" ht="12.5" x14ac:dyDescent="0.25">
      <c r="A590" s="1" t="s">
        <v>152</v>
      </c>
      <c r="C590" s="1" t="s">
        <v>10841</v>
      </c>
      <c r="D590" s="1" t="s">
        <v>10842</v>
      </c>
      <c r="E590" s="1" t="s">
        <v>9929</v>
      </c>
      <c r="F590" s="1" t="s">
        <v>10545</v>
      </c>
      <c r="G590" s="1" t="s">
        <v>10840</v>
      </c>
      <c r="H590" s="1" t="s">
        <v>10176</v>
      </c>
      <c r="I590" s="1" t="s">
        <v>10176</v>
      </c>
      <c r="J590" s="1" t="s">
        <v>10177</v>
      </c>
      <c r="K590" s="1" t="s">
        <v>10177</v>
      </c>
      <c r="O590" s="1" t="s">
        <v>10155</v>
      </c>
      <c r="P590" s="1" t="s">
        <v>10155</v>
      </c>
    </row>
    <row r="591" spans="1:17" ht="12.5" x14ac:dyDescent="0.25">
      <c r="A591" s="1" t="s">
        <v>152</v>
      </c>
      <c r="C591" s="1" t="s">
        <v>10843</v>
      </c>
      <c r="D591" s="1" t="s">
        <v>10844</v>
      </c>
      <c r="E591" s="1" t="s">
        <v>9929</v>
      </c>
      <c r="F591" s="1" t="s">
        <v>10545</v>
      </c>
      <c r="G591" s="1" t="s">
        <v>10840</v>
      </c>
      <c r="H591" s="1" t="s">
        <v>10176</v>
      </c>
      <c r="I591" s="1" t="s">
        <v>10176</v>
      </c>
      <c r="J591" s="1" t="s">
        <v>10262</v>
      </c>
      <c r="K591" s="1" t="s">
        <v>10262</v>
      </c>
      <c r="O591" s="1" t="s">
        <v>10155</v>
      </c>
      <c r="P591" s="1" t="s">
        <v>10155</v>
      </c>
    </row>
    <row r="592" spans="1:17" ht="12.5" x14ac:dyDescent="0.25">
      <c r="A592" s="1" t="s">
        <v>152</v>
      </c>
      <c r="C592" s="1" t="s">
        <v>9233</v>
      </c>
      <c r="D592" s="1" t="s">
        <v>9234</v>
      </c>
      <c r="E592" s="1" t="s">
        <v>9929</v>
      </c>
      <c r="F592" s="1" t="s">
        <v>10545</v>
      </c>
      <c r="G592" s="1" t="s">
        <v>10840</v>
      </c>
      <c r="H592" s="1" t="s">
        <v>10152</v>
      </c>
      <c r="I592" s="1" t="s">
        <v>10153</v>
      </c>
      <c r="M592" s="1" t="s">
        <v>9235</v>
      </c>
      <c r="N592" s="1" t="s">
        <v>9237</v>
      </c>
      <c r="O592" s="1" t="s">
        <v>112</v>
      </c>
      <c r="P592" s="1" t="s">
        <v>10155</v>
      </c>
      <c r="Q592" s="1" t="s">
        <v>29</v>
      </c>
    </row>
    <row r="593" spans="1:17" ht="12.5" x14ac:dyDescent="0.25">
      <c r="A593" s="1" t="s">
        <v>152</v>
      </c>
      <c r="C593" s="1" t="s">
        <v>10845</v>
      </c>
      <c r="D593" s="1" t="s">
        <v>10846</v>
      </c>
      <c r="E593" s="1" t="s">
        <v>9929</v>
      </c>
      <c r="F593" s="1" t="s">
        <v>10545</v>
      </c>
      <c r="G593" s="1" t="s">
        <v>10840</v>
      </c>
      <c r="H593" s="1" t="s">
        <v>10176</v>
      </c>
      <c r="I593" s="1" t="s">
        <v>10176</v>
      </c>
      <c r="J593" s="1" t="s">
        <v>10270</v>
      </c>
      <c r="K593" s="1" t="s">
        <v>10270</v>
      </c>
      <c r="O593" s="1" t="s">
        <v>10155</v>
      </c>
      <c r="P593" s="1" t="s">
        <v>10155</v>
      </c>
    </row>
    <row r="594" spans="1:17" ht="12.5" x14ac:dyDescent="0.25">
      <c r="A594" s="1" t="s">
        <v>152</v>
      </c>
      <c r="C594" s="1" t="s">
        <v>3987</v>
      </c>
      <c r="D594" s="1" t="s">
        <v>3988</v>
      </c>
      <c r="E594" s="1" t="s">
        <v>9929</v>
      </c>
      <c r="F594" s="1" t="s">
        <v>10545</v>
      </c>
      <c r="G594" s="1" t="s">
        <v>10840</v>
      </c>
      <c r="H594" s="1" t="s">
        <v>10152</v>
      </c>
      <c r="I594" s="1" t="s">
        <v>10153</v>
      </c>
      <c r="L594" s="1" t="s">
        <v>10197</v>
      </c>
      <c r="M594" s="1" t="s">
        <v>3989</v>
      </c>
      <c r="N594" s="1" t="s">
        <v>10007</v>
      </c>
      <c r="O594" s="1" t="s">
        <v>59</v>
      </c>
      <c r="P594" s="1" t="s">
        <v>10155</v>
      </c>
      <c r="Q594" s="1" t="s">
        <v>29</v>
      </c>
    </row>
    <row r="595" spans="1:17" ht="12.5" x14ac:dyDescent="0.25">
      <c r="A595" s="1" t="s">
        <v>152</v>
      </c>
      <c r="C595" s="1" t="s">
        <v>3982</v>
      </c>
      <c r="D595" s="1" t="s">
        <v>3983</v>
      </c>
      <c r="E595" s="1" t="s">
        <v>10162</v>
      </c>
      <c r="F595" s="1" t="s">
        <v>10516</v>
      </c>
      <c r="G595" s="1" t="s">
        <v>10594</v>
      </c>
      <c r="H595" s="1" t="s">
        <v>10183</v>
      </c>
      <c r="I595" s="1" t="s">
        <v>10183</v>
      </c>
      <c r="M595" s="1" t="s">
        <v>3984</v>
      </c>
      <c r="N595" s="1" t="s">
        <v>10006</v>
      </c>
      <c r="O595" s="1" t="s">
        <v>53</v>
      </c>
      <c r="P595" s="1" t="s">
        <v>10155</v>
      </c>
      <c r="Q595" s="1" t="s">
        <v>29</v>
      </c>
    </row>
    <row r="596" spans="1:17" ht="12.5" x14ac:dyDescent="0.25">
      <c r="A596" s="1" t="s">
        <v>152</v>
      </c>
      <c r="C596" s="1" t="s">
        <v>10847</v>
      </c>
      <c r="D596" s="1" t="s">
        <v>10848</v>
      </c>
      <c r="E596" s="1" t="s">
        <v>10162</v>
      </c>
      <c r="F596" s="1" t="s">
        <v>10516</v>
      </c>
      <c r="G596" s="1" t="s">
        <v>10594</v>
      </c>
      <c r="H596" s="1" t="s">
        <v>10172</v>
      </c>
      <c r="I596" s="1" t="s">
        <v>10172</v>
      </c>
      <c r="J596" s="1" t="s">
        <v>10173</v>
      </c>
      <c r="K596" s="1" t="s">
        <v>10173</v>
      </c>
      <c r="O596" s="1" t="s">
        <v>10155</v>
      </c>
      <c r="P596" s="1" t="s">
        <v>10155</v>
      </c>
    </row>
    <row r="597" spans="1:17" ht="12.5" x14ac:dyDescent="0.25">
      <c r="A597" s="1" t="s">
        <v>152</v>
      </c>
      <c r="C597" s="1" t="s">
        <v>10849</v>
      </c>
      <c r="D597" s="1" t="s">
        <v>10850</v>
      </c>
      <c r="E597" s="1" t="s">
        <v>10162</v>
      </c>
      <c r="F597" s="1" t="s">
        <v>10516</v>
      </c>
      <c r="G597" s="1" t="s">
        <v>10594</v>
      </c>
      <c r="H597" s="1" t="s">
        <v>10172</v>
      </c>
      <c r="I597" s="1" t="s">
        <v>10172</v>
      </c>
      <c r="J597" s="1" t="s">
        <v>10173</v>
      </c>
      <c r="K597" s="1" t="s">
        <v>10173</v>
      </c>
      <c r="O597" s="1" t="s">
        <v>10155</v>
      </c>
      <c r="P597" s="1" t="s">
        <v>10155</v>
      </c>
    </row>
    <row r="598" spans="1:17" ht="12.5" x14ac:dyDescent="0.25">
      <c r="A598" s="1" t="s">
        <v>152</v>
      </c>
      <c r="C598" s="1" t="s">
        <v>718</v>
      </c>
      <c r="D598" s="1" t="s">
        <v>719</v>
      </c>
      <c r="E598" s="1" t="s">
        <v>10162</v>
      </c>
      <c r="F598" s="1" t="s">
        <v>10516</v>
      </c>
      <c r="G598" s="1" t="s">
        <v>10594</v>
      </c>
      <c r="H598" s="1" t="s">
        <v>10160</v>
      </c>
      <c r="I598" s="1" t="s">
        <v>10160</v>
      </c>
      <c r="M598" s="1" t="s">
        <v>712</v>
      </c>
      <c r="N598" s="1" t="s">
        <v>714</v>
      </c>
      <c r="O598" s="1" t="s">
        <v>24</v>
      </c>
      <c r="P598" s="1" t="s">
        <v>10155</v>
      </c>
      <c r="Q598" s="1" t="s">
        <v>29</v>
      </c>
    </row>
    <row r="599" spans="1:17" ht="12.5" x14ac:dyDescent="0.25">
      <c r="A599" s="1" t="s">
        <v>152</v>
      </c>
      <c r="C599" s="1" t="s">
        <v>8129</v>
      </c>
      <c r="D599" s="1" t="s">
        <v>8130</v>
      </c>
      <c r="E599" s="1" t="s">
        <v>10162</v>
      </c>
      <c r="F599" s="1" t="s">
        <v>10516</v>
      </c>
      <c r="G599" s="1" t="s">
        <v>10594</v>
      </c>
      <c r="H599" s="1" t="s">
        <v>10183</v>
      </c>
      <c r="I599" s="1" t="s">
        <v>10183</v>
      </c>
      <c r="M599" s="1" t="s">
        <v>8131</v>
      </c>
      <c r="O599" s="1" t="s">
        <v>59</v>
      </c>
      <c r="P599" s="1" t="s">
        <v>59</v>
      </c>
      <c r="Q599" s="1" t="s">
        <v>29</v>
      </c>
    </row>
    <row r="600" spans="1:17" ht="12.5" x14ac:dyDescent="0.25">
      <c r="A600" s="1" t="s">
        <v>152</v>
      </c>
      <c r="C600" s="1" t="s">
        <v>10851</v>
      </c>
      <c r="D600" s="1" t="s">
        <v>10852</v>
      </c>
      <c r="E600" s="1" t="s">
        <v>10162</v>
      </c>
      <c r="F600" s="1" t="s">
        <v>10516</v>
      </c>
      <c r="G600" s="1" t="s">
        <v>10594</v>
      </c>
      <c r="H600" s="1" t="s">
        <v>10152</v>
      </c>
      <c r="I600" s="1" t="s">
        <v>10164</v>
      </c>
      <c r="L600" s="1" t="s">
        <v>10197</v>
      </c>
      <c r="O600" s="1" t="s">
        <v>10155</v>
      </c>
      <c r="P600" s="1" t="s">
        <v>10155</v>
      </c>
    </row>
    <row r="601" spans="1:17" ht="12.5" x14ac:dyDescent="0.25">
      <c r="A601" s="1" t="s">
        <v>152</v>
      </c>
      <c r="C601" s="1" t="s">
        <v>10853</v>
      </c>
      <c r="D601" s="1" t="s">
        <v>10854</v>
      </c>
      <c r="E601" s="1" t="s">
        <v>10162</v>
      </c>
      <c r="F601" s="1" t="s">
        <v>10516</v>
      </c>
      <c r="G601" s="1" t="s">
        <v>10594</v>
      </c>
      <c r="H601" s="1" t="s">
        <v>10152</v>
      </c>
      <c r="I601" s="1" t="s">
        <v>10164</v>
      </c>
      <c r="L601" s="1" t="s">
        <v>10197</v>
      </c>
      <c r="O601" s="1" t="s">
        <v>10155</v>
      </c>
      <c r="P601" s="1" t="s">
        <v>10155</v>
      </c>
    </row>
    <row r="602" spans="1:17" ht="12.5" x14ac:dyDescent="0.25">
      <c r="A602" s="1" t="s">
        <v>152</v>
      </c>
      <c r="C602" s="1" t="s">
        <v>3977</v>
      </c>
      <c r="D602" s="1" t="s">
        <v>3978</v>
      </c>
      <c r="E602" s="1" t="s">
        <v>10162</v>
      </c>
      <c r="F602" s="1" t="s">
        <v>10516</v>
      </c>
      <c r="G602" s="1" t="s">
        <v>10594</v>
      </c>
      <c r="H602" s="1" t="s">
        <v>10152</v>
      </c>
      <c r="I602" s="1" t="s">
        <v>10153</v>
      </c>
      <c r="L602" s="1" t="s">
        <v>10197</v>
      </c>
      <c r="M602" s="1" t="s">
        <v>3979</v>
      </c>
      <c r="O602" s="1" t="s">
        <v>169</v>
      </c>
      <c r="P602" s="1" t="s">
        <v>10155</v>
      </c>
      <c r="Q602" s="1" t="s">
        <v>29</v>
      </c>
    </row>
    <row r="603" spans="1:17" ht="12.5" x14ac:dyDescent="0.25">
      <c r="A603" s="1" t="s">
        <v>152</v>
      </c>
      <c r="C603" s="1" t="s">
        <v>716</v>
      </c>
      <c r="D603" s="1" t="s">
        <v>717</v>
      </c>
      <c r="E603" s="1" t="s">
        <v>10162</v>
      </c>
      <c r="F603" s="1" t="s">
        <v>10516</v>
      </c>
      <c r="G603" s="1" t="s">
        <v>10594</v>
      </c>
      <c r="H603" s="1" t="s">
        <v>10160</v>
      </c>
      <c r="I603" s="1" t="s">
        <v>10160</v>
      </c>
      <c r="M603" s="1" t="s">
        <v>712</v>
      </c>
      <c r="N603" s="1" t="s">
        <v>714</v>
      </c>
      <c r="O603" s="1" t="s">
        <v>24</v>
      </c>
      <c r="P603" s="1" t="s">
        <v>10155</v>
      </c>
      <c r="Q603" s="1" t="s">
        <v>29</v>
      </c>
    </row>
    <row r="604" spans="1:17" ht="12.5" x14ac:dyDescent="0.25">
      <c r="A604" s="1" t="s">
        <v>152</v>
      </c>
      <c r="C604" s="1" t="s">
        <v>3970</v>
      </c>
      <c r="D604" s="1" t="s">
        <v>3971</v>
      </c>
      <c r="E604" s="1" t="s">
        <v>10156</v>
      </c>
      <c r="F604" s="1" t="s">
        <v>10156</v>
      </c>
      <c r="G604" s="1" t="s">
        <v>10584</v>
      </c>
      <c r="H604" s="1" t="s">
        <v>10152</v>
      </c>
      <c r="I604" s="1" t="s">
        <v>10153</v>
      </c>
      <c r="L604" s="1" t="s">
        <v>10197</v>
      </c>
      <c r="M604" s="1" t="s">
        <v>3972</v>
      </c>
      <c r="N604" s="1" t="s">
        <v>10855</v>
      </c>
      <c r="O604" s="1" t="s">
        <v>10155</v>
      </c>
      <c r="P604" s="1" t="s">
        <v>10155</v>
      </c>
      <c r="Q604" s="1" t="s">
        <v>29</v>
      </c>
    </row>
    <row r="605" spans="1:17" ht="12.5" x14ac:dyDescent="0.25">
      <c r="A605" s="1" t="s">
        <v>152</v>
      </c>
      <c r="C605" s="1" t="s">
        <v>3965</v>
      </c>
      <c r="D605" s="1" t="s">
        <v>3966</v>
      </c>
      <c r="E605" s="1" t="s">
        <v>10162</v>
      </c>
      <c r="F605" s="1" t="s">
        <v>10162</v>
      </c>
      <c r="G605" s="1" t="s">
        <v>10856</v>
      </c>
      <c r="H605" s="1" t="s">
        <v>10176</v>
      </c>
      <c r="I605" s="1" t="s">
        <v>10176</v>
      </c>
      <c r="J605" s="1" t="s">
        <v>10270</v>
      </c>
      <c r="K605" s="1" t="s">
        <v>10270</v>
      </c>
      <c r="M605" s="1" t="s">
        <v>3967</v>
      </c>
      <c r="O605" s="1" t="s">
        <v>10155</v>
      </c>
      <c r="P605" s="1" t="s">
        <v>10155</v>
      </c>
      <c r="Q605" s="1" t="s">
        <v>29</v>
      </c>
    </row>
    <row r="606" spans="1:17" ht="12.5" x14ac:dyDescent="0.25">
      <c r="A606" s="1" t="s">
        <v>152</v>
      </c>
      <c r="C606" s="1" t="s">
        <v>3960</v>
      </c>
      <c r="D606" s="1" t="s">
        <v>3961</v>
      </c>
      <c r="E606" s="1" t="s">
        <v>10156</v>
      </c>
      <c r="F606" s="1" t="s">
        <v>10156</v>
      </c>
      <c r="G606" s="1" t="s">
        <v>10584</v>
      </c>
      <c r="H606" s="1" t="s">
        <v>10152</v>
      </c>
      <c r="I606" s="1" t="s">
        <v>10153</v>
      </c>
      <c r="L606" s="1" t="s">
        <v>10197</v>
      </c>
      <c r="M606" s="1" t="s">
        <v>7095</v>
      </c>
      <c r="O606" s="1" t="s">
        <v>169</v>
      </c>
      <c r="P606" s="1" t="s">
        <v>10155</v>
      </c>
      <c r="Q606" s="1" t="s">
        <v>29</v>
      </c>
    </row>
    <row r="607" spans="1:17" ht="12.5" x14ac:dyDescent="0.25">
      <c r="A607" s="1" t="s">
        <v>152</v>
      </c>
      <c r="C607" s="1" t="s">
        <v>3960</v>
      </c>
      <c r="D607" s="1" t="s">
        <v>3961</v>
      </c>
      <c r="E607" s="1" t="s">
        <v>10156</v>
      </c>
      <c r="F607" s="1" t="s">
        <v>10156</v>
      </c>
      <c r="G607" s="1" t="s">
        <v>10584</v>
      </c>
      <c r="H607" s="1" t="s">
        <v>10152</v>
      </c>
      <c r="I607" s="1" t="s">
        <v>10153</v>
      </c>
      <c r="L607" s="1" t="s">
        <v>10197</v>
      </c>
      <c r="M607" s="1" t="s">
        <v>3962</v>
      </c>
      <c r="N607" s="1" t="s">
        <v>10004</v>
      </c>
      <c r="O607" s="1" t="s">
        <v>169</v>
      </c>
      <c r="P607" s="1" t="s">
        <v>10155</v>
      </c>
      <c r="Q607" s="1" t="s">
        <v>29</v>
      </c>
    </row>
    <row r="608" spans="1:17" ht="12.5" x14ac:dyDescent="0.25">
      <c r="A608" s="1" t="s">
        <v>152</v>
      </c>
      <c r="C608" s="1" t="s">
        <v>3955</v>
      </c>
      <c r="D608" s="1" t="s">
        <v>3956</v>
      </c>
      <c r="E608" s="1" t="s">
        <v>10162</v>
      </c>
      <c r="F608" s="1" t="s">
        <v>10162</v>
      </c>
      <c r="G608" s="1" t="s">
        <v>10856</v>
      </c>
      <c r="H608" s="1" t="s">
        <v>10152</v>
      </c>
      <c r="I608" s="1" t="s">
        <v>10153</v>
      </c>
      <c r="M608" s="1" t="s">
        <v>3957</v>
      </c>
      <c r="N608" s="1" t="s">
        <v>10003</v>
      </c>
      <c r="O608" s="1" t="s">
        <v>157</v>
      </c>
      <c r="P608" s="1" t="s">
        <v>10155</v>
      </c>
      <c r="Q608" s="1" t="s">
        <v>29</v>
      </c>
    </row>
    <row r="609" spans="1:17" ht="12.5" x14ac:dyDescent="0.25">
      <c r="A609" s="1" t="s">
        <v>152</v>
      </c>
      <c r="C609" s="1" t="s">
        <v>6813</v>
      </c>
      <c r="D609" s="1" t="s">
        <v>6814</v>
      </c>
      <c r="E609" s="1" t="s">
        <v>10162</v>
      </c>
      <c r="F609" s="1" t="s">
        <v>10162</v>
      </c>
      <c r="G609" s="1" t="s">
        <v>10856</v>
      </c>
      <c r="H609" s="1" t="s">
        <v>10172</v>
      </c>
      <c r="I609" s="1" t="s">
        <v>10172</v>
      </c>
      <c r="J609" s="1" t="s">
        <v>10193</v>
      </c>
      <c r="K609" s="1" t="s">
        <v>10193</v>
      </c>
      <c r="L609" s="1" t="s">
        <v>10434</v>
      </c>
      <c r="M609" s="1" t="s">
        <v>6815</v>
      </c>
      <c r="N609" s="1" t="s">
        <v>3132</v>
      </c>
      <c r="O609" s="1" t="s">
        <v>169</v>
      </c>
      <c r="P609" s="1" t="s">
        <v>10155</v>
      </c>
      <c r="Q609" s="1" t="s">
        <v>29</v>
      </c>
    </row>
    <row r="610" spans="1:17" ht="12.5" x14ac:dyDescent="0.25">
      <c r="A610" s="1" t="s">
        <v>152</v>
      </c>
      <c r="C610" s="1" t="s">
        <v>3951</v>
      </c>
      <c r="D610" s="1" t="s">
        <v>3952</v>
      </c>
      <c r="E610" s="1" t="s">
        <v>10156</v>
      </c>
      <c r="F610" s="1" t="s">
        <v>10156</v>
      </c>
      <c r="G610" s="1" t="s">
        <v>10584</v>
      </c>
      <c r="H610" s="1" t="s">
        <v>10183</v>
      </c>
      <c r="I610" s="1" t="s">
        <v>10183</v>
      </c>
      <c r="M610" s="1" t="s">
        <v>3953</v>
      </c>
      <c r="O610" s="1" t="s">
        <v>59</v>
      </c>
      <c r="P610" s="1" t="s">
        <v>124</v>
      </c>
      <c r="Q610" s="1" t="s">
        <v>29</v>
      </c>
    </row>
    <row r="611" spans="1:17" ht="12.5" x14ac:dyDescent="0.25">
      <c r="A611" s="1" t="s">
        <v>152</v>
      </c>
      <c r="C611" s="1" t="s">
        <v>6434</v>
      </c>
      <c r="D611" s="1" t="s">
        <v>6435</v>
      </c>
      <c r="E611" s="1" t="s">
        <v>9929</v>
      </c>
      <c r="F611" s="1" t="s">
        <v>10545</v>
      </c>
      <c r="G611" s="1" t="s">
        <v>10595</v>
      </c>
      <c r="H611" s="1" t="s">
        <v>10152</v>
      </c>
      <c r="I611" s="1" t="s">
        <v>10164</v>
      </c>
      <c r="M611" s="1" t="s">
        <v>6436</v>
      </c>
      <c r="N611" s="1" t="s">
        <v>6416</v>
      </c>
      <c r="O611" s="1" t="s">
        <v>10155</v>
      </c>
      <c r="P611" s="1" t="s">
        <v>10155</v>
      </c>
      <c r="Q611" s="1" t="s">
        <v>20</v>
      </c>
    </row>
    <row r="612" spans="1:17" ht="12.5" x14ac:dyDescent="0.25">
      <c r="A612" s="1" t="s">
        <v>152</v>
      </c>
      <c r="C612" s="1" t="s">
        <v>3944</v>
      </c>
      <c r="D612" s="1" t="s">
        <v>3945</v>
      </c>
      <c r="E612" s="1" t="s">
        <v>9929</v>
      </c>
      <c r="F612" s="1" t="s">
        <v>10545</v>
      </c>
      <c r="G612" s="1" t="s">
        <v>10595</v>
      </c>
      <c r="H612" s="1" t="s">
        <v>10152</v>
      </c>
      <c r="I612" s="1" t="s">
        <v>10153</v>
      </c>
      <c r="L612" s="1" t="s">
        <v>10197</v>
      </c>
      <c r="M612" s="1" t="s">
        <v>3946</v>
      </c>
      <c r="O612" s="1" t="s">
        <v>112</v>
      </c>
      <c r="P612" s="1" t="s">
        <v>10155</v>
      </c>
      <c r="Q612" s="1" t="s">
        <v>29</v>
      </c>
    </row>
    <row r="613" spans="1:17" ht="12.5" x14ac:dyDescent="0.25">
      <c r="A613" s="1" t="s">
        <v>152</v>
      </c>
      <c r="C613" s="1" t="s">
        <v>3939</v>
      </c>
      <c r="D613" s="1" t="s">
        <v>3940</v>
      </c>
      <c r="E613" s="1" t="s">
        <v>10156</v>
      </c>
      <c r="F613" s="1" t="s">
        <v>10156</v>
      </c>
      <c r="G613" s="1" t="s">
        <v>10857</v>
      </c>
      <c r="H613" s="1" t="s">
        <v>10152</v>
      </c>
      <c r="I613" s="1" t="s">
        <v>10153</v>
      </c>
      <c r="L613" s="1" t="s">
        <v>10197</v>
      </c>
      <c r="M613" s="1" t="s">
        <v>3941</v>
      </c>
      <c r="N613" s="1" t="s">
        <v>10002</v>
      </c>
      <c r="O613" s="1" t="s">
        <v>292</v>
      </c>
      <c r="P613" s="1" t="s">
        <v>10155</v>
      </c>
      <c r="Q613" s="1" t="s">
        <v>29</v>
      </c>
    </row>
    <row r="614" spans="1:17" ht="12.5" x14ac:dyDescent="0.25">
      <c r="A614" s="1" t="s">
        <v>152</v>
      </c>
      <c r="C614" s="1" t="s">
        <v>3934</v>
      </c>
      <c r="D614" s="1" t="s">
        <v>3935</v>
      </c>
      <c r="E614" s="1" t="s">
        <v>10156</v>
      </c>
      <c r="F614" s="1" t="s">
        <v>10156</v>
      </c>
      <c r="G614" s="1" t="s">
        <v>10857</v>
      </c>
      <c r="H614" s="1" t="s">
        <v>10152</v>
      </c>
      <c r="I614" s="1" t="s">
        <v>10153</v>
      </c>
      <c r="L614" s="1" t="s">
        <v>10197</v>
      </c>
      <c r="M614" s="1" t="s">
        <v>7097</v>
      </c>
      <c r="O614" s="1" t="s">
        <v>169</v>
      </c>
      <c r="P614" s="1" t="s">
        <v>10155</v>
      </c>
      <c r="Q614" s="1" t="s">
        <v>29</v>
      </c>
    </row>
    <row r="615" spans="1:17" ht="12.5" x14ac:dyDescent="0.25">
      <c r="A615" s="1" t="s">
        <v>152</v>
      </c>
      <c r="C615" s="1" t="s">
        <v>3934</v>
      </c>
      <c r="D615" s="1" t="s">
        <v>3935</v>
      </c>
      <c r="E615" s="1" t="s">
        <v>10156</v>
      </c>
      <c r="F615" s="1" t="s">
        <v>10156</v>
      </c>
      <c r="G615" s="1" t="s">
        <v>10857</v>
      </c>
      <c r="H615" s="1" t="s">
        <v>10152</v>
      </c>
      <c r="I615" s="1" t="s">
        <v>10153</v>
      </c>
      <c r="L615" s="1" t="s">
        <v>10197</v>
      </c>
      <c r="M615" s="1" t="s">
        <v>3936</v>
      </c>
      <c r="O615" s="1" t="s">
        <v>124</v>
      </c>
      <c r="P615" s="1" t="s">
        <v>10155</v>
      </c>
      <c r="Q615" s="1" t="s">
        <v>29</v>
      </c>
    </row>
    <row r="616" spans="1:17" ht="12.5" x14ac:dyDescent="0.25">
      <c r="A616" s="1" t="s">
        <v>152</v>
      </c>
      <c r="C616" s="1" t="s">
        <v>3930</v>
      </c>
      <c r="D616" s="1" t="s">
        <v>3931</v>
      </c>
      <c r="E616" s="1" t="s">
        <v>10156</v>
      </c>
      <c r="F616" s="1" t="s">
        <v>10156</v>
      </c>
      <c r="G616" s="1" t="s">
        <v>10584</v>
      </c>
      <c r="H616" s="1" t="s">
        <v>10183</v>
      </c>
      <c r="I616" s="1" t="s">
        <v>10183</v>
      </c>
      <c r="M616" s="1" t="s">
        <v>3932</v>
      </c>
      <c r="O616" s="1" t="s">
        <v>59</v>
      </c>
      <c r="P616" s="1" t="s">
        <v>124</v>
      </c>
      <c r="Q616" s="1" t="s">
        <v>29</v>
      </c>
    </row>
    <row r="617" spans="1:17" ht="12.5" x14ac:dyDescent="0.25">
      <c r="A617" s="1" t="s">
        <v>152</v>
      </c>
      <c r="C617" s="1" t="s">
        <v>3925</v>
      </c>
      <c r="D617" s="1" t="s">
        <v>3926</v>
      </c>
      <c r="E617" s="1" t="s">
        <v>10156</v>
      </c>
      <c r="F617" s="1" t="s">
        <v>10156</v>
      </c>
      <c r="G617" s="1" t="s">
        <v>10857</v>
      </c>
      <c r="H617" s="1" t="s">
        <v>10183</v>
      </c>
      <c r="I617" s="1" t="s">
        <v>10183</v>
      </c>
      <c r="M617" s="1" t="s">
        <v>3927</v>
      </c>
      <c r="N617" s="1" t="s">
        <v>10001</v>
      </c>
      <c r="O617" s="1" t="s">
        <v>124</v>
      </c>
      <c r="P617" s="1" t="s">
        <v>124</v>
      </c>
      <c r="Q617" s="1" t="s">
        <v>29</v>
      </c>
    </row>
    <row r="618" spans="1:17" ht="12.5" x14ac:dyDescent="0.25">
      <c r="A618" s="1" t="s">
        <v>152</v>
      </c>
      <c r="C618" s="1" t="s">
        <v>3921</v>
      </c>
      <c r="D618" s="1" t="s">
        <v>10858</v>
      </c>
      <c r="E618" s="1" t="s">
        <v>9928</v>
      </c>
      <c r="F618" s="1" t="s">
        <v>10531</v>
      </c>
      <c r="G618" s="1" t="s">
        <v>10532</v>
      </c>
      <c r="H618" s="1" t="s">
        <v>10160</v>
      </c>
      <c r="I618" s="1" t="s">
        <v>10160</v>
      </c>
      <c r="M618" s="1" t="s">
        <v>3922</v>
      </c>
      <c r="O618" s="1" t="s">
        <v>59</v>
      </c>
      <c r="P618" s="1" t="s">
        <v>10155</v>
      </c>
      <c r="Q618" s="1" t="s">
        <v>29</v>
      </c>
    </row>
    <row r="619" spans="1:17" ht="12.5" x14ac:dyDescent="0.25">
      <c r="A619" s="1" t="s">
        <v>152</v>
      </c>
      <c r="C619" s="1" t="s">
        <v>10859</v>
      </c>
      <c r="D619" s="1" t="s">
        <v>10860</v>
      </c>
      <c r="E619" s="1" t="s">
        <v>9929</v>
      </c>
      <c r="F619" s="1" t="s">
        <v>10545</v>
      </c>
      <c r="G619" s="1" t="s">
        <v>10545</v>
      </c>
      <c r="H619" s="1" t="s">
        <v>10176</v>
      </c>
      <c r="I619" s="1" t="s">
        <v>10176</v>
      </c>
      <c r="J619" s="1" t="s">
        <v>10293</v>
      </c>
      <c r="K619" s="1" t="s">
        <v>10293</v>
      </c>
      <c r="L619" s="1" t="s">
        <v>10197</v>
      </c>
      <c r="O619" s="1" t="s">
        <v>10155</v>
      </c>
      <c r="P619" s="1" t="s">
        <v>10155</v>
      </c>
    </row>
    <row r="620" spans="1:17" ht="12.5" x14ac:dyDescent="0.25">
      <c r="A620" s="1" t="s">
        <v>152</v>
      </c>
      <c r="C620" s="1" t="s">
        <v>8134</v>
      </c>
      <c r="D620" s="1" t="s">
        <v>8135</v>
      </c>
      <c r="E620" s="1" t="s">
        <v>9929</v>
      </c>
      <c r="F620" s="1" t="s">
        <v>10545</v>
      </c>
      <c r="G620" s="1" t="s">
        <v>10545</v>
      </c>
      <c r="H620" s="1" t="s">
        <v>10183</v>
      </c>
      <c r="I620" s="1" t="s">
        <v>10183</v>
      </c>
      <c r="M620" s="1" t="s">
        <v>8136</v>
      </c>
      <c r="O620" s="1" t="s">
        <v>33</v>
      </c>
      <c r="P620" s="1" t="s">
        <v>53</v>
      </c>
      <c r="Q620" s="1" t="s">
        <v>29</v>
      </c>
    </row>
    <row r="621" spans="1:17" ht="12.5" x14ac:dyDescent="0.25">
      <c r="A621" s="1" t="s">
        <v>152</v>
      </c>
      <c r="C621" s="1" t="s">
        <v>10861</v>
      </c>
      <c r="D621" s="1" t="s">
        <v>10862</v>
      </c>
      <c r="E621" s="1" t="s">
        <v>9929</v>
      </c>
      <c r="F621" s="1" t="s">
        <v>10545</v>
      </c>
      <c r="G621" s="1" t="s">
        <v>10545</v>
      </c>
      <c r="H621" s="1" t="s">
        <v>10176</v>
      </c>
      <c r="I621" s="1" t="s">
        <v>10176</v>
      </c>
      <c r="J621" s="1" t="s">
        <v>10177</v>
      </c>
      <c r="K621" s="1" t="s">
        <v>10177</v>
      </c>
      <c r="O621" s="1" t="s">
        <v>10155</v>
      </c>
      <c r="P621" s="1" t="s">
        <v>10155</v>
      </c>
    </row>
    <row r="622" spans="1:17" ht="12.5" x14ac:dyDescent="0.25">
      <c r="A622" s="1" t="s">
        <v>152</v>
      </c>
      <c r="C622" s="1" t="s">
        <v>3917</v>
      </c>
      <c r="D622" s="1" t="s">
        <v>3918</v>
      </c>
      <c r="E622" s="1" t="s">
        <v>9929</v>
      </c>
      <c r="F622" s="1" t="s">
        <v>10545</v>
      </c>
      <c r="G622" s="1" t="s">
        <v>10545</v>
      </c>
      <c r="H622" s="1" t="s">
        <v>10176</v>
      </c>
      <c r="I622" s="1" t="s">
        <v>10176</v>
      </c>
      <c r="J622" s="1" t="s">
        <v>10270</v>
      </c>
      <c r="K622" s="1" t="s">
        <v>10270</v>
      </c>
      <c r="M622" s="1" t="s">
        <v>3919</v>
      </c>
      <c r="O622" s="1" t="s">
        <v>10155</v>
      </c>
      <c r="P622" s="1" t="s">
        <v>10155</v>
      </c>
      <c r="Q622" s="1" t="s">
        <v>29</v>
      </c>
    </row>
    <row r="623" spans="1:17" ht="12.5" x14ac:dyDescent="0.25">
      <c r="A623" s="1" t="s">
        <v>152</v>
      </c>
      <c r="C623" s="1" t="s">
        <v>9199</v>
      </c>
      <c r="D623" s="1" t="s">
        <v>9200</v>
      </c>
      <c r="E623" s="1" t="s">
        <v>9929</v>
      </c>
      <c r="F623" s="1" t="s">
        <v>10545</v>
      </c>
      <c r="G623" s="1" t="s">
        <v>10545</v>
      </c>
      <c r="H623" s="1" t="s">
        <v>10152</v>
      </c>
      <c r="I623" s="1" t="s">
        <v>10153</v>
      </c>
      <c r="M623" s="1" t="s">
        <v>9201</v>
      </c>
      <c r="N623" s="1" t="s">
        <v>9203</v>
      </c>
      <c r="O623" s="1" t="s">
        <v>169</v>
      </c>
      <c r="P623" s="1" t="s">
        <v>10155</v>
      </c>
      <c r="Q623" s="1" t="s">
        <v>29</v>
      </c>
    </row>
    <row r="624" spans="1:17" ht="12.5" x14ac:dyDescent="0.25">
      <c r="A624" s="1" t="s">
        <v>152</v>
      </c>
      <c r="C624" s="1" t="s">
        <v>10863</v>
      </c>
      <c r="D624" s="1" t="s">
        <v>10864</v>
      </c>
      <c r="E624" s="1" t="s">
        <v>9929</v>
      </c>
      <c r="F624" s="1" t="s">
        <v>10545</v>
      </c>
      <c r="G624" s="1" t="s">
        <v>10545</v>
      </c>
      <c r="H624" s="1" t="s">
        <v>10176</v>
      </c>
      <c r="I624" s="1" t="s">
        <v>10176</v>
      </c>
      <c r="J624" s="1" t="s">
        <v>10262</v>
      </c>
      <c r="K624" s="1" t="s">
        <v>10262</v>
      </c>
      <c r="O624" s="1" t="s">
        <v>10155</v>
      </c>
      <c r="P624" s="1" t="s">
        <v>10155</v>
      </c>
    </row>
    <row r="625" spans="1:17" ht="12.5" x14ac:dyDescent="0.25">
      <c r="A625" s="1" t="s">
        <v>152</v>
      </c>
      <c r="C625" s="1" t="s">
        <v>9140</v>
      </c>
      <c r="D625" s="1" t="s">
        <v>9141</v>
      </c>
      <c r="E625" s="1" t="s">
        <v>9929</v>
      </c>
      <c r="F625" s="1" t="s">
        <v>10545</v>
      </c>
      <c r="G625" s="1" t="s">
        <v>10545</v>
      </c>
      <c r="H625" s="1" t="s">
        <v>10183</v>
      </c>
      <c r="I625" s="1" t="s">
        <v>10183</v>
      </c>
      <c r="M625" s="1" t="s">
        <v>9142</v>
      </c>
      <c r="N625" s="1" t="s">
        <v>9144</v>
      </c>
      <c r="O625" s="1" t="s">
        <v>169</v>
      </c>
      <c r="P625" s="1" t="s">
        <v>124</v>
      </c>
      <c r="Q625" s="1" t="s">
        <v>29</v>
      </c>
    </row>
    <row r="626" spans="1:17" ht="12.5" x14ac:dyDescent="0.25">
      <c r="A626" s="1" t="s">
        <v>152</v>
      </c>
      <c r="C626" s="1" t="s">
        <v>7734</v>
      </c>
      <c r="D626" s="1" t="s">
        <v>7735</v>
      </c>
      <c r="E626" s="1" t="s">
        <v>9929</v>
      </c>
      <c r="F626" s="1" t="s">
        <v>10545</v>
      </c>
      <c r="G626" s="1" t="s">
        <v>10545</v>
      </c>
      <c r="H626" s="1" t="s">
        <v>10183</v>
      </c>
      <c r="I626" s="1" t="s">
        <v>10183</v>
      </c>
      <c r="M626" s="1" t="s">
        <v>7736</v>
      </c>
      <c r="N626" s="1" t="s">
        <v>7738</v>
      </c>
      <c r="O626" s="1" t="s">
        <v>169</v>
      </c>
      <c r="P626" s="1" t="s">
        <v>169</v>
      </c>
      <c r="Q626" s="1" t="s">
        <v>29</v>
      </c>
    </row>
    <row r="627" spans="1:17" ht="12.5" x14ac:dyDescent="0.25">
      <c r="A627" s="1" t="s">
        <v>152</v>
      </c>
      <c r="C627" s="1" t="s">
        <v>3912</v>
      </c>
      <c r="D627" s="1" t="s">
        <v>3913</v>
      </c>
      <c r="E627" s="1" t="s">
        <v>9929</v>
      </c>
      <c r="F627" s="1" t="s">
        <v>10545</v>
      </c>
      <c r="G627" s="1" t="s">
        <v>10545</v>
      </c>
      <c r="H627" s="1" t="s">
        <v>10160</v>
      </c>
      <c r="I627" s="1" t="s">
        <v>10160</v>
      </c>
      <c r="L627" s="1" t="s">
        <v>10197</v>
      </c>
      <c r="M627" s="1" t="s">
        <v>3914</v>
      </c>
      <c r="N627" s="1" t="s">
        <v>9998</v>
      </c>
      <c r="O627" s="1" t="s">
        <v>169</v>
      </c>
      <c r="P627" s="1" t="s">
        <v>10155</v>
      </c>
      <c r="Q627" s="1" t="s">
        <v>29</v>
      </c>
    </row>
    <row r="628" spans="1:17" ht="12.5" x14ac:dyDescent="0.25">
      <c r="A628" s="1" t="s">
        <v>152</v>
      </c>
      <c r="C628" s="1" t="s">
        <v>2782</v>
      </c>
      <c r="D628" s="1" t="s">
        <v>2783</v>
      </c>
      <c r="E628" s="1" t="s">
        <v>10162</v>
      </c>
      <c r="F628" s="1" t="s">
        <v>10516</v>
      </c>
      <c r="G628" s="1" t="s">
        <v>10593</v>
      </c>
      <c r="H628" s="1" t="s">
        <v>10160</v>
      </c>
      <c r="I628" s="1" t="s">
        <v>10160</v>
      </c>
      <c r="M628" s="1" t="s">
        <v>2778</v>
      </c>
      <c r="N628" s="1" t="s">
        <v>2780</v>
      </c>
      <c r="O628" s="1" t="s">
        <v>124</v>
      </c>
      <c r="P628" s="1" t="s">
        <v>10155</v>
      </c>
      <c r="Q628" s="1" t="s">
        <v>29</v>
      </c>
    </row>
    <row r="629" spans="1:17" ht="12.5" x14ac:dyDescent="0.25">
      <c r="A629" s="1" t="s">
        <v>152</v>
      </c>
      <c r="C629" s="1" t="s">
        <v>3907</v>
      </c>
      <c r="D629" s="1" t="s">
        <v>3908</v>
      </c>
      <c r="E629" s="1" t="s">
        <v>9928</v>
      </c>
      <c r="F629" s="1" t="s">
        <v>10531</v>
      </c>
      <c r="G629" s="1" t="s">
        <v>10642</v>
      </c>
      <c r="H629" s="1" t="s">
        <v>10160</v>
      </c>
      <c r="I629" s="1" t="s">
        <v>10160</v>
      </c>
      <c r="M629" s="1" t="s">
        <v>3909</v>
      </c>
      <c r="N629" s="1" t="s">
        <v>9997</v>
      </c>
      <c r="O629" s="1" t="s">
        <v>124</v>
      </c>
      <c r="P629" s="1" t="s">
        <v>10155</v>
      </c>
      <c r="Q629" s="1" t="s">
        <v>29</v>
      </c>
    </row>
    <row r="630" spans="1:17" ht="12.5" x14ac:dyDescent="0.25">
      <c r="A630" s="1" t="s">
        <v>152</v>
      </c>
      <c r="C630" s="1" t="s">
        <v>10865</v>
      </c>
      <c r="D630" s="1" t="s">
        <v>10866</v>
      </c>
      <c r="E630" s="1" t="s">
        <v>10156</v>
      </c>
      <c r="F630" s="1" t="s">
        <v>10156</v>
      </c>
      <c r="G630" s="1" t="s">
        <v>10577</v>
      </c>
      <c r="H630" s="1" t="s">
        <v>10176</v>
      </c>
      <c r="I630" s="1" t="s">
        <v>10176</v>
      </c>
      <c r="J630" s="1" t="s">
        <v>10293</v>
      </c>
      <c r="K630" s="1" t="s">
        <v>10293</v>
      </c>
      <c r="O630" s="1" t="s">
        <v>10155</v>
      </c>
      <c r="P630" s="1" t="s">
        <v>10155</v>
      </c>
    </row>
    <row r="631" spans="1:17" ht="12.5" x14ac:dyDescent="0.25">
      <c r="A631" s="1" t="s">
        <v>152</v>
      </c>
      <c r="C631" s="1" t="s">
        <v>3902</v>
      </c>
      <c r="D631" s="1" t="s">
        <v>3903</v>
      </c>
      <c r="E631" s="1" t="s">
        <v>10156</v>
      </c>
      <c r="F631" s="1" t="s">
        <v>10156</v>
      </c>
      <c r="G631" s="1" t="s">
        <v>10577</v>
      </c>
      <c r="H631" s="1" t="s">
        <v>10152</v>
      </c>
      <c r="I631" s="1" t="s">
        <v>10153</v>
      </c>
      <c r="L631" s="1" t="s">
        <v>10197</v>
      </c>
      <c r="M631" s="1" t="s">
        <v>3904</v>
      </c>
      <c r="N631" s="1" t="s">
        <v>9996</v>
      </c>
      <c r="O631" s="1" t="s">
        <v>292</v>
      </c>
      <c r="P631" s="1" t="s">
        <v>10155</v>
      </c>
      <c r="Q631" s="1" t="s">
        <v>29</v>
      </c>
    </row>
    <row r="632" spans="1:17" ht="12.5" x14ac:dyDescent="0.25">
      <c r="A632" s="1" t="s">
        <v>152</v>
      </c>
      <c r="C632" s="1" t="s">
        <v>6534</v>
      </c>
      <c r="D632" s="1" t="s">
        <v>6535</v>
      </c>
      <c r="E632" s="1" t="s">
        <v>10156</v>
      </c>
      <c r="F632" s="1" t="s">
        <v>10156</v>
      </c>
      <c r="G632" s="1" t="s">
        <v>10596</v>
      </c>
      <c r="H632" s="1" t="s">
        <v>10152</v>
      </c>
      <c r="I632" s="1" t="s">
        <v>10153</v>
      </c>
      <c r="M632" s="1" t="s">
        <v>9548</v>
      </c>
      <c r="O632" s="1" t="s">
        <v>10155</v>
      </c>
      <c r="P632" s="1" t="s">
        <v>10155</v>
      </c>
      <c r="Q632" s="1" t="s">
        <v>20</v>
      </c>
    </row>
    <row r="633" spans="1:17" ht="12.5" x14ac:dyDescent="0.25">
      <c r="A633" s="1" t="s">
        <v>152</v>
      </c>
      <c r="C633" s="1" t="s">
        <v>6534</v>
      </c>
      <c r="D633" s="1" t="s">
        <v>6535</v>
      </c>
      <c r="E633" s="1" t="s">
        <v>10156</v>
      </c>
      <c r="F633" s="1" t="s">
        <v>10156</v>
      </c>
      <c r="G633" s="1" t="s">
        <v>10596</v>
      </c>
      <c r="H633" s="1" t="s">
        <v>10152</v>
      </c>
      <c r="I633" s="1" t="s">
        <v>10153</v>
      </c>
      <c r="M633" s="1" t="s">
        <v>6530</v>
      </c>
      <c r="N633" s="1" t="s">
        <v>6532</v>
      </c>
      <c r="O633" s="1" t="s">
        <v>292</v>
      </c>
      <c r="P633" s="1" t="s">
        <v>10155</v>
      </c>
      <c r="Q633" s="1" t="s">
        <v>29</v>
      </c>
    </row>
    <row r="634" spans="1:17" ht="12.5" x14ac:dyDescent="0.25">
      <c r="A634" s="1" t="s">
        <v>152</v>
      </c>
      <c r="C634" s="1" t="s">
        <v>10867</v>
      </c>
      <c r="D634" s="1" t="s">
        <v>10868</v>
      </c>
      <c r="E634" s="1" t="s">
        <v>10156</v>
      </c>
      <c r="F634" s="1" t="s">
        <v>10156</v>
      </c>
      <c r="G634" s="1" t="s">
        <v>10869</v>
      </c>
      <c r="H634" s="1" t="s">
        <v>10176</v>
      </c>
      <c r="I634" s="1" t="s">
        <v>10176</v>
      </c>
      <c r="J634" s="1" t="s">
        <v>10262</v>
      </c>
      <c r="K634" s="1" t="s">
        <v>10262</v>
      </c>
      <c r="O634" s="1" t="s">
        <v>10155</v>
      </c>
      <c r="P634" s="1" t="s">
        <v>10155</v>
      </c>
    </row>
    <row r="635" spans="1:17" ht="12.5" x14ac:dyDescent="0.25">
      <c r="A635" s="1" t="s">
        <v>152</v>
      </c>
      <c r="C635" s="1" t="s">
        <v>3897</v>
      </c>
      <c r="D635" s="1" t="s">
        <v>3898</v>
      </c>
      <c r="E635" s="1" t="s">
        <v>10156</v>
      </c>
      <c r="F635" s="1" t="s">
        <v>10156</v>
      </c>
      <c r="G635" s="1" t="s">
        <v>10869</v>
      </c>
      <c r="H635" s="1" t="s">
        <v>10152</v>
      </c>
      <c r="I635" s="1" t="s">
        <v>10153</v>
      </c>
      <c r="L635" s="1" t="s">
        <v>10197</v>
      </c>
      <c r="M635" s="1" t="s">
        <v>3899</v>
      </c>
      <c r="N635" s="1" t="s">
        <v>10870</v>
      </c>
      <c r="O635" s="1" t="s">
        <v>10155</v>
      </c>
      <c r="P635" s="1" t="s">
        <v>10155</v>
      </c>
      <c r="Q635" s="1" t="s">
        <v>29</v>
      </c>
    </row>
    <row r="636" spans="1:17" ht="12.5" x14ac:dyDescent="0.25">
      <c r="A636" s="1" t="s">
        <v>152</v>
      </c>
      <c r="C636" s="1" t="s">
        <v>3892</v>
      </c>
      <c r="D636" s="1" t="s">
        <v>3893</v>
      </c>
      <c r="E636" s="1" t="s">
        <v>10156</v>
      </c>
      <c r="F636" s="1" t="s">
        <v>10156</v>
      </c>
      <c r="G636" s="1" t="s">
        <v>10869</v>
      </c>
      <c r="H636" s="1" t="s">
        <v>10183</v>
      </c>
      <c r="I636" s="1" t="s">
        <v>10183</v>
      </c>
      <c r="M636" s="1" t="s">
        <v>3894</v>
      </c>
      <c r="N636" s="1" t="s">
        <v>9994</v>
      </c>
      <c r="O636" s="1" t="s">
        <v>46</v>
      </c>
      <c r="P636" s="1" t="s">
        <v>10155</v>
      </c>
      <c r="Q636" s="1" t="s">
        <v>29</v>
      </c>
    </row>
    <row r="637" spans="1:17" ht="12.5" x14ac:dyDescent="0.25">
      <c r="A637" s="1" t="s">
        <v>152</v>
      </c>
      <c r="C637" s="1" t="s">
        <v>3888</v>
      </c>
      <c r="D637" s="1" t="s">
        <v>3889</v>
      </c>
      <c r="E637" s="1" t="s">
        <v>10162</v>
      </c>
      <c r="F637" s="1" t="s">
        <v>10516</v>
      </c>
      <c r="G637" s="1" t="s">
        <v>10871</v>
      </c>
      <c r="H637" s="1" t="s">
        <v>10152</v>
      </c>
      <c r="I637" s="1" t="s">
        <v>10164</v>
      </c>
      <c r="M637" s="1" t="s">
        <v>3890</v>
      </c>
      <c r="O637" s="1" t="s">
        <v>10155</v>
      </c>
      <c r="P637" s="1" t="s">
        <v>10155</v>
      </c>
      <c r="Q637" s="1" t="s">
        <v>29</v>
      </c>
    </row>
    <row r="638" spans="1:17" ht="12.5" x14ac:dyDescent="0.25">
      <c r="A638" s="1" t="s">
        <v>152</v>
      </c>
      <c r="C638" s="1" t="s">
        <v>3883</v>
      </c>
      <c r="D638" s="1" t="s">
        <v>3884</v>
      </c>
      <c r="E638" s="1" t="s">
        <v>10162</v>
      </c>
      <c r="F638" s="1" t="s">
        <v>10516</v>
      </c>
      <c r="G638" s="1" t="s">
        <v>10871</v>
      </c>
      <c r="H638" s="1" t="s">
        <v>10152</v>
      </c>
      <c r="I638" s="1" t="s">
        <v>10164</v>
      </c>
      <c r="M638" s="1" t="s">
        <v>3885</v>
      </c>
      <c r="O638" s="1" t="s">
        <v>10155</v>
      </c>
      <c r="P638" s="1" t="s">
        <v>10155</v>
      </c>
      <c r="Q638" s="1" t="s">
        <v>29</v>
      </c>
    </row>
    <row r="639" spans="1:17" ht="12.5" x14ac:dyDescent="0.25">
      <c r="A639" s="1" t="s">
        <v>152</v>
      </c>
      <c r="C639" s="1" t="s">
        <v>3878</v>
      </c>
      <c r="D639" s="1" t="s">
        <v>3879</v>
      </c>
      <c r="E639" s="1" t="s">
        <v>10162</v>
      </c>
      <c r="F639" s="1" t="s">
        <v>10516</v>
      </c>
      <c r="G639" s="1" t="s">
        <v>10871</v>
      </c>
      <c r="H639" s="1" t="s">
        <v>10152</v>
      </c>
      <c r="I639" s="1" t="s">
        <v>10164</v>
      </c>
      <c r="M639" s="1" t="s">
        <v>3880</v>
      </c>
      <c r="O639" s="1" t="s">
        <v>10155</v>
      </c>
      <c r="P639" s="1" t="s">
        <v>10155</v>
      </c>
      <c r="Q639" s="1" t="s">
        <v>29</v>
      </c>
    </row>
    <row r="640" spans="1:17" ht="12.5" x14ac:dyDescent="0.25">
      <c r="A640" s="1" t="s">
        <v>152</v>
      </c>
      <c r="C640" s="1" t="s">
        <v>10872</v>
      </c>
      <c r="D640" s="1" t="s">
        <v>10873</v>
      </c>
      <c r="E640" s="1" t="s">
        <v>10162</v>
      </c>
      <c r="F640" s="1" t="s">
        <v>10516</v>
      </c>
      <c r="G640" s="1" t="s">
        <v>10871</v>
      </c>
      <c r="H640" s="1" t="s">
        <v>10172</v>
      </c>
      <c r="I640" s="1" t="s">
        <v>10172</v>
      </c>
      <c r="J640" s="1" t="s">
        <v>10173</v>
      </c>
      <c r="K640" s="1" t="s">
        <v>10173</v>
      </c>
      <c r="O640" s="1" t="s">
        <v>10155</v>
      </c>
      <c r="P640" s="1" t="s">
        <v>10155</v>
      </c>
    </row>
    <row r="641" spans="1:17" ht="12.5" x14ac:dyDescent="0.25">
      <c r="A641" s="1" t="s">
        <v>152</v>
      </c>
      <c r="C641" s="1" t="s">
        <v>3873</v>
      </c>
      <c r="D641" s="1" t="s">
        <v>3874</v>
      </c>
      <c r="E641" s="1" t="s">
        <v>10156</v>
      </c>
      <c r="F641" s="1" t="s">
        <v>10156</v>
      </c>
      <c r="G641" s="1" t="s">
        <v>10600</v>
      </c>
      <c r="H641" s="1" t="s">
        <v>10160</v>
      </c>
      <c r="I641" s="1" t="s">
        <v>10160</v>
      </c>
      <c r="L641" s="1" t="s">
        <v>10197</v>
      </c>
      <c r="M641" s="1" t="s">
        <v>3875</v>
      </c>
      <c r="O641" s="1" t="s">
        <v>124</v>
      </c>
      <c r="P641" s="1" t="s">
        <v>10155</v>
      </c>
      <c r="Q641" s="1" t="s">
        <v>29</v>
      </c>
    </row>
    <row r="642" spans="1:17" ht="12.5" x14ac:dyDescent="0.25">
      <c r="A642" s="1" t="s">
        <v>152</v>
      </c>
      <c r="C642" s="1" t="s">
        <v>3868</v>
      </c>
      <c r="D642" s="1" t="s">
        <v>3869</v>
      </c>
      <c r="E642" s="1" t="s">
        <v>10162</v>
      </c>
      <c r="F642" s="1" t="s">
        <v>10516</v>
      </c>
      <c r="G642" s="1" t="s">
        <v>10874</v>
      </c>
      <c r="H642" s="1" t="s">
        <v>10172</v>
      </c>
      <c r="I642" s="1" t="s">
        <v>10172</v>
      </c>
      <c r="J642" s="1" t="s">
        <v>10193</v>
      </c>
      <c r="K642" s="1" t="s">
        <v>10573</v>
      </c>
      <c r="L642" s="1" t="s">
        <v>10434</v>
      </c>
      <c r="M642" s="1" t="s">
        <v>3870</v>
      </c>
      <c r="O642" s="1" t="s">
        <v>10155</v>
      </c>
      <c r="P642" s="1" t="s">
        <v>10155</v>
      </c>
      <c r="Q642" s="1" t="s">
        <v>29</v>
      </c>
    </row>
    <row r="643" spans="1:17" ht="12.5" x14ac:dyDescent="0.25">
      <c r="A643" s="1" t="s">
        <v>152</v>
      </c>
      <c r="C643" s="1" t="s">
        <v>3863</v>
      </c>
      <c r="D643" s="1" t="s">
        <v>3864</v>
      </c>
      <c r="E643" s="1" t="s">
        <v>10162</v>
      </c>
      <c r="F643" s="1" t="s">
        <v>10516</v>
      </c>
      <c r="G643" s="1" t="s">
        <v>10874</v>
      </c>
      <c r="H643" s="1" t="s">
        <v>10152</v>
      </c>
      <c r="I643" s="1" t="s">
        <v>10153</v>
      </c>
      <c r="M643" s="1" t="s">
        <v>3865</v>
      </c>
      <c r="O643" s="1" t="s">
        <v>10155</v>
      </c>
      <c r="P643" s="1" t="s">
        <v>10155</v>
      </c>
      <c r="Q643" s="1" t="s">
        <v>29</v>
      </c>
    </row>
    <row r="644" spans="1:17" ht="12.5" x14ac:dyDescent="0.25">
      <c r="A644" s="1" t="s">
        <v>152</v>
      </c>
      <c r="C644" s="1" t="s">
        <v>10875</v>
      </c>
      <c r="D644" s="1" t="s">
        <v>10876</v>
      </c>
      <c r="E644" s="1" t="s">
        <v>9928</v>
      </c>
      <c r="F644" s="1" t="s">
        <v>10565</v>
      </c>
      <c r="G644" s="1" t="s">
        <v>10877</v>
      </c>
      <c r="H644" s="1" t="s">
        <v>10176</v>
      </c>
      <c r="I644" s="1" t="s">
        <v>10176</v>
      </c>
      <c r="J644" s="1" t="s">
        <v>10293</v>
      </c>
      <c r="K644" s="1" t="s">
        <v>10293</v>
      </c>
      <c r="O644" s="1" t="s">
        <v>10155</v>
      </c>
      <c r="P644" s="1" t="s">
        <v>10155</v>
      </c>
    </row>
    <row r="645" spans="1:17" ht="12.5" x14ac:dyDescent="0.25">
      <c r="A645" s="1" t="s">
        <v>152</v>
      </c>
      <c r="C645" s="1" t="s">
        <v>3859</v>
      </c>
      <c r="D645" s="1" t="s">
        <v>10878</v>
      </c>
      <c r="E645" s="1" t="s">
        <v>10162</v>
      </c>
      <c r="F645" s="1" t="s">
        <v>10516</v>
      </c>
      <c r="G645" s="1" t="s">
        <v>10879</v>
      </c>
      <c r="H645" s="1" t="s">
        <v>10152</v>
      </c>
      <c r="I645" s="1" t="s">
        <v>10153</v>
      </c>
      <c r="L645" s="1" t="s">
        <v>10197</v>
      </c>
      <c r="M645" s="1" t="s">
        <v>3860</v>
      </c>
      <c r="O645" s="1" t="s">
        <v>10155</v>
      </c>
      <c r="P645" s="1" t="s">
        <v>10155</v>
      </c>
      <c r="Q645" s="1" t="s">
        <v>29</v>
      </c>
    </row>
    <row r="646" spans="1:17" ht="12.5" x14ac:dyDescent="0.25">
      <c r="A646" s="1" t="s">
        <v>152</v>
      </c>
      <c r="C646" s="1" t="s">
        <v>3854</v>
      </c>
      <c r="D646" s="1" t="s">
        <v>3855</v>
      </c>
      <c r="E646" s="1" t="s">
        <v>10156</v>
      </c>
      <c r="F646" s="1" t="s">
        <v>10156</v>
      </c>
      <c r="G646" s="1" t="s">
        <v>10601</v>
      </c>
      <c r="H646" s="1" t="s">
        <v>10152</v>
      </c>
      <c r="I646" s="1" t="s">
        <v>10164</v>
      </c>
      <c r="M646" s="1" t="s">
        <v>3856</v>
      </c>
      <c r="O646" s="1" t="s">
        <v>10155</v>
      </c>
      <c r="P646" s="1" t="s">
        <v>10155</v>
      </c>
      <c r="Q646" s="1" t="s">
        <v>29</v>
      </c>
    </row>
    <row r="647" spans="1:17" ht="12.5" x14ac:dyDescent="0.25">
      <c r="A647" s="1" t="s">
        <v>152</v>
      </c>
      <c r="C647" s="1" t="s">
        <v>3849</v>
      </c>
      <c r="D647" s="1" t="s">
        <v>10880</v>
      </c>
      <c r="E647" s="1" t="s">
        <v>9928</v>
      </c>
      <c r="F647" s="1" t="s">
        <v>10629</v>
      </c>
      <c r="G647" s="1" t="s">
        <v>10629</v>
      </c>
      <c r="H647" s="1" t="s">
        <v>10160</v>
      </c>
      <c r="I647" s="1" t="s">
        <v>10160</v>
      </c>
      <c r="M647" s="1" t="s">
        <v>3850</v>
      </c>
      <c r="N647" s="1" t="s">
        <v>3852</v>
      </c>
      <c r="O647" s="1" t="s">
        <v>169</v>
      </c>
      <c r="P647" s="1" t="s">
        <v>10155</v>
      </c>
      <c r="Q647" s="1" t="s">
        <v>29</v>
      </c>
    </row>
    <row r="648" spans="1:17" ht="12.5" x14ac:dyDescent="0.25">
      <c r="A648" s="1" t="s">
        <v>152</v>
      </c>
      <c r="C648" s="1" t="s">
        <v>3844</v>
      </c>
      <c r="D648" s="1" t="s">
        <v>10881</v>
      </c>
      <c r="E648" s="1" t="s">
        <v>10156</v>
      </c>
      <c r="F648" s="1" t="s">
        <v>10156</v>
      </c>
      <c r="G648" s="1" t="s">
        <v>10882</v>
      </c>
      <c r="H648" s="1" t="s">
        <v>10152</v>
      </c>
      <c r="I648" s="1" t="s">
        <v>10153</v>
      </c>
      <c r="L648" s="1" t="s">
        <v>10197</v>
      </c>
      <c r="M648" s="1" t="s">
        <v>3845</v>
      </c>
      <c r="N648" s="1" t="s">
        <v>10883</v>
      </c>
      <c r="O648" s="1" t="s">
        <v>169</v>
      </c>
      <c r="P648" s="1" t="s">
        <v>10155</v>
      </c>
      <c r="Q648" s="1" t="s">
        <v>29</v>
      </c>
    </row>
    <row r="649" spans="1:17" ht="12.5" x14ac:dyDescent="0.25">
      <c r="A649" s="1" t="s">
        <v>152</v>
      </c>
      <c r="C649" s="1" t="s">
        <v>10884</v>
      </c>
      <c r="D649" s="1" t="s">
        <v>10885</v>
      </c>
      <c r="E649" s="1" t="s">
        <v>9929</v>
      </c>
      <c r="F649" s="1" t="s">
        <v>10545</v>
      </c>
      <c r="G649" s="1" t="s">
        <v>10604</v>
      </c>
      <c r="H649" s="1" t="s">
        <v>10176</v>
      </c>
      <c r="I649" s="1" t="s">
        <v>10176</v>
      </c>
      <c r="J649" s="1" t="s">
        <v>10558</v>
      </c>
      <c r="K649" s="1" t="s">
        <v>10558</v>
      </c>
      <c r="O649" s="1" t="s">
        <v>10155</v>
      </c>
      <c r="P649" s="1" t="s">
        <v>10155</v>
      </c>
    </row>
    <row r="650" spans="1:17" ht="12.5" x14ac:dyDescent="0.25">
      <c r="A650" s="1" t="s">
        <v>152</v>
      </c>
      <c r="C650" s="1" t="s">
        <v>9193</v>
      </c>
      <c r="D650" s="1" t="s">
        <v>9194</v>
      </c>
      <c r="E650" s="1" t="s">
        <v>9929</v>
      </c>
      <c r="F650" s="1" t="s">
        <v>10545</v>
      </c>
      <c r="G650" s="1" t="s">
        <v>10604</v>
      </c>
      <c r="H650" s="1" t="s">
        <v>10183</v>
      </c>
      <c r="I650" s="1" t="s">
        <v>10183</v>
      </c>
      <c r="M650" s="1" t="s">
        <v>9195</v>
      </c>
      <c r="N650" s="1" t="s">
        <v>9197</v>
      </c>
      <c r="O650" s="1" t="s">
        <v>59</v>
      </c>
      <c r="P650" s="1" t="s">
        <v>59</v>
      </c>
      <c r="Q650" s="1" t="s">
        <v>29</v>
      </c>
    </row>
    <row r="651" spans="1:17" ht="12.5" x14ac:dyDescent="0.25">
      <c r="A651" s="1" t="s">
        <v>152</v>
      </c>
      <c r="C651" s="1" t="s">
        <v>9222</v>
      </c>
      <c r="D651" s="1" t="s">
        <v>9223</v>
      </c>
      <c r="E651" s="1" t="s">
        <v>9929</v>
      </c>
      <c r="F651" s="1" t="s">
        <v>10545</v>
      </c>
      <c r="G651" s="1" t="s">
        <v>10604</v>
      </c>
      <c r="H651" s="1" t="s">
        <v>10183</v>
      </c>
      <c r="I651" s="1" t="s">
        <v>10183</v>
      </c>
      <c r="M651" s="1" t="s">
        <v>9224</v>
      </c>
      <c r="N651" s="1" t="s">
        <v>9226</v>
      </c>
      <c r="O651" s="1" t="s">
        <v>59</v>
      </c>
      <c r="P651" s="1" t="s">
        <v>59</v>
      </c>
      <c r="Q651" s="1" t="s">
        <v>29</v>
      </c>
    </row>
    <row r="652" spans="1:17" ht="12.5" x14ac:dyDescent="0.25">
      <c r="A652" s="1" t="s">
        <v>152</v>
      </c>
      <c r="C652" s="1" t="s">
        <v>10886</v>
      </c>
      <c r="D652" s="1" t="s">
        <v>10887</v>
      </c>
      <c r="E652" s="1" t="s">
        <v>9929</v>
      </c>
      <c r="F652" s="1" t="s">
        <v>10545</v>
      </c>
      <c r="G652" s="1" t="s">
        <v>10604</v>
      </c>
      <c r="H652" s="1" t="s">
        <v>10176</v>
      </c>
      <c r="I652" s="1" t="s">
        <v>10176</v>
      </c>
      <c r="J652" s="1" t="s">
        <v>10262</v>
      </c>
      <c r="K652" s="1" t="s">
        <v>10262</v>
      </c>
      <c r="O652" s="1" t="s">
        <v>10155</v>
      </c>
      <c r="P652" s="1" t="s">
        <v>10155</v>
      </c>
    </row>
    <row r="653" spans="1:17" ht="12.5" x14ac:dyDescent="0.25">
      <c r="A653" s="1" t="s">
        <v>152</v>
      </c>
      <c r="C653" s="1" t="s">
        <v>10888</v>
      </c>
      <c r="D653" s="1" t="s">
        <v>10889</v>
      </c>
      <c r="E653" s="1" t="s">
        <v>9929</v>
      </c>
      <c r="F653" s="1" t="s">
        <v>10545</v>
      </c>
      <c r="G653" s="1" t="s">
        <v>10604</v>
      </c>
      <c r="H653" s="1" t="s">
        <v>10176</v>
      </c>
      <c r="I653" s="1" t="s">
        <v>10176</v>
      </c>
      <c r="J653" s="1" t="s">
        <v>10177</v>
      </c>
      <c r="K653" s="1" t="s">
        <v>10177</v>
      </c>
      <c r="O653" s="1" t="s">
        <v>10155</v>
      </c>
      <c r="P653" s="1" t="s">
        <v>10155</v>
      </c>
    </row>
    <row r="654" spans="1:17" ht="12.5" x14ac:dyDescent="0.25">
      <c r="A654" s="1" t="s">
        <v>152</v>
      </c>
      <c r="C654" s="1" t="s">
        <v>3839</v>
      </c>
      <c r="D654" s="1" t="s">
        <v>3840</v>
      </c>
      <c r="E654" s="1" t="s">
        <v>9929</v>
      </c>
      <c r="F654" s="1" t="s">
        <v>10545</v>
      </c>
      <c r="G654" s="1" t="s">
        <v>10604</v>
      </c>
      <c r="H654" s="1" t="s">
        <v>10152</v>
      </c>
      <c r="I654" s="1" t="s">
        <v>10153</v>
      </c>
      <c r="L654" s="1" t="s">
        <v>10197</v>
      </c>
      <c r="M654" s="1" t="s">
        <v>3841</v>
      </c>
      <c r="O654" s="1" t="s">
        <v>112</v>
      </c>
      <c r="P654" s="1" t="s">
        <v>10155</v>
      </c>
      <c r="Q654" s="1" t="s">
        <v>29</v>
      </c>
    </row>
    <row r="655" spans="1:17" ht="12.5" x14ac:dyDescent="0.25">
      <c r="A655" s="1" t="s">
        <v>152</v>
      </c>
      <c r="C655" s="1" t="s">
        <v>236</v>
      </c>
      <c r="D655" s="1" t="s">
        <v>237</v>
      </c>
      <c r="E655" s="1" t="s">
        <v>10162</v>
      </c>
      <c r="F655" s="1" t="s">
        <v>10516</v>
      </c>
      <c r="G655" s="1" t="s">
        <v>10605</v>
      </c>
      <c r="H655" s="1" t="s">
        <v>10160</v>
      </c>
      <c r="I655" s="1" t="s">
        <v>10160</v>
      </c>
      <c r="L655" s="1" t="s">
        <v>10197</v>
      </c>
      <c r="M655" s="1" t="s">
        <v>230</v>
      </c>
      <c r="N655" s="1" t="s">
        <v>232</v>
      </c>
      <c r="O655" s="1" t="s">
        <v>46</v>
      </c>
      <c r="P655" s="1" t="s">
        <v>10155</v>
      </c>
      <c r="Q655" s="1" t="s">
        <v>29</v>
      </c>
    </row>
    <row r="656" spans="1:17" ht="12.5" x14ac:dyDescent="0.25">
      <c r="A656" s="1" t="s">
        <v>152</v>
      </c>
      <c r="C656" s="1" t="s">
        <v>234</v>
      </c>
      <c r="D656" s="1" t="s">
        <v>235</v>
      </c>
      <c r="E656" s="1" t="s">
        <v>10162</v>
      </c>
      <c r="F656" s="1" t="s">
        <v>10516</v>
      </c>
      <c r="G656" s="1" t="s">
        <v>10605</v>
      </c>
      <c r="H656" s="1" t="s">
        <v>10160</v>
      </c>
      <c r="I656" s="1" t="s">
        <v>10160</v>
      </c>
      <c r="L656" s="1" t="s">
        <v>10197</v>
      </c>
      <c r="M656" s="1" t="s">
        <v>230</v>
      </c>
      <c r="N656" s="1" t="s">
        <v>232</v>
      </c>
      <c r="O656" s="1" t="s">
        <v>46</v>
      </c>
      <c r="P656" s="1" t="s">
        <v>10155</v>
      </c>
      <c r="Q656" s="1" t="s">
        <v>29</v>
      </c>
    </row>
    <row r="657" spans="1:17" ht="12.5" x14ac:dyDescent="0.25">
      <c r="A657" s="1" t="s">
        <v>152</v>
      </c>
      <c r="C657" s="1" t="s">
        <v>3829</v>
      </c>
      <c r="D657" s="1" t="s">
        <v>3830</v>
      </c>
      <c r="E657" s="1" t="s">
        <v>9928</v>
      </c>
      <c r="F657" s="1" t="s">
        <v>10518</v>
      </c>
      <c r="G657" s="1" t="s">
        <v>10606</v>
      </c>
      <c r="H657" s="1" t="s">
        <v>10176</v>
      </c>
      <c r="I657" s="1" t="s">
        <v>10176</v>
      </c>
      <c r="J657" s="1" t="s">
        <v>10262</v>
      </c>
      <c r="K657" s="1" t="s">
        <v>10262</v>
      </c>
      <c r="M657" s="1" t="s">
        <v>3831</v>
      </c>
      <c r="O657" s="1" t="s">
        <v>10155</v>
      </c>
      <c r="P657" s="1" t="s">
        <v>10155</v>
      </c>
      <c r="Q657" s="1" t="s">
        <v>29</v>
      </c>
    </row>
    <row r="658" spans="1:17" ht="12.5" x14ac:dyDescent="0.25">
      <c r="A658" s="1" t="s">
        <v>152</v>
      </c>
      <c r="C658" s="1" t="s">
        <v>3824</v>
      </c>
      <c r="D658" s="1" t="s">
        <v>3825</v>
      </c>
      <c r="E658" s="1" t="s">
        <v>9928</v>
      </c>
      <c r="F658" s="1" t="s">
        <v>10518</v>
      </c>
      <c r="G658" s="1" t="s">
        <v>10606</v>
      </c>
      <c r="H658" s="1" t="s">
        <v>10152</v>
      </c>
      <c r="I658" s="1" t="s">
        <v>10153</v>
      </c>
      <c r="L658" s="1" t="s">
        <v>10197</v>
      </c>
      <c r="M658" s="1" t="s">
        <v>3826</v>
      </c>
      <c r="O658" s="1" t="s">
        <v>124</v>
      </c>
      <c r="P658" s="1" t="s">
        <v>10155</v>
      </c>
      <c r="Q658" s="1" t="s">
        <v>29</v>
      </c>
    </row>
    <row r="659" spans="1:17" ht="12.5" x14ac:dyDescent="0.25">
      <c r="A659" s="1" t="s">
        <v>152</v>
      </c>
      <c r="C659" s="1" t="s">
        <v>10890</v>
      </c>
      <c r="D659" s="1" t="s">
        <v>10891</v>
      </c>
      <c r="E659" s="1" t="s">
        <v>9928</v>
      </c>
      <c r="F659" s="1" t="s">
        <v>10518</v>
      </c>
      <c r="G659" s="1" t="s">
        <v>10606</v>
      </c>
      <c r="H659" s="1" t="s">
        <v>10176</v>
      </c>
      <c r="I659" s="1" t="s">
        <v>10176</v>
      </c>
      <c r="J659" s="1" t="s">
        <v>10262</v>
      </c>
      <c r="K659" s="1" t="s">
        <v>10262</v>
      </c>
      <c r="O659" s="1" t="s">
        <v>10155</v>
      </c>
      <c r="P659" s="1" t="s">
        <v>10155</v>
      </c>
    </row>
    <row r="660" spans="1:17" ht="12.5" x14ac:dyDescent="0.25">
      <c r="A660" s="1" t="s">
        <v>152</v>
      </c>
      <c r="C660" s="1" t="s">
        <v>10892</v>
      </c>
      <c r="D660" s="1" t="s">
        <v>10893</v>
      </c>
      <c r="E660" s="1" t="s">
        <v>10162</v>
      </c>
      <c r="F660" s="1" t="s">
        <v>10162</v>
      </c>
      <c r="G660" s="1" t="s">
        <v>10894</v>
      </c>
      <c r="H660" s="1" t="s">
        <v>10152</v>
      </c>
      <c r="I660" s="1" t="s">
        <v>10164</v>
      </c>
      <c r="L660" s="1" t="s">
        <v>10895</v>
      </c>
      <c r="O660" s="1" t="s">
        <v>10155</v>
      </c>
      <c r="P660" s="1" t="s">
        <v>10155</v>
      </c>
    </row>
    <row r="661" spans="1:17" ht="12.5" x14ac:dyDescent="0.25">
      <c r="A661" s="1" t="s">
        <v>152</v>
      </c>
      <c r="C661" s="1" t="s">
        <v>10896</v>
      </c>
      <c r="D661" s="1" t="s">
        <v>10897</v>
      </c>
      <c r="E661" s="1" t="s">
        <v>9928</v>
      </c>
      <c r="F661" s="1" t="s">
        <v>10518</v>
      </c>
      <c r="G661" s="1" t="s">
        <v>10606</v>
      </c>
      <c r="H661" s="1" t="s">
        <v>10176</v>
      </c>
      <c r="I661" s="1" t="s">
        <v>10176</v>
      </c>
      <c r="J661" s="1" t="s">
        <v>10262</v>
      </c>
      <c r="K661" s="1" t="s">
        <v>10262</v>
      </c>
      <c r="O661" s="1" t="s">
        <v>10155</v>
      </c>
      <c r="P661" s="1" t="s">
        <v>10155</v>
      </c>
    </row>
    <row r="662" spans="1:17" ht="12.5" x14ac:dyDescent="0.25">
      <c r="A662" s="1" t="s">
        <v>152</v>
      </c>
      <c r="C662" s="1" t="s">
        <v>821</v>
      </c>
      <c r="D662" s="1" t="s">
        <v>822</v>
      </c>
      <c r="E662" s="1" t="s">
        <v>10162</v>
      </c>
      <c r="F662" s="1" t="s">
        <v>10162</v>
      </c>
      <c r="G662" s="1" t="s">
        <v>10894</v>
      </c>
      <c r="H662" s="1" t="s">
        <v>10183</v>
      </c>
      <c r="I662" s="1" t="s">
        <v>10183</v>
      </c>
      <c r="M662" s="1" t="s">
        <v>817</v>
      </c>
      <c r="N662" s="1" t="s">
        <v>819</v>
      </c>
      <c r="O662" s="1" t="s">
        <v>33</v>
      </c>
      <c r="P662" s="1" t="s">
        <v>59</v>
      </c>
      <c r="Q662" s="1" t="s">
        <v>29</v>
      </c>
    </row>
    <row r="663" spans="1:17" ht="12.5" x14ac:dyDescent="0.25">
      <c r="A663" s="1" t="s">
        <v>152</v>
      </c>
      <c r="C663" s="1" t="s">
        <v>10898</v>
      </c>
      <c r="D663" s="1" t="s">
        <v>10899</v>
      </c>
      <c r="E663" s="1" t="s">
        <v>9928</v>
      </c>
      <c r="F663" s="1" t="s">
        <v>10518</v>
      </c>
      <c r="G663" s="1" t="s">
        <v>10606</v>
      </c>
      <c r="H663" s="1" t="s">
        <v>10176</v>
      </c>
      <c r="I663" s="1" t="s">
        <v>10176</v>
      </c>
      <c r="J663" s="1" t="s">
        <v>10262</v>
      </c>
      <c r="K663" s="1" t="s">
        <v>10262</v>
      </c>
      <c r="O663" s="1" t="s">
        <v>10155</v>
      </c>
      <c r="P663" s="1" t="s">
        <v>10155</v>
      </c>
    </row>
    <row r="664" spans="1:17" ht="12.5" x14ac:dyDescent="0.25">
      <c r="A664" s="1" t="s">
        <v>152</v>
      </c>
      <c r="C664" s="1" t="s">
        <v>10900</v>
      </c>
      <c r="D664" s="1" t="s">
        <v>10901</v>
      </c>
      <c r="E664" s="1" t="s">
        <v>9928</v>
      </c>
      <c r="F664" s="1" t="s">
        <v>10518</v>
      </c>
      <c r="G664" s="1" t="s">
        <v>10606</v>
      </c>
      <c r="H664" s="1" t="s">
        <v>10176</v>
      </c>
      <c r="I664" s="1" t="s">
        <v>10176</v>
      </c>
      <c r="J664" s="1" t="s">
        <v>10262</v>
      </c>
      <c r="K664" s="1" t="s">
        <v>10262</v>
      </c>
      <c r="O664" s="1" t="s">
        <v>10155</v>
      </c>
      <c r="P664" s="1" t="s">
        <v>10155</v>
      </c>
    </row>
    <row r="665" spans="1:17" ht="12.5" x14ac:dyDescent="0.25">
      <c r="A665" s="1" t="s">
        <v>152</v>
      </c>
      <c r="C665" s="1" t="s">
        <v>3815</v>
      </c>
      <c r="D665" s="1" t="s">
        <v>3816</v>
      </c>
      <c r="E665" s="1" t="s">
        <v>9929</v>
      </c>
      <c r="F665" s="1" t="s">
        <v>10545</v>
      </c>
      <c r="G665" s="1" t="s">
        <v>10607</v>
      </c>
      <c r="H665" s="1" t="s">
        <v>10486</v>
      </c>
      <c r="I665" s="1" t="s">
        <v>10486</v>
      </c>
      <c r="L665" s="1" t="s">
        <v>10197</v>
      </c>
      <c r="M665" s="1" t="s">
        <v>3817</v>
      </c>
      <c r="N665" s="1" t="s">
        <v>10902</v>
      </c>
      <c r="O665" s="1" t="s">
        <v>124</v>
      </c>
      <c r="P665" s="1" t="s">
        <v>10155</v>
      </c>
      <c r="Q665" s="1" t="s">
        <v>29</v>
      </c>
    </row>
    <row r="666" spans="1:17" ht="12.5" x14ac:dyDescent="0.25">
      <c r="A666" s="1" t="s">
        <v>152</v>
      </c>
      <c r="C666" s="1" t="s">
        <v>3810</v>
      </c>
      <c r="D666" s="1" t="s">
        <v>3811</v>
      </c>
      <c r="E666" s="1" t="s">
        <v>10162</v>
      </c>
      <c r="F666" s="1" t="s">
        <v>10162</v>
      </c>
      <c r="G666" s="1" t="s">
        <v>10903</v>
      </c>
      <c r="H666" s="1" t="s">
        <v>10160</v>
      </c>
      <c r="I666" s="1" t="s">
        <v>10160</v>
      </c>
      <c r="M666" s="1" t="s">
        <v>7264</v>
      </c>
      <c r="O666" s="1" t="s">
        <v>10155</v>
      </c>
      <c r="P666" s="1" t="s">
        <v>10155</v>
      </c>
      <c r="Q666" s="1" t="s">
        <v>20</v>
      </c>
    </row>
    <row r="667" spans="1:17" ht="12.5" x14ac:dyDescent="0.25">
      <c r="A667" s="1" t="s">
        <v>152</v>
      </c>
      <c r="C667" s="1" t="s">
        <v>10904</v>
      </c>
      <c r="D667" s="1" t="s">
        <v>10905</v>
      </c>
      <c r="E667" s="1" t="s">
        <v>10162</v>
      </c>
      <c r="F667" s="1" t="s">
        <v>10553</v>
      </c>
      <c r="G667" s="1" t="s">
        <v>10553</v>
      </c>
      <c r="H667" s="1" t="s">
        <v>10176</v>
      </c>
      <c r="I667" s="1" t="s">
        <v>10176</v>
      </c>
      <c r="J667" s="1" t="s">
        <v>10262</v>
      </c>
      <c r="K667" s="1" t="s">
        <v>10262</v>
      </c>
      <c r="O667" s="1" t="s">
        <v>10155</v>
      </c>
      <c r="P667" s="1" t="s">
        <v>10155</v>
      </c>
    </row>
    <row r="668" spans="1:17" ht="12.5" x14ac:dyDescent="0.25">
      <c r="A668" s="1" t="s">
        <v>152</v>
      </c>
      <c r="C668" s="1" t="s">
        <v>3017</v>
      </c>
      <c r="D668" s="1" t="s">
        <v>3018</v>
      </c>
      <c r="E668" s="1" t="s">
        <v>10162</v>
      </c>
      <c r="F668" s="1" t="s">
        <v>10553</v>
      </c>
      <c r="G668" s="1" t="s">
        <v>10553</v>
      </c>
      <c r="H668" s="1" t="s">
        <v>10160</v>
      </c>
      <c r="I668" s="1" t="s">
        <v>10160</v>
      </c>
      <c r="L668" s="1" t="s">
        <v>10197</v>
      </c>
      <c r="M668" s="1" t="s">
        <v>3008</v>
      </c>
      <c r="N668" s="1" t="s">
        <v>3010</v>
      </c>
      <c r="O668" s="1" t="s">
        <v>33</v>
      </c>
      <c r="P668" s="1" t="s">
        <v>10155</v>
      </c>
      <c r="Q668" s="1" t="s">
        <v>20</v>
      </c>
    </row>
    <row r="669" spans="1:17" ht="12.5" x14ac:dyDescent="0.25">
      <c r="A669" s="1" t="s">
        <v>152</v>
      </c>
      <c r="C669" s="1" t="s">
        <v>3015</v>
      </c>
      <c r="D669" s="1" t="s">
        <v>3016</v>
      </c>
      <c r="E669" s="1" t="s">
        <v>10162</v>
      </c>
      <c r="F669" s="1" t="s">
        <v>10553</v>
      </c>
      <c r="G669" s="1" t="s">
        <v>10553</v>
      </c>
      <c r="H669" s="1" t="s">
        <v>10160</v>
      </c>
      <c r="I669" s="1" t="s">
        <v>10160</v>
      </c>
      <c r="L669" s="1" t="s">
        <v>10197</v>
      </c>
      <c r="M669" s="1" t="s">
        <v>3008</v>
      </c>
      <c r="N669" s="1" t="s">
        <v>3010</v>
      </c>
      <c r="O669" s="1" t="s">
        <v>33</v>
      </c>
      <c r="P669" s="1" t="s">
        <v>10155</v>
      </c>
      <c r="Q669" s="1" t="s">
        <v>20</v>
      </c>
    </row>
    <row r="670" spans="1:17" ht="12.5" x14ac:dyDescent="0.25">
      <c r="A670" s="1" t="s">
        <v>152</v>
      </c>
      <c r="C670" s="1" t="s">
        <v>3013</v>
      </c>
      <c r="D670" s="1" t="s">
        <v>3014</v>
      </c>
      <c r="E670" s="1" t="s">
        <v>10162</v>
      </c>
      <c r="F670" s="1" t="s">
        <v>10553</v>
      </c>
      <c r="G670" s="1" t="s">
        <v>10553</v>
      </c>
      <c r="H670" s="1" t="s">
        <v>10160</v>
      </c>
      <c r="I670" s="1" t="s">
        <v>10160</v>
      </c>
      <c r="L670" s="1" t="s">
        <v>10197</v>
      </c>
      <c r="M670" s="1" t="s">
        <v>3008</v>
      </c>
      <c r="N670" s="1" t="s">
        <v>3010</v>
      </c>
      <c r="O670" s="1" t="s">
        <v>33</v>
      </c>
      <c r="P670" s="1" t="s">
        <v>10155</v>
      </c>
      <c r="Q670" s="1" t="s">
        <v>20</v>
      </c>
    </row>
    <row r="671" spans="1:17" ht="12.5" x14ac:dyDescent="0.25">
      <c r="A671" s="1" t="s">
        <v>152</v>
      </c>
      <c r="C671" s="1" t="s">
        <v>3798</v>
      </c>
      <c r="D671" s="1" t="s">
        <v>3799</v>
      </c>
      <c r="E671" s="1" t="s">
        <v>10162</v>
      </c>
      <c r="F671" s="1" t="s">
        <v>10553</v>
      </c>
      <c r="G671" s="1" t="s">
        <v>10553</v>
      </c>
      <c r="H671" s="1" t="s">
        <v>10152</v>
      </c>
      <c r="I671" s="1" t="s">
        <v>10153</v>
      </c>
      <c r="L671" s="1" t="s">
        <v>10197</v>
      </c>
      <c r="M671" s="1" t="s">
        <v>3800</v>
      </c>
      <c r="N671" s="1" t="s">
        <v>10906</v>
      </c>
      <c r="O671" s="1" t="s">
        <v>169</v>
      </c>
      <c r="P671" s="1" t="s">
        <v>10155</v>
      </c>
      <c r="Q671" s="1" t="s">
        <v>29</v>
      </c>
    </row>
    <row r="672" spans="1:17" ht="12.5" x14ac:dyDescent="0.25">
      <c r="A672" s="1" t="s">
        <v>152</v>
      </c>
      <c r="C672" s="1" t="s">
        <v>3793</v>
      </c>
      <c r="D672" s="1" t="s">
        <v>3794</v>
      </c>
      <c r="E672" s="1" t="s">
        <v>10162</v>
      </c>
      <c r="F672" s="1" t="s">
        <v>10553</v>
      </c>
      <c r="G672" s="1" t="s">
        <v>10553</v>
      </c>
      <c r="H672" s="1" t="s">
        <v>10160</v>
      </c>
      <c r="I672" s="1" t="s">
        <v>10160</v>
      </c>
      <c r="L672" s="1" t="s">
        <v>10197</v>
      </c>
      <c r="M672" s="1" t="s">
        <v>3795</v>
      </c>
      <c r="O672" s="1" t="s">
        <v>169</v>
      </c>
      <c r="P672" s="1" t="s">
        <v>10155</v>
      </c>
      <c r="Q672" s="1" t="s">
        <v>29</v>
      </c>
    </row>
    <row r="673" spans="1:17" ht="12.5" x14ac:dyDescent="0.25">
      <c r="A673" s="1" t="s">
        <v>152</v>
      </c>
      <c r="C673" s="1" t="s">
        <v>3788</v>
      </c>
      <c r="D673" s="1" t="s">
        <v>3789</v>
      </c>
      <c r="E673" s="1" t="s">
        <v>10162</v>
      </c>
      <c r="F673" s="1" t="s">
        <v>10553</v>
      </c>
      <c r="G673" s="1" t="s">
        <v>10553</v>
      </c>
      <c r="H673" s="1" t="s">
        <v>10172</v>
      </c>
      <c r="I673" s="1" t="s">
        <v>10172</v>
      </c>
      <c r="J673" s="1" t="s">
        <v>10193</v>
      </c>
      <c r="K673" s="1" t="s">
        <v>10173</v>
      </c>
      <c r="L673" s="1" t="s">
        <v>10434</v>
      </c>
      <c r="M673" s="1" t="s">
        <v>3790</v>
      </c>
      <c r="O673" s="1" t="s">
        <v>10155</v>
      </c>
      <c r="P673" s="1" t="s">
        <v>10155</v>
      </c>
      <c r="Q673" s="1" t="s">
        <v>29</v>
      </c>
    </row>
    <row r="674" spans="1:17" ht="12.5" x14ac:dyDescent="0.25">
      <c r="A674" s="1" t="s">
        <v>152</v>
      </c>
      <c r="C674" s="1" t="s">
        <v>10907</v>
      </c>
      <c r="D674" s="1" t="s">
        <v>10908</v>
      </c>
      <c r="E674" s="1" t="s">
        <v>9928</v>
      </c>
      <c r="F674" s="1" t="s">
        <v>10518</v>
      </c>
      <c r="G674" s="1" t="s">
        <v>10606</v>
      </c>
      <c r="H674" s="1" t="s">
        <v>10176</v>
      </c>
      <c r="I674" s="1" t="s">
        <v>10176</v>
      </c>
      <c r="J674" s="1" t="s">
        <v>10262</v>
      </c>
      <c r="K674" s="1" t="s">
        <v>10262</v>
      </c>
      <c r="O674" s="1" t="s">
        <v>10155</v>
      </c>
      <c r="P674" s="1" t="s">
        <v>10155</v>
      </c>
    </row>
    <row r="675" spans="1:17" ht="12.5" x14ac:dyDescent="0.25">
      <c r="A675" s="1" t="s">
        <v>152</v>
      </c>
      <c r="C675" s="1" t="s">
        <v>3782</v>
      </c>
      <c r="D675" s="1" t="s">
        <v>3783</v>
      </c>
      <c r="E675" s="1" t="s">
        <v>10162</v>
      </c>
      <c r="F675" s="1" t="s">
        <v>10553</v>
      </c>
      <c r="G675" s="1" t="s">
        <v>10553</v>
      </c>
      <c r="H675" s="1" t="s">
        <v>10152</v>
      </c>
      <c r="I675" s="1" t="s">
        <v>10153</v>
      </c>
      <c r="M675" s="1" t="s">
        <v>3784</v>
      </c>
      <c r="N675" s="1" t="s">
        <v>3786</v>
      </c>
      <c r="O675" s="1" t="s">
        <v>10155</v>
      </c>
      <c r="P675" s="1" t="s">
        <v>10155</v>
      </c>
      <c r="Q675" s="1" t="s">
        <v>29</v>
      </c>
    </row>
    <row r="676" spans="1:17" ht="12.5" x14ac:dyDescent="0.25">
      <c r="A676" s="1" t="s">
        <v>152</v>
      </c>
      <c r="C676" s="1" t="s">
        <v>3777</v>
      </c>
      <c r="D676" s="1" t="s">
        <v>3778</v>
      </c>
      <c r="E676" s="1" t="s">
        <v>10162</v>
      </c>
      <c r="F676" s="1" t="s">
        <v>10553</v>
      </c>
      <c r="G676" s="1" t="s">
        <v>10553</v>
      </c>
      <c r="H676" s="1" t="s">
        <v>10183</v>
      </c>
      <c r="I676" s="1" t="s">
        <v>10183</v>
      </c>
      <c r="M676" s="1" t="s">
        <v>3779</v>
      </c>
      <c r="O676" s="1" t="s">
        <v>10155</v>
      </c>
      <c r="P676" s="1" t="s">
        <v>46</v>
      </c>
      <c r="Q676" s="1" t="s">
        <v>29</v>
      </c>
    </row>
    <row r="677" spans="1:17" ht="12.5" x14ac:dyDescent="0.25">
      <c r="A677" s="1" t="s">
        <v>152</v>
      </c>
      <c r="C677" s="1" t="s">
        <v>6916</v>
      </c>
      <c r="D677" s="1" t="s">
        <v>6917</v>
      </c>
      <c r="E677" s="1" t="s">
        <v>10162</v>
      </c>
      <c r="F677" s="1" t="s">
        <v>10162</v>
      </c>
      <c r="G677" s="1" t="s">
        <v>10610</v>
      </c>
      <c r="H677" s="1" t="s">
        <v>10152</v>
      </c>
      <c r="I677" s="1" t="s">
        <v>10153</v>
      </c>
      <c r="M677" s="1" t="s">
        <v>6918</v>
      </c>
      <c r="N677" s="1" t="s">
        <v>3132</v>
      </c>
      <c r="O677" s="1" t="s">
        <v>292</v>
      </c>
      <c r="P677" s="1" t="s">
        <v>10155</v>
      </c>
      <c r="Q677" s="1" t="s">
        <v>29</v>
      </c>
    </row>
    <row r="678" spans="1:17" ht="12.5" x14ac:dyDescent="0.25">
      <c r="A678" s="1" t="s">
        <v>152</v>
      </c>
      <c r="C678" s="1" t="s">
        <v>3772</v>
      </c>
      <c r="D678" s="1" t="s">
        <v>3773</v>
      </c>
      <c r="E678" s="1" t="s">
        <v>9928</v>
      </c>
      <c r="F678" s="1" t="s">
        <v>10531</v>
      </c>
      <c r="G678" s="1" t="s">
        <v>10531</v>
      </c>
      <c r="H678" s="1" t="s">
        <v>10152</v>
      </c>
      <c r="I678" s="1" t="s">
        <v>10153</v>
      </c>
      <c r="M678" s="1" t="s">
        <v>5768</v>
      </c>
      <c r="N678" s="1" t="s">
        <v>5769</v>
      </c>
      <c r="O678" s="1" t="s">
        <v>112</v>
      </c>
      <c r="P678" s="1" t="s">
        <v>10155</v>
      </c>
      <c r="Q678" s="1" t="s">
        <v>29</v>
      </c>
    </row>
    <row r="679" spans="1:17" ht="12.5" x14ac:dyDescent="0.25">
      <c r="A679" s="1" t="s">
        <v>152</v>
      </c>
      <c r="C679" s="1" t="s">
        <v>3772</v>
      </c>
      <c r="D679" s="1" t="s">
        <v>3773</v>
      </c>
      <c r="E679" s="1" t="s">
        <v>9928</v>
      </c>
      <c r="F679" s="1" t="s">
        <v>10531</v>
      </c>
      <c r="G679" s="1" t="s">
        <v>10531</v>
      </c>
      <c r="H679" s="1" t="s">
        <v>10152</v>
      </c>
      <c r="I679" s="1" t="s">
        <v>10153</v>
      </c>
      <c r="M679" s="1" t="s">
        <v>3774</v>
      </c>
      <c r="N679" s="1" t="s">
        <v>3776</v>
      </c>
      <c r="O679" s="1" t="s">
        <v>124</v>
      </c>
      <c r="P679" s="1" t="s">
        <v>10155</v>
      </c>
      <c r="Q679" s="1" t="s">
        <v>29</v>
      </c>
    </row>
    <row r="680" spans="1:17" ht="12.5" x14ac:dyDescent="0.25">
      <c r="A680" s="1" t="s">
        <v>152</v>
      </c>
      <c r="C680" s="1" t="s">
        <v>3768</v>
      </c>
      <c r="D680" s="1" t="s">
        <v>3769</v>
      </c>
      <c r="E680" s="1" t="s">
        <v>10156</v>
      </c>
      <c r="F680" s="1" t="s">
        <v>10156</v>
      </c>
      <c r="G680" s="1" t="s">
        <v>10668</v>
      </c>
      <c r="H680" s="1" t="s">
        <v>10183</v>
      </c>
      <c r="I680" s="1" t="s">
        <v>10183</v>
      </c>
      <c r="M680" s="1" t="s">
        <v>3770</v>
      </c>
      <c r="O680" s="1" t="s">
        <v>59</v>
      </c>
      <c r="P680" s="1" t="s">
        <v>124</v>
      </c>
      <c r="Q680" s="1" t="s">
        <v>29</v>
      </c>
    </row>
    <row r="681" spans="1:17" ht="12.5" x14ac:dyDescent="0.25">
      <c r="A681" s="1" t="s">
        <v>152</v>
      </c>
      <c r="C681" s="1" t="s">
        <v>3764</v>
      </c>
      <c r="D681" s="1" t="s">
        <v>3765</v>
      </c>
      <c r="E681" s="1" t="s">
        <v>10156</v>
      </c>
      <c r="F681" s="1" t="s">
        <v>10156</v>
      </c>
      <c r="G681" s="1" t="s">
        <v>10668</v>
      </c>
      <c r="H681" s="1" t="s">
        <v>10183</v>
      </c>
      <c r="I681" s="1" t="s">
        <v>10183</v>
      </c>
      <c r="L681" s="1" t="s">
        <v>10197</v>
      </c>
      <c r="M681" s="1" t="s">
        <v>3766</v>
      </c>
      <c r="O681" s="1" t="s">
        <v>59</v>
      </c>
      <c r="P681" s="1" t="s">
        <v>124</v>
      </c>
      <c r="Q681" s="1" t="s">
        <v>29</v>
      </c>
    </row>
    <row r="682" spans="1:17" ht="12.5" x14ac:dyDescent="0.25">
      <c r="A682" s="1" t="s">
        <v>152</v>
      </c>
      <c r="C682" s="1" t="s">
        <v>3759</v>
      </c>
      <c r="D682" s="1" t="s">
        <v>3760</v>
      </c>
      <c r="E682" s="1" t="s">
        <v>10156</v>
      </c>
      <c r="F682" s="1" t="s">
        <v>10156</v>
      </c>
      <c r="G682" s="1" t="s">
        <v>10668</v>
      </c>
      <c r="H682" s="1" t="s">
        <v>10183</v>
      </c>
      <c r="I682" s="1" t="s">
        <v>10183</v>
      </c>
      <c r="L682" s="1" t="s">
        <v>10197</v>
      </c>
      <c r="M682" s="1" t="s">
        <v>3761</v>
      </c>
      <c r="O682" s="1" t="s">
        <v>59</v>
      </c>
      <c r="P682" s="1" t="s">
        <v>124</v>
      </c>
      <c r="Q682" s="1" t="s">
        <v>29</v>
      </c>
    </row>
    <row r="683" spans="1:17" ht="12.5" x14ac:dyDescent="0.25">
      <c r="A683" s="1" t="s">
        <v>152</v>
      </c>
      <c r="C683" s="1" t="s">
        <v>3753</v>
      </c>
      <c r="D683" s="1" t="s">
        <v>3754</v>
      </c>
      <c r="E683" s="1" t="s">
        <v>10156</v>
      </c>
      <c r="F683" s="1" t="s">
        <v>10156</v>
      </c>
      <c r="G683" s="1" t="s">
        <v>10668</v>
      </c>
      <c r="H683" s="1" t="s">
        <v>10152</v>
      </c>
      <c r="I683" s="1" t="s">
        <v>10153</v>
      </c>
      <c r="L683" s="1" t="s">
        <v>10197</v>
      </c>
      <c r="M683" s="1" t="s">
        <v>3755</v>
      </c>
      <c r="N683" s="1" t="s">
        <v>3757</v>
      </c>
      <c r="O683" s="1" t="s">
        <v>112</v>
      </c>
      <c r="P683" s="1" t="s">
        <v>10155</v>
      </c>
      <c r="Q683" s="1" t="s">
        <v>29</v>
      </c>
    </row>
    <row r="684" spans="1:17" ht="12.5" x14ac:dyDescent="0.25">
      <c r="A684" s="1" t="s">
        <v>152</v>
      </c>
      <c r="C684" s="1" t="s">
        <v>8139</v>
      </c>
      <c r="D684" s="1" t="s">
        <v>8140</v>
      </c>
      <c r="E684" s="1" t="s">
        <v>9928</v>
      </c>
      <c r="F684" s="1" t="s">
        <v>10531</v>
      </c>
      <c r="G684" s="1" t="s">
        <v>10531</v>
      </c>
      <c r="H684" s="1" t="s">
        <v>10183</v>
      </c>
      <c r="I684" s="1" t="s">
        <v>10183</v>
      </c>
      <c r="M684" s="1" t="s">
        <v>8141</v>
      </c>
      <c r="O684" s="1" t="s">
        <v>33</v>
      </c>
      <c r="P684" s="1" t="s">
        <v>24</v>
      </c>
      <c r="Q684" s="1" t="s">
        <v>29</v>
      </c>
    </row>
    <row r="685" spans="1:17" ht="12.5" x14ac:dyDescent="0.25">
      <c r="A685" s="1" t="s">
        <v>152</v>
      </c>
      <c r="C685" s="1" t="s">
        <v>10909</v>
      </c>
      <c r="D685" s="1" t="s">
        <v>10910</v>
      </c>
      <c r="E685" s="1" t="s">
        <v>9928</v>
      </c>
      <c r="F685" s="1" t="s">
        <v>10531</v>
      </c>
      <c r="G685" s="1" t="s">
        <v>10531</v>
      </c>
      <c r="H685" s="1" t="s">
        <v>10176</v>
      </c>
      <c r="I685" s="1" t="s">
        <v>10176</v>
      </c>
      <c r="J685" s="1" t="s">
        <v>10293</v>
      </c>
      <c r="K685" s="1" t="s">
        <v>10293</v>
      </c>
      <c r="O685" s="1" t="s">
        <v>10155</v>
      </c>
      <c r="P685" s="1" t="s">
        <v>10155</v>
      </c>
    </row>
    <row r="686" spans="1:17" ht="12.5" x14ac:dyDescent="0.25">
      <c r="A686" s="1" t="s">
        <v>152</v>
      </c>
      <c r="C686" s="1" t="s">
        <v>8144</v>
      </c>
      <c r="D686" s="1" t="s">
        <v>8145</v>
      </c>
      <c r="E686" s="1" t="s">
        <v>9928</v>
      </c>
      <c r="F686" s="1" t="s">
        <v>10531</v>
      </c>
      <c r="G686" s="1" t="s">
        <v>10531</v>
      </c>
      <c r="H686" s="1" t="s">
        <v>10183</v>
      </c>
      <c r="I686" s="1" t="s">
        <v>10183</v>
      </c>
      <c r="M686" s="1" t="s">
        <v>8146</v>
      </c>
      <c r="O686" s="1" t="s">
        <v>33</v>
      </c>
      <c r="P686" s="1" t="s">
        <v>24</v>
      </c>
      <c r="Q686" s="1" t="s">
        <v>29</v>
      </c>
    </row>
    <row r="687" spans="1:17" ht="12.5" x14ac:dyDescent="0.25">
      <c r="A687" s="1" t="s">
        <v>152</v>
      </c>
      <c r="C687" s="1" t="s">
        <v>3748</v>
      </c>
      <c r="D687" s="1" t="s">
        <v>3749</v>
      </c>
      <c r="E687" s="1" t="s">
        <v>9928</v>
      </c>
      <c r="F687" s="1" t="s">
        <v>10531</v>
      </c>
      <c r="G687" s="1" t="s">
        <v>10531</v>
      </c>
      <c r="H687" s="1" t="s">
        <v>10160</v>
      </c>
      <c r="I687" s="1" t="s">
        <v>10160</v>
      </c>
      <c r="L687" s="1" t="s">
        <v>10197</v>
      </c>
      <c r="M687" s="1" t="s">
        <v>3750</v>
      </c>
      <c r="O687" s="1" t="s">
        <v>59</v>
      </c>
      <c r="P687" s="1" t="s">
        <v>10155</v>
      </c>
      <c r="Q687" s="1" t="s">
        <v>29</v>
      </c>
    </row>
    <row r="688" spans="1:17" ht="12.5" x14ac:dyDescent="0.25">
      <c r="A688" s="1" t="s">
        <v>152</v>
      </c>
      <c r="C688" s="1" t="s">
        <v>3743</v>
      </c>
      <c r="D688" s="1" t="s">
        <v>3744</v>
      </c>
      <c r="E688" s="1" t="s">
        <v>9928</v>
      </c>
      <c r="F688" s="1" t="s">
        <v>10531</v>
      </c>
      <c r="G688" s="1" t="s">
        <v>10531</v>
      </c>
      <c r="H688" s="1" t="s">
        <v>10152</v>
      </c>
      <c r="I688" s="1" t="s">
        <v>10153</v>
      </c>
      <c r="M688" s="1" t="s">
        <v>3745</v>
      </c>
      <c r="O688" s="1" t="s">
        <v>169</v>
      </c>
      <c r="P688" s="1" t="s">
        <v>10155</v>
      </c>
      <c r="Q688" s="1" t="s">
        <v>29</v>
      </c>
    </row>
    <row r="689" spans="1:17" ht="12.5" x14ac:dyDescent="0.25">
      <c r="A689" s="1" t="s">
        <v>152</v>
      </c>
      <c r="C689" s="1" t="s">
        <v>10911</v>
      </c>
      <c r="D689" s="1" t="s">
        <v>10912</v>
      </c>
      <c r="E689" s="1" t="s">
        <v>9928</v>
      </c>
      <c r="F689" s="1" t="s">
        <v>10531</v>
      </c>
      <c r="G689" s="1" t="s">
        <v>10531</v>
      </c>
      <c r="H689" s="1" t="s">
        <v>10152</v>
      </c>
      <c r="I689" s="1" t="s">
        <v>10164</v>
      </c>
      <c r="L689" s="1" t="s">
        <v>10913</v>
      </c>
      <c r="O689" s="1" t="s">
        <v>10155</v>
      </c>
      <c r="P689" s="1" t="s">
        <v>10155</v>
      </c>
    </row>
    <row r="690" spans="1:17" ht="12.5" x14ac:dyDescent="0.25">
      <c r="A690" s="1" t="s">
        <v>152</v>
      </c>
      <c r="C690" s="1" t="s">
        <v>10914</v>
      </c>
      <c r="D690" s="1" t="s">
        <v>10915</v>
      </c>
      <c r="E690" s="1" t="s">
        <v>9928</v>
      </c>
      <c r="F690" s="1" t="s">
        <v>10518</v>
      </c>
      <c r="G690" s="1" t="s">
        <v>10606</v>
      </c>
      <c r="H690" s="1" t="s">
        <v>10176</v>
      </c>
      <c r="I690" s="1" t="s">
        <v>10176</v>
      </c>
      <c r="J690" s="1" t="s">
        <v>10262</v>
      </c>
      <c r="K690" s="1" t="s">
        <v>10262</v>
      </c>
      <c r="O690" s="1" t="s">
        <v>10155</v>
      </c>
      <c r="P690" s="1" t="s">
        <v>10155</v>
      </c>
    </row>
    <row r="691" spans="1:17" ht="12.5" x14ac:dyDescent="0.25">
      <c r="A691" s="1" t="s">
        <v>152</v>
      </c>
      <c r="C691" s="1" t="s">
        <v>3738</v>
      </c>
      <c r="D691" s="1" t="s">
        <v>3739</v>
      </c>
      <c r="E691" s="1" t="s">
        <v>9928</v>
      </c>
      <c r="F691" s="1" t="s">
        <v>10531</v>
      </c>
      <c r="G691" s="1" t="s">
        <v>10531</v>
      </c>
      <c r="H691" s="1" t="s">
        <v>10152</v>
      </c>
      <c r="I691" s="1" t="s">
        <v>10153</v>
      </c>
      <c r="M691" s="1" t="s">
        <v>3740</v>
      </c>
      <c r="O691" s="1" t="s">
        <v>169</v>
      </c>
      <c r="P691" s="1" t="s">
        <v>10155</v>
      </c>
      <c r="Q691" s="1" t="s">
        <v>29</v>
      </c>
    </row>
    <row r="692" spans="1:17" ht="12.5" x14ac:dyDescent="0.25">
      <c r="A692" s="1" t="s">
        <v>152</v>
      </c>
      <c r="C692" s="1" t="s">
        <v>10916</v>
      </c>
      <c r="D692" s="1" t="s">
        <v>10917</v>
      </c>
      <c r="E692" s="1" t="s">
        <v>10162</v>
      </c>
      <c r="F692" s="1" t="s">
        <v>10516</v>
      </c>
      <c r="G692" s="1" t="s">
        <v>10918</v>
      </c>
      <c r="H692" s="1" t="s">
        <v>10176</v>
      </c>
      <c r="I692" s="1" t="s">
        <v>10176</v>
      </c>
      <c r="J692" s="1" t="s">
        <v>10270</v>
      </c>
      <c r="K692" s="1" t="s">
        <v>10270</v>
      </c>
      <c r="O692" s="1" t="s">
        <v>10155</v>
      </c>
      <c r="P692" s="1" t="s">
        <v>10155</v>
      </c>
    </row>
    <row r="693" spans="1:17" ht="12.5" x14ac:dyDescent="0.25">
      <c r="A693" s="1" t="s">
        <v>152</v>
      </c>
      <c r="C693" s="1" t="s">
        <v>10919</v>
      </c>
      <c r="D693" s="1" t="s">
        <v>10920</v>
      </c>
      <c r="E693" s="1" t="s">
        <v>10162</v>
      </c>
      <c r="F693" s="1" t="s">
        <v>10516</v>
      </c>
      <c r="G693" s="1" t="s">
        <v>10918</v>
      </c>
      <c r="H693" s="1" t="s">
        <v>10176</v>
      </c>
      <c r="I693" s="1" t="s">
        <v>10176</v>
      </c>
      <c r="J693" s="1" t="s">
        <v>10270</v>
      </c>
      <c r="K693" s="1" t="s">
        <v>10270</v>
      </c>
      <c r="O693" s="1" t="s">
        <v>10155</v>
      </c>
      <c r="P693" s="1" t="s">
        <v>10155</v>
      </c>
    </row>
    <row r="694" spans="1:17" ht="12.5" x14ac:dyDescent="0.25">
      <c r="A694" s="1" t="s">
        <v>152</v>
      </c>
      <c r="C694" s="1" t="s">
        <v>2280</v>
      </c>
      <c r="D694" s="1" t="s">
        <v>2281</v>
      </c>
      <c r="E694" s="1" t="s">
        <v>9928</v>
      </c>
      <c r="F694" s="1" t="s">
        <v>10531</v>
      </c>
      <c r="G694" s="1" t="s">
        <v>10531</v>
      </c>
      <c r="H694" s="1" t="s">
        <v>10486</v>
      </c>
      <c r="I694" s="1" t="s">
        <v>10486</v>
      </c>
      <c r="M694" s="1" t="s">
        <v>2275</v>
      </c>
      <c r="N694" s="1" t="s">
        <v>10921</v>
      </c>
      <c r="O694" s="1" t="s">
        <v>271</v>
      </c>
      <c r="P694" s="1" t="s">
        <v>10155</v>
      </c>
      <c r="Q694" s="1" t="s">
        <v>29</v>
      </c>
    </row>
    <row r="695" spans="1:17" ht="12.5" x14ac:dyDescent="0.25">
      <c r="A695" s="1" t="s">
        <v>152</v>
      </c>
      <c r="C695" s="1" t="s">
        <v>3732</v>
      </c>
      <c r="D695" s="1" t="s">
        <v>3733</v>
      </c>
      <c r="E695" s="1" t="s">
        <v>10156</v>
      </c>
      <c r="F695" s="1" t="s">
        <v>10156</v>
      </c>
      <c r="G695" s="1" t="s">
        <v>10521</v>
      </c>
      <c r="H695" s="1" t="s">
        <v>10183</v>
      </c>
      <c r="I695" s="1" t="s">
        <v>10183</v>
      </c>
      <c r="L695" s="1" t="s">
        <v>10197</v>
      </c>
      <c r="M695" s="1" t="s">
        <v>3734</v>
      </c>
      <c r="N695" s="1" t="s">
        <v>3736</v>
      </c>
      <c r="O695" s="1" t="s">
        <v>59</v>
      </c>
      <c r="P695" s="1" t="s">
        <v>59</v>
      </c>
      <c r="Q695" s="1" t="s">
        <v>29</v>
      </c>
    </row>
    <row r="696" spans="1:17" ht="12.5" x14ac:dyDescent="0.25">
      <c r="A696" s="1" t="s">
        <v>152</v>
      </c>
      <c r="C696" s="1" t="s">
        <v>3727</v>
      </c>
      <c r="D696" s="1" t="s">
        <v>3728</v>
      </c>
      <c r="E696" s="1" t="s">
        <v>9928</v>
      </c>
      <c r="F696" s="1" t="s">
        <v>10531</v>
      </c>
      <c r="G696" s="1" t="s">
        <v>10531</v>
      </c>
      <c r="H696" s="1" t="s">
        <v>10152</v>
      </c>
      <c r="I696" s="1" t="s">
        <v>10153</v>
      </c>
      <c r="M696" s="1" t="s">
        <v>3729</v>
      </c>
      <c r="O696" s="1" t="s">
        <v>124</v>
      </c>
      <c r="P696" s="1" t="s">
        <v>10155</v>
      </c>
      <c r="Q696" s="1" t="s">
        <v>29</v>
      </c>
    </row>
    <row r="697" spans="1:17" ht="12.5" x14ac:dyDescent="0.25">
      <c r="A697" s="1" t="s">
        <v>152</v>
      </c>
      <c r="C697" s="1" t="s">
        <v>10922</v>
      </c>
      <c r="D697" s="1" t="s">
        <v>10923</v>
      </c>
      <c r="E697" s="1" t="s">
        <v>9928</v>
      </c>
      <c r="F697" s="1" t="s">
        <v>10518</v>
      </c>
      <c r="G697" s="1" t="s">
        <v>10606</v>
      </c>
      <c r="H697" s="1" t="s">
        <v>10176</v>
      </c>
      <c r="I697" s="1" t="s">
        <v>10176</v>
      </c>
      <c r="J697" s="1" t="s">
        <v>10262</v>
      </c>
      <c r="K697" s="1" t="s">
        <v>10262</v>
      </c>
      <c r="O697" s="1" t="s">
        <v>10155</v>
      </c>
      <c r="P697" s="1" t="s">
        <v>10155</v>
      </c>
    </row>
    <row r="698" spans="1:17" ht="12.5" x14ac:dyDescent="0.25">
      <c r="A698" s="1" t="s">
        <v>152</v>
      </c>
      <c r="C698" s="1" t="s">
        <v>3721</v>
      </c>
      <c r="D698" s="1" t="s">
        <v>3722</v>
      </c>
      <c r="E698" s="1" t="s">
        <v>9929</v>
      </c>
      <c r="F698" s="1" t="s">
        <v>10545</v>
      </c>
      <c r="G698" s="1" t="s">
        <v>10924</v>
      </c>
      <c r="H698" s="1" t="s">
        <v>10183</v>
      </c>
      <c r="I698" s="1" t="s">
        <v>10183</v>
      </c>
      <c r="M698" s="1" t="s">
        <v>3723</v>
      </c>
      <c r="N698" s="1" t="s">
        <v>3725</v>
      </c>
      <c r="O698" s="1" t="s">
        <v>124</v>
      </c>
      <c r="P698" s="1" t="s">
        <v>124</v>
      </c>
      <c r="Q698" s="1" t="s">
        <v>29</v>
      </c>
    </row>
    <row r="699" spans="1:17" ht="12.5" x14ac:dyDescent="0.25">
      <c r="A699" s="1" t="s">
        <v>152</v>
      </c>
      <c r="C699" s="1" t="s">
        <v>3715</v>
      </c>
      <c r="D699" s="1" t="s">
        <v>10925</v>
      </c>
      <c r="E699" s="1" t="s">
        <v>9929</v>
      </c>
      <c r="F699" s="1" t="s">
        <v>10545</v>
      </c>
      <c r="G699" s="1" t="s">
        <v>10924</v>
      </c>
      <c r="H699" s="1" t="s">
        <v>10152</v>
      </c>
      <c r="I699" s="1" t="s">
        <v>10153</v>
      </c>
      <c r="L699" s="1" t="s">
        <v>10197</v>
      </c>
      <c r="M699" s="1" t="s">
        <v>3716</v>
      </c>
      <c r="N699" s="1" t="s">
        <v>3718</v>
      </c>
      <c r="O699" s="1" t="s">
        <v>706</v>
      </c>
      <c r="P699" s="1" t="s">
        <v>10155</v>
      </c>
      <c r="Q699" s="1" t="s">
        <v>29</v>
      </c>
    </row>
    <row r="700" spans="1:17" ht="12.5" x14ac:dyDescent="0.25">
      <c r="A700" s="1" t="s">
        <v>152</v>
      </c>
      <c r="C700" s="1" t="s">
        <v>10926</v>
      </c>
      <c r="D700" s="1" t="s">
        <v>10927</v>
      </c>
      <c r="E700" s="1" t="s">
        <v>10156</v>
      </c>
      <c r="F700" s="1" t="s">
        <v>10156</v>
      </c>
      <c r="G700" s="1" t="s">
        <v>10928</v>
      </c>
      <c r="H700" s="1" t="s">
        <v>10176</v>
      </c>
      <c r="I700" s="1" t="s">
        <v>10176</v>
      </c>
      <c r="J700" s="1" t="s">
        <v>10293</v>
      </c>
      <c r="K700" s="1" t="s">
        <v>10293</v>
      </c>
      <c r="O700" s="1" t="s">
        <v>10155</v>
      </c>
      <c r="P700" s="1" t="s">
        <v>10155</v>
      </c>
    </row>
    <row r="701" spans="1:17" ht="12.5" x14ac:dyDescent="0.25">
      <c r="A701" s="1" t="s">
        <v>152</v>
      </c>
      <c r="C701" s="1" t="s">
        <v>10929</v>
      </c>
      <c r="D701" s="1" t="s">
        <v>10930</v>
      </c>
      <c r="E701" s="1" t="s">
        <v>10156</v>
      </c>
      <c r="F701" s="1" t="s">
        <v>10156</v>
      </c>
      <c r="G701" s="1" t="s">
        <v>10928</v>
      </c>
      <c r="H701" s="1" t="s">
        <v>10172</v>
      </c>
      <c r="I701" s="1" t="s">
        <v>10172</v>
      </c>
      <c r="J701" s="1" t="s">
        <v>10440</v>
      </c>
      <c r="K701" s="1" t="s">
        <v>10440</v>
      </c>
      <c r="O701" s="1" t="s">
        <v>10155</v>
      </c>
      <c r="P701" s="1" t="s">
        <v>10155</v>
      </c>
    </row>
    <row r="702" spans="1:17" ht="12.5" x14ac:dyDescent="0.25">
      <c r="A702" s="1" t="s">
        <v>152</v>
      </c>
      <c r="C702" s="1" t="s">
        <v>3710</v>
      </c>
      <c r="D702" s="1" t="s">
        <v>3711</v>
      </c>
      <c r="E702" s="1" t="s">
        <v>10156</v>
      </c>
      <c r="F702" s="1" t="s">
        <v>10156</v>
      </c>
      <c r="G702" s="1" t="s">
        <v>10928</v>
      </c>
      <c r="H702" s="1" t="s">
        <v>10183</v>
      </c>
      <c r="I702" s="1" t="s">
        <v>10183</v>
      </c>
      <c r="M702" s="1" t="s">
        <v>5581</v>
      </c>
      <c r="O702" s="1" t="s">
        <v>59</v>
      </c>
      <c r="P702" s="1" t="s">
        <v>59</v>
      </c>
      <c r="Q702" s="1" t="s">
        <v>29</v>
      </c>
    </row>
    <row r="703" spans="1:17" ht="12.5" x14ac:dyDescent="0.25">
      <c r="A703" s="1" t="s">
        <v>152</v>
      </c>
      <c r="C703" s="1" t="s">
        <v>3710</v>
      </c>
      <c r="D703" s="1" t="s">
        <v>3711</v>
      </c>
      <c r="E703" s="1" t="s">
        <v>10156</v>
      </c>
      <c r="F703" s="1" t="s">
        <v>10156</v>
      </c>
      <c r="G703" s="1" t="s">
        <v>10928</v>
      </c>
      <c r="H703" s="1" t="s">
        <v>10183</v>
      </c>
      <c r="I703" s="1" t="s">
        <v>10183</v>
      </c>
      <c r="M703" s="1" t="s">
        <v>3712</v>
      </c>
      <c r="N703" s="1" t="s">
        <v>10524</v>
      </c>
      <c r="O703" s="1" t="s">
        <v>59</v>
      </c>
      <c r="P703" s="1" t="s">
        <v>24</v>
      </c>
      <c r="Q703" s="1" t="s">
        <v>29</v>
      </c>
    </row>
    <row r="704" spans="1:17" ht="12.5" x14ac:dyDescent="0.25">
      <c r="A704" s="1" t="s">
        <v>152</v>
      </c>
      <c r="C704" s="1" t="s">
        <v>10931</v>
      </c>
      <c r="D704" s="1" t="s">
        <v>10932</v>
      </c>
      <c r="E704" s="1" t="s">
        <v>10156</v>
      </c>
      <c r="F704" s="1" t="s">
        <v>10156</v>
      </c>
      <c r="G704" s="1" t="s">
        <v>10928</v>
      </c>
      <c r="H704" s="1" t="s">
        <v>10176</v>
      </c>
      <c r="I704" s="1" t="s">
        <v>10176</v>
      </c>
      <c r="J704" s="1" t="s">
        <v>10293</v>
      </c>
      <c r="K704" s="1" t="s">
        <v>10293</v>
      </c>
      <c r="O704" s="1" t="s">
        <v>10155</v>
      </c>
      <c r="P704" s="1" t="s">
        <v>10155</v>
      </c>
    </row>
    <row r="705" spans="1:17" ht="12.5" x14ac:dyDescent="0.25">
      <c r="A705" s="1" t="s">
        <v>152</v>
      </c>
      <c r="C705" s="1" t="s">
        <v>10933</v>
      </c>
      <c r="D705" s="1" t="s">
        <v>10934</v>
      </c>
      <c r="E705" s="1" t="s">
        <v>10156</v>
      </c>
      <c r="F705" s="1" t="s">
        <v>10156</v>
      </c>
      <c r="G705" s="1" t="s">
        <v>10928</v>
      </c>
      <c r="H705" s="1" t="s">
        <v>10176</v>
      </c>
      <c r="I705" s="1" t="s">
        <v>10176</v>
      </c>
      <c r="J705" s="1" t="s">
        <v>10293</v>
      </c>
      <c r="K705" s="1" t="s">
        <v>10293</v>
      </c>
      <c r="O705" s="1" t="s">
        <v>10155</v>
      </c>
      <c r="P705" s="1" t="s">
        <v>10155</v>
      </c>
    </row>
    <row r="706" spans="1:17" ht="12.5" x14ac:dyDescent="0.25">
      <c r="A706" s="1" t="s">
        <v>152</v>
      </c>
      <c r="C706" s="1" t="s">
        <v>3705</v>
      </c>
      <c r="D706" s="1" t="s">
        <v>3706</v>
      </c>
      <c r="E706" s="1" t="s">
        <v>9929</v>
      </c>
      <c r="F706" s="1" t="s">
        <v>10150</v>
      </c>
      <c r="G706" s="1" t="s">
        <v>10935</v>
      </c>
      <c r="H706" s="1" t="s">
        <v>10160</v>
      </c>
      <c r="I706" s="1" t="s">
        <v>10160</v>
      </c>
      <c r="M706" s="1" t="s">
        <v>3707</v>
      </c>
      <c r="O706" s="1" t="s">
        <v>169</v>
      </c>
      <c r="P706" s="1" t="s">
        <v>10155</v>
      </c>
      <c r="Q706" s="1" t="s">
        <v>29</v>
      </c>
    </row>
    <row r="707" spans="1:17" ht="12.5" x14ac:dyDescent="0.25">
      <c r="A707" s="1" t="s">
        <v>152</v>
      </c>
      <c r="C707" s="1" t="s">
        <v>3699</v>
      </c>
      <c r="D707" s="1" t="s">
        <v>3700</v>
      </c>
      <c r="E707" s="1" t="s">
        <v>9929</v>
      </c>
      <c r="F707" s="1" t="s">
        <v>10150</v>
      </c>
      <c r="G707" s="1" t="s">
        <v>10935</v>
      </c>
      <c r="H707" s="1" t="s">
        <v>10152</v>
      </c>
      <c r="I707" s="1" t="s">
        <v>10153</v>
      </c>
      <c r="M707" s="1" t="s">
        <v>3701</v>
      </c>
      <c r="N707" s="1" t="s">
        <v>3703</v>
      </c>
      <c r="O707" s="1" t="s">
        <v>271</v>
      </c>
      <c r="P707" s="1" t="s">
        <v>10155</v>
      </c>
      <c r="Q707" s="1" t="s">
        <v>29</v>
      </c>
    </row>
    <row r="708" spans="1:17" ht="12.5" x14ac:dyDescent="0.25">
      <c r="A708" s="1" t="s">
        <v>152</v>
      </c>
      <c r="C708" s="1" t="s">
        <v>3694</v>
      </c>
      <c r="D708" s="1" t="s">
        <v>3695</v>
      </c>
      <c r="E708" s="1" t="s">
        <v>9929</v>
      </c>
      <c r="F708" s="1" t="s">
        <v>10150</v>
      </c>
      <c r="G708" s="1" t="s">
        <v>10935</v>
      </c>
      <c r="H708" s="1" t="s">
        <v>10152</v>
      </c>
      <c r="I708" s="1" t="s">
        <v>10153</v>
      </c>
      <c r="M708" s="1" t="s">
        <v>9146</v>
      </c>
      <c r="N708" s="1" t="s">
        <v>10936</v>
      </c>
      <c r="O708" s="1" t="s">
        <v>292</v>
      </c>
      <c r="P708" s="1" t="s">
        <v>10155</v>
      </c>
      <c r="Q708" s="1" t="s">
        <v>29</v>
      </c>
    </row>
    <row r="709" spans="1:17" ht="12.5" x14ac:dyDescent="0.25">
      <c r="A709" s="1" t="s">
        <v>152</v>
      </c>
      <c r="C709" s="1" t="s">
        <v>3694</v>
      </c>
      <c r="D709" s="1" t="s">
        <v>3695</v>
      </c>
      <c r="E709" s="1" t="s">
        <v>9929</v>
      </c>
      <c r="F709" s="1" t="s">
        <v>10150</v>
      </c>
      <c r="G709" s="1" t="s">
        <v>10935</v>
      </c>
      <c r="H709" s="1" t="s">
        <v>10152</v>
      </c>
      <c r="I709" s="1" t="s">
        <v>10153</v>
      </c>
      <c r="M709" s="1" t="s">
        <v>3696</v>
      </c>
      <c r="O709" s="1" t="s">
        <v>10155</v>
      </c>
      <c r="P709" s="1" t="s">
        <v>10155</v>
      </c>
      <c r="Q709" s="1" t="s">
        <v>29</v>
      </c>
    </row>
    <row r="710" spans="1:17" ht="12.5" x14ac:dyDescent="0.25">
      <c r="A710" s="1" t="s">
        <v>152</v>
      </c>
      <c r="C710" s="1" t="s">
        <v>3690</v>
      </c>
      <c r="D710" s="1" t="s">
        <v>3691</v>
      </c>
      <c r="E710" s="1" t="s">
        <v>10162</v>
      </c>
      <c r="F710" s="1" t="s">
        <v>10162</v>
      </c>
      <c r="G710" s="1" t="s">
        <v>10937</v>
      </c>
      <c r="H710" s="1" t="s">
        <v>10152</v>
      </c>
      <c r="I710" s="1" t="s">
        <v>10153</v>
      </c>
      <c r="M710" s="1" t="s">
        <v>6772</v>
      </c>
      <c r="O710" s="1" t="s">
        <v>292</v>
      </c>
      <c r="P710" s="1" t="s">
        <v>10155</v>
      </c>
      <c r="Q710" s="1" t="s">
        <v>29</v>
      </c>
    </row>
    <row r="711" spans="1:17" ht="12.5" x14ac:dyDescent="0.25">
      <c r="A711" s="1" t="s">
        <v>152</v>
      </c>
      <c r="C711" s="1" t="s">
        <v>3690</v>
      </c>
      <c r="D711" s="1" t="s">
        <v>3691</v>
      </c>
      <c r="E711" s="1" t="s">
        <v>10162</v>
      </c>
      <c r="F711" s="1" t="s">
        <v>10162</v>
      </c>
      <c r="G711" s="1" t="s">
        <v>10937</v>
      </c>
      <c r="H711" s="1" t="s">
        <v>10152</v>
      </c>
      <c r="I711" s="1" t="s">
        <v>10153</v>
      </c>
      <c r="M711" s="1" t="s">
        <v>3692</v>
      </c>
      <c r="O711" s="1" t="s">
        <v>10155</v>
      </c>
      <c r="P711" s="1" t="s">
        <v>10155</v>
      </c>
      <c r="Q711" s="1" t="s">
        <v>20</v>
      </c>
    </row>
    <row r="712" spans="1:17" ht="12.5" x14ac:dyDescent="0.25">
      <c r="A712" s="1" t="s">
        <v>152</v>
      </c>
      <c r="C712" s="1" t="s">
        <v>3684</v>
      </c>
      <c r="D712" s="1" t="s">
        <v>3685</v>
      </c>
      <c r="E712" s="1" t="s">
        <v>10162</v>
      </c>
      <c r="F712" s="1" t="s">
        <v>10162</v>
      </c>
      <c r="G712" s="1" t="s">
        <v>10937</v>
      </c>
      <c r="H712" s="1" t="s">
        <v>10176</v>
      </c>
      <c r="I712" s="1" t="s">
        <v>10176</v>
      </c>
      <c r="J712" s="1" t="s">
        <v>10270</v>
      </c>
      <c r="K712" s="1" t="s">
        <v>10270</v>
      </c>
      <c r="M712" s="1" t="s">
        <v>3686</v>
      </c>
      <c r="N712" s="1" t="s">
        <v>3688</v>
      </c>
      <c r="O712" s="1" t="s">
        <v>10155</v>
      </c>
      <c r="P712" s="1" t="s">
        <v>10155</v>
      </c>
      <c r="Q712" s="1" t="s">
        <v>29</v>
      </c>
    </row>
    <row r="713" spans="1:17" ht="12.5" x14ac:dyDescent="0.25">
      <c r="A713" s="1" t="s">
        <v>152</v>
      </c>
      <c r="C713" s="1" t="s">
        <v>3679</v>
      </c>
      <c r="D713" s="1" t="s">
        <v>3680</v>
      </c>
      <c r="E713" s="1" t="s">
        <v>10162</v>
      </c>
      <c r="F713" s="1" t="s">
        <v>10516</v>
      </c>
      <c r="G713" s="1" t="s">
        <v>10938</v>
      </c>
      <c r="H713" s="1" t="s">
        <v>10160</v>
      </c>
      <c r="I713" s="1" t="s">
        <v>10160</v>
      </c>
      <c r="L713" s="1" t="s">
        <v>10197</v>
      </c>
      <c r="M713" s="1" t="s">
        <v>3681</v>
      </c>
      <c r="O713" s="1" t="s">
        <v>33</v>
      </c>
      <c r="P713" s="1" t="s">
        <v>10155</v>
      </c>
      <c r="Q713" s="1" t="s">
        <v>29</v>
      </c>
    </row>
    <row r="714" spans="1:17" ht="12.5" x14ac:dyDescent="0.25">
      <c r="A714" s="1" t="s">
        <v>152</v>
      </c>
      <c r="C714" s="1" t="s">
        <v>3673</v>
      </c>
      <c r="D714" s="1" t="s">
        <v>3674</v>
      </c>
      <c r="E714" s="1" t="s">
        <v>9929</v>
      </c>
      <c r="F714" s="1" t="s">
        <v>10150</v>
      </c>
      <c r="G714" s="1" t="s">
        <v>10939</v>
      </c>
      <c r="H714" s="1" t="s">
        <v>10172</v>
      </c>
      <c r="I714" s="1" t="s">
        <v>10172</v>
      </c>
      <c r="J714" s="1" t="s">
        <v>10193</v>
      </c>
      <c r="K714" s="1" t="s">
        <v>10173</v>
      </c>
      <c r="L714" s="1" t="s">
        <v>10434</v>
      </c>
      <c r="M714" s="1" t="s">
        <v>3675</v>
      </c>
      <c r="N714" s="1" t="s">
        <v>3677</v>
      </c>
      <c r="O714" s="1" t="s">
        <v>59</v>
      </c>
      <c r="P714" s="1" t="s">
        <v>10155</v>
      </c>
      <c r="Q714" s="1" t="s">
        <v>29</v>
      </c>
    </row>
    <row r="715" spans="1:17" ht="12.5" x14ac:dyDescent="0.25">
      <c r="A715" s="1" t="s">
        <v>152</v>
      </c>
      <c r="C715" s="1" t="s">
        <v>3668</v>
      </c>
      <c r="D715" s="1" t="s">
        <v>3669</v>
      </c>
      <c r="E715" s="1" t="s">
        <v>9929</v>
      </c>
      <c r="F715" s="1" t="s">
        <v>10150</v>
      </c>
      <c r="G715" s="1" t="s">
        <v>10939</v>
      </c>
      <c r="H715" s="1" t="s">
        <v>10183</v>
      </c>
      <c r="I715" s="1" t="s">
        <v>10183</v>
      </c>
      <c r="M715" s="1" t="s">
        <v>3670</v>
      </c>
      <c r="O715" s="1" t="s">
        <v>124</v>
      </c>
      <c r="P715" s="1" t="s">
        <v>124</v>
      </c>
      <c r="Q715" s="1" t="s">
        <v>29</v>
      </c>
    </row>
    <row r="716" spans="1:17" ht="12.5" x14ac:dyDescent="0.25">
      <c r="A716" s="1" t="s">
        <v>152</v>
      </c>
      <c r="C716" s="1" t="s">
        <v>9238</v>
      </c>
      <c r="D716" s="1" t="s">
        <v>10940</v>
      </c>
      <c r="E716" s="1" t="s">
        <v>9929</v>
      </c>
      <c r="F716" s="1" t="s">
        <v>10150</v>
      </c>
      <c r="G716" s="1" t="s">
        <v>10939</v>
      </c>
      <c r="H716" s="1" t="s">
        <v>10172</v>
      </c>
      <c r="I716" s="1" t="s">
        <v>10172</v>
      </c>
      <c r="J716" s="1" t="s">
        <v>10193</v>
      </c>
      <c r="K716" s="1" t="s">
        <v>10173</v>
      </c>
      <c r="L716" s="1" t="s">
        <v>10434</v>
      </c>
      <c r="M716" s="1" t="s">
        <v>9239</v>
      </c>
      <c r="N716" s="1" t="s">
        <v>9241</v>
      </c>
      <c r="O716" s="1" t="s">
        <v>157</v>
      </c>
      <c r="P716" s="1" t="s">
        <v>10155</v>
      </c>
      <c r="Q716" s="1" t="s">
        <v>29</v>
      </c>
    </row>
    <row r="717" spans="1:17" ht="12.5" x14ac:dyDescent="0.25">
      <c r="A717" s="1" t="s">
        <v>152</v>
      </c>
      <c r="C717" s="1" t="s">
        <v>10941</v>
      </c>
      <c r="D717" s="1" t="s">
        <v>10942</v>
      </c>
      <c r="E717" s="1" t="s">
        <v>10162</v>
      </c>
      <c r="F717" s="1" t="s">
        <v>10516</v>
      </c>
      <c r="G717" s="1" t="s">
        <v>10556</v>
      </c>
      <c r="H717" s="1" t="s">
        <v>10176</v>
      </c>
      <c r="I717" s="1" t="s">
        <v>10176</v>
      </c>
      <c r="J717" s="1" t="s">
        <v>10270</v>
      </c>
      <c r="K717" s="1" t="s">
        <v>10270</v>
      </c>
      <c r="O717" s="1" t="s">
        <v>10155</v>
      </c>
      <c r="P717" s="1" t="s">
        <v>10155</v>
      </c>
    </row>
    <row r="718" spans="1:17" ht="12.5" x14ac:dyDescent="0.25">
      <c r="A718" s="1" t="s">
        <v>152</v>
      </c>
      <c r="C718" s="1" t="s">
        <v>10943</v>
      </c>
      <c r="D718" s="1" t="s">
        <v>10944</v>
      </c>
      <c r="E718" s="1" t="s">
        <v>10162</v>
      </c>
      <c r="F718" s="1" t="s">
        <v>10516</v>
      </c>
      <c r="G718" s="1" t="s">
        <v>10556</v>
      </c>
      <c r="H718" s="1" t="s">
        <v>10176</v>
      </c>
      <c r="I718" s="1" t="s">
        <v>10176</v>
      </c>
      <c r="J718" s="1" t="s">
        <v>10270</v>
      </c>
      <c r="K718" s="1" t="s">
        <v>10270</v>
      </c>
      <c r="O718" s="1" t="s">
        <v>10155</v>
      </c>
      <c r="P718" s="1" t="s">
        <v>10155</v>
      </c>
    </row>
    <row r="719" spans="1:17" ht="12.5" x14ac:dyDescent="0.25">
      <c r="A719" s="1" t="s">
        <v>152</v>
      </c>
      <c r="C719" s="1" t="s">
        <v>10945</v>
      </c>
      <c r="D719" s="1" t="s">
        <v>10946</v>
      </c>
      <c r="E719" s="1" t="s">
        <v>10162</v>
      </c>
      <c r="F719" s="1" t="s">
        <v>10516</v>
      </c>
      <c r="G719" s="1" t="s">
        <v>10556</v>
      </c>
      <c r="H719" s="1" t="s">
        <v>10176</v>
      </c>
      <c r="I719" s="1" t="s">
        <v>10176</v>
      </c>
      <c r="J719" s="1" t="s">
        <v>10270</v>
      </c>
      <c r="K719" s="1" t="s">
        <v>10270</v>
      </c>
      <c r="O719" s="1" t="s">
        <v>10155</v>
      </c>
      <c r="P719" s="1" t="s">
        <v>10155</v>
      </c>
    </row>
    <row r="720" spans="1:17" ht="12.5" x14ac:dyDescent="0.25">
      <c r="A720" s="1" t="s">
        <v>152</v>
      </c>
      <c r="C720" s="1" t="s">
        <v>10947</v>
      </c>
      <c r="D720" s="1" t="s">
        <v>10948</v>
      </c>
      <c r="E720" s="1" t="s">
        <v>10162</v>
      </c>
      <c r="F720" s="1" t="s">
        <v>10516</v>
      </c>
      <c r="G720" s="1" t="s">
        <v>10556</v>
      </c>
      <c r="H720" s="1" t="s">
        <v>10176</v>
      </c>
      <c r="I720" s="1" t="s">
        <v>10176</v>
      </c>
      <c r="J720" s="1" t="s">
        <v>10270</v>
      </c>
      <c r="K720" s="1" t="s">
        <v>10270</v>
      </c>
      <c r="O720" s="1" t="s">
        <v>10155</v>
      </c>
      <c r="P720" s="1" t="s">
        <v>10155</v>
      </c>
    </row>
    <row r="721" spans="1:17" ht="12.5" x14ac:dyDescent="0.25">
      <c r="A721" s="1" t="s">
        <v>152</v>
      </c>
      <c r="C721" s="1" t="s">
        <v>3663</v>
      </c>
      <c r="D721" s="1" t="s">
        <v>3664</v>
      </c>
      <c r="E721" s="1" t="s">
        <v>10162</v>
      </c>
      <c r="F721" s="1" t="s">
        <v>10516</v>
      </c>
      <c r="G721" s="1" t="s">
        <v>10556</v>
      </c>
      <c r="H721" s="1" t="s">
        <v>10172</v>
      </c>
      <c r="I721" s="1" t="s">
        <v>10172</v>
      </c>
      <c r="J721" s="1" t="s">
        <v>10193</v>
      </c>
      <c r="K721" s="1" t="s">
        <v>10173</v>
      </c>
      <c r="L721" s="1" t="s">
        <v>10434</v>
      </c>
      <c r="M721" s="1" t="s">
        <v>3665</v>
      </c>
      <c r="O721" s="1" t="s">
        <v>10155</v>
      </c>
      <c r="P721" s="1" t="s">
        <v>10155</v>
      </c>
      <c r="Q721" s="1" t="s">
        <v>29</v>
      </c>
    </row>
    <row r="722" spans="1:17" ht="12.5" x14ac:dyDescent="0.25">
      <c r="A722" s="1" t="s">
        <v>152</v>
      </c>
      <c r="C722" s="1" t="s">
        <v>3659</v>
      </c>
      <c r="D722" s="1" t="s">
        <v>3660</v>
      </c>
      <c r="E722" s="1" t="s">
        <v>10162</v>
      </c>
      <c r="F722" s="1" t="s">
        <v>10516</v>
      </c>
      <c r="G722" s="1" t="s">
        <v>10614</v>
      </c>
      <c r="H722" s="1" t="s">
        <v>10152</v>
      </c>
      <c r="I722" s="1" t="s">
        <v>10153</v>
      </c>
      <c r="L722" s="1" t="s">
        <v>10197</v>
      </c>
      <c r="M722" s="1" t="s">
        <v>3661</v>
      </c>
      <c r="O722" s="1" t="s">
        <v>33</v>
      </c>
      <c r="P722" s="1" t="s">
        <v>10155</v>
      </c>
      <c r="Q722" s="1" t="s">
        <v>29</v>
      </c>
    </row>
    <row r="723" spans="1:17" ht="12.5" x14ac:dyDescent="0.25">
      <c r="A723" s="1" t="s">
        <v>152</v>
      </c>
      <c r="C723" s="1" t="s">
        <v>6322</v>
      </c>
      <c r="D723" s="1" t="s">
        <v>6323</v>
      </c>
      <c r="E723" s="1" t="s">
        <v>10162</v>
      </c>
      <c r="F723" s="1" t="s">
        <v>10516</v>
      </c>
      <c r="G723" s="1" t="s">
        <v>10614</v>
      </c>
      <c r="H723" s="1" t="s">
        <v>10152</v>
      </c>
      <c r="I723" s="1" t="s">
        <v>10153</v>
      </c>
      <c r="M723" s="1" t="s">
        <v>6324</v>
      </c>
      <c r="N723" s="1" t="s">
        <v>6326</v>
      </c>
      <c r="O723" s="1" t="s">
        <v>169</v>
      </c>
      <c r="P723" s="1" t="s">
        <v>10155</v>
      </c>
      <c r="Q723" s="1" t="s">
        <v>29</v>
      </c>
    </row>
    <row r="724" spans="1:17" ht="12.5" x14ac:dyDescent="0.25">
      <c r="A724" s="1" t="s">
        <v>152</v>
      </c>
      <c r="C724" s="1" t="s">
        <v>3654</v>
      </c>
      <c r="D724" s="1" t="s">
        <v>3655</v>
      </c>
      <c r="E724" s="1" t="s">
        <v>9928</v>
      </c>
      <c r="F724" s="1" t="s">
        <v>10565</v>
      </c>
      <c r="G724" s="1" t="s">
        <v>10612</v>
      </c>
      <c r="H724" s="1" t="s">
        <v>10152</v>
      </c>
      <c r="I724" s="1" t="s">
        <v>10153</v>
      </c>
      <c r="M724" s="1" t="s">
        <v>3656</v>
      </c>
      <c r="O724" s="1" t="s">
        <v>169</v>
      </c>
      <c r="P724" s="1" t="s">
        <v>10155</v>
      </c>
      <c r="Q724" s="1" t="s">
        <v>29</v>
      </c>
    </row>
    <row r="725" spans="1:17" ht="12.5" x14ac:dyDescent="0.25">
      <c r="A725" s="1" t="s">
        <v>152</v>
      </c>
      <c r="C725" s="1" t="s">
        <v>3649</v>
      </c>
      <c r="D725" s="1" t="s">
        <v>3650</v>
      </c>
      <c r="E725" s="1" t="s">
        <v>10156</v>
      </c>
      <c r="F725" s="1" t="s">
        <v>10156</v>
      </c>
      <c r="G725" s="1" t="s">
        <v>10615</v>
      </c>
      <c r="H725" s="1" t="s">
        <v>10176</v>
      </c>
      <c r="I725" s="1" t="s">
        <v>10176</v>
      </c>
      <c r="J725" s="1" t="s">
        <v>10177</v>
      </c>
      <c r="K725" s="1" t="s">
        <v>10177</v>
      </c>
      <c r="M725" s="1" t="s">
        <v>3651</v>
      </c>
      <c r="O725" s="1" t="s">
        <v>10155</v>
      </c>
      <c r="P725" s="1" t="s">
        <v>10155</v>
      </c>
      <c r="Q725" s="1" t="s">
        <v>29</v>
      </c>
    </row>
    <row r="726" spans="1:17" ht="12.5" x14ac:dyDescent="0.25">
      <c r="A726" s="1" t="s">
        <v>152</v>
      </c>
      <c r="C726" s="1" t="s">
        <v>3643</v>
      </c>
      <c r="D726" s="1" t="s">
        <v>3644</v>
      </c>
      <c r="E726" s="1" t="s">
        <v>10156</v>
      </c>
      <c r="F726" s="1" t="s">
        <v>10156</v>
      </c>
      <c r="G726" s="1" t="s">
        <v>10615</v>
      </c>
      <c r="H726" s="1" t="s">
        <v>10183</v>
      </c>
      <c r="I726" s="1" t="s">
        <v>10183</v>
      </c>
      <c r="M726" s="1" t="s">
        <v>3645</v>
      </c>
      <c r="N726" s="1" t="s">
        <v>3647</v>
      </c>
      <c r="O726" s="1" t="s">
        <v>24</v>
      </c>
      <c r="P726" s="1" t="s">
        <v>10155</v>
      </c>
      <c r="Q726" s="1" t="s">
        <v>29</v>
      </c>
    </row>
    <row r="727" spans="1:17" ht="12.5" x14ac:dyDescent="0.25">
      <c r="A727" s="1" t="s">
        <v>152</v>
      </c>
      <c r="C727" s="1" t="s">
        <v>3637</v>
      </c>
      <c r="D727" s="1" t="s">
        <v>3638</v>
      </c>
      <c r="E727" s="1" t="s">
        <v>10156</v>
      </c>
      <c r="F727" s="1" t="s">
        <v>10156</v>
      </c>
      <c r="G727" s="1" t="s">
        <v>10615</v>
      </c>
      <c r="H727" s="1" t="s">
        <v>10160</v>
      </c>
      <c r="I727" s="1" t="s">
        <v>10160</v>
      </c>
      <c r="L727" s="1" t="s">
        <v>10197</v>
      </c>
      <c r="M727" s="1" t="s">
        <v>3639</v>
      </c>
      <c r="N727" s="1" t="s">
        <v>3641</v>
      </c>
      <c r="O727" s="1" t="s">
        <v>169</v>
      </c>
      <c r="P727" s="1" t="s">
        <v>10155</v>
      </c>
      <c r="Q727" s="1" t="s">
        <v>29</v>
      </c>
    </row>
    <row r="728" spans="1:17" ht="12.5" x14ac:dyDescent="0.25">
      <c r="A728" s="1" t="s">
        <v>152</v>
      </c>
      <c r="C728" s="1" t="s">
        <v>3631</v>
      </c>
      <c r="D728" s="1" t="s">
        <v>3632</v>
      </c>
      <c r="E728" s="1" t="s">
        <v>10156</v>
      </c>
      <c r="F728" s="1" t="s">
        <v>10156</v>
      </c>
      <c r="G728" s="1" t="s">
        <v>10559</v>
      </c>
      <c r="H728" s="1" t="s">
        <v>10152</v>
      </c>
      <c r="I728" s="1" t="s">
        <v>10153</v>
      </c>
      <c r="L728" s="1" t="s">
        <v>10197</v>
      </c>
      <c r="M728" s="1" t="s">
        <v>3633</v>
      </c>
      <c r="N728" s="1" t="s">
        <v>3635</v>
      </c>
      <c r="O728" s="1" t="s">
        <v>124</v>
      </c>
      <c r="P728" s="1" t="s">
        <v>10155</v>
      </c>
      <c r="Q728" s="1" t="s">
        <v>29</v>
      </c>
    </row>
    <row r="729" spans="1:17" ht="12.5" x14ac:dyDescent="0.25">
      <c r="A729" s="1" t="s">
        <v>152</v>
      </c>
      <c r="C729" s="1" t="s">
        <v>5741</v>
      </c>
      <c r="D729" s="1" t="s">
        <v>5742</v>
      </c>
      <c r="E729" s="1" t="s">
        <v>10156</v>
      </c>
      <c r="F729" s="1" t="s">
        <v>10156</v>
      </c>
      <c r="G729" s="1" t="s">
        <v>10615</v>
      </c>
      <c r="H729" s="1" t="s">
        <v>10183</v>
      </c>
      <c r="I729" s="1" t="s">
        <v>10183</v>
      </c>
      <c r="M729" s="1" t="s">
        <v>5743</v>
      </c>
      <c r="N729" s="1" t="s">
        <v>5745</v>
      </c>
      <c r="O729" s="1" t="s">
        <v>53</v>
      </c>
      <c r="P729" s="1" t="s">
        <v>24</v>
      </c>
      <c r="Q729" s="1" t="s">
        <v>29</v>
      </c>
    </row>
    <row r="730" spans="1:17" ht="12.5" x14ac:dyDescent="0.25">
      <c r="A730" s="1" t="s">
        <v>152</v>
      </c>
      <c r="C730" s="1" t="s">
        <v>5536</v>
      </c>
      <c r="D730" s="1" t="s">
        <v>5537</v>
      </c>
      <c r="E730" s="1" t="s">
        <v>10156</v>
      </c>
      <c r="F730" s="1" t="s">
        <v>10156</v>
      </c>
      <c r="G730" s="1" t="s">
        <v>10615</v>
      </c>
      <c r="H730" s="1" t="s">
        <v>10183</v>
      </c>
      <c r="I730" s="1" t="s">
        <v>10183</v>
      </c>
      <c r="M730" s="1" t="s">
        <v>5538</v>
      </c>
      <c r="N730" s="1" t="s">
        <v>5540</v>
      </c>
      <c r="O730" s="1" t="s">
        <v>124</v>
      </c>
      <c r="P730" s="1" t="s">
        <v>124</v>
      </c>
      <c r="Q730" s="1" t="s">
        <v>29</v>
      </c>
    </row>
    <row r="731" spans="1:17" ht="12.5" x14ac:dyDescent="0.25">
      <c r="A731" s="1" t="s">
        <v>152</v>
      </c>
      <c r="C731" s="1" t="s">
        <v>3626</v>
      </c>
      <c r="D731" s="1" t="s">
        <v>3627</v>
      </c>
      <c r="E731" s="1" t="s">
        <v>10156</v>
      </c>
      <c r="F731" s="1" t="s">
        <v>10156</v>
      </c>
      <c r="G731" s="1" t="s">
        <v>10615</v>
      </c>
      <c r="H731" s="1" t="s">
        <v>10160</v>
      </c>
      <c r="I731" s="1" t="s">
        <v>10160</v>
      </c>
      <c r="M731" s="1" t="s">
        <v>3628</v>
      </c>
      <c r="O731" s="1" t="s">
        <v>59</v>
      </c>
      <c r="P731" s="1" t="s">
        <v>10155</v>
      </c>
      <c r="Q731" s="1" t="s">
        <v>29</v>
      </c>
    </row>
    <row r="732" spans="1:17" ht="12.5" x14ac:dyDescent="0.25">
      <c r="A732" s="1" t="s">
        <v>152</v>
      </c>
      <c r="C732" s="1" t="s">
        <v>10949</v>
      </c>
      <c r="D732" s="1" t="s">
        <v>10950</v>
      </c>
      <c r="E732" s="1" t="s">
        <v>10156</v>
      </c>
      <c r="F732" s="1" t="s">
        <v>10156</v>
      </c>
      <c r="G732" s="1" t="s">
        <v>10615</v>
      </c>
      <c r="H732" s="1" t="s">
        <v>10176</v>
      </c>
      <c r="I732" s="1" t="s">
        <v>10176</v>
      </c>
      <c r="J732" s="1" t="s">
        <v>10293</v>
      </c>
      <c r="K732" s="1" t="s">
        <v>10293</v>
      </c>
      <c r="O732" s="1" t="s">
        <v>10155</v>
      </c>
      <c r="P732" s="1" t="s">
        <v>10155</v>
      </c>
    </row>
    <row r="733" spans="1:17" ht="12.5" x14ac:dyDescent="0.25">
      <c r="A733" s="1" t="s">
        <v>152</v>
      </c>
      <c r="C733" s="1" t="s">
        <v>6708</v>
      </c>
      <c r="D733" s="1" t="s">
        <v>6709</v>
      </c>
      <c r="E733" s="1" t="s">
        <v>10156</v>
      </c>
      <c r="F733" s="1" t="s">
        <v>10156</v>
      </c>
      <c r="G733" s="1" t="s">
        <v>10615</v>
      </c>
      <c r="H733" s="1" t="s">
        <v>10183</v>
      </c>
      <c r="I733" s="1" t="s">
        <v>10183</v>
      </c>
      <c r="M733" s="1" t="s">
        <v>6710</v>
      </c>
      <c r="O733" s="1" t="s">
        <v>124</v>
      </c>
      <c r="P733" s="1" t="s">
        <v>124</v>
      </c>
      <c r="Q733" s="1" t="s">
        <v>29</v>
      </c>
    </row>
    <row r="734" spans="1:17" ht="12.5" x14ac:dyDescent="0.25">
      <c r="A734" s="1" t="s">
        <v>152</v>
      </c>
      <c r="C734" s="1" t="s">
        <v>3621</v>
      </c>
      <c r="D734" s="1" t="s">
        <v>3622</v>
      </c>
      <c r="E734" s="1" t="s">
        <v>10156</v>
      </c>
      <c r="F734" s="1" t="s">
        <v>10156</v>
      </c>
      <c r="G734" s="1" t="s">
        <v>10615</v>
      </c>
      <c r="H734" s="1" t="s">
        <v>10160</v>
      </c>
      <c r="I734" s="1" t="s">
        <v>10160</v>
      </c>
      <c r="L734" s="1" t="s">
        <v>10197</v>
      </c>
      <c r="M734" s="1" t="s">
        <v>3623</v>
      </c>
      <c r="O734" s="1" t="s">
        <v>59</v>
      </c>
      <c r="P734" s="1" t="s">
        <v>10155</v>
      </c>
      <c r="Q734" s="1" t="s">
        <v>29</v>
      </c>
    </row>
    <row r="735" spans="1:17" ht="12.5" x14ac:dyDescent="0.25">
      <c r="A735" s="1" t="s">
        <v>152</v>
      </c>
      <c r="C735" s="1" t="s">
        <v>3616</v>
      </c>
      <c r="D735" s="1" t="s">
        <v>3617</v>
      </c>
      <c r="E735" s="1" t="s">
        <v>10162</v>
      </c>
      <c r="F735" s="1" t="s">
        <v>10516</v>
      </c>
      <c r="G735" s="1" t="s">
        <v>10517</v>
      </c>
      <c r="H735" s="1" t="s">
        <v>10172</v>
      </c>
      <c r="I735" s="1" t="s">
        <v>10172</v>
      </c>
      <c r="J735" s="1" t="s">
        <v>10193</v>
      </c>
      <c r="K735" s="1" t="s">
        <v>10193</v>
      </c>
      <c r="L735" s="1" t="s">
        <v>10434</v>
      </c>
      <c r="M735" s="1" t="s">
        <v>3618</v>
      </c>
      <c r="O735" s="1" t="s">
        <v>10155</v>
      </c>
      <c r="P735" s="1" t="s">
        <v>10155</v>
      </c>
      <c r="Q735" s="1" t="s">
        <v>29</v>
      </c>
    </row>
    <row r="736" spans="1:17" ht="12.5" x14ac:dyDescent="0.25">
      <c r="A736" s="1" t="s">
        <v>152</v>
      </c>
      <c r="C736" s="1" t="s">
        <v>3611</v>
      </c>
      <c r="D736" s="1" t="s">
        <v>3612</v>
      </c>
      <c r="E736" s="1" t="s">
        <v>10162</v>
      </c>
      <c r="F736" s="1" t="s">
        <v>10516</v>
      </c>
      <c r="G736" s="1" t="s">
        <v>10517</v>
      </c>
      <c r="H736" s="1" t="s">
        <v>10152</v>
      </c>
      <c r="I736" s="1" t="s">
        <v>10153</v>
      </c>
      <c r="L736" s="1" t="s">
        <v>10197</v>
      </c>
      <c r="M736" s="1" t="s">
        <v>3613</v>
      </c>
      <c r="O736" s="1" t="s">
        <v>169</v>
      </c>
      <c r="P736" s="1" t="s">
        <v>10155</v>
      </c>
      <c r="Q736" s="1" t="s">
        <v>29</v>
      </c>
    </row>
    <row r="737" spans="1:17" ht="12.5" x14ac:dyDescent="0.25">
      <c r="A737" s="1" t="s">
        <v>152</v>
      </c>
      <c r="C737" s="1" t="s">
        <v>3606</v>
      </c>
      <c r="D737" s="1" t="s">
        <v>3607</v>
      </c>
      <c r="E737" s="1" t="s">
        <v>10162</v>
      </c>
      <c r="F737" s="1" t="s">
        <v>10516</v>
      </c>
      <c r="G737" s="1" t="s">
        <v>10517</v>
      </c>
      <c r="H737" s="1" t="s">
        <v>10160</v>
      </c>
      <c r="I737" s="1" t="s">
        <v>10160</v>
      </c>
      <c r="L737" s="1" t="s">
        <v>10197</v>
      </c>
      <c r="M737" s="1" t="s">
        <v>3608</v>
      </c>
      <c r="O737" s="1" t="s">
        <v>33</v>
      </c>
      <c r="P737" s="1" t="s">
        <v>10155</v>
      </c>
      <c r="Q737" s="1" t="s">
        <v>29</v>
      </c>
    </row>
    <row r="738" spans="1:17" ht="12.5" x14ac:dyDescent="0.25">
      <c r="A738" s="1" t="s">
        <v>152</v>
      </c>
      <c r="C738" s="1" t="s">
        <v>7255</v>
      </c>
      <c r="D738" s="1" t="s">
        <v>7256</v>
      </c>
      <c r="E738" s="1" t="s">
        <v>10162</v>
      </c>
      <c r="F738" s="1" t="s">
        <v>10516</v>
      </c>
      <c r="G738" s="1" t="s">
        <v>10517</v>
      </c>
      <c r="H738" s="1" t="s">
        <v>10160</v>
      </c>
      <c r="I738" s="1" t="s">
        <v>10160</v>
      </c>
      <c r="M738" s="1" t="s">
        <v>7257</v>
      </c>
      <c r="N738" s="1" t="s">
        <v>10951</v>
      </c>
      <c r="O738" s="1" t="s">
        <v>10155</v>
      </c>
      <c r="P738" s="1" t="s">
        <v>10155</v>
      </c>
      <c r="Q738" s="1" t="s">
        <v>20</v>
      </c>
    </row>
    <row r="739" spans="1:17" ht="12.5" x14ac:dyDescent="0.25">
      <c r="A739" s="1" t="s">
        <v>152</v>
      </c>
      <c r="C739" s="1" t="s">
        <v>3601</v>
      </c>
      <c r="D739" s="1" t="s">
        <v>3602</v>
      </c>
      <c r="E739" s="1" t="s">
        <v>10162</v>
      </c>
      <c r="F739" s="1" t="s">
        <v>10516</v>
      </c>
      <c r="G739" s="1" t="s">
        <v>10517</v>
      </c>
      <c r="H739" s="1" t="s">
        <v>10183</v>
      </c>
      <c r="I739" s="1" t="s">
        <v>10183</v>
      </c>
      <c r="M739" s="1" t="s">
        <v>3603</v>
      </c>
      <c r="O739" s="1" t="s">
        <v>169</v>
      </c>
      <c r="P739" s="1" t="s">
        <v>124</v>
      </c>
      <c r="Q739" s="1" t="s">
        <v>29</v>
      </c>
    </row>
    <row r="740" spans="1:17" ht="12.5" x14ac:dyDescent="0.25">
      <c r="A740" s="1" t="s">
        <v>152</v>
      </c>
      <c r="C740" s="1" t="s">
        <v>8601</v>
      </c>
      <c r="D740" s="1" t="s">
        <v>10952</v>
      </c>
      <c r="E740" s="1" t="s">
        <v>10162</v>
      </c>
      <c r="F740" s="1" t="s">
        <v>10516</v>
      </c>
      <c r="G740" s="1" t="s">
        <v>10517</v>
      </c>
      <c r="H740" s="1" t="s">
        <v>10486</v>
      </c>
      <c r="I740" s="1" t="s">
        <v>10486</v>
      </c>
      <c r="M740" s="1" t="s">
        <v>8602</v>
      </c>
      <c r="O740" s="1" t="s">
        <v>169</v>
      </c>
      <c r="P740" s="1" t="s">
        <v>10155</v>
      </c>
      <c r="Q740" s="1" t="s">
        <v>29</v>
      </c>
    </row>
    <row r="741" spans="1:17" ht="12.5" x14ac:dyDescent="0.25">
      <c r="A741" s="1" t="s">
        <v>152</v>
      </c>
      <c r="C741" s="1" t="s">
        <v>3596</v>
      </c>
      <c r="D741" s="1" t="s">
        <v>3597</v>
      </c>
      <c r="E741" s="1" t="s">
        <v>10156</v>
      </c>
      <c r="F741" s="1" t="s">
        <v>10156</v>
      </c>
      <c r="G741" s="1" t="s">
        <v>10615</v>
      </c>
      <c r="H741" s="1" t="s">
        <v>10160</v>
      </c>
      <c r="I741" s="1" t="s">
        <v>10160</v>
      </c>
      <c r="L741" s="1" t="s">
        <v>10197</v>
      </c>
      <c r="M741" s="1" t="s">
        <v>3598</v>
      </c>
      <c r="O741" s="1" t="s">
        <v>169</v>
      </c>
      <c r="P741" s="1" t="s">
        <v>10155</v>
      </c>
      <c r="Q741" s="1" t="s">
        <v>29</v>
      </c>
    </row>
    <row r="742" spans="1:17" ht="12.5" x14ac:dyDescent="0.25">
      <c r="A742" s="1" t="s">
        <v>152</v>
      </c>
      <c r="C742" s="1" t="s">
        <v>3591</v>
      </c>
      <c r="D742" s="1" t="s">
        <v>3592</v>
      </c>
      <c r="E742" s="1" t="s">
        <v>10156</v>
      </c>
      <c r="F742" s="1" t="s">
        <v>10156</v>
      </c>
      <c r="G742" s="1" t="s">
        <v>10615</v>
      </c>
      <c r="H742" s="1" t="s">
        <v>10183</v>
      </c>
      <c r="I742" s="1" t="s">
        <v>10183</v>
      </c>
      <c r="M742" s="1" t="s">
        <v>3593</v>
      </c>
      <c r="O742" s="1" t="s">
        <v>24</v>
      </c>
      <c r="P742" s="1" t="s">
        <v>59</v>
      </c>
      <c r="Q742" s="1" t="s">
        <v>29</v>
      </c>
    </row>
    <row r="743" spans="1:17" ht="12.5" x14ac:dyDescent="0.25">
      <c r="A743" s="1" t="s">
        <v>152</v>
      </c>
      <c r="C743" s="1" t="s">
        <v>3586</v>
      </c>
      <c r="D743" s="1" t="s">
        <v>3587</v>
      </c>
      <c r="E743" s="1" t="s">
        <v>10156</v>
      </c>
      <c r="F743" s="1" t="s">
        <v>10156</v>
      </c>
      <c r="G743" s="1" t="s">
        <v>10615</v>
      </c>
      <c r="H743" s="1" t="s">
        <v>10183</v>
      </c>
      <c r="I743" s="1" t="s">
        <v>10183</v>
      </c>
      <c r="M743" s="1" t="s">
        <v>3588</v>
      </c>
      <c r="O743" s="1" t="s">
        <v>24</v>
      </c>
      <c r="P743" s="1" t="s">
        <v>59</v>
      </c>
      <c r="Q743" s="1" t="s">
        <v>29</v>
      </c>
    </row>
    <row r="744" spans="1:17" ht="12.5" x14ac:dyDescent="0.25">
      <c r="A744" s="1" t="s">
        <v>152</v>
      </c>
      <c r="C744" s="1" t="s">
        <v>3581</v>
      </c>
      <c r="D744" s="1" t="s">
        <v>3582</v>
      </c>
      <c r="E744" s="1" t="s">
        <v>10156</v>
      </c>
      <c r="F744" s="1" t="s">
        <v>10156</v>
      </c>
      <c r="G744" s="1" t="s">
        <v>10615</v>
      </c>
      <c r="H744" s="1" t="s">
        <v>10183</v>
      </c>
      <c r="I744" s="1" t="s">
        <v>10183</v>
      </c>
      <c r="M744" s="1" t="s">
        <v>3583</v>
      </c>
      <c r="O744" s="1" t="s">
        <v>24</v>
      </c>
      <c r="P744" s="1" t="s">
        <v>59</v>
      </c>
      <c r="Q744" s="1" t="s">
        <v>29</v>
      </c>
    </row>
    <row r="745" spans="1:17" ht="12.5" x14ac:dyDescent="0.25">
      <c r="A745" s="1" t="s">
        <v>152</v>
      </c>
      <c r="C745" s="1" t="s">
        <v>3576</v>
      </c>
      <c r="D745" s="1" t="s">
        <v>3577</v>
      </c>
      <c r="E745" s="1" t="s">
        <v>10156</v>
      </c>
      <c r="F745" s="1" t="s">
        <v>10156</v>
      </c>
      <c r="G745" s="1" t="s">
        <v>10615</v>
      </c>
      <c r="H745" s="1" t="s">
        <v>10183</v>
      </c>
      <c r="I745" s="1" t="s">
        <v>10183</v>
      </c>
      <c r="M745" s="1" t="s">
        <v>3578</v>
      </c>
      <c r="O745" s="1" t="s">
        <v>24</v>
      </c>
      <c r="P745" s="1" t="s">
        <v>59</v>
      </c>
      <c r="Q745" s="1" t="s">
        <v>29</v>
      </c>
    </row>
    <row r="746" spans="1:17" ht="12.5" x14ac:dyDescent="0.25">
      <c r="A746" s="1" t="s">
        <v>152</v>
      </c>
      <c r="C746" s="1" t="s">
        <v>3571</v>
      </c>
      <c r="D746" s="1" t="s">
        <v>3572</v>
      </c>
      <c r="E746" s="1" t="s">
        <v>9929</v>
      </c>
      <c r="F746" s="1" t="s">
        <v>10553</v>
      </c>
      <c r="G746" s="1" t="s">
        <v>10674</v>
      </c>
      <c r="H746" s="1" t="s">
        <v>10152</v>
      </c>
      <c r="I746" s="1" t="s">
        <v>10153</v>
      </c>
      <c r="L746" s="1" t="s">
        <v>10197</v>
      </c>
      <c r="M746" s="1" t="s">
        <v>3573</v>
      </c>
      <c r="O746" s="1" t="s">
        <v>271</v>
      </c>
      <c r="P746" s="1" t="s">
        <v>10155</v>
      </c>
      <c r="Q746" s="1" t="s">
        <v>29</v>
      </c>
    </row>
    <row r="747" spans="1:17" ht="12.5" x14ac:dyDescent="0.25">
      <c r="A747" s="1" t="s">
        <v>152</v>
      </c>
      <c r="C747" s="1" t="s">
        <v>3566</v>
      </c>
      <c r="D747" s="1" t="s">
        <v>3567</v>
      </c>
      <c r="E747" s="1" t="s">
        <v>9929</v>
      </c>
      <c r="F747" s="1" t="s">
        <v>10553</v>
      </c>
      <c r="G747" s="1" t="s">
        <v>10674</v>
      </c>
      <c r="H747" s="1" t="s">
        <v>10152</v>
      </c>
      <c r="I747" s="1" t="s">
        <v>10153</v>
      </c>
      <c r="L747" s="1" t="s">
        <v>10197</v>
      </c>
      <c r="M747" s="1" t="s">
        <v>3568</v>
      </c>
      <c r="O747" s="1" t="s">
        <v>271</v>
      </c>
      <c r="P747" s="1" t="s">
        <v>10155</v>
      </c>
      <c r="Q747" s="1" t="s">
        <v>29</v>
      </c>
    </row>
    <row r="748" spans="1:17" ht="12.5" x14ac:dyDescent="0.25">
      <c r="A748" s="1" t="s">
        <v>152</v>
      </c>
      <c r="C748" s="1" t="s">
        <v>3560</v>
      </c>
      <c r="D748" s="1" t="s">
        <v>3561</v>
      </c>
      <c r="E748" s="1" t="s">
        <v>9929</v>
      </c>
      <c r="F748" s="1" t="s">
        <v>10553</v>
      </c>
      <c r="G748" s="1" t="s">
        <v>10674</v>
      </c>
      <c r="H748" s="1" t="s">
        <v>10152</v>
      </c>
      <c r="I748" s="1" t="s">
        <v>10153</v>
      </c>
      <c r="L748" s="1" t="s">
        <v>10197</v>
      </c>
      <c r="M748" s="1" t="s">
        <v>3562</v>
      </c>
      <c r="N748" s="1" t="s">
        <v>3564</v>
      </c>
      <c r="O748" s="1" t="s">
        <v>112</v>
      </c>
      <c r="P748" s="1" t="s">
        <v>10155</v>
      </c>
      <c r="Q748" s="1" t="s">
        <v>29</v>
      </c>
    </row>
    <row r="749" spans="1:17" ht="12.5" x14ac:dyDescent="0.25">
      <c r="A749" s="1" t="s">
        <v>152</v>
      </c>
      <c r="C749" s="1" t="s">
        <v>5517</v>
      </c>
      <c r="D749" s="1" t="s">
        <v>10953</v>
      </c>
      <c r="E749" s="1" t="s">
        <v>9929</v>
      </c>
      <c r="F749" s="1" t="s">
        <v>10553</v>
      </c>
      <c r="G749" s="1" t="s">
        <v>10674</v>
      </c>
      <c r="H749" s="1" t="s">
        <v>10152</v>
      </c>
      <c r="I749" s="1" t="s">
        <v>10153</v>
      </c>
      <c r="L749" s="1" t="s">
        <v>10197</v>
      </c>
      <c r="M749" s="1" t="s">
        <v>5518</v>
      </c>
      <c r="N749" s="1" t="s">
        <v>10954</v>
      </c>
      <c r="O749" s="1" t="s">
        <v>157</v>
      </c>
      <c r="P749" s="1" t="s">
        <v>10155</v>
      </c>
      <c r="Q749" s="1" t="s">
        <v>29</v>
      </c>
    </row>
    <row r="750" spans="1:17" ht="12.5" x14ac:dyDescent="0.25">
      <c r="A750" s="1" t="s">
        <v>152</v>
      </c>
      <c r="C750" s="1" t="s">
        <v>3553</v>
      </c>
      <c r="D750" s="1" t="s">
        <v>3554</v>
      </c>
      <c r="E750" s="1" t="s">
        <v>9929</v>
      </c>
      <c r="F750" s="1" t="s">
        <v>10553</v>
      </c>
      <c r="G750" s="1" t="s">
        <v>10674</v>
      </c>
      <c r="H750" s="1" t="s">
        <v>10152</v>
      </c>
      <c r="I750" s="1" t="s">
        <v>10153</v>
      </c>
      <c r="M750" s="1" t="s">
        <v>5717</v>
      </c>
      <c r="N750" s="1" t="s">
        <v>10955</v>
      </c>
      <c r="O750" s="1" t="s">
        <v>112</v>
      </c>
      <c r="P750" s="1" t="s">
        <v>10155</v>
      </c>
      <c r="Q750" s="1" t="s">
        <v>29</v>
      </c>
    </row>
    <row r="751" spans="1:17" ht="12.5" x14ac:dyDescent="0.25">
      <c r="A751" s="1" t="s">
        <v>152</v>
      </c>
      <c r="C751" s="1" t="s">
        <v>3553</v>
      </c>
      <c r="D751" s="1" t="s">
        <v>3554</v>
      </c>
      <c r="E751" s="1" t="s">
        <v>9929</v>
      </c>
      <c r="F751" s="1" t="s">
        <v>10553</v>
      </c>
      <c r="G751" s="1" t="s">
        <v>10674</v>
      </c>
      <c r="H751" s="1" t="s">
        <v>10152</v>
      </c>
      <c r="I751" s="1" t="s">
        <v>10153</v>
      </c>
      <c r="M751" s="1" t="s">
        <v>3555</v>
      </c>
      <c r="O751" s="1" t="s">
        <v>10155</v>
      </c>
      <c r="P751" s="1" t="s">
        <v>10155</v>
      </c>
      <c r="Q751" s="1" t="s">
        <v>29</v>
      </c>
    </row>
    <row r="752" spans="1:17" ht="12.5" x14ac:dyDescent="0.25">
      <c r="A752" s="1" t="s">
        <v>152</v>
      </c>
      <c r="C752" s="1" t="s">
        <v>3548</v>
      </c>
      <c r="D752" s="1" t="s">
        <v>3549</v>
      </c>
      <c r="E752" s="1" t="s">
        <v>9929</v>
      </c>
      <c r="F752" s="1" t="s">
        <v>10553</v>
      </c>
      <c r="G752" s="1" t="s">
        <v>10674</v>
      </c>
      <c r="H752" s="1" t="s">
        <v>10152</v>
      </c>
      <c r="I752" s="1" t="s">
        <v>10153</v>
      </c>
      <c r="M752" s="1" t="s">
        <v>5721</v>
      </c>
      <c r="N752" s="1" t="s">
        <v>3094</v>
      </c>
      <c r="O752" s="1" t="s">
        <v>169</v>
      </c>
      <c r="P752" s="1" t="s">
        <v>10155</v>
      </c>
      <c r="Q752" s="1" t="s">
        <v>29</v>
      </c>
    </row>
    <row r="753" spans="1:17" ht="12.5" x14ac:dyDescent="0.25">
      <c r="A753" s="1" t="s">
        <v>152</v>
      </c>
      <c r="C753" s="1" t="s">
        <v>3548</v>
      </c>
      <c r="D753" s="1" t="s">
        <v>3549</v>
      </c>
      <c r="E753" s="1" t="s">
        <v>9929</v>
      </c>
      <c r="F753" s="1" t="s">
        <v>10553</v>
      </c>
      <c r="G753" s="1" t="s">
        <v>10674</v>
      </c>
      <c r="H753" s="1" t="s">
        <v>10152</v>
      </c>
      <c r="I753" s="1" t="s">
        <v>10153</v>
      </c>
      <c r="M753" s="1" t="s">
        <v>3550</v>
      </c>
      <c r="O753" s="1" t="s">
        <v>10155</v>
      </c>
      <c r="P753" s="1" t="s">
        <v>10155</v>
      </c>
      <c r="Q753" s="1" t="s">
        <v>29</v>
      </c>
    </row>
    <row r="754" spans="1:17" ht="12.5" x14ac:dyDescent="0.25">
      <c r="A754" s="1" t="s">
        <v>152</v>
      </c>
      <c r="C754" s="1" t="s">
        <v>3543</v>
      </c>
      <c r="D754" s="1" t="s">
        <v>3544</v>
      </c>
      <c r="E754" s="1" t="s">
        <v>9929</v>
      </c>
      <c r="F754" s="1" t="s">
        <v>10553</v>
      </c>
      <c r="G754" s="1" t="s">
        <v>10674</v>
      </c>
      <c r="H754" s="1" t="s">
        <v>10172</v>
      </c>
      <c r="I754" s="1" t="s">
        <v>10172</v>
      </c>
      <c r="J754" s="1" t="s">
        <v>10193</v>
      </c>
      <c r="K754" s="1" t="s">
        <v>10193</v>
      </c>
      <c r="L754" s="1" t="s">
        <v>10434</v>
      </c>
      <c r="M754" s="1" t="s">
        <v>3545</v>
      </c>
      <c r="N754" s="1" t="s">
        <v>3547</v>
      </c>
      <c r="O754" s="1" t="s">
        <v>157</v>
      </c>
      <c r="P754" s="1" t="s">
        <v>10155</v>
      </c>
      <c r="Q754" s="1" t="s">
        <v>29</v>
      </c>
    </row>
    <row r="755" spans="1:17" ht="12.5" x14ac:dyDescent="0.25">
      <c r="A755" s="1" t="s">
        <v>152</v>
      </c>
      <c r="C755" s="1" t="s">
        <v>6608</v>
      </c>
      <c r="D755" s="1" t="s">
        <v>6609</v>
      </c>
      <c r="E755" s="1" t="s">
        <v>9929</v>
      </c>
      <c r="F755" s="1" t="s">
        <v>10150</v>
      </c>
      <c r="G755" s="1" t="s">
        <v>10935</v>
      </c>
      <c r="H755" s="1" t="s">
        <v>10183</v>
      </c>
      <c r="I755" s="1" t="s">
        <v>10183</v>
      </c>
      <c r="M755" s="1" t="s">
        <v>6610</v>
      </c>
      <c r="O755" s="1" t="s">
        <v>124</v>
      </c>
      <c r="P755" s="1" t="s">
        <v>124</v>
      </c>
      <c r="Q755" s="1" t="s">
        <v>29</v>
      </c>
    </row>
    <row r="756" spans="1:17" ht="12.5" x14ac:dyDescent="0.25">
      <c r="A756" s="1" t="s">
        <v>152</v>
      </c>
      <c r="C756" s="1" t="s">
        <v>3536</v>
      </c>
      <c r="D756" s="1" t="s">
        <v>10956</v>
      </c>
      <c r="E756" s="1" t="s">
        <v>9929</v>
      </c>
      <c r="F756" s="1" t="s">
        <v>10150</v>
      </c>
      <c r="G756" s="1" t="s">
        <v>10935</v>
      </c>
      <c r="H756" s="1" t="s">
        <v>10172</v>
      </c>
      <c r="I756" s="1" t="s">
        <v>10172</v>
      </c>
      <c r="J756" s="1" t="s">
        <v>10193</v>
      </c>
      <c r="K756" s="1" t="s">
        <v>10173</v>
      </c>
      <c r="L756" s="1" t="s">
        <v>10434</v>
      </c>
      <c r="M756" s="1" t="s">
        <v>3537</v>
      </c>
      <c r="O756" s="1" t="s">
        <v>112</v>
      </c>
      <c r="P756" s="1" t="s">
        <v>10155</v>
      </c>
      <c r="Q756" s="1" t="s">
        <v>29</v>
      </c>
    </row>
    <row r="757" spans="1:17" ht="12.5" x14ac:dyDescent="0.25">
      <c r="A757" s="1" t="s">
        <v>152</v>
      </c>
      <c r="C757" s="1" t="s">
        <v>3530</v>
      </c>
      <c r="D757" s="1" t="s">
        <v>10957</v>
      </c>
      <c r="E757" s="1" t="s">
        <v>9929</v>
      </c>
      <c r="F757" s="1" t="s">
        <v>10553</v>
      </c>
      <c r="G757" s="1" t="s">
        <v>10674</v>
      </c>
      <c r="H757" s="1" t="s">
        <v>10172</v>
      </c>
      <c r="I757" s="1" t="s">
        <v>10172</v>
      </c>
      <c r="J757" s="1" t="s">
        <v>10193</v>
      </c>
      <c r="K757" s="1" t="s">
        <v>10440</v>
      </c>
      <c r="L757" s="1" t="s">
        <v>10434</v>
      </c>
      <c r="M757" s="1" t="s">
        <v>3531</v>
      </c>
      <c r="O757" s="1" t="s">
        <v>112</v>
      </c>
      <c r="P757" s="1" t="s">
        <v>10155</v>
      </c>
      <c r="Q757" s="1" t="s">
        <v>29</v>
      </c>
    </row>
    <row r="758" spans="1:17" ht="12.5" x14ac:dyDescent="0.25">
      <c r="A758" s="1" t="s">
        <v>152</v>
      </c>
      <c r="C758" s="1" t="s">
        <v>9106</v>
      </c>
      <c r="D758" s="1" t="s">
        <v>10958</v>
      </c>
      <c r="E758" s="1" t="s">
        <v>9929</v>
      </c>
      <c r="F758" s="1" t="s">
        <v>10553</v>
      </c>
      <c r="G758" s="1" t="s">
        <v>10553</v>
      </c>
      <c r="H758" s="1" t="s">
        <v>10183</v>
      </c>
      <c r="I758" s="1" t="s">
        <v>10183</v>
      </c>
      <c r="M758" s="1" t="s">
        <v>9107</v>
      </c>
      <c r="O758" s="1" t="s">
        <v>169</v>
      </c>
      <c r="P758" s="1" t="s">
        <v>46</v>
      </c>
      <c r="Q758" s="1" t="s">
        <v>29</v>
      </c>
    </row>
    <row r="759" spans="1:17" ht="12.5" x14ac:dyDescent="0.25">
      <c r="A759" s="1" t="s">
        <v>152</v>
      </c>
      <c r="C759" s="1" t="s">
        <v>3524</v>
      </c>
      <c r="D759" s="1" t="s">
        <v>3525</v>
      </c>
      <c r="E759" s="1" t="s">
        <v>10156</v>
      </c>
      <c r="F759" s="1" t="s">
        <v>10156</v>
      </c>
      <c r="G759" s="1" t="s">
        <v>10959</v>
      </c>
      <c r="H759" s="1" t="s">
        <v>10152</v>
      </c>
      <c r="I759" s="1" t="s">
        <v>10153</v>
      </c>
      <c r="L759" s="1" t="s">
        <v>10197</v>
      </c>
      <c r="M759" s="1" t="s">
        <v>3526</v>
      </c>
      <c r="N759" s="1" t="s">
        <v>3528</v>
      </c>
      <c r="O759" s="1" t="s">
        <v>169</v>
      </c>
      <c r="P759" s="1" t="s">
        <v>10155</v>
      </c>
      <c r="Q759" s="1" t="s">
        <v>29</v>
      </c>
    </row>
    <row r="760" spans="1:17" ht="12.5" x14ac:dyDescent="0.25">
      <c r="A760" s="1" t="s">
        <v>152</v>
      </c>
      <c r="C760" s="1" t="s">
        <v>9100</v>
      </c>
      <c r="D760" s="1" t="s">
        <v>9101</v>
      </c>
      <c r="E760" s="1" t="s">
        <v>10156</v>
      </c>
      <c r="F760" s="1" t="s">
        <v>10156</v>
      </c>
      <c r="G760" s="1" t="s">
        <v>10959</v>
      </c>
      <c r="H760" s="1" t="s">
        <v>10183</v>
      </c>
      <c r="I760" s="1" t="s">
        <v>10183</v>
      </c>
      <c r="M760" s="1" t="s">
        <v>9102</v>
      </c>
      <c r="N760" s="1" t="s">
        <v>9104</v>
      </c>
      <c r="O760" s="1" t="s">
        <v>169</v>
      </c>
      <c r="P760" s="1" t="s">
        <v>53</v>
      </c>
      <c r="Q760" s="1" t="s">
        <v>29</v>
      </c>
    </row>
    <row r="761" spans="1:17" ht="12.5" x14ac:dyDescent="0.25">
      <c r="A761" s="1" t="s">
        <v>152</v>
      </c>
      <c r="C761" s="1" t="s">
        <v>3518</v>
      </c>
      <c r="D761" s="1" t="s">
        <v>3519</v>
      </c>
      <c r="E761" s="1" t="s">
        <v>10156</v>
      </c>
      <c r="F761" s="1" t="s">
        <v>10156</v>
      </c>
      <c r="G761" s="1" t="s">
        <v>10959</v>
      </c>
      <c r="H761" s="1" t="s">
        <v>10160</v>
      </c>
      <c r="I761" s="1" t="s">
        <v>10160</v>
      </c>
      <c r="L761" s="1" t="s">
        <v>10197</v>
      </c>
      <c r="M761" s="1" t="s">
        <v>3520</v>
      </c>
      <c r="N761" s="1" t="s">
        <v>3522</v>
      </c>
      <c r="O761" s="1" t="s">
        <v>292</v>
      </c>
      <c r="P761" s="1" t="s">
        <v>10155</v>
      </c>
      <c r="Q761" s="1" t="s">
        <v>29</v>
      </c>
    </row>
    <row r="762" spans="1:17" ht="12.5" x14ac:dyDescent="0.25">
      <c r="A762" s="1" t="s">
        <v>152</v>
      </c>
      <c r="C762" s="1" t="s">
        <v>5618</v>
      </c>
      <c r="D762" s="1" t="s">
        <v>5619</v>
      </c>
      <c r="E762" s="1" t="s">
        <v>10156</v>
      </c>
      <c r="F762" s="1" t="s">
        <v>10156</v>
      </c>
      <c r="G762" s="1" t="s">
        <v>10959</v>
      </c>
      <c r="H762" s="1" t="s">
        <v>10152</v>
      </c>
      <c r="I762" s="1" t="s">
        <v>10153</v>
      </c>
      <c r="M762" s="1" t="s">
        <v>5620</v>
      </c>
      <c r="O762" s="1" t="s">
        <v>59</v>
      </c>
      <c r="P762" s="1" t="s">
        <v>10155</v>
      </c>
      <c r="Q762" s="1" t="s">
        <v>29</v>
      </c>
    </row>
    <row r="763" spans="1:17" ht="12.5" x14ac:dyDescent="0.25">
      <c r="A763" s="1" t="s">
        <v>152</v>
      </c>
      <c r="C763" s="1" t="s">
        <v>3513</v>
      </c>
      <c r="D763" s="1" t="s">
        <v>3514</v>
      </c>
      <c r="E763" s="1" t="s">
        <v>10162</v>
      </c>
      <c r="F763" s="1" t="s">
        <v>10516</v>
      </c>
      <c r="G763" s="1" t="s">
        <v>10960</v>
      </c>
      <c r="H763" s="1" t="s">
        <v>10172</v>
      </c>
      <c r="I763" s="1" t="s">
        <v>10172</v>
      </c>
      <c r="J763" s="1" t="s">
        <v>10193</v>
      </c>
      <c r="K763" s="1" t="s">
        <v>10173</v>
      </c>
      <c r="L763" s="1" t="s">
        <v>10434</v>
      </c>
      <c r="M763" s="1" t="s">
        <v>3515</v>
      </c>
      <c r="O763" s="1" t="s">
        <v>10155</v>
      </c>
      <c r="P763" s="1" t="s">
        <v>10155</v>
      </c>
      <c r="Q763" s="1" t="s">
        <v>29</v>
      </c>
    </row>
    <row r="764" spans="1:17" ht="12.5" x14ac:dyDescent="0.25">
      <c r="A764" s="1" t="s">
        <v>152</v>
      </c>
      <c r="C764" s="1" t="s">
        <v>3511</v>
      </c>
      <c r="D764" s="1" t="s">
        <v>3512</v>
      </c>
      <c r="E764" s="1" t="s">
        <v>10162</v>
      </c>
      <c r="F764" s="1" t="s">
        <v>10516</v>
      </c>
      <c r="G764" s="1" t="s">
        <v>10960</v>
      </c>
      <c r="H764" s="1" t="s">
        <v>10152</v>
      </c>
      <c r="I764" s="1" t="s">
        <v>10153</v>
      </c>
      <c r="M764" s="1" t="s">
        <v>3507</v>
      </c>
      <c r="O764" s="1" t="s">
        <v>10155</v>
      </c>
      <c r="P764" s="1" t="s">
        <v>10155</v>
      </c>
      <c r="Q764" s="1" t="s">
        <v>29</v>
      </c>
    </row>
    <row r="765" spans="1:17" ht="12.5" x14ac:dyDescent="0.25">
      <c r="A765" s="1" t="s">
        <v>152</v>
      </c>
      <c r="C765" s="1" t="s">
        <v>3509</v>
      </c>
      <c r="D765" s="1" t="s">
        <v>3510</v>
      </c>
      <c r="E765" s="1" t="s">
        <v>10162</v>
      </c>
      <c r="F765" s="1" t="s">
        <v>10516</v>
      </c>
      <c r="G765" s="1" t="s">
        <v>10960</v>
      </c>
      <c r="H765" s="1" t="s">
        <v>10152</v>
      </c>
      <c r="I765" s="1" t="s">
        <v>10153</v>
      </c>
      <c r="M765" s="1" t="s">
        <v>3507</v>
      </c>
      <c r="O765" s="1" t="s">
        <v>10155</v>
      </c>
      <c r="P765" s="1" t="s">
        <v>10155</v>
      </c>
      <c r="Q765" s="1" t="s">
        <v>29</v>
      </c>
    </row>
    <row r="766" spans="1:17" ht="12.5" x14ac:dyDescent="0.25">
      <c r="A766" s="1" t="s">
        <v>152</v>
      </c>
      <c r="C766" s="1" t="s">
        <v>8148</v>
      </c>
      <c r="D766" s="1" t="s">
        <v>8149</v>
      </c>
      <c r="E766" s="1" t="s">
        <v>10162</v>
      </c>
      <c r="F766" s="1" t="s">
        <v>10516</v>
      </c>
      <c r="G766" s="1" t="s">
        <v>10960</v>
      </c>
      <c r="H766" s="1" t="s">
        <v>10183</v>
      </c>
      <c r="I766" s="1" t="s">
        <v>10183</v>
      </c>
      <c r="M766" s="1" t="s">
        <v>8150</v>
      </c>
      <c r="O766" s="1" t="s">
        <v>33</v>
      </c>
      <c r="P766" s="1" t="s">
        <v>46</v>
      </c>
      <c r="Q766" s="1" t="s">
        <v>29</v>
      </c>
    </row>
    <row r="767" spans="1:17" ht="12.5" x14ac:dyDescent="0.25">
      <c r="A767" s="1" t="s">
        <v>152</v>
      </c>
      <c r="C767" s="1" t="s">
        <v>3505</v>
      </c>
      <c r="D767" s="1" t="s">
        <v>3506</v>
      </c>
      <c r="E767" s="1" t="s">
        <v>10162</v>
      </c>
      <c r="F767" s="1" t="s">
        <v>10516</v>
      </c>
      <c r="G767" s="1" t="s">
        <v>10960</v>
      </c>
      <c r="H767" s="1" t="s">
        <v>10152</v>
      </c>
      <c r="I767" s="1" t="s">
        <v>10153</v>
      </c>
      <c r="L767" s="1" t="s">
        <v>10197</v>
      </c>
      <c r="M767" s="1" t="s">
        <v>3507</v>
      </c>
      <c r="O767" s="1" t="s">
        <v>10155</v>
      </c>
      <c r="P767" s="1" t="s">
        <v>10155</v>
      </c>
      <c r="Q767" s="1" t="s">
        <v>29</v>
      </c>
    </row>
    <row r="768" spans="1:17" ht="12.5" x14ac:dyDescent="0.25">
      <c r="A768" s="1" t="s">
        <v>152</v>
      </c>
      <c r="C768" s="1" t="s">
        <v>3501</v>
      </c>
      <c r="D768" s="1" t="s">
        <v>3502</v>
      </c>
      <c r="E768" s="1" t="s">
        <v>10162</v>
      </c>
      <c r="F768" s="1" t="s">
        <v>10516</v>
      </c>
      <c r="G768" s="1" t="s">
        <v>10960</v>
      </c>
      <c r="H768" s="1" t="s">
        <v>10152</v>
      </c>
      <c r="I768" s="1" t="s">
        <v>10153</v>
      </c>
      <c r="L768" s="1" t="s">
        <v>10197</v>
      </c>
      <c r="M768" s="1" t="s">
        <v>3503</v>
      </c>
      <c r="O768" s="1" t="s">
        <v>53</v>
      </c>
      <c r="P768" s="1" t="s">
        <v>10155</v>
      </c>
      <c r="Q768" s="1" t="s">
        <v>29</v>
      </c>
    </row>
    <row r="769" spans="1:17" ht="12.5" x14ac:dyDescent="0.25">
      <c r="A769" s="1" t="s">
        <v>152</v>
      </c>
      <c r="C769" s="1" t="s">
        <v>3496</v>
      </c>
      <c r="D769" s="1" t="s">
        <v>3497</v>
      </c>
      <c r="E769" s="1" t="s">
        <v>10162</v>
      </c>
      <c r="F769" s="1" t="s">
        <v>10516</v>
      </c>
      <c r="G769" s="1" t="s">
        <v>10960</v>
      </c>
      <c r="H769" s="1" t="s">
        <v>10172</v>
      </c>
      <c r="I769" s="1" t="s">
        <v>10172</v>
      </c>
      <c r="J769" s="1" t="s">
        <v>10193</v>
      </c>
      <c r="K769" s="1" t="s">
        <v>10173</v>
      </c>
      <c r="L769" s="1" t="s">
        <v>10434</v>
      </c>
      <c r="M769" s="1" t="s">
        <v>3498</v>
      </c>
      <c r="O769" s="1" t="s">
        <v>10155</v>
      </c>
      <c r="P769" s="1" t="s">
        <v>10155</v>
      </c>
      <c r="Q769" s="1" t="s">
        <v>29</v>
      </c>
    </row>
    <row r="770" spans="1:17" ht="12.5" x14ac:dyDescent="0.25">
      <c r="A770" s="1" t="s">
        <v>152</v>
      </c>
      <c r="C770" s="1" t="s">
        <v>3492</v>
      </c>
      <c r="D770" s="1" t="s">
        <v>10961</v>
      </c>
      <c r="E770" s="1" t="s">
        <v>10162</v>
      </c>
      <c r="F770" s="1" t="s">
        <v>10516</v>
      </c>
      <c r="G770" s="1" t="s">
        <v>10960</v>
      </c>
      <c r="H770" s="1" t="s">
        <v>10152</v>
      </c>
      <c r="I770" s="1" t="s">
        <v>10164</v>
      </c>
      <c r="M770" s="1" t="s">
        <v>3493</v>
      </c>
      <c r="O770" s="1" t="s">
        <v>10155</v>
      </c>
      <c r="P770" s="1" t="s">
        <v>10155</v>
      </c>
      <c r="Q770" s="1" t="s">
        <v>29</v>
      </c>
    </row>
    <row r="771" spans="1:17" ht="12.5" x14ac:dyDescent="0.25">
      <c r="A771" s="1" t="s">
        <v>152</v>
      </c>
      <c r="C771" s="1" t="s">
        <v>3487</v>
      </c>
      <c r="D771" s="1" t="s">
        <v>3488</v>
      </c>
      <c r="E771" s="1" t="s">
        <v>10162</v>
      </c>
      <c r="F771" s="1" t="s">
        <v>10516</v>
      </c>
      <c r="G771" s="1" t="s">
        <v>10960</v>
      </c>
      <c r="H771" s="1" t="s">
        <v>10152</v>
      </c>
      <c r="I771" s="1" t="s">
        <v>10164</v>
      </c>
      <c r="M771" s="1" t="s">
        <v>3489</v>
      </c>
      <c r="O771" s="1" t="s">
        <v>10155</v>
      </c>
      <c r="P771" s="1" t="s">
        <v>10155</v>
      </c>
      <c r="Q771" s="1" t="s">
        <v>29</v>
      </c>
    </row>
    <row r="772" spans="1:17" ht="12.5" x14ac:dyDescent="0.25">
      <c r="A772" s="1" t="s">
        <v>152</v>
      </c>
      <c r="C772" s="1" t="s">
        <v>3482</v>
      </c>
      <c r="D772" s="1" t="s">
        <v>3483</v>
      </c>
      <c r="E772" s="1" t="s">
        <v>10162</v>
      </c>
      <c r="F772" s="1" t="s">
        <v>10516</v>
      </c>
      <c r="G772" s="1" t="s">
        <v>10960</v>
      </c>
      <c r="H772" s="1" t="s">
        <v>10172</v>
      </c>
      <c r="I772" s="1" t="s">
        <v>10172</v>
      </c>
      <c r="J772" s="1" t="s">
        <v>10193</v>
      </c>
      <c r="K772" s="1" t="s">
        <v>10173</v>
      </c>
      <c r="L772" s="1" t="s">
        <v>10434</v>
      </c>
      <c r="M772" s="1" t="s">
        <v>3484</v>
      </c>
      <c r="O772" s="1" t="s">
        <v>10155</v>
      </c>
      <c r="P772" s="1" t="s">
        <v>10155</v>
      </c>
      <c r="Q772" s="1" t="s">
        <v>29</v>
      </c>
    </row>
    <row r="773" spans="1:17" ht="12.5" x14ac:dyDescent="0.25">
      <c r="A773" s="1" t="s">
        <v>152</v>
      </c>
      <c r="C773" s="1" t="s">
        <v>3477</v>
      </c>
      <c r="D773" s="1" t="s">
        <v>3478</v>
      </c>
      <c r="E773" s="1" t="s">
        <v>10162</v>
      </c>
      <c r="F773" s="1" t="s">
        <v>10516</v>
      </c>
      <c r="G773" s="1" t="s">
        <v>10960</v>
      </c>
      <c r="H773" s="1" t="s">
        <v>10152</v>
      </c>
      <c r="I773" s="1" t="s">
        <v>10164</v>
      </c>
      <c r="M773" s="1" t="s">
        <v>3479</v>
      </c>
      <c r="O773" s="1" t="s">
        <v>10155</v>
      </c>
      <c r="P773" s="1" t="s">
        <v>10155</v>
      </c>
      <c r="Q773" s="1" t="s">
        <v>29</v>
      </c>
    </row>
    <row r="774" spans="1:17" ht="12.5" x14ac:dyDescent="0.25">
      <c r="A774" s="1" t="s">
        <v>152</v>
      </c>
      <c r="C774" s="1" t="s">
        <v>8153</v>
      </c>
      <c r="D774" s="1" t="s">
        <v>8154</v>
      </c>
      <c r="E774" s="1" t="s">
        <v>10162</v>
      </c>
      <c r="F774" s="1" t="s">
        <v>10516</v>
      </c>
      <c r="G774" s="1" t="s">
        <v>10960</v>
      </c>
      <c r="H774" s="1" t="s">
        <v>10183</v>
      </c>
      <c r="I774" s="1" t="s">
        <v>10183</v>
      </c>
      <c r="M774" s="1" t="s">
        <v>8155</v>
      </c>
      <c r="O774" s="1" t="s">
        <v>33</v>
      </c>
      <c r="P774" s="1" t="s">
        <v>24</v>
      </c>
      <c r="Q774" s="1" t="s">
        <v>29</v>
      </c>
    </row>
    <row r="775" spans="1:17" ht="12.5" x14ac:dyDescent="0.25">
      <c r="A775" s="1" t="s">
        <v>152</v>
      </c>
      <c r="C775" s="1" t="s">
        <v>3472</v>
      </c>
      <c r="D775" s="1" t="s">
        <v>3473</v>
      </c>
      <c r="E775" s="1" t="s">
        <v>10162</v>
      </c>
      <c r="F775" s="1" t="s">
        <v>10516</v>
      </c>
      <c r="G775" s="1" t="s">
        <v>10960</v>
      </c>
      <c r="H775" s="1" t="s">
        <v>10152</v>
      </c>
      <c r="I775" s="1" t="s">
        <v>10153</v>
      </c>
      <c r="L775" s="1" t="s">
        <v>10197</v>
      </c>
      <c r="M775" s="1" t="s">
        <v>3474</v>
      </c>
      <c r="O775" s="1" t="s">
        <v>10155</v>
      </c>
      <c r="P775" s="1" t="s">
        <v>10155</v>
      </c>
      <c r="Q775" s="1" t="s">
        <v>29</v>
      </c>
    </row>
    <row r="776" spans="1:17" ht="12.5" x14ac:dyDescent="0.25">
      <c r="A776" s="1" t="s">
        <v>152</v>
      </c>
      <c r="C776" s="1" t="s">
        <v>3466</v>
      </c>
      <c r="D776" s="1" t="s">
        <v>3467</v>
      </c>
      <c r="E776" s="1" t="s">
        <v>10156</v>
      </c>
      <c r="F776" s="1" t="s">
        <v>10156</v>
      </c>
      <c r="G776" s="1" t="s">
        <v>10962</v>
      </c>
      <c r="H776" s="1" t="s">
        <v>10152</v>
      </c>
      <c r="I776" s="1" t="s">
        <v>10153</v>
      </c>
      <c r="L776" s="1" t="s">
        <v>10197</v>
      </c>
      <c r="M776" s="1" t="s">
        <v>7103</v>
      </c>
      <c r="O776" s="1" t="s">
        <v>169</v>
      </c>
      <c r="P776" s="1" t="s">
        <v>10155</v>
      </c>
      <c r="Q776" s="1" t="s">
        <v>29</v>
      </c>
    </row>
    <row r="777" spans="1:17" ht="12.5" x14ac:dyDescent="0.25">
      <c r="A777" s="1" t="s">
        <v>152</v>
      </c>
      <c r="C777" s="1" t="s">
        <v>3466</v>
      </c>
      <c r="D777" s="1" t="s">
        <v>3467</v>
      </c>
      <c r="E777" s="1" t="s">
        <v>10156</v>
      </c>
      <c r="F777" s="1" t="s">
        <v>10156</v>
      </c>
      <c r="G777" s="1" t="s">
        <v>10962</v>
      </c>
      <c r="H777" s="1" t="s">
        <v>10152</v>
      </c>
      <c r="I777" s="1" t="s">
        <v>10153</v>
      </c>
      <c r="L777" s="1" t="s">
        <v>10197</v>
      </c>
      <c r="M777" s="1" t="s">
        <v>5737</v>
      </c>
      <c r="N777" s="1" t="s">
        <v>5739</v>
      </c>
      <c r="O777" s="1" t="s">
        <v>169</v>
      </c>
      <c r="P777" s="1" t="s">
        <v>10155</v>
      </c>
      <c r="Q777" s="1" t="s">
        <v>29</v>
      </c>
    </row>
    <row r="778" spans="1:17" ht="12.5" x14ac:dyDescent="0.25">
      <c r="A778" s="1" t="s">
        <v>152</v>
      </c>
      <c r="C778" s="1" t="s">
        <v>3466</v>
      </c>
      <c r="D778" s="1" t="s">
        <v>3467</v>
      </c>
      <c r="E778" s="1" t="s">
        <v>10156</v>
      </c>
      <c r="F778" s="1" t="s">
        <v>10156</v>
      </c>
      <c r="G778" s="1" t="s">
        <v>10962</v>
      </c>
      <c r="H778" s="1" t="s">
        <v>10152</v>
      </c>
      <c r="I778" s="1" t="s">
        <v>10153</v>
      </c>
      <c r="L778" s="1" t="s">
        <v>10197</v>
      </c>
      <c r="M778" s="1" t="s">
        <v>3468</v>
      </c>
      <c r="N778" s="1" t="s">
        <v>3470</v>
      </c>
      <c r="O778" s="1" t="s">
        <v>10155</v>
      </c>
      <c r="P778" s="1" t="s">
        <v>10155</v>
      </c>
      <c r="Q778" s="1" t="s">
        <v>29</v>
      </c>
    </row>
    <row r="779" spans="1:17" ht="12.5" x14ac:dyDescent="0.25">
      <c r="A779" s="1" t="s">
        <v>152</v>
      </c>
      <c r="C779" s="1" t="s">
        <v>10963</v>
      </c>
      <c r="D779" s="1" t="s">
        <v>10964</v>
      </c>
      <c r="E779" s="1" t="s">
        <v>9928</v>
      </c>
      <c r="F779" s="1" t="s">
        <v>10565</v>
      </c>
      <c r="G779" s="1" t="s">
        <v>10965</v>
      </c>
      <c r="H779" s="1" t="s">
        <v>10176</v>
      </c>
      <c r="I779" s="1" t="s">
        <v>10176</v>
      </c>
      <c r="J779" s="1" t="s">
        <v>10293</v>
      </c>
      <c r="K779" s="1" t="s">
        <v>10293</v>
      </c>
      <c r="O779" s="1" t="s">
        <v>10155</v>
      </c>
      <c r="P779" s="1" t="s">
        <v>10155</v>
      </c>
    </row>
    <row r="780" spans="1:17" ht="12.5" x14ac:dyDescent="0.25">
      <c r="A780" s="1" t="s">
        <v>152</v>
      </c>
      <c r="C780" s="1" t="s">
        <v>10966</v>
      </c>
      <c r="D780" s="1" t="s">
        <v>10967</v>
      </c>
      <c r="E780" s="1" t="s">
        <v>9928</v>
      </c>
      <c r="F780" s="1" t="s">
        <v>10565</v>
      </c>
      <c r="G780" s="1" t="s">
        <v>10965</v>
      </c>
      <c r="H780" s="1" t="s">
        <v>10176</v>
      </c>
      <c r="I780" s="1" t="s">
        <v>10176</v>
      </c>
      <c r="J780" s="1" t="s">
        <v>10293</v>
      </c>
      <c r="K780" s="1" t="s">
        <v>10293</v>
      </c>
      <c r="O780" s="1" t="s">
        <v>10155</v>
      </c>
      <c r="P780" s="1" t="s">
        <v>10155</v>
      </c>
    </row>
    <row r="781" spans="1:17" ht="12.5" x14ac:dyDescent="0.25">
      <c r="A781" s="1" t="s">
        <v>152</v>
      </c>
      <c r="C781" s="1" t="s">
        <v>3464</v>
      </c>
      <c r="D781" s="1" t="s">
        <v>3465</v>
      </c>
      <c r="E781" s="1" t="s">
        <v>10162</v>
      </c>
      <c r="F781" s="1" t="s">
        <v>10553</v>
      </c>
      <c r="G781" s="1" t="s">
        <v>10968</v>
      </c>
      <c r="H781" s="1" t="s">
        <v>10152</v>
      </c>
      <c r="I781" s="1" t="s">
        <v>10153</v>
      </c>
      <c r="M781" s="1" t="s">
        <v>3462</v>
      </c>
      <c r="N781" s="1" t="s">
        <v>3463</v>
      </c>
      <c r="O781" s="1" t="s">
        <v>292</v>
      </c>
      <c r="P781" s="1" t="s">
        <v>10155</v>
      </c>
      <c r="Q781" s="1" t="s">
        <v>29</v>
      </c>
    </row>
    <row r="782" spans="1:17" ht="12.5" x14ac:dyDescent="0.25">
      <c r="A782" s="1" t="s">
        <v>152</v>
      </c>
      <c r="C782" s="1" t="s">
        <v>3454</v>
      </c>
      <c r="D782" s="1" t="s">
        <v>3455</v>
      </c>
      <c r="E782" s="1" t="s">
        <v>10162</v>
      </c>
      <c r="F782" s="1" t="s">
        <v>10553</v>
      </c>
      <c r="G782" s="1" t="s">
        <v>10968</v>
      </c>
      <c r="H782" s="1" t="s">
        <v>10152</v>
      </c>
      <c r="I782" s="1" t="s">
        <v>10153</v>
      </c>
      <c r="M782" s="1" t="s">
        <v>3456</v>
      </c>
      <c r="N782" s="1" t="s">
        <v>3458</v>
      </c>
      <c r="O782" s="1" t="s">
        <v>157</v>
      </c>
      <c r="P782" s="1" t="s">
        <v>10155</v>
      </c>
      <c r="Q782" s="1" t="s">
        <v>29</v>
      </c>
    </row>
    <row r="783" spans="1:17" ht="12.5" x14ac:dyDescent="0.25">
      <c r="A783" s="1" t="s">
        <v>152</v>
      </c>
      <c r="C783" s="1" t="s">
        <v>3460</v>
      </c>
      <c r="D783" s="1" t="s">
        <v>3461</v>
      </c>
      <c r="E783" s="1" t="s">
        <v>10162</v>
      </c>
      <c r="F783" s="1" t="s">
        <v>10553</v>
      </c>
      <c r="G783" s="1" t="s">
        <v>10968</v>
      </c>
      <c r="H783" s="1" t="s">
        <v>10152</v>
      </c>
      <c r="I783" s="1" t="s">
        <v>10153</v>
      </c>
      <c r="M783" s="1" t="s">
        <v>3462</v>
      </c>
      <c r="N783" s="1" t="s">
        <v>3463</v>
      </c>
      <c r="O783" s="1" t="s">
        <v>292</v>
      </c>
      <c r="P783" s="1" t="s">
        <v>10155</v>
      </c>
      <c r="Q783" s="1" t="s">
        <v>29</v>
      </c>
    </row>
    <row r="784" spans="1:17" ht="12.5" x14ac:dyDescent="0.25">
      <c r="A784" s="1" t="s">
        <v>152</v>
      </c>
      <c r="C784" s="1" t="s">
        <v>3460</v>
      </c>
      <c r="D784" s="1" t="s">
        <v>3461</v>
      </c>
      <c r="E784" s="1" t="s">
        <v>10162</v>
      </c>
      <c r="F784" s="1" t="s">
        <v>10553</v>
      </c>
      <c r="G784" s="1" t="s">
        <v>10553</v>
      </c>
      <c r="H784" s="1" t="s">
        <v>10152</v>
      </c>
      <c r="I784" s="1" t="s">
        <v>10153</v>
      </c>
      <c r="M784" s="1" t="s">
        <v>3462</v>
      </c>
      <c r="N784" s="1" t="s">
        <v>3463</v>
      </c>
      <c r="O784" s="1" t="s">
        <v>292</v>
      </c>
      <c r="P784" s="1" t="s">
        <v>10155</v>
      </c>
      <c r="Q784" s="1" t="s">
        <v>29</v>
      </c>
    </row>
    <row r="785" spans="1:17" ht="12.5" x14ac:dyDescent="0.25">
      <c r="A785" s="1" t="s">
        <v>152</v>
      </c>
      <c r="C785" s="1" t="s">
        <v>10969</v>
      </c>
      <c r="D785" s="1" t="s">
        <v>10970</v>
      </c>
      <c r="E785" s="1" t="s">
        <v>10162</v>
      </c>
      <c r="F785" s="1" t="s">
        <v>10553</v>
      </c>
      <c r="G785" s="1" t="s">
        <v>10968</v>
      </c>
      <c r="H785" s="1" t="s">
        <v>10172</v>
      </c>
      <c r="I785" s="1" t="s">
        <v>10172</v>
      </c>
      <c r="J785" s="1" t="s">
        <v>10573</v>
      </c>
      <c r="K785" s="1" t="s">
        <v>10573</v>
      </c>
      <c r="O785" s="1" t="s">
        <v>10155</v>
      </c>
      <c r="P785" s="1" t="s">
        <v>10155</v>
      </c>
    </row>
    <row r="786" spans="1:17" ht="12.5" x14ac:dyDescent="0.25">
      <c r="A786" s="1" t="s">
        <v>152</v>
      </c>
      <c r="C786" s="1" t="s">
        <v>3450</v>
      </c>
      <c r="D786" s="1" t="s">
        <v>10971</v>
      </c>
      <c r="E786" s="1" t="s">
        <v>9929</v>
      </c>
      <c r="F786" s="1" t="s">
        <v>10150</v>
      </c>
      <c r="G786" s="1" t="s">
        <v>10972</v>
      </c>
      <c r="H786" s="1" t="s">
        <v>10183</v>
      </c>
      <c r="I786" s="1" t="s">
        <v>10183</v>
      </c>
      <c r="M786" s="1" t="s">
        <v>3451</v>
      </c>
      <c r="O786" s="1" t="s">
        <v>124</v>
      </c>
      <c r="P786" s="1" t="s">
        <v>124</v>
      </c>
      <c r="Q786" s="1" t="s">
        <v>29</v>
      </c>
    </row>
    <row r="787" spans="1:17" ht="12.5" x14ac:dyDescent="0.25">
      <c r="A787" s="1" t="s">
        <v>152</v>
      </c>
      <c r="C787" s="1" t="s">
        <v>5867</v>
      </c>
      <c r="D787" s="1" t="s">
        <v>10973</v>
      </c>
      <c r="E787" s="1" t="s">
        <v>9929</v>
      </c>
      <c r="F787" s="1" t="s">
        <v>10150</v>
      </c>
      <c r="G787" s="1" t="s">
        <v>10972</v>
      </c>
      <c r="H787" s="1" t="s">
        <v>10160</v>
      </c>
      <c r="I787" s="1" t="s">
        <v>10160</v>
      </c>
      <c r="M787" s="1" t="s">
        <v>5868</v>
      </c>
      <c r="N787" s="1" t="s">
        <v>5870</v>
      </c>
      <c r="O787" s="1" t="s">
        <v>59</v>
      </c>
      <c r="P787" s="1" t="s">
        <v>10155</v>
      </c>
      <c r="Q787" s="1" t="s">
        <v>29</v>
      </c>
    </row>
    <row r="788" spans="1:17" ht="12.5" x14ac:dyDescent="0.25">
      <c r="A788" s="1" t="s">
        <v>152</v>
      </c>
      <c r="C788" s="1" t="s">
        <v>9898</v>
      </c>
      <c r="D788" s="1" t="s">
        <v>9899</v>
      </c>
      <c r="E788" s="1" t="s">
        <v>10156</v>
      </c>
      <c r="F788" s="1" t="s">
        <v>10156</v>
      </c>
      <c r="G788" s="1" t="s">
        <v>10550</v>
      </c>
      <c r="H788" s="1" t="s">
        <v>10152</v>
      </c>
      <c r="I788" s="1" t="s">
        <v>10153</v>
      </c>
      <c r="M788" s="1" t="s">
        <v>9900</v>
      </c>
      <c r="N788" s="1" t="s">
        <v>9902</v>
      </c>
      <c r="O788" s="1" t="s">
        <v>292</v>
      </c>
      <c r="P788" s="1" t="s">
        <v>10155</v>
      </c>
      <c r="Q788" s="1" t="s">
        <v>29</v>
      </c>
    </row>
    <row r="789" spans="1:17" ht="12.5" x14ac:dyDescent="0.25">
      <c r="A789" s="1" t="s">
        <v>152</v>
      </c>
      <c r="C789" s="1" t="s">
        <v>10974</v>
      </c>
      <c r="D789" s="1" t="s">
        <v>10975</v>
      </c>
      <c r="E789" s="1" t="s">
        <v>10156</v>
      </c>
      <c r="F789" s="1" t="s">
        <v>10156</v>
      </c>
      <c r="G789" s="1" t="s">
        <v>10550</v>
      </c>
      <c r="H789" s="1" t="s">
        <v>10176</v>
      </c>
      <c r="I789" s="1" t="s">
        <v>10176</v>
      </c>
      <c r="J789" s="1" t="s">
        <v>10262</v>
      </c>
      <c r="K789" s="1" t="s">
        <v>10262</v>
      </c>
      <c r="O789" s="1" t="s">
        <v>10155</v>
      </c>
      <c r="P789" s="1" t="s">
        <v>10155</v>
      </c>
    </row>
    <row r="790" spans="1:17" ht="12.5" x14ac:dyDescent="0.25">
      <c r="A790" s="1" t="s">
        <v>152</v>
      </c>
      <c r="C790" s="1" t="s">
        <v>3446</v>
      </c>
      <c r="D790" s="1" t="s">
        <v>10976</v>
      </c>
      <c r="E790" s="1" t="s">
        <v>10156</v>
      </c>
      <c r="F790" s="1" t="s">
        <v>10156</v>
      </c>
      <c r="G790" s="1" t="s">
        <v>10977</v>
      </c>
      <c r="H790" s="1" t="s">
        <v>10152</v>
      </c>
      <c r="I790" s="1" t="s">
        <v>10153</v>
      </c>
      <c r="L790" s="1" t="s">
        <v>10197</v>
      </c>
      <c r="M790" s="1" t="s">
        <v>9128</v>
      </c>
      <c r="O790" s="1" t="s">
        <v>10155</v>
      </c>
      <c r="P790" s="1" t="s">
        <v>10155</v>
      </c>
      <c r="Q790" s="1" t="s">
        <v>20</v>
      </c>
    </row>
    <row r="791" spans="1:17" ht="12.5" x14ac:dyDescent="0.25">
      <c r="A791" s="1" t="s">
        <v>152</v>
      </c>
      <c r="C791" s="1" t="s">
        <v>3446</v>
      </c>
      <c r="D791" s="1" t="s">
        <v>10976</v>
      </c>
      <c r="E791" s="1" t="s">
        <v>10156</v>
      </c>
      <c r="F791" s="1" t="s">
        <v>10156</v>
      </c>
      <c r="G791" s="1" t="s">
        <v>10977</v>
      </c>
      <c r="H791" s="1" t="s">
        <v>10152</v>
      </c>
      <c r="I791" s="1" t="s">
        <v>10153</v>
      </c>
      <c r="L791" s="1" t="s">
        <v>10197</v>
      </c>
      <c r="M791" s="1" t="s">
        <v>3447</v>
      </c>
      <c r="O791" s="1" t="s">
        <v>169</v>
      </c>
      <c r="P791" s="1" t="s">
        <v>10155</v>
      </c>
      <c r="Q791" s="1" t="s">
        <v>29</v>
      </c>
    </row>
    <row r="792" spans="1:17" ht="12.5" x14ac:dyDescent="0.25">
      <c r="A792" s="1" t="s">
        <v>152</v>
      </c>
      <c r="C792" s="1" t="s">
        <v>3441</v>
      </c>
      <c r="D792" s="1" t="s">
        <v>3442</v>
      </c>
      <c r="E792" s="1" t="s">
        <v>10156</v>
      </c>
      <c r="F792" s="1" t="s">
        <v>10156</v>
      </c>
      <c r="G792" s="1" t="s">
        <v>10550</v>
      </c>
      <c r="H792" s="1" t="s">
        <v>10152</v>
      </c>
      <c r="I792" s="1" t="s">
        <v>10153</v>
      </c>
      <c r="L792" s="1" t="s">
        <v>10197</v>
      </c>
      <c r="M792" s="1" t="s">
        <v>3443</v>
      </c>
      <c r="O792" s="1" t="s">
        <v>112</v>
      </c>
      <c r="P792" s="1" t="s">
        <v>10155</v>
      </c>
      <c r="Q792" s="1" t="s">
        <v>29</v>
      </c>
    </row>
    <row r="793" spans="1:17" ht="12.5" x14ac:dyDescent="0.25">
      <c r="A793" s="1" t="s">
        <v>152</v>
      </c>
      <c r="C793" s="1" t="s">
        <v>6695</v>
      </c>
      <c r="D793" s="1" t="s">
        <v>6696</v>
      </c>
      <c r="E793" s="1" t="s">
        <v>10156</v>
      </c>
      <c r="F793" s="1" t="s">
        <v>10156</v>
      </c>
      <c r="G793" s="1" t="s">
        <v>10550</v>
      </c>
      <c r="H793" s="1" t="s">
        <v>10183</v>
      </c>
      <c r="I793" s="1" t="s">
        <v>10183</v>
      </c>
      <c r="M793" s="1" t="s">
        <v>6697</v>
      </c>
      <c r="O793" s="1" t="s">
        <v>169</v>
      </c>
      <c r="P793" s="1" t="s">
        <v>33</v>
      </c>
      <c r="Q793" s="1" t="s">
        <v>29</v>
      </c>
    </row>
    <row r="794" spans="1:17" ht="12.5" x14ac:dyDescent="0.25">
      <c r="A794" s="1" t="s">
        <v>152</v>
      </c>
      <c r="C794" s="1" t="s">
        <v>7310</v>
      </c>
      <c r="D794" s="1" t="s">
        <v>7311</v>
      </c>
      <c r="E794" s="1" t="s">
        <v>10156</v>
      </c>
      <c r="F794" s="1" t="s">
        <v>10156</v>
      </c>
      <c r="G794" s="1" t="s">
        <v>10550</v>
      </c>
      <c r="H794" s="1" t="s">
        <v>10183</v>
      </c>
      <c r="I794" s="1" t="s">
        <v>10183</v>
      </c>
      <c r="M794" s="1" t="s">
        <v>7312</v>
      </c>
      <c r="O794" s="1" t="s">
        <v>124</v>
      </c>
      <c r="P794" s="1" t="s">
        <v>169</v>
      </c>
      <c r="Q794" s="1" t="s">
        <v>29</v>
      </c>
    </row>
    <row r="795" spans="1:17" ht="12.5" x14ac:dyDescent="0.25">
      <c r="A795" s="1" t="s">
        <v>152</v>
      </c>
      <c r="C795" s="1" t="s">
        <v>3435</v>
      </c>
      <c r="D795" s="1" t="s">
        <v>3436</v>
      </c>
      <c r="E795" s="1" t="s">
        <v>10156</v>
      </c>
      <c r="F795" s="1" t="s">
        <v>10156</v>
      </c>
      <c r="G795" s="1" t="s">
        <v>10977</v>
      </c>
      <c r="H795" s="1" t="s">
        <v>10152</v>
      </c>
      <c r="I795" s="1" t="s">
        <v>10153</v>
      </c>
      <c r="L795" s="1" t="s">
        <v>10197</v>
      </c>
      <c r="M795" s="1" t="s">
        <v>3437</v>
      </c>
      <c r="N795" s="1" t="s">
        <v>3439</v>
      </c>
      <c r="O795" s="1" t="s">
        <v>169</v>
      </c>
      <c r="P795" s="1" t="s">
        <v>10155</v>
      </c>
      <c r="Q795" s="1" t="s">
        <v>29</v>
      </c>
    </row>
    <row r="796" spans="1:17" ht="12.5" x14ac:dyDescent="0.25">
      <c r="A796" s="1" t="s">
        <v>152</v>
      </c>
      <c r="C796" s="1" t="s">
        <v>10978</v>
      </c>
      <c r="D796" s="1" t="s">
        <v>10979</v>
      </c>
      <c r="E796" s="1" t="s">
        <v>10156</v>
      </c>
      <c r="F796" s="1" t="s">
        <v>10156</v>
      </c>
      <c r="G796" s="1" t="s">
        <v>10550</v>
      </c>
      <c r="H796" s="1" t="s">
        <v>10176</v>
      </c>
      <c r="I796" s="1" t="s">
        <v>10176</v>
      </c>
      <c r="J796" s="1" t="s">
        <v>10262</v>
      </c>
      <c r="K796" s="1" t="s">
        <v>10262</v>
      </c>
      <c r="O796" s="1" t="s">
        <v>10155</v>
      </c>
      <c r="P796" s="1" t="s">
        <v>10155</v>
      </c>
    </row>
    <row r="797" spans="1:17" ht="12.5" x14ac:dyDescent="0.25">
      <c r="A797" s="1" t="s">
        <v>152</v>
      </c>
      <c r="C797" s="1" t="s">
        <v>3430</v>
      </c>
      <c r="D797" s="1" t="s">
        <v>3431</v>
      </c>
      <c r="E797" s="1" t="s">
        <v>10156</v>
      </c>
      <c r="F797" s="1" t="s">
        <v>10156</v>
      </c>
      <c r="G797" s="1" t="s">
        <v>10550</v>
      </c>
      <c r="H797" s="1" t="s">
        <v>10183</v>
      </c>
      <c r="I797" s="1" t="s">
        <v>10183</v>
      </c>
      <c r="M797" s="1" t="s">
        <v>3432</v>
      </c>
      <c r="N797" s="1" t="s">
        <v>3434</v>
      </c>
      <c r="O797" s="1" t="s">
        <v>24</v>
      </c>
      <c r="P797" s="1" t="s">
        <v>24</v>
      </c>
      <c r="Q797" s="1" t="s">
        <v>29</v>
      </c>
    </row>
    <row r="798" spans="1:17" ht="12.5" x14ac:dyDescent="0.25">
      <c r="A798" s="1" t="s">
        <v>152</v>
      </c>
      <c r="C798" s="1" t="s">
        <v>3424</v>
      </c>
      <c r="D798" s="1" t="s">
        <v>3425</v>
      </c>
      <c r="E798" s="1" t="s">
        <v>10156</v>
      </c>
      <c r="F798" s="1" t="s">
        <v>10156</v>
      </c>
      <c r="G798" s="1" t="s">
        <v>10550</v>
      </c>
      <c r="H798" s="1" t="s">
        <v>10183</v>
      </c>
      <c r="I798" s="1" t="s">
        <v>10183</v>
      </c>
      <c r="M798" s="1" t="s">
        <v>3426</v>
      </c>
      <c r="N798" s="1" t="s">
        <v>3428</v>
      </c>
      <c r="O798" s="1" t="s">
        <v>24</v>
      </c>
      <c r="P798" s="1" t="s">
        <v>24</v>
      </c>
      <c r="Q798" s="1" t="s">
        <v>29</v>
      </c>
    </row>
    <row r="799" spans="1:17" ht="12.5" x14ac:dyDescent="0.25">
      <c r="A799" s="1" t="s">
        <v>152</v>
      </c>
      <c r="C799" s="1" t="s">
        <v>10980</v>
      </c>
      <c r="D799" s="1" t="s">
        <v>10981</v>
      </c>
      <c r="E799" s="1" t="s">
        <v>10156</v>
      </c>
      <c r="F799" s="1" t="s">
        <v>10156</v>
      </c>
      <c r="G799" s="1" t="s">
        <v>10550</v>
      </c>
      <c r="H799" s="1" t="s">
        <v>10176</v>
      </c>
      <c r="I799" s="1" t="s">
        <v>10176</v>
      </c>
      <c r="J799" s="1" t="s">
        <v>10177</v>
      </c>
      <c r="K799" s="1" t="s">
        <v>10177</v>
      </c>
      <c r="O799" s="1" t="s">
        <v>10155</v>
      </c>
      <c r="P799" s="1" t="s">
        <v>10155</v>
      </c>
    </row>
    <row r="800" spans="1:17" ht="12.5" x14ac:dyDescent="0.25">
      <c r="A800" s="1" t="s">
        <v>152</v>
      </c>
      <c r="C800" s="1" t="s">
        <v>3419</v>
      </c>
      <c r="D800" s="1" t="s">
        <v>3420</v>
      </c>
      <c r="E800" s="1" t="s">
        <v>10156</v>
      </c>
      <c r="F800" s="1" t="s">
        <v>10156</v>
      </c>
      <c r="G800" s="1" t="s">
        <v>10550</v>
      </c>
      <c r="H800" s="1" t="s">
        <v>10160</v>
      </c>
      <c r="I800" s="1" t="s">
        <v>10160</v>
      </c>
      <c r="L800" s="1" t="s">
        <v>10197</v>
      </c>
      <c r="M800" s="1" t="s">
        <v>3421</v>
      </c>
      <c r="O800" s="1" t="s">
        <v>169</v>
      </c>
      <c r="P800" s="1" t="s">
        <v>10155</v>
      </c>
      <c r="Q800" s="1" t="s">
        <v>29</v>
      </c>
    </row>
    <row r="801" spans="1:17" ht="12.5" x14ac:dyDescent="0.25">
      <c r="A801" s="1" t="s">
        <v>152</v>
      </c>
      <c r="C801" s="1" t="s">
        <v>3413</v>
      </c>
      <c r="D801" s="1" t="s">
        <v>3414</v>
      </c>
      <c r="E801" s="1" t="s">
        <v>10156</v>
      </c>
      <c r="F801" s="1" t="s">
        <v>10156</v>
      </c>
      <c r="G801" s="1" t="s">
        <v>10550</v>
      </c>
      <c r="H801" s="1" t="s">
        <v>10183</v>
      </c>
      <c r="I801" s="1" t="s">
        <v>10183</v>
      </c>
      <c r="M801" s="1" t="s">
        <v>3415</v>
      </c>
      <c r="N801" s="1" t="s">
        <v>3417</v>
      </c>
      <c r="O801" s="1" t="s">
        <v>53</v>
      </c>
      <c r="P801" s="1" t="s">
        <v>53</v>
      </c>
      <c r="Q801" s="1" t="s">
        <v>29</v>
      </c>
    </row>
    <row r="802" spans="1:17" ht="12.5" x14ac:dyDescent="0.25">
      <c r="A802" s="1" t="s">
        <v>152</v>
      </c>
      <c r="C802" s="1" t="s">
        <v>3407</v>
      </c>
      <c r="D802" s="1" t="s">
        <v>3408</v>
      </c>
      <c r="E802" s="1" t="s">
        <v>10156</v>
      </c>
      <c r="F802" s="1" t="s">
        <v>10156</v>
      </c>
      <c r="G802" s="1" t="s">
        <v>10550</v>
      </c>
      <c r="H802" s="1" t="s">
        <v>10183</v>
      </c>
      <c r="I802" s="1" t="s">
        <v>10183</v>
      </c>
      <c r="M802" s="1" t="s">
        <v>3409</v>
      </c>
      <c r="N802" s="1" t="s">
        <v>3411</v>
      </c>
      <c r="O802" s="1" t="s">
        <v>24</v>
      </c>
      <c r="P802" s="1" t="s">
        <v>33</v>
      </c>
      <c r="Q802" s="1" t="s">
        <v>29</v>
      </c>
    </row>
    <row r="803" spans="1:17" ht="12.5" x14ac:dyDescent="0.25">
      <c r="A803" s="1" t="s">
        <v>152</v>
      </c>
      <c r="C803" s="1" t="s">
        <v>3401</v>
      </c>
      <c r="D803" s="1" t="s">
        <v>3402</v>
      </c>
      <c r="E803" s="1" t="s">
        <v>10156</v>
      </c>
      <c r="F803" s="1" t="s">
        <v>10156</v>
      </c>
      <c r="G803" s="1" t="s">
        <v>10550</v>
      </c>
      <c r="H803" s="1" t="s">
        <v>10183</v>
      </c>
      <c r="I803" s="1" t="s">
        <v>10183</v>
      </c>
      <c r="M803" s="1" t="s">
        <v>7107</v>
      </c>
      <c r="O803" s="1" t="s">
        <v>59</v>
      </c>
      <c r="P803" s="1" t="s">
        <v>59</v>
      </c>
      <c r="Q803" s="1" t="s">
        <v>29</v>
      </c>
    </row>
    <row r="804" spans="1:17" ht="12.5" x14ac:dyDescent="0.25">
      <c r="A804" s="1" t="s">
        <v>152</v>
      </c>
      <c r="C804" s="1" t="s">
        <v>3401</v>
      </c>
      <c r="D804" s="1" t="s">
        <v>3402</v>
      </c>
      <c r="E804" s="1" t="s">
        <v>10156</v>
      </c>
      <c r="F804" s="1" t="s">
        <v>10156</v>
      </c>
      <c r="G804" s="1" t="s">
        <v>10550</v>
      </c>
      <c r="H804" s="1" t="s">
        <v>10183</v>
      </c>
      <c r="I804" s="1" t="s">
        <v>10183</v>
      </c>
      <c r="M804" s="1" t="s">
        <v>3403</v>
      </c>
      <c r="N804" s="1" t="s">
        <v>3405</v>
      </c>
      <c r="O804" s="1" t="s">
        <v>24</v>
      </c>
      <c r="P804" s="1" t="s">
        <v>53</v>
      </c>
      <c r="Q804" s="1" t="s">
        <v>29</v>
      </c>
    </row>
    <row r="805" spans="1:17" ht="12.5" x14ac:dyDescent="0.25">
      <c r="A805" s="1" t="s">
        <v>152</v>
      </c>
      <c r="C805" s="1" t="s">
        <v>10982</v>
      </c>
      <c r="D805" s="1" t="s">
        <v>10983</v>
      </c>
      <c r="E805" s="1" t="s">
        <v>10156</v>
      </c>
      <c r="F805" s="1" t="s">
        <v>10156</v>
      </c>
      <c r="G805" s="1" t="s">
        <v>10550</v>
      </c>
      <c r="H805" s="1" t="s">
        <v>10176</v>
      </c>
      <c r="I805" s="1" t="s">
        <v>10176</v>
      </c>
      <c r="J805" s="1" t="s">
        <v>10262</v>
      </c>
      <c r="K805" s="1" t="s">
        <v>10262</v>
      </c>
      <c r="O805" s="1" t="s">
        <v>10155</v>
      </c>
      <c r="P805" s="1" t="s">
        <v>10155</v>
      </c>
    </row>
    <row r="806" spans="1:17" ht="12.5" x14ac:dyDescent="0.25">
      <c r="A806" s="1" t="s">
        <v>152</v>
      </c>
      <c r="C806" s="1" t="s">
        <v>6683</v>
      </c>
      <c r="D806" s="1" t="s">
        <v>6684</v>
      </c>
      <c r="E806" s="1" t="s">
        <v>10156</v>
      </c>
      <c r="F806" s="1" t="s">
        <v>10156</v>
      </c>
      <c r="G806" s="1" t="s">
        <v>10550</v>
      </c>
      <c r="H806" s="1" t="s">
        <v>10152</v>
      </c>
      <c r="I806" s="1" t="s">
        <v>10153</v>
      </c>
      <c r="M806" s="1" t="s">
        <v>6685</v>
      </c>
      <c r="N806" s="1" t="s">
        <v>6687</v>
      </c>
      <c r="O806" s="1" t="s">
        <v>292</v>
      </c>
      <c r="P806" s="1" t="s">
        <v>10155</v>
      </c>
      <c r="Q806" s="1" t="s">
        <v>29</v>
      </c>
    </row>
    <row r="807" spans="1:17" ht="12.5" x14ac:dyDescent="0.25">
      <c r="A807" s="1" t="s">
        <v>152</v>
      </c>
      <c r="C807" s="1" t="s">
        <v>10984</v>
      </c>
      <c r="D807" s="1" t="s">
        <v>10985</v>
      </c>
      <c r="E807" s="1" t="s">
        <v>10156</v>
      </c>
      <c r="F807" s="1" t="s">
        <v>10156</v>
      </c>
      <c r="G807" s="1" t="s">
        <v>10550</v>
      </c>
      <c r="H807" s="1" t="s">
        <v>10176</v>
      </c>
      <c r="I807" s="1" t="s">
        <v>10176</v>
      </c>
      <c r="J807" s="1" t="s">
        <v>10262</v>
      </c>
      <c r="K807" s="1" t="s">
        <v>10262</v>
      </c>
      <c r="O807" s="1" t="s">
        <v>10155</v>
      </c>
      <c r="P807" s="1" t="s">
        <v>10155</v>
      </c>
    </row>
    <row r="808" spans="1:17" ht="12.5" x14ac:dyDescent="0.25">
      <c r="A808" s="1" t="s">
        <v>152</v>
      </c>
      <c r="C808" s="1" t="s">
        <v>6675</v>
      </c>
      <c r="D808" s="1" t="s">
        <v>6676</v>
      </c>
      <c r="E808" s="1" t="s">
        <v>10156</v>
      </c>
      <c r="F808" s="1" t="s">
        <v>10156</v>
      </c>
      <c r="G808" s="1" t="s">
        <v>10550</v>
      </c>
      <c r="H808" s="1" t="s">
        <v>10152</v>
      </c>
      <c r="I808" s="1" t="s">
        <v>10153</v>
      </c>
      <c r="M808" s="1" t="s">
        <v>6677</v>
      </c>
      <c r="O808" s="1" t="s">
        <v>59</v>
      </c>
      <c r="P808" s="1" t="s">
        <v>10155</v>
      </c>
      <c r="Q808" s="1" t="s">
        <v>29</v>
      </c>
    </row>
    <row r="809" spans="1:17" ht="12.5" x14ac:dyDescent="0.25">
      <c r="A809" s="1" t="s">
        <v>152</v>
      </c>
      <c r="C809" s="1" t="s">
        <v>3397</v>
      </c>
      <c r="D809" s="1" t="s">
        <v>10986</v>
      </c>
      <c r="E809" s="1" t="s">
        <v>10156</v>
      </c>
      <c r="F809" s="1" t="s">
        <v>10156</v>
      </c>
      <c r="G809" s="1" t="s">
        <v>10550</v>
      </c>
      <c r="H809" s="1" t="s">
        <v>10152</v>
      </c>
      <c r="I809" s="1" t="s">
        <v>10153</v>
      </c>
      <c r="M809" s="1" t="s">
        <v>7562</v>
      </c>
      <c r="O809" s="1" t="s">
        <v>10155</v>
      </c>
      <c r="P809" s="1" t="s">
        <v>10155</v>
      </c>
      <c r="Q809" s="1" t="s">
        <v>29</v>
      </c>
    </row>
    <row r="810" spans="1:17" ht="12.5" x14ac:dyDescent="0.25">
      <c r="A810" s="1" t="s">
        <v>152</v>
      </c>
      <c r="C810" s="1" t="s">
        <v>3397</v>
      </c>
      <c r="D810" s="1" t="s">
        <v>10986</v>
      </c>
      <c r="E810" s="1" t="s">
        <v>10156</v>
      </c>
      <c r="F810" s="1" t="s">
        <v>10156</v>
      </c>
      <c r="G810" s="1" t="s">
        <v>10550</v>
      </c>
      <c r="H810" s="1" t="s">
        <v>10152</v>
      </c>
      <c r="I810" s="1" t="s">
        <v>10153</v>
      </c>
      <c r="M810" s="1" t="s">
        <v>7559</v>
      </c>
      <c r="N810" s="1" t="s">
        <v>10987</v>
      </c>
      <c r="O810" s="1" t="s">
        <v>10155</v>
      </c>
      <c r="P810" s="1" t="s">
        <v>10155</v>
      </c>
      <c r="Q810" s="1" t="s">
        <v>29</v>
      </c>
    </row>
    <row r="811" spans="1:17" ht="12.5" x14ac:dyDescent="0.25">
      <c r="A811" s="1" t="s">
        <v>152</v>
      </c>
      <c r="C811" s="1" t="s">
        <v>3397</v>
      </c>
      <c r="D811" s="1" t="s">
        <v>10986</v>
      </c>
      <c r="E811" s="1" t="s">
        <v>10156</v>
      </c>
      <c r="F811" s="1" t="s">
        <v>10156</v>
      </c>
      <c r="G811" s="1" t="s">
        <v>10550</v>
      </c>
      <c r="H811" s="1" t="s">
        <v>10152</v>
      </c>
      <c r="I811" s="1" t="s">
        <v>10153</v>
      </c>
      <c r="M811" s="1" t="s">
        <v>3398</v>
      </c>
      <c r="O811" s="1" t="s">
        <v>10155</v>
      </c>
      <c r="P811" s="1" t="s">
        <v>10155</v>
      </c>
      <c r="Q811" s="1" t="s">
        <v>29</v>
      </c>
    </row>
    <row r="812" spans="1:17" ht="12.5" x14ac:dyDescent="0.25">
      <c r="A812" s="1" t="s">
        <v>152</v>
      </c>
      <c r="C812" s="1" t="s">
        <v>10988</v>
      </c>
      <c r="D812" s="1" t="s">
        <v>10989</v>
      </c>
      <c r="E812" s="1" t="s">
        <v>10156</v>
      </c>
      <c r="F812" s="1" t="s">
        <v>10156</v>
      </c>
      <c r="G812" s="1" t="s">
        <v>10550</v>
      </c>
      <c r="H812" s="1" t="s">
        <v>10176</v>
      </c>
      <c r="I812" s="1" t="s">
        <v>10176</v>
      </c>
      <c r="J812" s="1" t="s">
        <v>10177</v>
      </c>
      <c r="K812" s="1" t="s">
        <v>10177</v>
      </c>
      <c r="O812" s="1" t="s">
        <v>10155</v>
      </c>
      <c r="P812" s="1" t="s">
        <v>10155</v>
      </c>
    </row>
    <row r="813" spans="1:17" ht="12.5" x14ac:dyDescent="0.25">
      <c r="A813" s="1" t="s">
        <v>152</v>
      </c>
      <c r="C813" s="1" t="s">
        <v>3392</v>
      </c>
      <c r="D813" s="1" t="s">
        <v>3393</v>
      </c>
      <c r="E813" s="1" t="s">
        <v>10156</v>
      </c>
      <c r="F813" s="1" t="s">
        <v>10156</v>
      </c>
      <c r="G813" s="1" t="s">
        <v>10550</v>
      </c>
      <c r="H813" s="1" t="s">
        <v>10183</v>
      </c>
      <c r="I813" s="1" t="s">
        <v>10183</v>
      </c>
      <c r="M813" s="1" t="s">
        <v>3394</v>
      </c>
      <c r="O813" s="1" t="s">
        <v>46</v>
      </c>
      <c r="P813" s="1" t="s">
        <v>10155</v>
      </c>
      <c r="Q813" s="1" t="s">
        <v>29</v>
      </c>
    </row>
    <row r="814" spans="1:17" ht="12.5" x14ac:dyDescent="0.25">
      <c r="A814" s="1" t="s">
        <v>152</v>
      </c>
      <c r="C814" s="1" t="s">
        <v>3386</v>
      </c>
      <c r="D814" s="1" t="s">
        <v>3387</v>
      </c>
      <c r="E814" s="1" t="s">
        <v>9929</v>
      </c>
      <c r="F814" s="1" t="s">
        <v>10150</v>
      </c>
      <c r="G814" s="1" t="s">
        <v>10990</v>
      </c>
      <c r="H814" s="1" t="s">
        <v>10160</v>
      </c>
      <c r="I814" s="1" t="s">
        <v>10160</v>
      </c>
      <c r="L814" s="1" t="s">
        <v>10197</v>
      </c>
      <c r="M814" s="1" t="s">
        <v>3388</v>
      </c>
      <c r="N814" s="1" t="s">
        <v>3390</v>
      </c>
      <c r="O814" s="1" t="s">
        <v>124</v>
      </c>
      <c r="P814" s="1" t="s">
        <v>10155</v>
      </c>
      <c r="Q814" s="1" t="s">
        <v>29</v>
      </c>
    </row>
    <row r="815" spans="1:17" ht="12.5" x14ac:dyDescent="0.25">
      <c r="A815" s="1" t="s">
        <v>152</v>
      </c>
      <c r="C815" s="1" t="s">
        <v>10991</v>
      </c>
      <c r="D815" s="1" t="s">
        <v>10992</v>
      </c>
      <c r="E815" s="1" t="s">
        <v>10162</v>
      </c>
      <c r="F815" s="1" t="s">
        <v>10516</v>
      </c>
      <c r="G815" s="1" t="s">
        <v>10993</v>
      </c>
      <c r="H815" s="1" t="s">
        <v>10176</v>
      </c>
      <c r="I815" s="1" t="s">
        <v>10176</v>
      </c>
      <c r="J815" s="1" t="s">
        <v>10293</v>
      </c>
      <c r="K815" s="1" t="s">
        <v>10293</v>
      </c>
      <c r="L815" s="1" t="s">
        <v>10197</v>
      </c>
      <c r="O815" s="1" t="s">
        <v>10155</v>
      </c>
      <c r="P815" s="1" t="s">
        <v>10155</v>
      </c>
    </row>
    <row r="816" spans="1:17" ht="12.5" x14ac:dyDescent="0.25">
      <c r="A816" s="1" t="s">
        <v>152</v>
      </c>
      <c r="C816" s="1" t="s">
        <v>3381</v>
      </c>
      <c r="D816" s="1" t="s">
        <v>10994</v>
      </c>
      <c r="E816" s="1" t="s">
        <v>10156</v>
      </c>
      <c r="F816" s="1" t="s">
        <v>10156</v>
      </c>
      <c r="G816" s="1" t="s">
        <v>10521</v>
      </c>
      <c r="H816" s="1" t="s">
        <v>10152</v>
      </c>
      <c r="I816" s="1" t="s">
        <v>10153</v>
      </c>
      <c r="L816" s="1" t="s">
        <v>10197</v>
      </c>
      <c r="M816" s="1" t="s">
        <v>7115</v>
      </c>
      <c r="O816" s="1" t="s">
        <v>169</v>
      </c>
      <c r="P816" s="1" t="s">
        <v>10155</v>
      </c>
      <c r="Q816" s="1" t="s">
        <v>29</v>
      </c>
    </row>
    <row r="817" spans="1:17" ht="12.5" x14ac:dyDescent="0.25">
      <c r="A817" s="1" t="s">
        <v>152</v>
      </c>
      <c r="C817" s="1" t="s">
        <v>3381</v>
      </c>
      <c r="D817" s="1" t="s">
        <v>10994</v>
      </c>
      <c r="E817" s="1" t="s">
        <v>10156</v>
      </c>
      <c r="F817" s="1" t="s">
        <v>10156</v>
      </c>
      <c r="G817" s="1" t="s">
        <v>10521</v>
      </c>
      <c r="H817" s="1" t="s">
        <v>10152</v>
      </c>
      <c r="I817" s="1" t="s">
        <v>10153</v>
      </c>
      <c r="L817" s="1" t="s">
        <v>10197</v>
      </c>
      <c r="M817" s="1" t="s">
        <v>3382</v>
      </c>
      <c r="N817" s="1" t="s">
        <v>10995</v>
      </c>
      <c r="O817" s="1" t="s">
        <v>169</v>
      </c>
      <c r="P817" s="1" t="s">
        <v>10155</v>
      </c>
      <c r="Q817" s="1" t="s">
        <v>29</v>
      </c>
    </row>
    <row r="818" spans="1:17" ht="12.5" x14ac:dyDescent="0.25">
      <c r="A818" s="1" t="s">
        <v>152</v>
      </c>
      <c r="C818" s="1" t="s">
        <v>3376</v>
      </c>
      <c r="D818" s="1" t="s">
        <v>10996</v>
      </c>
      <c r="E818" s="1" t="s">
        <v>10156</v>
      </c>
      <c r="F818" s="1" t="s">
        <v>10156</v>
      </c>
      <c r="G818" s="1" t="s">
        <v>10521</v>
      </c>
      <c r="H818" s="1" t="s">
        <v>10183</v>
      </c>
      <c r="I818" s="1" t="s">
        <v>10183</v>
      </c>
      <c r="M818" s="1" t="s">
        <v>3377</v>
      </c>
      <c r="N818" s="1" t="s">
        <v>3379</v>
      </c>
      <c r="O818" s="1" t="s">
        <v>24</v>
      </c>
      <c r="P818" s="1" t="s">
        <v>10155</v>
      </c>
      <c r="Q818" s="1" t="s">
        <v>29</v>
      </c>
    </row>
    <row r="819" spans="1:17" ht="12.5" x14ac:dyDescent="0.25">
      <c r="A819" s="1" t="s">
        <v>152</v>
      </c>
      <c r="C819" s="1" t="s">
        <v>3372</v>
      </c>
      <c r="D819" s="1" t="s">
        <v>10997</v>
      </c>
      <c r="E819" s="1" t="s">
        <v>10156</v>
      </c>
      <c r="F819" s="1" t="s">
        <v>10156</v>
      </c>
      <c r="G819" s="1" t="s">
        <v>10521</v>
      </c>
      <c r="H819" s="1" t="s">
        <v>10160</v>
      </c>
      <c r="I819" s="1" t="s">
        <v>10160</v>
      </c>
      <c r="L819" s="1" t="s">
        <v>10197</v>
      </c>
      <c r="M819" s="1" t="s">
        <v>3373</v>
      </c>
      <c r="O819" s="1" t="s">
        <v>124</v>
      </c>
      <c r="P819" s="1" t="s">
        <v>10155</v>
      </c>
      <c r="Q819" s="1" t="s">
        <v>29</v>
      </c>
    </row>
    <row r="820" spans="1:17" ht="12.5" x14ac:dyDescent="0.25">
      <c r="A820" s="1" t="s">
        <v>152</v>
      </c>
      <c r="C820" s="1" t="s">
        <v>3369</v>
      </c>
      <c r="D820" s="1" t="s">
        <v>10998</v>
      </c>
      <c r="E820" s="1" t="s">
        <v>10156</v>
      </c>
      <c r="F820" s="1" t="s">
        <v>10156</v>
      </c>
      <c r="G820" s="1" t="s">
        <v>10520</v>
      </c>
      <c r="H820" s="1" t="s">
        <v>10152</v>
      </c>
      <c r="I820" s="1" t="s">
        <v>10153</v>
      </c>
      <c r="L820" s="1" t="s">
        <v>10197</v>
      </c>
      <c r="M820" s="1" t="s">
        <v>3370</v>
      </c>
      <c r="O820" s="1" t="s">
        <v>169</v>
      </c>
      <c r="P820" s="1" t="s">
        <v>10155</v>
      </c>
      <c r="Q820" s="1" t="s">
        <v>20</v>
      </c>
    </row>
    <row r="821" spans="1:17" ht="12.5" x14ac:dyDescent="0.25">
      <c r="A821" s="1" t="s">
        <v>152</v>
      </c>
      <c r="C821" s="1" t="s">
        <v>3367</v>
      </c>
      <c r="D821" s="1" t="s">
        <v>3368</v>
      </c>
      <c r="E821" s="1" t="s">
        <v>10162</v>
      </c>
      <c r="F821" s="1" t="s">
        <v>10162</v>
      </c>
      <c r="G821" s="1" t="s">
        <v>10999</v>
      </c>
      <c r="H821" s="1" t="s">
        <v>10152</v>
      </c>
      <c r="I821" s="1" t="s">
        <v>10153</v>
      </c>
      <c r="M821" s="1" t="s">
        <v>6081</v>
      </c>
      <c r="N821" s="1" t="s">
        <v>3132</v>
      </c>
      <c r="O821" s="1" t="s">
        <v>10155</v>
      </c>
      <c r="P821" s="1" t="s">
        <v>10155</v>
      </c>
      <c r="Q821" s="1" t="s">
        <v>29</v>
      </c>
    </row>
    <row r="822" spans="1:17" ht="12.5" x14ac:dyDescent="0.25">
      <c r="A822" s="1" t="s">
        <v>152</v>
      </c>
      <c r="C822" s="1" t="s">
        <v>3367</v>
      </c>
      <c r="D822" s="1" t="s">
        <v>3368</v>
      </c>
      <c r="E822" s="1" t="s">
        <v>10162</v>
      </c>
      <c r="F822" s="1" t="s">
        <v>10162</v>
      </c>
      <c r="G822" s="1" t="s">
        <v>10999</v>
      </c>
      <c r="H822" s="1" t="s">
        <v>10152</v>
      </c>
      <c r="I822" s="1" t="s">
        <v>10153</v>
      </c>
      <c r="M822" s="1" t="s">
        <v>3364</v>
      </c>
      <c r="N822" s="1" t="s">
        <v>11000</v>
      </c>
      <c r="O822" s="1" t="s">
        <v>169</v>
      </c>
      <c r="P822" s="1" t="s">
        <v>10155</v>
      </c>
      <c r="Q822" s="1" t="s">
        <v>29</v>
      </c>
    </row>
    <row r="823" spans="1:17" ht="12.5" x14ac:dyDescent="0.25">
      <c r="A823" s="1" t="s">
        <v>152</v>
      </c>
      <c r="C823" s="1" t="s">
        <v>11001</v>
      </c>
      <c r="D823" s="1" t="s">
        <v>11002</v>
      </c>
      <c r="E823" s="1" t="s">
        <v>10162</v>
      </c>
      <c r="F823" s="1" t="s">
        <v>10162</v>
      </c>
      <c r="G823" s="1" t="s">
        <v>10999</v>
      </c>
      <c r="H823" s="1" t="s">
        <v>10172</v>
      </c>
      <c r="I823" s="1" t="s">
        <v>10172</v>
      </c>
      <c r="J823" s="1" t="s">
        <v>10193</v>
      </c>
      <c r="K823" s="1" t="s">
        <v>10193</v>
      </c>
      <c r="L823" s="1" t="s">
        <v>10690</v>
      </c>
      <c r="O823" s="1" t="s">
        <v>10155</v>
      </c>
      <c r="P823" s="1" t="s">
        <v>10155</v>
      </c>
    </row>
    <row r="824" spans="1:17" ht="12.5" x14ac:dyDescent="0.25">
      <c r="A824" s="1" t="s">
        <v>152</v>
      </c>
      <c r="C824" s="1" t="s">
        <v>3363</v>
      </c>
      <c r="D824" s="1" t="s">
        <v>11003</v>
      </c>
      <c r="E824" s="1" t="s">
        <v>10162</v>
      </c>
      <c r="F824" s="1" t="s">
        <v>10162</v>
      </c>
      <c r="G824" s="1" t="s">
        <v>10999</v>
      </c>
      <c r="H824" s="1" t="s">
        <v>10152</v>
      </c>
      <c r="I824" s="1" t="s">
        <v>10153</v>
      </c>
      <c r="L824" s="1" t="s">
        <v>10197</v>
      </c>
      <c r="M824" s="1" t="s">
        <v>3364</v>
      </c>
      <c r="N824" s="1" t="s">
        <v>11000</v>
      </c>
      <c r="O824" s="1" t="s">
        <v>169</v>
      </c>
      <c r="P824" s="1" t="s">
        <v>10155</v>
      </c>
      <c r="Q824" s="1" t="s">
        <v>29</v>
      </c>
    </row>
    <row r="825" spans="1:17" ht="12.5" x14ac:dyDescent="0.25">
      <c r="A825" s="1" t="s">
        <v>152</v>
      </c>
      <c r="C825" s="1" t="s">
        <v>3359</v>
      </c>
      <c r="D825" s="1" t="s">
        <v>11004</v>
      </c>
      <c r="E825" s="1" t="s">
        <v>10162</v>
      </c>
      <c r="F825" s="1" t="s">
        <v>10162</v>
      </c>
      <c r="G825" s="1" t="s">
        <v>10999</v>
      </c>
      <c r="H825" s="1" t="s">
        <v>10152</v>
      </c>
      <c r="I825" s="1" t="s">
        <v>10153</v>
      </c>
      <c r="L825" s="1" t="s">
        <v>10197</v>
      </c>
      <c r="M825" s="1" t="s">
        <v>3360</v>
      </c>
      <c r="O825" s="1" t="s">
        <v>169</v>
      </c>
      <c r="P825" s="1" t="s">
        <v>10155</v>
      </c>
      <c r="Q825" s="1" t="s">
        <v>29</v>
      </c>
    </row>
    <row r="826" spans="1:17" ht="12.5" x14ac:dyDescent="0.25">
      <c r="A826" s="1" t="s">
        <v>152</v>
      </c>
      <c r="C826" s="1" t="s">
        <v>3353</v>
      </c>
      <c r="D826" s="1" t="s">
        <v>3354</v>
      </c>
      <c r="E826" s="1" t="s">
        <v>9928</v>
      </c>
      <c r="F826" s="1" t="s">
        <v>10629</v>
      </c>
      <c r="G826" s="1" t="s">
        <v>11005</v>
      </c>
      <c r="H826" s="1" t="s">
        <v>10160</v>
      </c>
      <c r="I826" s="1" t="s">
        <v>10160</v>
      </c>
      <c r="L826" s="1" t="s">
        <v>10197</v>
      </c>
      <c r="M826" s="1" t="s">
        <v>3355</v>
      </c>
      <c r="N826" s="1" t="s">
        <v>3357</v>
      </c>
      <c r="O826" s="1" t="s">
        <v>124</v>
      </c>
      <c r="P826" s="1" t="s">
        <v>10155</v>
      </c>
      <c r="Q826" s="1" t="s">
        <v>29</v>
      </c>
    </row>
    <row r="827" spans="1:17" ht="12.5" x14ac:dyDescent="0.25">
      <c r="A827" s="1" t="s">
        <v>152</v>
      </c>
      <c r="C827" s="1" t="s">
        <v>3349</v>
      </c>
      <c r="D827" s="1" t="s">
        <v>11006</v>
      </c>
      <c r="E827" s="1" t="s">
        <v>9928</v>
      </c>
      <c r="F827" s="1" t="s">
        <v>10629</v>
      </c>
      <c r="G827" s="1" t="s">
        <v>11005</v>
      </c>
      <c r="H827" s="1" t="s">
        <v>10160</v>
      </c>
      <c r="I827" s="1" t="s">
        <v>10160</v>
      </c>
      <c r="L827" s="1" t="s">
        <v>10197</v>
      </c>
      <c r="M827" s="1" t="s">
        <v>3350</v>
      </c>
      <c r="N827" s="1" t="s">
        <v>3094</v>
      </c>
      <c r="O827" s="1" t="s">
        <v>59</v>
      </c>
      <c r="P827" s="1" t="s">
        <v>10155</v>
      </c>
      <c r="Q827" s="1" t="s">
        <v>29</v>
      </c>
    </row>
    <row r="828" spans="1:17" ht="12.5" x14ac:dyDescent="0.25">
      <c r="A828" s="1" t="s">
        <v>152</v>
      </c>
      <c r="C828" s="1" t="s">
        <v>6832</v>
      </c>
      <c r="D828" s="1" t="s">
        <v>6833</v>
      </c>
      <c r="E828" s="1" t="s">
        <v>9928</v>
      </c>
      <c r="F828" s="1" t="s">
        <v>10629</v>
      </c>
      <c r="G828" s="1" t="s">
        <v>11005</v>
      </c>
      <c r="H828" s="1" t="s">
        <v>10183</v>
      </c>
      <c r="I828" s="1" t="s">
        <v>10183</v>
      </c>
      <c r="M828" s="1" t="s">
        <v>6834</v>
      </c>
      <c r="N828" s="1" t="s">
        <v>6836</v>
      </c>
      <c r="O828" s="1" t="s">
        <v>53</v>
      </c>
      <c r="P828" s="1" t="s">
        <v>53</v>
      </c>
      <c r="Q828" s="1" t="s">
        <v>29</v>
      </c>
    </row>
    <row r="829" spans="1:17" ht="12.5" x14ac:dyDescent="0.25">
      <c r="A829" s="1" t="s">
        <v>152</v>
      </c>
      <c r="C829" s="1" t="s">
        <v>3343</v>
      </c>
      <c r="D829" s="1" t="s">
        <v>3344</v>
      </c>
      <c r="E829" s="1" t="s">
        <v>9929</v>
      </c>
      <c r="F829" s="1" t="s">
        <v>10545</v>
      </c>
      <c r="G829" s="1" t="s">
        <v>11007</v>
      </c>
      <c r="H829" s="1" t="s">
        <v>10152</v>
      </c>
      <c r="I829" s="1" t="s">
        <v>10153</v>
      </c>
      <c r="L829" s="1" t="s">
        <v>10197</v>
      </c>
      <c r="M829" s="1" t="s">
        <v>3345</v>
      </c>
      <c r="N829" s="1" t="s">
        <v>3347</v>
      </c>
      <c r="O829" s="1" t="s">
        <v>124</v>
      </c>
      <c r="P829" s="1" t="s">
        <v>10155</v>
      </c>
      <c r="Q829" s="1" t="s">
        <v>29</v>
      </c>
    </row>
    <row r="830" spans="1:17" ht="12.5" x14ac:dyDescent="0.25">
      <c r="A830" s="1" t="s">
        <v>152</v>
      </c>
      <c r="C830" s="1" t="s">
        <v>3338</v>
      </c>
      <c r="D830" s="1" t="s">
        <v>3339</v>
      </c>
      <c r="E830" s="1" t="s">
        <v>9928</v>
      </c>
      <c r="F830" s="1" t="s">
        <v>10629</v>
      </c>
      <c r="G830" s="1" t="s">
        <v>11008</v>
      </c>
      <c r="H830" s="1" t="s">
        <v>10183</v>
      </c>
      <c r="I830" s="1" t="s">
        <v>10183</v>
      </c>
      <c r="M830" s="1" t="s">
        <v>3340</v>
      </c>
      <c r="O830" s="1" t="s">
        <v>24</v>
      </c>
      <c r="P830" s="1" t="s">
        <v>24</v>
      </c>
      <c r="Q830" s="1" t="s">
        <v>29</v>
      </c>
    </row>
    <row r="831" spans="1:17" ht="12.5" x14ac:dyDescent="0.25">
      <c r="A831" s="1" t="s">
        <v>152</v>
      </c>
      <c r="C831" s="1" t="s">
        <v>11009</v>
      </c>
      <c r="D831" s="1" t="s">
        <v>11010</v>
      </c>
      <c r="E831" s="1" t="s">
        <v>10156</v>
      </c>
      <c r="F831" s="1" t="s">
        <v>10156</v>
      </c>
      <c r="G831" s="1" t="s">
        <v>10627</v>
      </c>
      <c r="H831" s="1" t="s">
        <v>10172</v>
      </c>
      <c r="I831" s="1" t="s">
        <v>10172</v>
      </c>
      <c r="J831" s="1" t="s">
        <v>10193</v>
      </c>
      <c r="K831" s="1" t="s">
        <v>10193</v>
      </c>
      <c r="L831" s="1" t="s">
        <v>11011</v>
      </c>
      <c r="O831" s="1" t="s">
        <v>10155</v>
      </c>
      <c r="P831" s="1" t="s">
        <v>10155</v>
      </c>
    </row>
    <row r="832" spans="1:17" ht="12.5" x14ac:dyDescent="0.25">
      <c r="A832" s="1" t="s">
        <v>152</v>
      </c>
      <c r="C832" s="1" t="s">
        <v>2747</v>
      </c>
      <c r="D832" s="1" t="s">
        <v>11012</v>
      </c>
      <c r="E832" s="1" t="s">
        <v>10156</v>
      </c>
      <c r="F832" s="1" t="s">
        <v>10156</v>
      </c>
      <c r="G832" s="1" t="s">
        <v>10627</v>
      </c>
      <c r="H832" s="1" t="s">
        <v>10183</v>
      </c>
      <c r="I832" s="1" t="s">
        <v>10183</v>
      </c>
      <c r="M832" s="1" t="s">
        <v>2743</v>
      </c>
      <c r="N832" s="1" t="s">
        <v>2745</v>
      </c>
      <c r="O832" s="1" t="s">
        <v>33</v>
      </c>
      <c r="P832" s="1" t="s">
        <v>33</v>
      </c>
      <c r="Q832" s="1" t="s">
        <v>29</v>
      </c>
    </row>
    <row r="833" spans="1:17" ht="12.5" x14ac:dyDescent="0.25">
      <c r="A833" s="1" t="s">
        <v>152</v>
      </c>
      <c r="C833" s="1" t="s">
        <v>3333</v>
      </c>
      <c r="D833" s="1" t="s">
        <v>3334</v>
      </c>
      <c r="E833" s="1" t="s">
        <v>10156</v>
      </c>
      <c r="F833" s="1" t="s">
        <v>10156</v>
      </c>
      <c r="G833" s="1" t="s">
        <v>10627</v>
      </c>
      <c r="H833" s="1" t="s">
        <v>10152</v>
      </c>
      <c r="I833" s="1" t="s">
        <v>10153</v>
      </c>
      <c r="L833" s="1" t="s">
        <v>10197</v>
      </c>
      <c r="M833" s="1" t="s">
        <v>3335</v>
      </c>
      <c r="O833" s="1" t="s">
        <v>10155</v>
      </c>
      <c r="P833" s="1" t="s">
        <v>10155</v>
      </c>
      <c r="Q833" s="1" t="s">
        <v>29</v>
      </c>
    </row>
    <row r="834" spans="1:17" ht="12.5" x14ac:dyDescent="0.25">
      <c r="A834" s="1" t="s">
        <v>152</v>
      </c>
      <c r="C834" s="1" t="s">
        <v>3329</v>
      </c>
      <c r="D834" s="1" t="s">
        <v>3330</v>
      </c>
      <c r="E834" s="1" t="s">
        <v>10156</v>
      </c>
      <c r="F834" s="1" t="s">
        <v>10156</v>
      </c>
      <c r="G834" s="1" t="s">
        <v>10627</v>
      </c>
      <c r="H834" s="1" t="s">
        <v>10152</v>
      </c>
      <c r="I834" s="1" t="s">
        <v>10153</v>
      </c>
      <c r="M834" s="1" t="s">
        <v>3331</v>
      </c>
      <c r="O834" s="1" t="s">
        <v>24</v>
      </c>
      <c r="P834" s="1" t="s">
        <v>10155</v>
      </c>
      <c r="Q834" s="1" t="s">
        <v>29</v>
      </c>
    </row>
    <row r="835" spans="1:17" ht="12.5" x14ac:dyDescent="0.25">
      <c r="A835" s="1" t="s">
        <v>152</v>
      </c>
      <c r="C835" s="1" t="s">
        <v>3324</v>
      </c>
      <c r="D835" s="1" t="s">
        <v>3325</v>
      </c>
      <c r="E835" s="1" t="s">
        <v>10156</v>
      </c>
      <c r="F835" s="1" t="s">
        <v>10156</v>
      </c>
      <c r="G835" s="1" t="s">
        <v>10627</v>
      </c>
      <c r="H835" s="1" t="s">
        <v>10183</v>
      </c>
      <c r="I835" s="1" t="s">
        <v>10183</v>
      </c>
      <c r="M835" s="1" t="s">
        <v>3326</v>
      </c>
      <c r="O835" s="1" t="s">
        <v>24</v>
      </c>
      <c r="P835" s="1" t="s">
        <v>10155</v>
      </c>
      <c r="Q835" s="1" t="s">
        <v>29</v>
      </c>
    </row>
    <row r="836" spans="1:17" ht="12.5" x14ac:dyDescent="0.25">
      <c r="A836" s="1" t="s">
        <v>152</v>
      </c>
      <c r="C836" s="1" t="s">
        <v>3320</v>
      </c>
      <c r="D836" s="1" t="s">
        <v>11013</v>
      </c>
      <c r="E836" s="1" t="s">
        <v>10156</v>
      </c>
      <c r="F836" s="1" t="s">
        <v>10156</v>
      </c>
      <c r="G836" s="1" t="s">
        <v>10627</v>
      </c>
      <c r="H836" s="1" t="s">
        <v>10152</v>
      </c>
      <c r="I836" s="1" t="s">
        <v>10153</v>
      </c>
      <c r="L836" s="1" t="s">
        <v>10197</v>
      </c>
      <c r="M836" s="1" t="s">
        <v>3321</v>
      </c>
      <c r="O836" s="1" t="s">
        <v>169</v>
      </c>
      <c r="P836" s="1" t="s">
        <v>10155</v>
      </c>
      <c r="Q836" s="1" t="s">
        <v>29</v>
      </c>
    </row>
    <row r="837" spans="1:17" ht="12.5" x14ac:dyDescent="0.25">
      <c r="A837" s="1" t="s">
        <v>152</v>
      </c>
      <c r="C837" s="1" t="s">
        <v>11014</v>
      </c>
      <c r="D837" s="1" t="s">
        <v>11015</v>
      </c>
      <c r="E837" s="1" t="s">
        <v>10162</v>
      </c>
      <c r="F837" s="1" t="s">
        <v>10516</v>
      </c>
      <c r="G837" s="1" t="s">
        <v>11016</v>
      </c>
      <c r="H837" s="1" t="s">
        <v>10176</v>
      </c>
      <c r="I837" s="1" t="s">
        <v>10176</v>
      </c>
      <c r="J837" s="1" t="s">
        <v>10558</v>
      </c>
      <c r="K837" s="1" t="s">
        <v>10558</v>
      </c>
      <c r="O837" s="1" t="s">
        <v>10155</v>
      </c>
      <c r="P837" s="1" t="s">
        <v>10155</v>
      </c>
    </row>
    <row r="838" spans="1:17" ht="12.5" x14ac:dyDescent="0.25">
      <c r="A838" s="1" t="s">
        <v>152</v>
      </c>
      <c r="C838" s="1" t="s">
        <v>11017</v>
      </c>
      <c r="D838" s="1" t="s">
        <v>11018</v>
      </c>
      <c r="E838" s="1" t="s">
        <v>9929</v>
      </c>
      <c r="F838" s="1" t="s">
        <v>10150</v>
      </c>
      <c r="G838" s="1" t="s">
        <v>11019</v>
      </c>
      <c r="H838" s="1" t="s">
        <v>10172</v>
      </c>
      <c r="I838" s="1" t="s">
        <v>10172</v>
      </c>
      <c r="J838" s="1" t="s">
        <v>10440</v>
      </c>
      <c r="K838" s="1" t="s">
        <v>10440</v>
      </c>
      <c r="O838" s="1" t="s">
        <v>10155</v>
      </c>
      <c r="P838" s="1" t="s">
        <v>10155</v>
      </c>
    </row>
    <row r="839" spans="1:17" ht="12.5" x14ac:dyDescent="0.25">
      <c r="A839" s="1" t="s">
        <v>152</v>
      </c>
      <c r="C839" s="1" t="s">
        <v>3314</v>
      </c>
      <c r="D839" s="1" t="s">
        <v>3315</v>
      </c>
      <c r="E839" s="1" t="s">
        <v>10156</v>
      </c>
      <c r="F839" s="1" t="s">
        <v>10156</v>
      </c>
      <c r="G839" s="1" t="s">
        <v>10159</v>
      </c>
      <c r="H839" s="1" t="s">
        <v>10183</v>
      </c>
      <c r="I839" s="1" t="s">
        <v>10183</v>
      </c>
      <c r="M839" s="1" t="s">
        <v>3316</v>
      </c>
      <c r="N839" s="1" t="s">
        <v>3318</v>
      </c>
      <c r="O839" s="1" t="s">
        <v>24</v>
      </c>
      <c r="P839" s="1" t="s">
        <v>10155</v>
      </c>
      <c r="Q839" s="1" t="s">
        <v>29</v>
      </c>
    </row>
    <row r="840" spans="1:17" ht="12.5" x14ac:dyDescent="0.25">
      <c r="A840" s="1" t="s">
        <v>152</v>
      </c>
      <c r="C840" s="1" t="s">
        <v>3308</v>
      </c>
      <c r="D840" s="1" t="s">
        <v>3309</v>
      </c>
      <c r="E840" s="1" t="s">
        <v>10156</v>
      </c>
      <c r="F840" s="1" t="s">
        <v>10156</v>
      </c>
      <c r="G840" s="1" t="s">
        <v>10159</v>
      </c>
      <c r="H840" s="1" t="s">
        <v>10152</v>
      </c>
      <c r="I840" s="1" t="s">
        <v>10153</v>
      </c>
      <c r="L840" s="1" t="s">
        <v>10197</v>
      </c>
      <c r="M840" s="1" t="s">
        <v>3310</v>
      </c>
      <c r="N840" s="1" t="s">
        <v>3312</v>
      </c>
      <c r="O840" s="1" t="s">
        <v>53</v>
      </c>
      <c r="P840" s="1" t="s">
        <v>10155</v>
      </c>
      <c r="Q840" s="1" t="s">
        <v>29</v>
      </c>
    </row>
    <row r="841" spans="1:17" ht="12.5" x14ac:dyDescent="0.25">
      <c r="A841" s="1" t="s">
        <v>152</v>
      </c>
      <c r="C841" s="1" t="s">
        <v>3303</v>
      </c>
      <c r="D841" s="1" t="s">
        <v>3304</v>
      </c>
      <c r="E841" s="1" t="s">
        <v>10156</v>
      </c>
      <c r="F841" s="1" t="s">
        <v>10156</v>
      </c>
      <c r="G841" s="1" t="s">
        <v>10159</v>
      </c>
      <c r="H841" s="1" t="s">
        <v>10183</v>
      </c>
      <c r="I841" s="1" t="s">
        <v>10183</v>
      </c>
      <c r="M841" s="1" t="s">
        <v>3305</v>
      </c>
      <c r="O841" s="1" t="s">
        <v>46</v>
      </c>
      <c r="P841" s="1" t="s">
        <v>10155</v>
      </c>
      <c r="Q841" s="1" t="s">
        <v>29</v>
      </c>
    </row>
    <row r="842" spans="1:17" ht="12.5" x14ac:dyDescent="0.25">
      <c r="A842" s="1" t="s">
        <v>152</v>
      </c>
      <c r="C842" s="1" t="s">
        <v>3297</v>
      </c>
      <c r="D842" s="1" t="s">
        <v>3298</v>
      </c>
      <c r="E842" s="1" t="s">
        <v>10156</v>
      </c>
      <c r="F842" s="1" t="s">
        <v>10156</v>
      </c>
      <c r="G842" s="1" t="s">
        <v>10159</v>
      </c>
      <c r="H842" s="1" t="s">
        <v>10152</v>
      </c>
      <c r="I842" s="1" t="s">
        <v>10153</v>
      </c>
      <c r="L842" s="1" t="s">
        <v>10197</v>
      </c>
      <c r="M842" s="1" t="s">
        <v>3299</v>
      </c>
      <c r="N842" s="1" t="s">
        <v>11020</v>
      </c>
      <c r="O842" s="1" t="s">
        <v>10155</v>
      </c>
      <c r="P842" s="1" t="s">
        <v>10155</v>
      </c>
      <c r="Q842" s="1" t="s">
        <v>29</v>
      </c>
    </row>
    <row r="843" spans="1:17" ht="12.5" x14ac:dyDescent="0.25">
      <c r="A843" s="1" t="s">
        <v>152</v>
      </c>
      <c r="C843" s="1" t="s">
        <v>3292</v>
      </c>
      <c r="D843" s="1" t="s">
        <v>3293</v>
      </c>
      <c r="E843" s="1" t="s">
        <v>10156</v>
      </c>
      <c r="F843" s="1" t="s">
        <v>10156</v>
      </c>
      <c r="G843" s="1" t="s">
        <v>10159</v>
      </c>
      <c r="H843" s="1" t="s">
        <v>10183</v>
      </c>
      <c r="I843" s="1" t="s">
        <v>10183</v>
      </c>
      <c r="M843" s="1" t="s">
        <v>3294</v>
      </c>
      <c r="O843" s="1" t="s">
        <v>46</v>
      </c>
      <c r="P843" s="1" t="s">
        <v>10155</v>
      </c>
      <c r="Q843" s="1" t="s">
        <v>29</v>
      </c>
    </row>
    <row r="844" spans="1:17" ht="12.5" x14ac:dyDescent="0.25">
      <c r="A844" s="1" t="s">
        <v>152</v>
      </c>
      <c r="C844" s="1" t="s">
        <v>11021</v>
      </c>
      <c r="D844" s="1" t="s">
        <v>11022</v>
      </c>
      <c r="E844" s="1" t="s">
        <v>10162</v>
      </c>
      <c r="F844" s="1" t="s">
        <v>10162</v>
      </c>
      <c r="G844" s="1" t="s">
        <v>11023</v>
      </c>
      <c r="H844" s="1" t="s">
        <v>10172</v>
      </c>
      <c r="I844" s="1" t="s">
        <v>10172</v>
      </c>
      <c r="J844" s="1" t="s">
        <v>10440</v>
      </c>
      <c r="K844" s="1" t="s">
        <v>10440</v>
      </c>
      <c r="L844" s="1" t="s">
        <v>10197</v>
      </c>
      <c r="O844" s="1" t="s">
        <v>10155</v>
      </c>
      <c r="P844" s="1" t="s">
        <v>10155</v>
      </c>
    </row>
    <row r="845" spans="1:17" ht="12.5" x14ac:dyDescent="0.25">
      <c r="A845" s="1" t="s">
        <v>152</v>
      </c>
      <c r="C845" s="1" t="s">
        <v>8158</v>
      </c>
      <c r="D845" s="1" t="s">
        <v>8159</v>
      </c>
      <c r="E845" s="1" t="s">
        <v>10162</v>
      </c>
      <c r="F845" s="1" t="s">
        <v>10162</v>
      </c>
      <c r="G845" s="1" t="s">
        <v>11023</v>
      </c>
      <c r="H845" s="1" t="s">
        <v>10183</v>
      </c>
      <c r="I845" s="1" t="s">
        <v>10183</v>
      </c>
      <c r="M845" s="1" t="s">
        <v>8160</v>
      </c>
      <c r="O845" s="1" t="s">
        <v>33</v>
      </c>
      <c r="P845" s="1" t="s">
        <v>24</v>
      </c>
      <c r="Q845" s="1" t="s">
        <v>29</v>
      </c>
    </row>
    <row r="846" spans="1:17" ht="12.5" x14ac:dyDescent="0.25">
      <c r="A846" s="1" t="s">
        <v>152</v>
      </c>
      <c r="C846" s="1" t="s">
        <v>3288</v>
      </c>
      <c r="D846" s="1" t="s">
        <v>11024</v>
      </c>
      <c r="E846" s="1" t="s">
        <v>9928</v>
      </c>
      <c r="F846" s="1" t="s">
        <v>10629</v>
      </c>
      <c r="G846" s="1" t="s">
        <v>10630</v>
      </c>
      <c r="H846" s="1" t="s">
        <v>10152</v>
      </c>
      <c r="I846" s="1" t="s">
        <v>10153</v>
      </c>
      <c r="M846" s="1" t="s">
        <v>8833</v>
      </c>
      <c r="O846" s="1" t="s">
        <v>157</v>
      </c>
      <c r="P846" s="1" t="s">
        <v>10155</v>
      </c>
      <c r="Q846" s="1" t="s">
        <v>29</v>
      </c>
    </row>
    <row r="847" spans="1:17" ht="12.5" x14ac:dyDescent="0.25">
      <c r="A847" s="1" t="s">
        <v>152</v>
      </c>
      <c r="C847" s="1" t="s">
        <v>3288</v>
      </c>
      <c r="D847" s="1" t="s">
        <v>11024</v>
      </c>
      <c r="E847" s="1" t="s">
        <v>9928</v>
      </c>
      <c r="F847" s="1" t="s">
        <v>10629</v>
      </c>
      <c r="G847" s="1" t="s">
        <v>10630</v>
      </c>
      <c r="H847" s="1" t="s">
        <v>10152</v>
      </c>
      <c r="I847" s="1" t="s">
        <v>10153</v>
      </c>
      <c r="M847" s="1" t="s">
        <v>3289</v>
      </c>
      <c r="O847" s="1" t="s">
        <v>169</v>
      </c>
      <c r="P847" s="1" t="s">
        <v>10155</v>
      </c>
      <c r="Q847" s="1" t="s">
        <v>29</v>
      </c>
    </row>
    <row r="848" spans="1:17" ht="12.5" x14ac:dyDescent="0.25">
      <c r="A848" s="1" t="s">
        <v>152</v>
      </c>
      <c r="C848" s="1" t="s">
        <v>8835</v>
      </c>
      <c r="D848" s="1" t="s">
        <v>11025</v>
      </c>
      <c r="E848" s="1" t="s">
        <v>9928</v>
      </c>
      <c r="F848" s="1" t="s">
        <v>10629</v>
      </c>
      <c r="G848" s="1" t="s">
        <v>10630</v>
      </c>
      <c r="H848" s="1" t="s">
        <v>10152</v>
      </c>
      <c r="I848" s="1" t="s">
        <v>10164</v>
      </c>
      <c r="M848" s="1" t="s">
        <v>8833</v>
      </c>
      <c r="O848" s="1" t="s">
        <v>157</v>
      </c>
      <c r="P848" s="1" t="s">
        <v>10155</v>
      </c>
      <c r="Q848" s="1" t="s">
        <v>29</v>
      </c>
    </row>
    <row r="849" spans="1:17" ht="12.5" x14ac:dyDescent="0.25">
      <c r="A849" s="1" t="s">
        <v>152</v>
      </c>
      <c r="C849" s="1" t="s">
        <v>3283</v>
      </c>
      <c r="D849" s="1" t="s">
        <v>11026</v>
      </c>
      <c r="E849" s="1" t="s">
        <v>9928</v>
      </c>
      <c r="F849" s="1" t="s">
        <v>10629</v>
      </c>
      <c r="G849" s="1" t="s">
        <v>10630</v>
      </c>
      <c r="H849" s="1" t="s">
        <v>10183</v>
      </c>
      <c r="I849" s="1" t="s">
        <v>10183</v>
      </c>
      <c r="M849" s="1" t="s">
        <v>3284</v>
      </c>
      <c r="N849" s="1" t="s">
        <v>3286</v>
      </c>
      <c r="O849" s="1" t="s">
        <v>59</v>
      </c>
      <c r="P849" s="1" t="s">
        <v>169</v>
      </c>
      <c r="Q849" s="1" t="s">
        <v>29</v>
      </c>
    </row>
    <row r="850" spans="1:17" ht="12.5" x14ac:dyDescent="0.25">
      <c r="A850" s="1" t="s">
        <v>152</v>
      </c>
      <c r="C850" s="1" t="s">
        <v>3278</v>
      </c>
      <c r="D850" s="1" t="s">
        <v>3279</v>
      </c>
      <c r="E850" s="1" t="s">
        <v>10162</v>
      </c>
      <c r="F850" s="1" t="s">
        <v>10516</v>
      </c>
      <c r="G850" s="1" t="s">
        <v>10631</v>
      </c>
      <c r="H850" s="1" t="s">
        <v>10172</v>
      </c>
      <c r="I850" s="1" t="s">
        <v>10172</v>
      </c>
      <c r="J850" s="1" t="s">
        <v>10193</v>
      </c>
      <c r="K850" s="1" t="s">
        <v>10173</v>
      </c>
      <c r="L850" s="1" t="s">
        <v>10434</v>
      </c>
      <c r="M850" s="1" t="s">
        <v>3280</v>
      </c>
      <c r="O850" s="1" t="s">
        <v>10155</v>
      </c>
      <c r="P850" s="1" t="s">
        <v>10155</v>
      </c>
      <c r="Q850" s="1" t="s">
        <v>29</v>
      </c>
    </row>
    <row r="851" spans="1:17" ht="12.5" x14ac:dyDescent="0.25">
      <c r="A851" s="1" t="s">
        <v>152</v>
      </c>
      <c r="C851" s="1" t="s">
        <v>11027</v>
      </c>
      <c r="D851" s="1" t="s">
        <v>11028</v>
      </c>
      <c r="E851" s="1" t="s">
        <v>10162</v>
      </c>
      <c r="F851" s="1" t="s">
        <v>10516</v>
      </c>
      <c r="G851" s="1" t="s">
        <v>10631</v>
      </c>
      <c r="H851" s="1" t="s">
        <v>10176</v>
      </c>
      <c r="I851" s="1" t="s">
        <v>10176</v>
      </c>
      <c r="J851" s="1" t="s">
        <v>10293</v>
      </c>
      <c r="K851" s="1" t="s">
        <v>10293</v>
      </c>
      <c r="O851" s="1" t="s">
        <v>10155</v>
      </c>
      <c r="P851" s="1" t="s">
        <v>10155</v>
      </c>
    </row>
    <row r="852" spans="1:17" ht="12.5" x14ac:dyDescent="0.25">
      <c r="A852" s="1" t="s">
        <v>152</v>
      </c>
      <c r="C852" s="1" t="s">
        <v>3273</v>
      </c>
      <c r="D852" s="1" t="s">
        <v>3274</v>
      </c>
      <c r="E852" s="1" t="s">
        <v>10162</v>
      </c>
      <c r="F852" s="1" t="s">
        <v>10516</v>
      </c>
      <c r="G852" s="1" t="s">
        <v>10631</v>
      </c>
      <c r="H852" s="1" t="s">
        <v>10152</v>
      </c>
      <c r="I852" s="1" t="s">
        <v>10153</v>
      </c>
      <c r="L852" s="1" t="s">
        <v>10197</v>
      </c>
      <c r="M852" s="1" t="s">
        <v>3275</v>
      </c>
      <c r="O852" s="1" t="s">
        <v>124</v>
      </c>
      <c r="P852" s="1" t="s">
        <v>10155</v>
      </c>
      <c r="Q852" s="1" t="s">
        <v>29</v>
      </c>
    </row>
    <row r="853" spans="1:17" ht="12.5" x14ac:dyDescent="0.25">
      <c r="A853" s="1" t="s">
        <v>152</v>
      </c>
      <c r="C853" s="1" t="s">
        <v>3269</v>
      </c>
      <c r="D853" s="1" t="s">
        <v>3270</v>
      </c>
      <c r="E853" s="1" t="s">
        <v>10162</v>
      </c>
      <c r="F853" s="1" t="s">
        <v>10162</v>
      </c>
      <c r="G853" s="1" t="s">
        <v>10632</v>
      </c>
      <c r="H853" s="1" t="s">
        <v>10152</v>
      </c>
      <c r="I853" s="1" t="s">
        <v>10153</v>
      </c>
      <c r="L853" s="1" t="s">
        <v>10197</v>
      </c>
      <c r="M853" s="1" t="s">
        <v>3271</v>
      </c>
      <c r="O853" s="1" t="s">
        <v>53</v>
      </c>
      <c r="P853" s="1" t="s">
        <v>10155</v>
      </c>
      <c r="Q853" s="1" t="s">
        <v>29</v>
      </c>
    </row>
    <row r="854" spans="1:17" ht="12.5" x14ac:dyDescent="0.25">
      <c r="A854" s="1" t="s">
        <v>152</v>
      </c>
      <c r="C854" s="1" t="s">
        <v>11029</v>
      </c>
      <c r="D854" s="1" t="s">
        <v>11030</v>
      </c>
      <c r="E854" s="1" t="s">
        <v>9928</v>
      </c>
      <c r="F854" s="1" t="s">
        <v>10563</v>
      </c>
      <c r="G854" s="1" t="s">
        <v>10635</v>
      </c>
      <c r="H854" s="1" t="s">
        <v>10152</v>
      </c>
      <c r="I854" s="1" t="s">
        <v>10164</v>
      </c>
      <c r="O854" s="1" t="s">
        <v>10155</v>
      </c>
      <c r="P854" s="1" t="s">
        <v>10155</v>
      </c>
    </row>
    <row r="855" spans="1:17" ht="12.5" x14ac:dyDescent="0.25">
      <c r="A855" s="1" t="s">
        <v>152</v>
      </c>
      <c r="C855" s="1" t="s">
        <v>8167</v>
      </c>
      <c r="D855" s="1" t="s">
        <v>8168</v>
      </c>
      <c r="E855" s="1" t="s">
        <v>9928</v>
      </c>
      <c r="F855" s="1" t="s">
        <v>10563</v>
      </c>
      <c r="G855" s="1" t="s">
        <v>10635</v>
      </c>
      <c r="H855" s="1" t="s">
        <v>10183</v>
      </c>
      <c r="I855" s="1" t="s">
        <v>10183</v>
      </c>
      <c r="M855" s="1" t="s">
        <v>8169</v>
      </c>
      <c r="N855" s="1" t="s">
        <v>8171</v>
      </c>
      <c r="O855" s="1" t="s">
        <v>33</v>
      </c>
      <c r="P855" s="1" t="s">
        <v>53</v>
      </c>
      <c r="Q855" s="1" t="s">
        <v>29</v>
      </c>
    </row>
    <row r="856" spans="1:17" ht="12.5" x14ac:dyDescent="0.25">
      <c r="A856" s="1" t="s">
        <v>152</v>
      </c>
      <c r="C856" s="1" t="s">
        <v>3263</v>
      </c>
      <c r="D856" s="1" t="s">
        <v>3264</v>
      </c>
      <c r="E856" s="1" t="s">
        <v>9928</v>
      </c>
      <c r="F856" s="1" t="s">
        <v>10563</v>
      </c>
      <c r="G856" s="1" t="s">
        <v>10635</v>
      </c>
      <c r="H856" s="1" t="s">
        <v>10152</v>
      </c>
      <c r="I856" s="1" t="s">
        <v>10153</v>
      </c>
      <c r="L856" s="1" t="s">
        <v>10197</v>
      </c>
      <c r="M856" s="1" t="s">
        <v>3265</v>
      </c>
      <c r="N856" s="1" t="s">
        <v>3267</v>
      </c>
      <c r="O856" s="1" t="s">
        <v>169</v>
      </c>
      <c r="P856" s="1" t="s">
        <v>10155</v>
      </c>
      <c r="Q856" s="1" t="s">
        <v>29</v>
      </c>
    </row>
    <row r="857" spans="1:17" ht="12.5" x14ac:dyDescent="0.25">
      <c r="A857" s="1" t="s">
        <v>152</v>
      </c>
      <c r="C857" s="1" t="s">
        <v>3257</v>
      </c>
      <c r="D857" s="1" t="s">
        <v>3258</v>
      </c>
      <c r="E857" s="1" t="s">
        <v>9928</v>
      </c>
      <c r="F857" s="1" t="s">
        <v>10563</v>
      </c>
      <c r="G857" s="1" t="s">
        <v>10635</v>
      </c>
      <c r="H857" s="1" t="s">
        <v>10160</v>
      </c>
      <c r="I857" s="1" t="s">
        <v>10160</v>
      </c>
      <c r="M857" s="1" t="s">
        <v>3259</v>
      </c>
      <c r="N857" s="1" t="s">
        <v>3261</v>
      </c>
      <c r="O857" s="1" t="s">
        <v>124</v>
      </c>
      <c r="P857" s="1" t="s">
        <v>10155</v>
      </c>
      <c r="Q857" s="1" t="s">
        <v>29</v>
      </c>
    </row>
    <row r="858" spans="1:17" ht="12.5" x14ac:dyDescent="0.25">
      <c r="A858" s="1" t="s">
        <v>152</v>
      </c>
      <c r="C858" s="1" t="s">
        <v>3251</v>
      </c>
      <c r="D858" s="1" t="s">
        <v>3252</v>
      </c>
      <c r="E858" s="1" t="s">
        <v>10162</v>
      </c>
      <c r="F858" s="1" t="s">
        <v>10553</v>
      </c>
      <c r="G858" s="1" t="s">
        <v>11031</v>
      </c>
      <c r="H858" s="1" t="s">
        <v>10183</v>
      </c>
      <c r="I858" s="1" t="s">
        <v>10183</v>
      </c>
      <c r="M858" s="1" t="s">
        <v>3253</v>
      </c>
      <c r="N858" s="1" t="s">
        <v>3255</v>
      </c>
      <c r="O858" s="1" t="s">
        <v>33</v>
      </c>
      <c r="P858" s="1" t="s">
        <v>33</v>
      </c>
      <c r="Q858" s="1" t="s">
        <v>29</v>
      </c>
    </row>
    <row r="859" spans="1:17" ht="12.5" x14ac:dyDescent="0.25">
      <c r="A859" s="1" t="s">
        <v>152</v>
      </c>
      <c r="C859" s="1" t="s">
        <v>3246</v>
      </c>
      <c r="D859" s="1" t="s">
        <v>3247</v>
      </c>
      <c r="E859" s="1" t="s">
        <v>10162</v>
      </c>
      <c r="F859" s="1" t="s">
        <v>10553</v>
      </c>
      <c r="G859" s="1" t="s">
        <v>11031</v>
      </c>
      <c r="H859" s="1" t="s">
        <v>10152</v>
      </c>
      <c r="I859" s="1" t="s">
        <v>10153</v>
      </c>
      <c r="L859" s="1" t="s">
        <v>10197</v>
      </c>
      <c r="M859" s="1" t="s">
        <v>3248</v>
      </c>
      <c r="O859" s="1" t="s">
        <v>292</v>
      </c>
      <c r="P859" s="1" t="s">
        <v>10155</v>
      </c>
      <c r="Q859" s="1" t="s">
        <v>29</v>
      </c>
    </row>
    <row r="860" spans="1:17" ht="12.5" x14ac:dyDescent="0.25">
      <c r="A860" s="1" t="s">
        <v>152</v>
      </c>
      <c r="C860" s="1" t="s">
        <v>3241</v>
      </c>
      <c r="D860" s="1" t="s">
        <v>3242</v>
      </c>
      <c r="E860" s="1" t="s">
        <v>9928</v>
      </c>
      <c r="F860" s="1" t="s">
        <v>10563</v>
      </c>
      <c r="G860" s="1" t="s">
        <v>10636</v>
      </c>
      <c r="H860" s="1" t="s">
        <v>10172</v>
      </c>
      <c r="I860" s="1" t="s">
        <v>10172</v>
      </c>
      <c r="J860" s="1" t="s">
        <v>10440</v>
      </c>
      <c r="K860" s="1" t="s">
        <v>10440</v>
      </c>
      <c r="M860" s="1" t="s">
        <v>3243</v>
      </c>
      <c r="O860" s="1" t="s">
        <v>10155</v>
      </c>
      <c r="P860" s="1" t="s">
        <v>10155</v>
      </c>
      <c r="Q860" s="1" t="s">
        <v>29</v>
      </c>
    </row>
    <row r="861" spans="1:17" ht="12.5" x14ac:dyDescent="0.25">
      <c r="A861" s="1" t="s">
        <v>152</v>
      </c>
      <c r="C861" s="1" t="s">
        <v>3236</v>
      </c>
      <c r="D861" s="1" t="s">
        <v>3237</v>
      </c>
      <c r="E861" s="1" t="s">
        <v>9928</v>
      </c>
      <c r="F861" s="1" t="s">
        <v>10563</v>
      </c>
      <c r="G861" s="1" t="s">
        <v>10636</v>
      </c>
      <c r="H861" s="1" t="s">
        <v>10152</v>
      </c>
      <c r="I861" s="1" t="s">
        <v>10153</v>
      </c>
      <c r="M861" s="1" t="s">
        <v>3238</v>
      </c>
      <c r="O861" s="1" t="s">
        <v>292</v>
      </c>
      <c r="P861" s="1" t="s">
        <v>10155</v>
      </c>
      <c r="Q861" s="1" t="s">
        <v>29</v>
      </c>
    </row>
    <row r="862" spans="1:17" ht="12.5" x14ac:dyDescent="0.25">
      <c r="A862" s="1" t="s">
        <v>152</v>
      </c>
      <c r="C862" s="1" t="s">
        <v>8265</v>
      </c>
      <c r="D862" s="1" t="s">
        <v>8266</v>
      </c>
      <c r="E862" s="1" t="s">
        <v>9928</v>
      </c>
      <c r="F862" s="1" t="s">
        <v>10563</v>
      </c>
      <c r="G862" s="1" t="s">
        <v>10636</v>
      </c>
      <c r="H862" s="1" t="s">
        <v>10152</v>
      </c>
      <c r="I862" s="1" t="s">
        <v>10153</v>
      </c>
      <c r="M862" s="1" t="s">
        <v>8267</v>
      </c>
      <c r="O862" s="1" t="s">
        <v>169</v>
      </c>
      <c r="P862" s="1" t="s">
        <v>10155</v>
      </c>
      <c r="Q862" s="1" t="s">
        <v>29</v>
      </c>
    </row>
    <row r="863" spans="1:17" ht="12.5" x14ac:dyDescent="0.25">
      <c r="A863" s="1" t="s">
        <v>152</v>
      </c>
      <c r="C863" s="1" t="s">
        <v>757</v>
      </c>
      <c r="D863" s="1" t="s">
        <v>11032</v>
      </c>
      <c r="E863" s="1" t="s">
        <v>9929</v>
      </c>
      <c r="F863" s="1" t="s">
        <v>10545</v>
      </c>
      <c r="G863" s="1" t="s">
        <v>11033</v>
      </c>
      <c r="H863" s="1" t="s">
        <v>10486</v>
      </c>
      <c r="I863" s="1" t="s">
        <v>10486</v>
      </c>
      <c r="L863" s="1" t="s">
        <v>11034</v>
      </c>
      <c r="M863" s="1" t="s">
        <v>754</v>
      </c>
      <c r="O863" s="1" t="s">
        <v>124</v>
      </c>
      <c r="P863" s="1" t="s">
        <v>10155</v>
      </c>
      <c r="Q863" s="1" t="s">
        <v>20</v>
      </c>
    </row>
    <row r="864" spans="1:17" ht="12.5" x14ac:dyDescent="0.25">
      <c r="A864" s="1" t="s">
        <v>152</v>
      </c>
      <c r="C864" s="1" t="s">
        <v>11035</v>
      </c>
      <c r="D864" s="1" t="s">
        <v>11036</v>
      </c>
      <c r="E864" s="1" t="s">
        <v>9929</v>
      </c>
      <c r="F864" s="1" t="s">
        <v>10545</v>
      </c>
      <c r="G864" s="1" t="s">
        <v>11033</v>
      </c>
      <c r="H864" s="1" t="s">
        <v>10176</v>
      </c>
      <c r="I864" s="1" t="s">
        <v>10176</v>
      </c>
      <c r="J864" s="1" t="s">
        <v>10177</v>
      </c>
      <c r="K864" s="1" t="s">
        <v>10177</v>
      </c>
      <c r="O864" s="1" t="s">
        <v>10155</v>
      </c>
      <c r="P864" s="1" t="s">
        <v>10155</v>
      </c>
    </row>
    <row r="865" spans="1:17" ht="12.5" x14ac:dyDescent="0.25">
      <c r="A865" s="1" t="s">
        <v>152</v>
      </c>
      <c r="C865" s="1" t="s">
        <v>11037</v>
      </c>
      <c r="D865" s="1" t="s">
        <v>11038</v>
      </c>
      <c r="E865" s="1" t="s">
        <v>10162</v>
      </c>
      <c r="F865" s="1" t="s">
        <v>10516</v>
      </c>
      <c r="G865" s="1" t="s">
        <v>11016</v>
      </c>
      <c r="H865" s="1" t="s">
        <v>10152</v>
      </c>
      <c r="I865" s="1" t="s">
        <v>10164</v>
      </c>
      <c r="O865" s="1" t="s">
        <v>10155</v>
      </c>
      <c r="P865" s="1" t="s">
        <v>10155</v>
      </c>
    </row>
    <row r="866" spans="1:17" ht="12.5" x14ac:dyDescent="0.25">
      <c r="A866" s="1" t="s">
        <v>152</v>
      </c>
      <c r="C866" s="1" t="s">
        <v>6108</v>
      </c>
      <c r="D866" s="1" t="s">
        <v>6109</v>
      </c>
      <c r="E866" s="1" t="s">
        <v>10162</v>
      </c>
      <c r="F866" s="1" t="s">
        <v>10162</v>
      </c>
      <c r="G866" s="1" t="s">
        <v>10637</v>
      </c>
      <c r="H866" s="1" t="s">
        <v>10152</v>
      </c>
      <c r="I866" s="1" t="s">
        <v>10153</v>
      </c>
      <c r="M866" s="1" t="s">
        <v>8661</v>
      </c>
      <c r="O866" s="1" t="s">
        <v>169</v>
      </c>
      <c r="P866" s="1" t="s">
        <v>10155</v>
      </c>
      <c r="Q866" s="1" t="s">
        <v>29</v>
      </c>
    </row>
    <row r="867" spans="1:17" ht="12.5" x14ac:dyDescent="0.25">
      <c r="A867" s="1" t="s">
        <v>152</v>
      </c>
      <c r="C867" s="1" t="s">
        <v>6108</v>
      </c>
      <c r="D867" s="1" t="s">
        <v>6109</v>
      </c>
      <c r="E867" s="1" t="s">
        <v>10162</v>
      </c>
      <c r="F867" s="1" t="s">
        <v>10162</v>
      </c>
      <c r="G867" s="1" t="s">
        <v>10637</v>
      </c>
      <c r="H867" s="1" t="s">
        <v>10152</v>
      </c>
      <c r="I867" s="1" t="s">
        <v>10153</v>
      </c>
      <c r="M867" s="1" t="s">
        <v>6110</v>
      </c>
      <c r="N867" s="1" t="s">
        <v>3132</v>
      </c>
      <c r="O867" s="1" t="s">
        <v>169</v>
      </c>
      <c r="P867" s="1" t="s">
        <v>10155</v>
      </c>
      <c r="Q867" s="1" t="s">
        <v>29</v>
      </c>
    </row>
    <row r="868" spans="1:17" ht="12.5" x14ac:dyDescent="0.25">
      <c r="A868" s="1" t="s">
        <v>152</v>
      </c>
      <c r="C868" s="1" t="s">
        <v>11039</v>
      </c>
      <c r="D868" s="1" t="s">
        <v>11040</v>
      </c>
      <c r="E868" s="1" t="s">
        <v>10162</v>
      </c>
      <c r="F868" s="1" t="s">
        <v>10162</v>
      </c>
      <c r="G868" s="1" t="s">
        <v>10637</v>
      </c>
      <c r="H868" s="1" t="s">
        <v>10172</v>
      </c>
      <c r="I868" s="1" t="s">
        <v>10172</v>
      </c>
      <c r="J868" s="1" t="s">
        <v>10173</v>
      </c>
      <c r="K868" s="1" t="s">
        <v>10173</v>
      </c>
      <c r="O868" s="1" t="s">
        <v>10155</v>
      </c>
      <c r="P868" s="1" t="s">
        <v>10155</v>
      </c>
    </row>
    <row r="869" spans="1:17" ht="12.5" x14ac:dyDescent="0.25">
      <c r="A869" s="1" t="s">
        <v>152</v>
      </c>
      <c r="C869" s="1" t="s">
        <v>3230</v>
      </c>
      <c r="D869" s="1" t="s">
        <v>11041</v>
      </c>
      <c r="E869" s="1" t="s">
        <v>10156</v>
      </c>
      <c r="F869" s="1" t="s">
        <v>10156</v>
      </c>
      <c r="G869" s="1" t="s">
        <v>11042</v>
      </c>
      <c r="H869" s="1" t="s">
        <v>10183</v>
      </c>
      <c r="I869" s="1" t="s">
        <v>10183</v>
      </c>
      <c r="M869" s="1" t="s">
        <v>3231</v>
      </c>
      <c r="O869" s="1" t="s">
        <v>24</v>
      </c>
      <c r="P869" s="1" t="s">
        <v>10155</v>
      </c>
      <c r="Q869" s="1" t="s">
        <v>29</v>
      </c>
    </row>
    <row r="870" spans="1:17" ht="12.5" x14ac:dyDescent="0.25">
      <c r="A870" s="1" t="s">
        <v>152</v>
      </c>
      <c r="C870" s="1" t="s">
        <v>3226</v>
      </c>
      <c r="D870" s="1" t="s">
        <v>11043</v>
      </c>
      <c r="E870" s="1" t="s">
        <v>10162</v>
      </c>
      <c r="F870" s="1" t="s">
        <v>10516</v>
      </c>
      <c r="G870" s="1" t="s">
        <v>11044</v>
      </c>
      <c r="H870" s="1" t="s">
        <v>10152</v>
      </c>
      <c r="I870" s="1" t="s">
        <v>10164</v>
      </c>
      <c r="M870" s="1" t="s">
        <v>3227</v>
      </c>
      <c r="O870" s="1" t="s">
        <v>10155</v>
      </c>
      <c r="P870" s="1" t="s">
        <v>10155</v>
      </c>
      <c r="Q870" s="1" t="s">
        <v>29</v>
      </c>
    </row>
    <row r="871" spans="1:17" ht="12.5" x14ac:dyDescent="0.25">
      <c r="A871" s="1" t="s">
        <v>152</v>
      </c>
      <c r="C871" s="1" t="s">
        <v>3221</v>
      </c>
      <c r="D871" s="1" t="s">
        <v>3222</v>
      </c>
      <c r="E871" s="1" t="s">
        <v>10162</v>
      </c>
      <c r="F871" s="1" t="s">
        <v>10516</v>
      </c>
      <c r="G871" s="1" t="s">
        <v>11044</v>
      </c>
      <c r="H871" s="1" t="s">
        <v>10152</v>
      </c>
      <c r="I871" s="1" t="s">
        <v>10153</v>
      </c>
      <c r="L871" s="1" t="s">
        <v>10197</v>
      </c>
      <c r="M871" s="1" t="s">
        <v>3223</v>
      </c>
      <c r="O871" s="1" t="s">
        <v>10155</v>
      </c>
      <c r="P871" s="1" t="s">
        <v>10155</v>
      </c>
      <c r="Q871" s="1" t="s">
        <v>29</v>
      </c>
    </row>
    <row r="872" spans="1:17" ht="12.5" x14ac:dyDescent="0.25">
      <c r="A872" s="1" t="s">
        <v>152</v>
      </c>
      <c r="C872" s="1" t="s">
        <v>3217</v>
      </c>
      <c r="D872" s="1" t="s">
        <v>11045</v>
      </c>
      <c r="E872" s="1" t="s">
        <v>10162</v>
      </c>
      <c r="F872" s="1" t="s">
        <v>10516</v>
      </c>
      <c r="G872" s="1" t="s">
        <v>11044</v>
      </c>
      <c r="H872" s="1" t="s">
        <v>10160</v>
      </c>
      <c r="I872" s="1" t="s">
        <v>10160</v>
      </c>
      <c r="L872" s="1" t="s">
        <v>10197</v>
      </c>
      <c r="M872" s="1" t="s">
        <v>3218</v>
      </c>
      <c r="N872" s="1" t="s">
        <v>3220</v>
      </c>
      <c r="O872" s="1" t="s">
        <v>33</v>
      </c>
      <c r="P872" s="1" t="s">
        <v>10155</v>
      </c>
      <c r="Q872" s="1" t="s">
        <v>29</v>
      </c>
    </row>
    <row r="873" spans="1:17" ht="12.5" x14ac:dyDescent="0.25">
      <c r="A873" s="1" t="s">
        <v>152</v>
      </c>
      <c r="C873" s="1" t="s">
        <v>3213</v>
      </c>
      <c r="D873" s="1" t="s">
        <v>11046</v>
      </c>
      <c r="E873" s="1" t="s">
        <v>10162</v>
      </c>
      <c r="F873" s="1" t="s">
        <v>10516</v>
      </c>
      <c r="G873" s="1" t="s">
        <v>11044</v>
      </c>
      <c r="H873" s="1" t="s">
        <v>10152</v>
      </c>
      <c r="I873" s="1" t="s">
        <v>10153</v>
      </c>
      <c r="L873" s="1" t="s">
        <v>10197</v>
      </c>
      <c r="M873" s="1" t="s">
        <v>3214</v>
      </c>
      <c r="O873" s="1" t="s">
        <v>169</v>
      </c>
      <c r="P873" s="1" t="s">
        <v>10155</v>
      </c>
      <c r="Q873" s="1" t="s">
        <v>29</v>
      </c>
    </row>
    <row r="874" spans="1:17" ht="12.5" x14ac:dyDescent="0.25">
      <c r="A874" s="1" t="s">
        <v>152</v>
      </c>
      <c r="C874" s="1" t="s">
        <v>3208</v>
      </c>
      <c r="D874" s="1" t="s">
        <v>3209</v>
      </c>
      <c r="E874" s="1" t="s">
        <v>9928</v>
      </c>
      <c r="F874" s="1" t="s">
        <v>10563</v>
      </c>
      <c r="G874" s="1" t="s">
        <v>10636</v>
      </c>
      <c r="H874" s="1" t="s">
        <v>10172</v>
      </c>
      <c r="I874" s="1" t="s">
        <v>10172</v>
      </c>
      <c r="J874" s="1" t="s">
        <v>10573</v>
      </c>
      <c r="K874" s="1" t="s">
        <v>10573</v>
      </c>
      <c r="M874" s="1" t="s">
        <v>3210</v>
      </c>
      <c r="N874" s="1" t="s">
        <v>3212</v>
      </c>
      <c r="O874" s="1" t="s">
        <v>10155</v>
      </c>
      <c r="P874" s="1" t="s">
        <v>10155</v>
      </c>
      <c r="Q874" s="1" t="s">
        <v>29</v>
      </c>
    </row>
    <row r="875" spans="1:17" ht="12.5" x14ac:dyDescent="0.25">
      <c r="A875" s="1" t="s">
        <v>152</v>
      </c>
      <c r="C875" s="1" t="s">
        <v>11047</v>
      </c>
      <c r="D875" s="1" t="s">
        <v>11048</v>
      </c>
      <c r="E875" s="1" t="s">
        <v>10162</v>
      </c>
      <c r="F875" s="1" t="s">
        <v>10516</v>
      </c>
      <c r="G875" s="1" t="s">
        <v>11049</v>
      </c>
      <c r="H875" s="1" t="s">
        <v>10176</v>
      </c>
      <c r="I875" s="1" t="s">
        <v>10176</v>
      </c>
      <c r="J875" s="1" t="s">
        <v>10293</v>
      </c>
      <c r="K875" s="1" t="s">
        <v>10293</v>
      </c>
      <c r="O875" s="1" t="s">
        <v>10155</v>
      </c>
      <c r="P875" s="1" t="s">
        <v>10155</v>
      </c>
    </row>
    <row r="876" spans="1:17" ht="12.5" x14ac:dyDescent="0.25">
      <c r="A876" s="1" t="s">
        <v>152</v>
      </c>
      <c r="C876" s="1" t="s">
        <v>11050</v>
      </c>
      <c r="D876" s="1" t="s">
        <v>11051</v>
      </c>
      <c r="E876" s="1" t="s">
        <v>10162</v>
      </c>
      <c r="F876" s="1" t="s">
        <v>10516</v>
      </c>
      <c r="G876" s="1" t="s">
        <v>11049</v>
      </c>
      <c r="H876" s="1" t="s">
        <v>10176</v>
      </c>
      <c r="I876" s="1" t="s">
        <v>10176</v>
      </c>
      <c r="J876" s="1" t="s">
        <v>10293</v>
      </c>
      <c r="K876" s="1" t="s">
        <v>10293</v>
      </c>
      <c r="O876" s="1" t="s">
        <v>10155</v>
      </c>
      <c r="P876" s="1" t="s">
        <v>10155</v>
      </c>
    </row>
    <row r="877" spans="1:17" ht="12.5" x14ac:dyDescent="0.25">
      <c r="A877" s="1" t="s">
        <v>152</v>
      </c>
      <c r="C877" s="1" t="s">
        <v>3202</v>
      </c>
      <c r="D877" s="1" t="s">
        <v>3203</v>
      </c>
      <c r="E877" s="1" t="s">
        <v>9928</v>
      </c>
      <c r="F877" s="1" t="s">
        <v>10563</v>
      </c>
      <c r="G877" s="1" t="s">
        <v>10611</v>
      </c>
      <c r="H877" s="1" t="s">
        <v>10152</v>
      </c>
      <c r="I877" s="1" t="s">
        <v>10153</v>
      </c>
      <c r="M877" s="1" t="s">
        <v>3204</v>
      </c>
      <c r="N877" s="1" t="s">
        <v>11052</v>
      </c>
      <c r="O877" s="1" t="s">
        <v>169</v>
      </c>
      <c r="P877" s="1" t="s">
        <v>10155</v>
      </c>
      <c r="Q877" s="1" t="s">
        <v>29</v>
      </c>
    </row>
    <row r="878" spans="1:17" ht="12.5" x14ac:dyDescent="0.25">
      <c r="A878" s="1" t="s">
        <v>152</v>
      </c>
      <c r="C878" s="1" t="s">
        <v>11053</v>
      </c>
      <c r="D878" s="1" t="s">
        <v>11054</v>
      </c>
      <c r="E878" s="1" t="s">
        <v>10162</v>
      </c>
      <c r="F878" s="1" t="s">
        <v>10162</v>
      </c>
      <c r="G878" s="1" t="s">
        <v>11055</v>
      </c>
      <c r="H878" s="1" t="s">
        <v>10172</v>
      </c>
      <c r="I878" s="1" t="s">
        <v>10172</v>
      </c>
      <c r="J878" s="1" t="s">
        <v>10173</v>
      </c>
      <c r="K878" s="1" t="s">
        <v>10173</v>
      </c>
      <c r="O878" s="1" t="s">
        <v>10155</v>
      </c>
      <c r="P878" s="1" t="s">
        <v>10155</v>
      </c>
    </row>
    <row r="879" spans="1:17" ht="12.5" x14ac:dyDescent="0.25">
      <c r="A879" s="1" t="s">
        <v>152</v>
      </c>
      <c r="C879" s="1" t="s">
        <v>3196</v>
      </c>
      <c r="D879" s="1" t="s">
        <v>3197</v>
      </c>
      <c r="E879" s="1" t="s">
        <v>10156</v>
      </c>
      <c r="F879" s="1" t="s">
        <v>10156</v>
      </c>
      <c r="G879" s="1" t="s">
        <v>11056</v>
      </c>
      <c r="H879" s="1" t="s">
        <v>10183</v>
      </c>
      <c r="I879" s="1" t="s">
        <v>10183</v>
      </c>
      <c r="M879" s="1" t="s">
        <v>3198</v>
      </c>
      <c r="N879" s="1" t="s">
        <v>3200</v>
      </c>
      <c r="O879" s="1" t="s">
        <v>24</v>
      </c>
      <c r="P879" s="1" t="s">
        <v>53</v>
      </c>
      <c r="Q879" s="1" t="s">
        <v>29</v>
      </c>
    </row>
    <row r="880" spans="1:17" ht="12.5" x14ac:dyDescent="0.25">
      <c r="A880" s="1" t="s">
        <v>152</v>
      </c>
      <c r="C880" s="1" t="s">
        <v>3191</v>
      </c>
      <c r="D880" s="1" t="s">
        <v>3192</v>
      </c>
      <c r="E880" s="1" t="s">
        <v>10156</v>
      </c>
      <c r="F880" s="1" t="s">
        <v>10156</v>
      </c>
      <c r="G880" s="1" t="s">
        <v>11056</v>
      </c>
      <c r="H880" s="1" t="s">
        <v>10183</v>
      </c>
      <c r="I880" s="1" t="s">
        <v>10183</v>
      </c>
      <c r="M880" s="1" t="s">
        <v>3193</v>
      </c>
      <c r="O880" s="1" t="s">
        <v>24</v>
      </c>
      <c r="P880" s="1" t="s">
        <v>53</v>
      </c>
      <c r="Q880" s="1" t="s">
        <v>29</v>
      </c>
    </row>
    <row r="881" spans="1:17" ht="12.5" x14ac:dyDescent="0.25">
      <c r="A881" s="1" t="s">
        <v>152</v>
      </c>
      <c r="C881" s="1" t="s">
        <v>3185</v>
      </c>
      <c r="D881" s="1" t="s">
        <v>3186</v>
      </c>
      <c r="E881" s="1" t="s">
        <v>10156</v>
      </c>
      <c r="F881" s="1" t="s">
        <v>10156</v>
      </c>
      <c r="G881" s="1" t="s">
        <v>11056</v>
      </c>
      <c r="H881" s="1" t="s">
        <v>10152</v>
      </c>
      <c r="I881" s="1" t="s">
        <v>10153</v>
      </c>
      <c r="L881" s="1" t="s">
        <v>10197</v>
      </c>
      <c r="M881" s="1" t="s">
        <v>3187</v>
      </c>
      <c r="N881" s="1" t="s">
        <v>3189</v>
      </c>
      <c r="O881" s="1" t="s">
        <v>24</v>
      </c>
      <c r="P881" s="1" t="s">
        <v>10155</v>
      </c>
      <c r="Q881" s="1" t="s">
        <v>29</v>
      </c>
    </row>
    <row r="882" spans="1:17" ht="12.5" x14ac:dyDescent="0.25">
      <c r="A882" s="1" t="s">
        <v>152</v>
      </c>
      <c r="C882" s="1" t="s">
        <v>3180</v>
      </c>
      <c r="D882" s="1" t="s">
        <v>3181</v>
      </c>
      <c r="E882" s="1" t="s">
        <v>10156</v>
      </c>
      <c r="F882" s="1" t="s">
        <v>10156</v>
      </c>
      <c r="G882" s="1" t="s">
        <v>11056</v>
      </c>
      <c r="H882" s="1" t="s">
        <v>10152</v>
      </c>
      <c r="I882" s="1" t="s">
        <v>10164</v>
      </c>
      <c r="L882" s="1" t="s">
        <v>10197</v>
      </c>
      <c r="M882" s="1" t="s">
        <v>3182</v>
      </c>
      <c r="O882" s="1" t="s">
        <v>124</v>
      </c>
      <c r="P882" s="1" t="s">
        <v>10155</v>
      </c>
      <c r="Q882" s="1" t="s">
        <v>29</v>
      </c>
    </row>
    <row r="883" spans="1:17" ht="12.5" x14ac:dyDescent="0.25">
      <c r="A883" s="1" t="s">
        <v>152</v>
      </c>
      <c r="C883" s="1" t="s">
        <v>8162</v>
      </c>
      <c r="D883" s="1" t="s">
        <v>8163</v>
      </c>
      <c r="E883" s="1" t="s">
        <v>9928</v>
      </c>
      <c r="F883" s="1" t="s">
        <v>10563</v>
      </c>
      <c r="G883" s="1" t="s">
        <v>10611</v>
      </c>
      <c r="H883" s="1" t="s">
        <v>10183</v>
      </c>
      <c r="I883" s="1" t="s">
        <v>10183</v>
      </c>
      <c r="M883" s="1" t="s">
        <v>8164</v>
      </c>
      <c r="N883" s="1" t="s">
        <v>8165</v>
      </c>
      <c r="O883" s="1" t="s">
        <v>33</v>
      </c>
      <c r="P883" s="1" t="s">
        <v>46</v>
      </c>
      <c r="Q883" s="1" t="s">
        <v>29</v>
      </c>
    </row>
    <row r="884" spans="1:17" ht="12.5" x14ac:dyDescent="0.25">
      <c r="A884" s="1" t="s">
        <v>152</v>
      </c>
      <c r="C884" s="1" t="s">
        <v>3174</v>
      </c>
      <c r="D884" s="1" t="s">
        <v>3175</v>
      </c>
      <c r="E884" s="1" t="s">
        <v>9928</v>
      </c>
      <c r="F884" s="1" t="s">
        <v>10629</v>
      </c>
      <c r="G884" s="1" t="s">
        <v>10638</v>
      </c>
      <c r="H884" s="1" t="s">
        <v>10152</v>
      </c>
      <c r="I884" s="1" t="s">
        <v>10153</v>
      </c>
      <c r="M884" s="1" t="s">
        <v>3176</v>
      </c>
      <c r="N884" s="1" t="s">
        <v>3178</v>
      </c>
      <c r="O884" s="1" t="s">
        <v>169</v>
      </c>
      <c r="P884" s="1" t="s">
        <v>10155</v>
      </c>
      <c r="Q884" s="1" t="s">
        <v>29</v>
      </c>
    </row>
    <row r="885" spans="1:17" ht="12.5" x14ac:dyDescent="0.25">
      <c r="A885" s="1" t="s">
        <v>152</v>
      </c>
      <c r="C885" s="1" t="s">
        <v>3169</v>
      </c>
      <c r="D885" s="1" t="s">
        <v>3170</v>
      </c>
      <c r="E885" s="1" t="s">
        <v>9928</v>
      </c>
      <c r="F885" s="1" t="s">
        <v>10629</v>
      </c>
      <c r="G885" s="1" t="s">
        <v>10638</v>
      </c>
      <c r="H885" s="1" t="s">
        <v>10152</v>
      </c>
      <c r="I885" s="1" t="s">
        <v>10153</v>
      </c>
      <c r="M885" s="1" t="s">
        <v>3171</v>
      </c>
      <c r="O885" s="1" t="s">
        <v>169</v>
      </c>
      <c r="P885" s="1" t="s">
        <v>10155</v>
      </c>
      <c r="Q885" s="1" t="s">
        <v>29</v>
      </c>
    </row>
    <row r="886" spans="1:17" ht="12.5" x14ac:dyDescent="0.25">
      <c r="A886" s="1" t="s">
        <v>152</v>
      </c>
      <c r="C886" s="1" t="s">
        <v>3165</v>
      </c>
      <c r="D886" s="1" t="s">
        <v>3166</v>
      </c>
      <c r="E886" s="1" t="s">
        <v>9928</v>
      </c>
      <c r="F886" s="1" t="s">
        <v>10629</v>
      </c>
      <c r="G886" s="1" t="s">
        <v>10638</v>
      </c>
      <c r="H886" s="1" t="s">
        <v>10176</v>
      </c>
      <c r="I886" s="1" t="s">
        <v>10176</v>
      </c>
      <c r="J886" s="1" t="s">
        <v>10558</v>
      </c>
      <c r="K886" s="1" t="s">
        <v>10558</v>
      </c>
      <c r="M886" s="1" t="s">
        <v>3167</v>
      </c>
      <c r="O886" s="1" t="s">
        <v>10155</v>
      </c>
      <c r="P886" s="1" t="s">
        <v>10155</v>
      </c>
      <c r="Q886" s="1" t="s">
        <v>29</v>
      </c>
    </row>
    <row r="887" spans="1:17" ht="12.5" x14ac:dyDescent="0.25">
      <c r="A887" s="1" t="s">
        <v>152</v>
      </c>
      <c r="C887" s="1" t="s">
        <v>3160</v>
      </c>
      <c r="D887" s="1" t="s">
        <v>3161</v>
      </c>
      <c r="E887" s="1" t="s">
        <v>9928</v>
      </c>
      <c r="F887" s="1" t="s">
        <v>10629</v>
      </c>
      <c r="G887" s="1" t="s">
        <v>10638</v>
      </c>
      <c r="H887" s="1" t="s">
        <v>10152</v>
      </c>
      <c r="I887" s="1" t="s">
        <v>10153</v>
      </c>
      <c r="M887" s="1" t="s">
        <v>3162</v>
      </c>
      <c r="O887" s="1" t="s">
        <v>169</v>
      </c>
      <c r="P887" s="1" t="s">
        <v>10155</v>
      </c>
      <c r="Q887" s="1" t="s">
        <v>29</v>
      </c>
    </row>
    <row r="888" spans="1:17" ht="12.5" x14ac:dyDescent="0.25">
      <c r="A888" s="1" t="s">
        <v>152</v>
      </c>
      <c r="C888" s="1" t="s">
        <v>11057</v>
      </c>
      <c r="D888" s="1" t="s">
        <v>4496</v>
      </c>
      <c r="E888" s="1" t="s">
        <v>10156</v>
      </c>
      <c r="F888" s="1" t="s">
        <v>10156</v>
      </c>
      <c r="G888" s="1" t="s">
        <v>10656</v>
      </c>
      <c r="H888" s="1" t="s">
        <v>10176</v>
      </c>
      <c r="I888" s="1" t="s">
        <v>10176</v>
      </c>
      <c r="J888" s="1" t="s">
        <v>10293</v>
      </c>
      <c r="K888" s="1" t="s">
        <v>10293</v>
      </c>
      <c r="O888" s="1" t="s">
        <v>10155</v>
      </c>
      <c r="P888" s="1" t="s">
        <v>10155</v>
      </c>
    </row>
    <row r="889" spans="1:17" ht="12.5" x14ac:dyDescent="0.25">
      <c r="A889" s="1" t="s">
        <v>152</v>
      </c>
      <c r="C889" s="1" t="s">
        <v>3154</v>
      </c>
      <c r="D889" s="1" t="s">
        <v>3155</v>
      </c>
      <c r="E889" s="1" t="s">
        <v>10156</v>
      </c>
      <c r="F889" s="1" t="s">
        <v>10156</v>
      </c>
      <c r="G889" s="1" t="s">
        <v>10656</v>
      </c>
      <c r="H889" s="1" t="s">
        <v>10183</v>
      </c>
      <c r="I889" s="1" t="s">
        <v>10183</v>
      </c>
      <c r="M889" s="1" t="s">
        <v>3156</v>
      </c>
      <c r="N889" s="1" t="s">
        <v>3158</v>
      </c>
      <c r="O889" s="1" t="s">
        <v>24</v>
      </c>
      <c r="P889" s="1" t="s">
        <v>10155</v>
      </c>
      <c r="Q889" s="1" t="s">
        <v>29</v>
      </c>
    </row>
    <row r="890" spans="1:17" ht="12.5" x14ac:dyDescent="0.25">
      <c r="A890" s="1" t="s">
        <v>152</v>
      </c>
      <c r="C890" s="1" t="s">
        <v>3148</v>
      </c>
      <c r="D890" s="1" t="s">
        <v>3149</v>
      </c>
      <c r="E890" s="1" t="s">
        <v>10156</v>
      </c>
      <c r="F890" s="1" t="s">
        <v>10156</v>
      </c>
      <c r="G890" s="1" t="s">
        <v>10656</v>
      </c>
      <c r="H890" s="1" t="s">
        <v>10152</v>
      </c>
      <c r="I890" s="1" t="s">
        <v>10153</v>
      </c>
      <c r="L890" s="1" t="s">
        <v>10197</v>
      </c>
      <c r="M890" s="1" t="s">
        <v>3150</v>
      </c>
      <c r="N890" s="1" t="s">
        <v>11058</v>
      </c>
      <c r="O890" s="1" t="s">
        <v>169</v>
      </c>
      <c r="P890" s="1" t="s">
        <v>10155</v>
      </c>
      <c r="Q890" s="1" t="s">
        <v>29</v>
      </c>
    </row>
    <row r="891" spans="1:17" ht="12.5" x14ac:dyDescent="0.25">
      <c r="A891" s="1" t="s">
        <v>152</v>
      </c>
      <c r="C891" s="1" t="s">
        <v>11059</v>
      </c>
      <c r="D891" s="1" t="s">
        <v>11060</v>
      </c>
      <c r="E891" s="1" t="s">
        <v>9929</v>
      </c>
      <c r="F891" s="1" t="s">
        <v>10150</v>
      </c>
      <c r="G891" s="1" t="s">
        <v>11061</v>
      </c>
      <c r="H891" s="1" t="s">
        <v>10172</v>
      </c>
      <c r="I891" s="1" t="s">
        <v>10172</v>
      </c>
      <c r="J891" s="1" t="s">
        <v>10573</v>
      </c>
      <c r="K891" s="1" t="s">
        <v>10573</v>
      </c>
      <c r="O891" s="1" t="s">
        <v>10155</v>
      </c>
      <c r="P891" s="1" t="s">
        <v>10155</v>
      </c>
    </row>
    <row r="892" spans="1:17" ht="12.5" x14ac:dyDescent="0.25">
      <c r="A892" s="1" t="s">
        <v>152</v>
      </c>
      <c r="C892" s="1" t="s">
        <v>11059</v>
      </c>
      <c r="D892" s="1" t="s">
        <v>11060</v>
      </c>
      <c r="E892" s="1" t="s">
        <v>9929</v>
      </c>
      <c r="F892" s="1" t="s">
        <v>10150</v>
      </c>
      <c r="G892" s="1" t="s">
        <v>11062</v>
      </c>
      <c r="H892" s="1" t="s">
        <v>10172</v>
      </c>
      <c r="I892" s="1" t="s">
        <v>10172</v>
      </c>
      <c r="J892" s="1" t="s">
        <v>10573</v>
      </c>
      <c r="K892" s="1" t="s">
        <v>10573</v>
      </c>
      <c r="O892" s="1" t="s">
        <v>10155</v>
      </c>
      <c r="P892" s="1" t="s">
        <v>10155</v>
      </c>
    </row>
    <row r="893" spans="1:17" ht="12.5" x14ac:dyDescent="0.25">
      <c r="A893" s="1" t="s">
        <v>152</v>
      </c>
      <c r="C893" s="1" t="s">
        <v>9242</v>
      </c>
      <c r="D893" s="1" t="s">
        <v>9243</v>
      </c>
      <c r="E893" s="1" t="s">
        <v>9929</v>
      </c>
      <c r="F893" s="1" t="s">
        <v>10150</v>
      </c>
      <c r="G893" s="1" t="s">
        <v>11062</v>
      </c>
      <c r="H893" s="1" t="s">
        <v>10152</v>
      </c>
      <c r="I893" s="1" t="s">
        <v>10153</v>
      </c>
      <c r="M893" s="1" t="s">
        <v>9244</v>
      </c>
      <c r="N893" s="1" t="s">
        <v>11063</v>
      </c>
      <c r="O893" s="1" t="s">
        <v>112</v>
      </c>
      <c r="P893" s="1" t="s">
        <v>10155</v>
      </c>
      <c r="Q893" s="1" t="s">
        <v>29</v>
      </c>
    </row>
    <row r="894" spans="1:17" ht="12.5" x14ac:dyDescent="0.25">
      <c r="A894" s="1" t="s">
        <v>152</v>
      </c>
      <c r="C894" s="1" t="s">
        <v>3143</v>
      </c>
      <c r="D894" s="1" t="s">
        <v>3144</v>
      </c>
      <c r="E894" s="1" t="s">
        <v>9928</v>
      </c>
      <c r="F894" s="1" t="s">
        <v>10563</v>
      </c>
      <c r="G894" s="1" t="s">
        <v>11064</v>
      </c>
      <c r="H894" s="1" t="s">
        <v>10152</v>
      </c>
      <c r="I894" s="1" t="s">
        <v>10153</v>
      </c>
      <c r="M894" s="1" t="s">
        <v>3145</v>
      </c>
      <c r="O894" s="1" t="s">
        <v>157</v>
      </c>
      <c r="P894" s="1" t="s">
        <v>10155</v>
      </c>
      <c r="Q894" s="1" t="s">
        <v>29</v>
      </c>
    </row>
    <row r="895" spans="1:17" ht="12.5" x14ac:dyDescent="0.25">
      <c r="A895" s="1" t="s">
        <v>152</v>
      </c>
      <c r="C895" s="1" t="s">
        <v>3138</v>
      </c>
      <c r="D895" s="1" t="s">
        <v>3139</v>
      </c>
      <c r="E895" s="1" t="s">
        <v>9929</v>
      </c>
      <c r="F895" s="1" t="s">
        <v>10150</v>
      </c>
      <c r="G895" s="1" t="s">
        <v>10757</v>
      </c>
      <c r="H895" s="1" t="s">
        <v>10160</v>
      </c>
      <c r="I895" s="1" t="s">
        <v>10160</v>
      </c>
      <c r="L895" s="1" t="s">
        <v>10197</v>
      </c>
      <c r="M895" s="1" t="s">
        <v>3140</v>
      </c>
      <c r="N895" s="1" t="s">
        <v>3094</v>
      </c>
      <c r="O895" s="1" t="s">
        <v>169</v>
      </c>
      <c r="P895" s="1" t="s">
        <v>10155</v>
      </c>
      <c r="Q895" s="1" t="s">
        <v>29</v>
      </c>
    </row>
    <row r="896" spans="1:17" ht="12.5" x14ac:dyDescent="0.25">
      <c r="A896" s="1" t="s">
        <v>152</v>
      </c>
      <c r="C896" s="1" t="s">
        <v>6852</v>
      </c>
      <c r="D896" s="1" t="s">
        <v>11065</v>
      </c>
      <c r="E896" s="1" t="s">
        <v>9928</v>
      </c>
      <c r="F896" s="1" t="s">
        <v>10518</v>
      </c>
      <c r="G896" s="1" t="s">
        <v>10639</v>
      </c>
      <c r="H896" s="1" t="s">
        <v>10152</v>
      </c>
      <c r="I896" s="1" t="s">
        <v>10153</v>
      </c>
      <c r="M896" s="1" t="s">
        <v>6853</v>
      </c>
      <c r="N896" s="1" t="s">
        <v>6855</v>
      </c>
      <c r="O896" s="1" t="s">
        <v>10155</v>
      </c>
      <c r="P896" s="1" t="s">
        <v>10155</v>
      </c>
      <c r="Q896" s="1" t="s">
        <v>29</v>
      </c>
    </row>
    <row r="897" spans="1:17" ht="12.5" x14ac:dyDescent="0.25">
      <c r="A897" s="1" t="s">
        <v>152</v>
      </c>
      <c r="C897" s="1" t="s">
        <v>3133</v>
      </c>
      <c r="D897" s="1" t="s">
        <v>3134</v>
      </c>
      <c r="E897" s="1" t="s">
        <v>10162</v>
      </c>
      <c r="F897" s="1" t="s">
        <v>10553</v>
      </c>
      <c r="G897" s="1" t="s">
        <v>11066</v>
      </c>
      <c r="H897" s="1" t="s">
        <v>10152</v>
      </c>
      <c r="I897" s="1" t="s">
        <v>10164</v>
      </c>
      <c r="M897" s="1" t="s">
        <v>3135</v>
      </c>
      <c r="O897" s="1" t="s">
        <v>10155</v>
      </c>
      <c r="P897" s="1" t="s">
        <v>10155</v>
      </c>
      <c r="Q897" s="1" t="s">
        <v>29</v>
      </c>
    </row>
    <row r="898" spans="1:17" ht="12.5" x14ac:dyDescent="0.25">
      <c r="A898" s="1" t="s">
        <v>152</v>
      </c>
      <c r="C898" s="1" t="s">
        <v>3128</v>
      </c>
      <c r="D898" s="1" t="s">
        <v>3129</v>
      </c>
      <c r="E898" s="1" t="s">
        <v>10162</v>
      </c>
      <c r="F898" s="1" t="s">
        <v>10162</v>
      </c>
      <c r="G898" s="1" t="s">
        <v>11067</v>
      </c>
      <c r="H898" s="1" t="s">
        <v>10152</v>
      </c>
      <c r="I898" s="1" t="s">
        <v>10153</v>
      </c>
      <c r="L898" s="1" t="s">
        <v>10197</v>
      </c>
      <c r="M898" s="1" t="s">
        <v>3130</v>
      </c>
      <c r="N898" s="1" t="s">
        <v>3132</v>
      </c>
      <c r="O898" s="1" t="s">
        <v>169</v>
      </c>
      <c r="P898" s="1" t="s">
        <v>10155</v>
      </c>
      <c r="Q898" s="1" t="s">
        <v>29</v>
      </c>
    </row>
    <row r="899" spans="1:17" ht="12.5" x14ac:dyDescent="0.25">
      <c r="A899" s="1" t="s">
        <v>152</v>
      </c>
      <c r="C899" s="1" t="s">
        <v>5442</v>
      </c>
      <c r="D899" s="1" t="s">
        <v>5443</v>
      </c>
      <c r="E899" s="1" t="s">
        <v>9928</v>
      </c>
      <c r="F899" s="1" t="s">
        <v>10518</v>
      </c>
      <c r="G899" s="1" t="s">
        <v>11068</v>
      </c>
      <c r="H899" s="1" t="s">
        <v>10183</v>
      </c>
      <c r="I899" s="1" t="s">
        <v>10183</v>
      </c>
      <c r="M899" s="1" t="s">
        <v>5444</v>
      </c>
      <c r="N899" s="1" t="s">
        <v>5446</v>
      </c>
      <c r="O899" s="1" t="s">
        <v>59</v>
      </c>
      <c r="P899" s="1" t="s">
        <v>59</v>
      </c>
      <c r="Q899" s="1" t="s">
        <v>29</v>
      </c>
    </row>
    <row r="900" spans="1:17" ht="12.5" x14ac:dyDescent="0.25">
      <c r="A900" s="1" t="s">
        <v>152</v>
      </c>
      <c r="C900" s="1" t="s">
        <v>3124</v>
      </c>
      <c r="D900" s="1" t="s">
        <v>11069</v>
      </c>
      <c r="E900" s="1" t="s">
        <v>9929</v>
      </c>
      <c r="F900" s="1" t="s">
        <v>10150</v>
      </c>
      <c r="G900" s="1" t="s">
        <v>10729</v>
      </c>
      <c r="H900" s="1" t="s">
        <v>10152</v>
      </c>
      <c r="I900" s="1" t="s">
        <v>10153</v>
      </c>
      <c r="L900" s="1" t="s">
        <v>10197</v>
      </c>
      <c r="M900" s="1" t="s">
        <v>8605</v>
      </c>
      <c r="O900" s="1" t="s">
        <v>10155</v>
      </c>
      <c r="P900" s="1" t="s">
        <v>10155</v>
      </c>
      <c r="Q900" s="1" t="s">
        <v>20</v>
      </c>
    </row>
    <row r="901" spans="1:17" ht="12.5" x14ac:dyDescent="0.25">
      <c r="A901" s="1" t="s">
        <v>152</v>
      </c>
      <c r="C901" s="1" t="s">
        <v>3124</v>
      </c>
      <c r="D901" s="1" t="s">
        <v>11069</v>
      </c>
      <c r="E901" s="1" t="s">
        <v>9929</v>
      </c>
      <c r="F901" s="1" t="s">
        <v>10150</v>
      </c>
      <c r="G901" s="1" t="s">
        <v>10729</v>
      </c>
      <c r="H901" s="1" t="s">
        <v>10152</v>
      </c>
      <c r="I901" s="1" t="s">
        <v>10153</v>
      </c>
      <c r="L901" s="1" t="s">
        <v>10197</v>
      </c>
      <c r="M901" s="1" t="s">
        <v>3125</v>
      </c>
      <c r="O901" s="1" t="s">
        <v>112</v>
      </c>
      <c r="P901" s="1" t="s">
        <v>10155</v>
      </c>
      <c r="Q901" s="1" t="s">
        <v>29</v>
      </c>
    </row>
    <row r="902" spans="1:17" ht="12.5" x14ac:dyDescent="0.25">
      <c r="A902" s="1" t="s">
        <v>152</v>
      </c>
      <c r="C902" s="1" t="s">
        <v>11070</v>
      </c>
      <c r="D902" s="1" t="s">
        <v>11071</v>
      </c>
      <c r="E902" s="1" t="s">
        <v>9929</v>
      </c>
      <c r="F902" s="1" t="s">
        <v>10545</v>
      </c>
      <c r="G902" s="1" t="s">
        <v>11072</v>
      </c>
      <c r="H902" s="1" t="s">
        <v>10176</v>
      </c>
      <c r="I902" s="1" t="s">
        <v>10176</v>
      </c>
      <c r="J902" s="1" t="s">
        <v>10293</v>
      </c>
      <c r="K902" s="1" t="s">
        <v>10293</v>
      </c>
      <c r="O902" s="1" t="s">
        <v>10155</v>
      </c>
      <c r="P902" s="1" t="s">
        <v>10155</v>
      </c>
    </row>
    <row r="903" spans="1:17" ht="12.5" x14ac:dyDescent="0.25">
      <c r="A903" s="1" t="s">
        <v>152</v>
      </c>
      <c r="C903" s="1" t="s">
        <v>3119</v>
      </c>
      <c r="D903" s="1" t="s">
        <v>3120</v>
      </c>
      <c r="E903" s="1" t="s">
        <v>9929</v>
      </c>
      <c r="F903" s="1" t="s">
        <v>10545</v>
      </c>
      <c r="G903" s="1" t="s">
        <v>11072</v>
      </c>
      <c r="H903" s="1" t="s">
        <v>10152</v>
      </c>
      <c r="I903" s="1" t="s">
        <v>10153</v>
      </c>
      <c r="L903" s="1" t="s">
        <v>10197</v>
      </c>
      <c r="M903" s="1" t="s">
        <v>3121</v>
      </c>
      <c r="O903" s="1" t="s">
        <v>292</v>
      </c>
      <c r="P903" s="1" t="s">
        <v>10155</v>
      </c>
      <c r="Q903" s="1" t="s">
        <v>29</v>
      </c>
    </row>
    <row r="904" spans="1:17" ht="12.5" x14ac:dyDescent="0.25">
      <c r="A904" s="1" t="s">
        <v>152</v>
      </c>
      <c r="C904" s="1" t="s">
        <v>11073</v>
      </c>
      <c r="D904" s="1" t="s">
        <v>11074</v>
      </c>
      <c r="E904" s="1" t="s">
        <v>9929</v>
      </c>
      <c r="F904" s="1" t="s">
        <v>10545</v>
      </c>
      <c r="G904" s="1" t="s">
        <v>11075</v>
      </c>
      <c r="H904" s="1" t="s">
        <v>10176</v>
      </c>
      <c r="I904" s="1" t="s">
        <v>10176</v>
      </c>
      <c r="J904" s="1" t="s">
        <v>10262</v>
      </c>
      <c r="K904" s="1" t="s">
        <v>10262</v>
      </c>
      <c r="O904" s="1" t="s">
        <v>10155</v>
      </c>
      <c r="P904" s="1" t="s">
        <v>10155</v>
      </c>
    </row>
    <row r="905" spans="1:17" ht="12.5" x14ac:dyDescent="0.25">
      <c r="A905" s="1" t="s">
        <v>152</v>
      </c>
      <c r="C905" s="1" t="s">
        <v>3113</v>
      </c>
      <c r="D905" s="1" t="s">
        <v>3114</v>
      </c>
      <c r="E905" s="1" t="s">
        <v>9929</v>
      </c>
      <c r="F905" s="1" t="s">
        <v>10545</v>
      </c>
      <c r="G905" s="1" t="s">
        <v>11075</v>
      </c>
      <c r="H905" s="1" t="s">
        <v>10183</v>
      </c>
      <c r="I905" s="1" t="s">
        <v>10183</v>
      </c>
      <c r="M905" s="1" t="s">
        <v>3115</v>
      </c>
      <c r="N905" s="1" t="s">
        <v>3117</v>
      </c>
      <c r="O905" s="1" t="s">
        <v>124</v>
      </c>
      <c r="P905" s="1" t="s">
        <v>124</v>
      </c>
      <c r="Q905" s="1" t="s">
        <v>29</v>
      </c>
    </row>
    <row r="906" spans="1:17" ht="12.5" x14ac:dyDescent="0.25">
      <c r="A906" s="1" t="s">
        <v>152</v>
      </c>
      <c r="C906" s="1" t="s">
        <v>11076</v>
      </c>
      <c r="D906" s="1" t="s">
        <v>11077</v>
      </c>
      <c r="E906" s="1" t="s">
        <v>10162</v>
      </c>
      <c r="F906" s="1" t="s">
        <v>10516</v>
      </c>
      <c r="G906" s="1" t="s">
        <v>11049</v>
      </c>
      <c r="H906" s="1" t="s">
        <v>10176</v>
      </c>
      <c r="I906" s="1" t="s">
        <v>10176</v>
      </c>
      <c r="J906" s="1" t="s">
        <v>10293</v>
      </c>
      <c r="K906" s="1" t="s">
        <v>10293</v>
      </c>
      <c r="O906" s="1" t="s">
        <v>10155</v>
      </c>
      <c r="P906" s="1" t="s">
        <v>10155</v>
      </c>
    </row>
    <row r="907" spans="1:17" ht="12.5" x14ac:dyDescent="0.25">
      <c r="A907" s="1" t="s">
        <v>152</v>
      </c>
      <c r="C907" s="1" t="s">
        <v>11078</v>
      </c>
      <c r="D907" s="1" t="s">
        <v>11079</v>
      </c>
      <c r="E907" s="1" t="s">
        <v>10162</v>
      </c>
      <c r="F907" s="1" t="s">
        <v>10516</v>
      </c>
      <c r="G907" s="1" t="s">
        <v>11049</v>
      </c>
      <c r="H907" s="1" t="s">
        <v>10176</v>
      </c>
      <c r="I907" s="1" t="s">
        <v>10176</v>
      </c>
      <c r="J907" s="1" t="s">
        <v>10293</v>
      </c>
      <c r="K907" s="1" t="s">
        <v>10293</v>
      </c>
      <c r="O907" s="1" t="s">
        <v>10155</v>
      </c>
      <c r="P907" s="1" t="s">
        <v>10155</v>
      </c>
    </row>
    <row r="908" spans="1:17" ht="12.5" x14ac:dyDescent="0.25">
      <c r="A908" s="1" t="s">
        <v>152</v>
      </c>
      <c r="C908" s="1" t="s">
        <v>3108</v>
      </c>
      <c r="D908" s="1" t="s">
        <v>3109</v>
      </c>
      <c r="E908" s="1" t="s">
        <v>10156</v>
      </c>
      <c r="F908" s="1" t="s">
        <v>10156</v>
      </c>
      <c r="G908" s="1" t="s">
        <v>11080</v>
      </c>
      <c r="H908" s="1" t="s">
        <v>10152</v>
      </c>
      <c r="I908" s="1" t="s">
        <v>10153</v>
      </c>
      <c r="L908" s="1" t="s">
        <v>10197</v>
      </c>
      <c r="M908" s="1" t="s">
        <v>3110</v>
      </c>
      <c r="O908" s="1" t="s">
        <v>169</v>
      </c>
      <c r="P908" s="1" t="s">
        <v>10155</v>
      </c>
      <c r="Q908" s="1" t="s">
        <v>29</v>
      </c>
    </row>
    <row r="909" spans="1:17" ht="12.5" x14ac:dyDescent="0.25">
      <c r="A909" s="1" t="s">
        <v>152</v>
      </c>
      <c r="C909" s="1" t="s">
        <v>3103</v>
      </c>
      <c r="D909" s="1" t="s">
        <v>3104</v>
      </c>
      <c r="E909" s="1" t="s">
        <v>9928</v>
      </c>
      <c r="F909" s="1" t="s">
        <v>10518</v>
      </c>
      <c r="G909" s="1" t="s">
        <v>10639</v>
      </c>
      <c r="H909" s="1" t="s">
        <v>10152</v>
      </c>
      <c r="I909" s="1" t="s">
        <v>10153</v>
      </c>
      <c r="M909" s="1" t="s">
        <v>3105</v>
      </c>
      <c r="O909" s="1" t="s">
        <v>10155</v>
      </c>
      <c r="P909" s="1" t="s">
        <v>10155</v>
      </c>
      <c r="Q909" s="1" t="s">
        <v>29</v>
      </c>
    </row>
    <row r="910" spans="1:17" ht="12.5" x14ac:dyDescent="0.25">
      <c r="A910" s="1" t="s">
        <v>152</v>
      </c>
      <c r="C910" s="1" t="s">
        <v>11081</v>
      </c>
      <c r="D910" s="1" t="s">
        <v>11082</v>
      </c>
      <c r="E910" s="1" t="s">
        <v>10156</v>
      </c>
      <c r="F910" s="1" t="s">
        <v>10156</v>
      </c>
      <c r="G910" s="1" t="s">
        <v>11083</v>
      </c>
      <c r="H910" s="1" t="s">
        <v>10176</v>
      </c>
      <c r="I910" s="1" t="s">
        <v>10176</v>
      </c>
      <c r="J910" s="1" t="s">
        <v>10558</v>
      </c>
      <c r="K910" s="1" t="s">
        <v>10558</v>
      </c>
      <c r="O910" s="1" t="s">
        <v>10155</v>
      </c>
      <c r="P910" s="1" t="s">
        <v>10155</v>
      </c>
    </row>
    <row r="911" spans="1:17" ht="12.5" x14ac:dyDescent="0.25">
      <c r="A911" s="1" t="s">
        <v>152</v>
      </c>
      <c r="C911" s="1" t="s">
        <v>6658</v>
      </c>
      <c r="D911" s="1" t="s">
        <v>6659</v>
      </c>
      <c r="E911" s="1" t="s">
        <v>10156</v>
      </c>
      <c r="F911" s="1" t="s">
        <v>10156</v>
      </c>
      <c r="G911" s="1" t="s">
        <v>11083</v>
      </c>
      <c r="H911" s="1" t="s">
        <v>10160</v>
      </c>
      <c r="I911" s="1" t="s">
        <v>10160</v>
      </c>
      <c r="M911" s="1" t="s">
        <v>6660</v>
      </c>
      <c r="O911" s="1" t="s">
        <v>124</v>
      </c>
      <c r="P911" s="1" t="s">
        <v>10155</v>
      </c>
      <c r="Q911" s="1" t="s">
        <v>29</v>
      </c>
    </row>
    <row r="912" spans="1:17" ht="12.5" x14ac:dyDescent="0.25">
      <c r="A912" s="1" t="s">
        <v>152</v>
      </c>
      <c r="C912" s="1" t="s">
        <v>3098</v>
      </c>
      <c r="D912" s="1" t="s">
        <v>3099</v>
      </c>
      <c r="E912" s="1" t="s">
        <v>10156</v>
      </c>
      <c r="F912" s="1" t="s">
        <v>10156</v>
      </c>
      <c r="G912" s="1" t="s">
        <v>11083</v>
      </c>
      <c r="H912" s="1" t="s">
        <v>10160</v>
      </c>
      <c r="I912" s="1" t="s">
        <v>10160</v>
      </c>
      <c r="L912" s="1" t="s">
        <v>10197</v>
      </c>
      <c r="M912" s="1" t="s">
        <v>3100</v>
      </c>
      <c r="O912" s="1" t="s">
        <v>124</v>
      </c>
      <c r="P912" s="1" t="s">
        <v>10155</v>
      </c>
      <c r="Q912" s="1" t="s">
        <v>29</v>
      </c>
    </row>
    <row r="913" spans="1:17" ht="12.5" x14ac:dyDescent="0.25">
      <c r="A913" s="1" t="s">
        <v>152</v>
      </c>
      <c r="C913" s="1" t="s">
        <v>828</v>
      </c>
      <c r="D913" s="1" t="s">
        <v>829</v>
      </c>
      <c r="E913" s="1" t="s">
        <v>10156</v>
      </c>
      <c r="F913" s="1" t="s">
        <v>10156</v>
      </c>
      <c r="G913" s="1" t="s">
        <v>11083</v>
      </c>
      <c r="H913" s="1" t="s">
        <v>10160</v>
      </c>
      <c r="I913" s="1" t="s">
        <v>10160</v>
      </c>
      <c r="M913" s="1" t="s">
        <v>824</v>
      </c>
      <c r="N913" s="1" t="s">
        <v>826</v>
      </c>
      <c r="O913" s="1" t="s">
        <v>33</v>
      </c>
      <c r="P913" s="1" t="s">
        <v>10155</v>
      </c>
      <c r="Q913" s="1" t="s">
        <v>29</v>
      </c>
    </row>
    <row r="914" spans="1:17" ht="12.5" x14ac:dyDescent="0.25">
      <c r="A914" s="1" t="s">
        <v>152</v>
      </c>
      <c r="C914" s="1" t="s">
        <v>7564</v>
      </c>
      <c r="D914" s="1" t="s">
        <v>7565</v>
      </c>
      <c r="E914" s="1" t="s">
        <v>10156</v>
      </c>
      <c r="F914" s="1" t="s">
        <v>10156</v>
      </c>
      <c r="G914" s="1" t="s">
        <v>11083</v>
      </c>
      <c r="H914" s="1" t="s">
        <v>10152</v>
      </c>
      <c r="I914" s="1" t="s">
        <v>10153</v>
      </c>
      <c r="M914" s="1" t="s">
        <v>7566</v>
      </c>
      <c r="N914" s="1" t="s">
        <v>7568</v>
      </c>
      <c r="O914" s="1" t="s">
        <v>10155</v>
      </c>
      <c r="P914" s="1" t="s">
        <v>10155</v>
      </c>
      <c r="Q914" s="1" t="s">
        <v>29</v>
      </c>
    </row>
    <row r="915" spans="1:17" ht="12.5" x14ac:dyDescent="0.25">
      <c r="A915" s="1" t="s">
        <v>152</v>
      </c>
      <c r="C915" s="1" t="s">
        <v>11084</v>
      </c>
      <c r="D915" s="1" t="s">
        <v>11085</v>
      </c>
      <c r="E915" s="1" t="s">
        <v>10156</v>
      </c>
      <c r="F915" s="1" t="s">
        <v>10156</v>
      </c>
      <c r="G915" s="1" t="s">
        <v>11083</v>
      </c>
      <c r="H915" s="1" t="s">
        <v>10176</v>
      </c>
      <c r="I915" s="1" t="s">
        <v>10176</v>
      </c>
      <c r="J915" s="1" t="s">
        <v>10262</v>
      </c>
      <c r="K915" s="1" t="s">
        <v>10262</v>
      </c>
      <c r="O915" s="1" t="s">
        <v>10155</v>
      </c>
      <c r="P915" s="1" t="s">
        <v>10155</v>
      </c>
    </row>
    <row r="916" spans="1:17" ht="12.5" x14ac:dyDescent="0.25">
      <c r="A916" s="1" t="s">
        <v>152</v>
      </c>
      <c r="C916" s="1" t="s">
        <v>8945</v>
      </c>
      <c r="D916" s="1" t="s">
        <v>8946</v>
      </c>
      <c r="E916" s="1" t="s">
        <v>10156</v>
      </c>
      <c r="F916" s="1" t="s">
        <v>10156</v>
      </c>
      <c r="G916" s="1" t="s">
        <v>11083</v>
      </c>
      <c r="H916" s="1" t="s">
        <v>10183</v>
      </c>
      <c r="I916" s="1" t="s">
        <v>10183</v>
      </c>
      <c r="M916" s="1" t="s">
        <v>8947</v>
      </c>
      <c r="O916" s="1" t="s">
        <v>59</v>
      </c>
      <c r="P916" s="1" t="s">
        <v>59</v>
      </c>
      <c r="Q916" s="1" t="s">
        <v>29</v>
      </c>
    </row>
    <row r="917" spans="1:17" ht="12.5" x14ac:dyDescent="0.25">
      <c r="A917" s="1" t="s">
        <v>152</v>
      </c>
      <c r="C917" s="1" t="s">
        <v>7002</v>
      </c>
      <c r="D917" s="1" t="s">
        <v>11086</v>
      </c>
      <c r="E917" s="1" t="s">
        <v>9928</v>
      </c>
      <c r="F917" s="1" t="s">
        <v>10629</v>
      </c>
      <c r="G917" s="1" t="s">
        <v>11087</v>
      </c>
      <c r="H917" s="1" t="s">
        <v>10183</v>
      </c>
      <c r="I917" s="1" t="s">
        <v>10183</v>
      </c>
      <c r="M917" s="1" t="s">
        <v>7003</v>
      </c>
      <c r="O917" s="1" t="s">
        <v>24</v>
      </c>
      <c r="P917" s="1" t="s">
        <v>24</v>
      </c>
      <c r="Q917" s="1" t="s">
        <v>29</v>
      </c>
    </row>
    <row r="918" spans="1:17" ht="12.5" x14ac:dyDescent="0.25">
      <c r="A918" s="1" t="s">
        <v>152</v>
      </c>
      <c r="C918" s="1" t="s">
        <v>11088</v>
      </c>
      <c r="D918" s="1" t="s">
        <v>11089</v>
      </c>
      <c r="E918" s="1" t="s">
        <v>9928</v>
      </c>
      <c r="F918" s="1" t="s">
        <v>10531</v>
      </c>
      <c r="G918" s="1" t="s">
        <v>11090</v>
      </c>
      <c r="H918" s="1" t="s">
        <v>10176</v>
      </c>
      <c r="I918" s="1" t="s">
        <v>10176</v>
      </c>
      <c r="J918" s="1" t="s">
        <v>10293</v>
      </c>
      <c r="K918" s="1" t="s">
        <v>10293</v>
      </c>
      <c r="O918" s="1" t="s">
        <v>10155</v>
      </c>
      <c r="P918" s="1" t="s">
        <v>10155</v>
      </c>
    </row>
    <row r="919" spans="1:17" ht="12.5" x14ac:dyDescent="0.25">
      <c r="A919" s="1" t="s">
        <v>152</v>
      </c>
      <c r="C919" s="1" t="s">
        <v>7914</v>
      </c>
      <c r="D919" s="1" t="s">
        <v>7915</v>
      </c>
      <c r="E919" s="1" t="s">
        <v>9928</v>
      </c>
      <c r="F919" s="1" t="s">
        <v>10518</v>
      </c>
      <c r="G919" s="1" t="s">
        <v>11091</v>
      </c>
      <c r="H919" s="1" t="s">
        <v>10152</v>
      </c>
      <c r="I919" s="1" t="s">
        <v>10153</v>
      </c>
      <c r="M919" s="1" t="s">
        <v>7918</v>
      </c>
      <c r="O919" s="1" t="s">
        <v>271</v>
      </c>
      <c r="P919" s="1" t="s">
        <v>10155</v>
      </c>
      <c r="Q919" s="1" t="s">
        <v>29</v>
      </c>
    </row>
    <row r="920" spans="1:17" ht="12.5" x14ac:dyDescent="0.25">
      <c r="A920" s="1" t="s">
        <v>152</v>
      </c>
      <c r="C920" s="1" t="s">
        <v>7914</v>
      </c>
      <c r="D920" s="1" t="s">
        <v>7915</v>
      </c>
      <c r="E920" s="1" t="s">
        <v>9928</v>
      </c>
      <c r="F920" s="1" t="s">
        <v>10518</v>
      </c>
      <c r="G920" s="1" t="s">
        <v>11091</v>
      </c>
      <c r="H920" s="1" t="s">
        <v>10152</v>
      </c>
      <c r="I920" s="1" t="s">
        <v>10153</v>
      </c>
      <c r="M920" s="1" t="s">
        <v>7916</v>
      </c>
      <c r="O920" s="1" t="s">
        <v>169</v>
      </c>
      <c r="P920" s="1" t="s">
        <v>10155</v>
      </c>
      <c r="Q920" s="1" t="s">
        <v>29</v>
      </c>
    </row>
    <row r="921" spans="1:17" ht="12.5" x14ac:dyDescent="0.25">
      <c r="A921" s="1" t="s">
        <v>152</v>
      </c>
      <c r="C921" s="1" t="s">
        <v>11092</v>
      </c>
      <c r="D921" s="1" t="s">
        <v>11093</v>
      </c>
      <c r="E921" s="1" t="s">
        <v>10162</v>
      </c>
      <c r="F921" s="1" t="s">
        <v>10162</v>
      </c>
      <c r="G921" s="1" t="s">
        <v>11055</v>
      </c>
      <c r="H921" s="1" t="s">
        <v>10172</v>
      </c>
      <c r="I921" s="1" t="s">
        <v>10172</v>
      </c>
      <c r="J921" s="1" t="s">
        <v>10173</v>
      </c>
      <c r="K921" s="1" t="s">
        <v>10173</v>
      </c>
      <c r="O921" s="1" t="s">
        <v>10155</v>
      </c>
      <c r="P921" s="1" t="s">
        <v>10155</v>
      </c>
    </row>
    <row r="922" spans="1:17" ht="12.5" x14ac:dyDescent="0.25">
      <c r="A922" s="1" t="s">
        <v>152</v>
      </c>
      <c r="C922" s="1" t="s">
        <v>6244</v>
      </c>
      <c r="D922" s="1" t="s">
        <v>6245</v>
      </c>
      <c r="E922" s="1" t="s">
        <v>10156</v>
      </c>
      <c r="F922" s="1" t="s">
        <v>10156</v>
      </c>
      <c r="G922" s="1" t="s">
        <v>11094</v>
      </c>
      <c r="H922" s="1" t="s">
        <v>10160</v>
      </c>
      <c r="I922" s="1" t="s">
        <v>10160</v>
      </c>
      <c r="M922" s="1" t="s">
        <v>6246</v>
      </c>
      <c r="N922" s="1" t="s">
        <v>6248</v>
      </c>
      <c r="O922" s="1" t="s">
        <v>59</v>
      </c>
      <c r="P922" s="1" t="s">
        <v>10155</v>
      </c>
      <c r="Q922" s="1" t="s">
        <v>29</v>
      </c>
    </row>
    <row r="923" spans="1:17" ht="12.5" x14ac:dyDescent="0.25">
      <c r="A923" s="1" t="s">
        <v>152</v>
      </c>
      <c r="C923" s="1" t="s">
        <v>3091</v>
      </c>
      <c r="D923" s="1" t="s">
        <v>3092</v>
      </c>
      <c r="E923" s="1" t="s">
        <v>10156</v>
      </c>
      <c r="F923" s="1" t="s">
        <v>10156</v>
      </c>
      <c r="G923" s="1" t="s">
        <v>11094</v>
      </c>
      <c r="H923" s="1" t="s">
        <v>10152</v>
      </c>
      <c r="I923" s="1" t="s">
        <v>10153</v>
      </c>
      <c r="L923" s="1" t="s">
        <v>10197</v>
      </c>
      <c r="M923" s="1" t="s">
        <v>3093</v>
      </c>
      <c r="O923" s="1" t="s">
        <v>10155</v>
      </c>
      <c r="P923" s="1" t="s">
        <v>10155</v>
      </c>
      <c r="Q923" s="1" t="s">
        <v>29</v>
      </c>
    </row>
    <row r="924" spans="1:17" ht="12.5" x14ac:dyDescent="0.25">
      <c r="A924" s="1" t="s">
        <v>152</v>
      </c>
      <c r="C924" s="1" t="s">
        <v>3086</v>
      </c>
      <c r="D924" s="1" t="s">
        <v>3087</v>
      </c>
      <c r="E924" s="1" t="s">
        <v>10156</v>
      </c>
      <c r="F924" s="1" t="s">
        <v>10545</v>
      </c>
      <c r="G924" s="1" t="s">
        <v>11095</v>
      </c>
      <c r="H924" s="1" t="s">
        <v>10152</v>
      </c>
      <c r="I924" s="1" t="s">
        <v>10153</v>
      </c>
      <c r="L924" s="1" t="s">
        <v>10197</v>
      </c>
      <c r="M924" s="1" t="s">
        <v>3088</v>
      </c>
      <c r="O924" s="1" t="s">
        <v>169</v>
      </c>
      <c r="P924" s="1" t="s">
        <v>10155</v>
      </c>
      <c r="Q924" s="1" t="s">
        <v>29</v>
      </c>
    </row>
    <row r="925" spans="1:17" ht="12.5" x14ac:dyDescent="0.25">
      <c r="A925" s="1" t="s">
        <v>152</v>
      </c>
      <c r="C925" s="1" t="s">
        <v>3082</v>
      </c>
      <c r="D925" s="1" t="s">
        <v>3083</v>
      </c>
      <c r="E925" s="1" t="s">
        <v>9928</v>
      </c>
      <c r="F925" s="1" t="s">
        <v>10531</v>
      </c>
      <c r="G925" s="1" t="s">
        <v>10592</v>
      </c>
      <c r="H925" s="1" t="s">
        <v>10152</v>
      </c>
      <c r="I925" s="1" t="s">
        <v>10153</v>
      </c>
      <c r="L925" s="1" t="s">
        <v>10197</v>
      </c>
      <c r="M925" s="1" t="s">
        <v>3084</v>
      </c>
      <c r="O925" s="1" t="s">
        <v>112</v>
      </c>
      <c r="P925" s="1" t="s">
        <v>10155</v>
      </c>
      <c r="Q925" s="1" t="s">
        <v>29</v>
      </c>
    </row>
    <row r="926" spans="1:17" ht="12.5" x14ac:dyDescent="0.25">
      <c r="A926" s="1" t="s">
        <v>152</v>
      </c>
      <c r="C926" s="1" t="s">
        <v>8063</v>
      </c>
      <c r="D926" s="1" t="s">
        <v>8064</v>
      </c>
      <c r="E926" s="1" t="s">
        <v>9928</v>
      </c>
      <c r="F926" s="1" t="s">
        <v>10531</v>
      </c>
      <c r="G926" s="1" t="s">
        <v>10592</v>
      </c>
      <c r="H926" s="1" t="s">
        <v>10183</v>
      </c>
      <c r="I926" s="1" t="s">
        <v>10183</v>
      </c>
      <c r="M926" s="1" t="s">
        <v>8065</v>
      </c>
      <c r="O926" s="1" t="s">
        <v>33</v>
      </c>
      <c r="P926" s="1" t="s">
        <v>53</v>
      </c>
      <c r="Q926" s="1" t="s">
        <v>29</v>
      </c>
    </row>
    <row r="927" spans="1:17" ht="12.5" x14ac:dyDescent="0.25">
      <c r="A927" s="1" t="s">
        <v>152</v>
      </c>
      <c r="C927" s="1" t="s">
        <v>3078</v>
      </c>
      <c r="D927" s="1" t="s">
        <v>11096</v>
      </c>
      <c r="E927" s="1" t="s">
        <v>9928</v>
      </c>
      <c r="F927" s="1" t="s">
        <v>10531</v>
      </c>
      <c r="G927" s="1" t="s">
        <v>10592</v>
      </c>
      <c r="H927" s="1" t="s">
        <v>10152</v>
      </c>
      <c r="I927" s="1" t="s">
        <v>10153</v>
      </c>
      <c r="M927" s="1" t="s">
        <v>3079</v>
      </c>
      <c r="O927" s="1" t="s">
        <v>112</v>
      </c>
      <c r="P927" s="1" t="s">
        <v>10155</v>
      </c>
      <c r="Q927" s="1" t="s">
        <v>29</v>
      </c>
    </row>
    <row r="928" spans="1:17" ht="12.5" x14ac:dyDescent="0.25">
      <c r="A928" s="1" t="s">
        <v>152</v>
      </c>
      <c r="C928" s="1" t="s">
        <v>3073</v>
      </c>
      <c r="D928" s="1" t="s">
        <v>3074</v>
      </c>
      <c r="E928" s="1" t="s">
        <v>9928</v>
      </c>
      <c r="F928" s="1" t="s">
        <v>10565</v>
      </c>
      <c r="G928" s="1" t="s">
        <v>11097</v>
      </c>
      <c r="H928" s="1" t="s">
        <v>10183</v>
      </c>
      <c r="I928" s="1" t="s">
        <v>10183</v>
      </c>
      <c r="M928" s="1" t="s">
        <v>3075</v>
      </c>
      <c r="O928" s="1" t="s">
        <v>59</v>
      </c>
      <c r="P928" s="1" t="s">
        <v>124</v>
      </c>
      <c r="Q928" s="1" t="s">
        <v>29</v>
      </c>
    </row>
    <row r="929" spans="1:17" ht="12.5" x14ac:dyDescent="0.25">
      <c r="A929" s="1" t="s">
        <v>152</v>
      </c>
      <c r="C929" s="1" t="s">
        <v>3068</v>
      </c>
      <c r="D929" s="1" t="s">
        <v>3069</v>
      </c>
      <c r="E929" s="1" t="s">
        <v>9928</v>
      </c>
      <c r="F929" s="1" t="s">
        <v>10565</v>
      </c>
      <c r="G929" s="1" t="s">
        <v>11097</v>
      </c>
      <c r="H929" s="1" t="s">
        <v>10160</v>
      </c>
      <c r="I929" s="1" t="s">
        <v>10160</v>
      </c>
      <c r="L929" s="1" t="s">
        <v>10197</v>
      </c>
      <c r="M929" s="1" t="s">
        <v>3070</v>
      </c>
      <c r="O929" s="1" t="s">
        <v>59</v>
      </c>
      <c r="P929" s="1" t="s">
        <v>10155</v>
      </c>
      <c r="Q929" s="1" t="s">
        <v>29</v>
      </c>
    </row>
  </sheetData>
  <autoFilter ref="A1:Z1000" xr:uid="{00000000-0009-0000-0000-00000300000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J775"/>
  <sheetViews>
    <sheetView workbookViewId="0">
      <pane ySplit="1" topLeftCell="A2" activePane="bottomLeft" state="frozen"/>
      <selection pane="bottomLeft" activeCell="B3" sqref="B3"/>
    </sheetView>
  </sheetViews>
  <sheetFormatPr defaultColWidth="12.6328125" defaultRowHeight="15.75" customHeight="1" x14ac:dyDescent="0.25"/>
  <cols>
    <col min="1" max="1" width="13.81640625" customWidth="1"/>
    <col min="2" max="2" width="14.453125" customWidth="1"/>
    <col min="3" max="3" width="14.90625" customWidth="1"/>
    <col min="5" max="5" width="30.08984375" customWidth="1"/>
    <col min="6" max="6" width="22.1796875" customWidth="1"/>
    <col min="7" max="7" width="14.36328125" customWidth="1"/>
  </cols>
  <sheetData>
    <row r="1" spans="1:10" ht="15.75" customHeight="1" x14ac:dyDescent="0.25">
      <c r="A1" s="1" t="s">
        <v>11098</v>
      </c>
      <c r="B1" s="1" t="s">
        <v>11099</v>
      </c>
      <c r="C1" s="1" t="s">
        <v>11100</v>
      </c>
      <c r="D1" s="1" t="s">
        <v>11101</v>
      </c>
      <c r="E1" s="3" t="s">
        <v>10146</v>
      </c>
      <c r="F1" s="3" t="s">
        <v>10147</v>
      </c>
      <c r="G1" s="3" t="s">
        <v>10148</v>
      </c>
      <c r="H1" s="1" t="s">
        <v>11102</v>
      </c>
      <c r="I1" s="1" t="s">
        <v>11103</v>
      </c>
      <c r="J1" s="1" t="s">
        <v>11104</v>
      </c>
    </row>
    <row r="2" spans="1:10" ht="15.75" customHeight="1" x14ac:dyDescent="0.25">
      <c r="A2" s="2" t="str">
        <f ca="1">IFERROR(__xludf.DUMMYFUNCTION("UNIQUE(FILTER({'bedragen KIM (budgettering &amp; pl'!B:D, 'bedragen KIM (budgettering &amp; pl'!F:F},'bedragen KIM (budgettering &amp; pl'!D:D=""Schoolroute""))"),"KP/001174")</f>
        <v>KP/001174</v>
      </c>
      <c r="B2" s="2" t="str">
        <f ca="1">IFERROR(__xludf.DUMMYFUNCTION("""COMPUTED_VALUE"""),"Verkeersveiligheid")</f>
        <v>Verkeersveiligheid</v>
      </c>
      <c r="C2" s="2" t="str">
        <f ca="1">IFERROR(__xludf.DUMMYFUNCTION("""COMPUTED_VALUE"""),"Schoolroute")</f>
        <v>Schoolroute</v>
      </c>
      <c r="D2" s="2" t="str">
        <f ca="1">IFERROR(__xludf.DUMMYFUNCTION("""COMPUTED_VALUE"""),"IN/000025")</f>
        <v>IN/000025</v>
      </c>
      <c r="E2" s="2" t="str">
        <f ca="1">IFERROR(__xludf.DUMMYFUNCTION("UNIQUE(FILTER('export kabinetdashboard 1210202'!N:P,'export kabinetdashboard 1210202'!M:M=D2))"),"")</f>
        <v/>
      </c>
      <c r="F2" s="2" t="str">
        <f ca="1">IFERROR(__xludf.DUMMYFUNCTION("""COMPUTED_VALUE"""),"2022 - Q3")</f>
        <v>2022 - Q3</v>
      </c>
      <c r="G2" s="2" t="str">
        <f ca="1">IFERROR(__xludf.DUMMYFUNCTION("""COMPUTED_VALUE"""),"n.t.b.")</f>
        <v>n.t.b.</v>
      </c>
      <c r="H2" s="2">
        <f ca="1">SUMIFS('bedragen KIM (budgettering &amp; pl'!S:S,'bedragen KIM (budgettering &amp; pl'!B:B,A2,'bedragen KIM (budgettering &amp; pl'!F:F,D2)</f>
        <v>20000</v>
      </c>
      <c r="I2" s="2" t="e">
        <f ca="1">SUMIFS(#REF!,#REF!,A2,#REF!,D2)</f>
        <v>#REF!</v>
      </c>
      <c r="J2" s="2" t="e">
        <f ca="1">SUMIFS(#REF!,#REF!,A2,#REF!,D2)</f>
        <v>#REF!</v>
      </c>
    </row>
    <row r="3" spans="1:10" ht="15.75" customHeight="1" x14ac:dyDescent="0.25">
      <c r="A3" s="2" t="str">
        <f ca="1">IFERROR(__xludf.DUMMYFUNCTION("""COMPUTED_VALUE"""),"KP/001050")</f>
        <v>KP/001050</v>
      </c>
      <c r="B3" s="2" t="str">
        <f ca="1">IFERROR(__xludf.DUMMYFUNCTION("""COMPUTED_VALUE"""),"Verkeersveiligheid")</f>
        <v>Verkeersveiligheid</v>
      </c>
      <c r="C3" s="2" t="str">
        <f ca="1">IFERROR(__xludf.DUMMYFUNCTION("""COMPUTED_VALUE"""),"Schoolroute")</f>
        <v>Schoolroute</v>
      </c>
      <c r="D3" s="2" t="str">
        <f ca="1">IFERROR(__xludf.DUMMYFUNCTION("""COMPUTED_VALUE"""),"IN/000045")</f>
        <v>IN/000045</v>
      </c>
      <c r="E3" s="2" t="str">
        <f ca="1">IFERROR(__xludf.DUMMYFUNCTION("UNIQUE(FILTER('export kabinetdashboard 1210202'!N:P,'export kabinetdashboard 1210202'!M:M=D3))"),"Verhoging module 13 en structureel onderhoud")</f>
        <v>Verhoging module 13 en structureel onderhoud</v>
      </c>
      <c r="F3" s="2" t="str">
        <f ca="1">IFERROR(__xludf.DUMMYFUNCTION("""COMPUTED_VALUE"""),"2021 - Q2")</f>
        <v>2021 - Q2</v>
      </c>
      <c r="G3" s="2" t="str">
        <f ca="1">IFERROR(__xludf.DUMMYFUNCTION("""COMPUTED_VALUE"""),"n.t.b.")</f>
        <v>n.t.b.</v>
      </c>
      <c r="H3" s="2">
        <f ca="1">SUMIFS('bedragen KIM (budgettering &amp; pl'!S:S,'bedragen KIM (budgettering &amp; pl'!B:B,A3,'bedragen KIM (budgettering &amp; pl'!F:F,D3)</f>
        <v>0</v>
      </c>
      <c r="I3" s="2" t="e">
        <f ca="1">SUMIFS(#REF!,#REF!,A3,#REF!,D3)</f>
        <v>#REF!</v>
      </c>
      <c r="J3" s="2" t="e">
        <f ca="1">SUMIFS(#REF!,#REF!,A3,#REF!,D3)</f>
        <v>#REF!</v>
      </c>
    </row>
    <row r="4" spans="1:10" ht="15.75" customHeight="1" x14ac:dyDescent="0.25">
      <c r="A4" s="2" t="str">
        <f ca="1">IFERROR(__xludf.DUMMYFUNCTION("""COMPUTED_VALUE"""),"KP/001051")</f>
        <v>KP/001051</v>
      </c>
      <c r="B4" s="2" t="str">
        <f ca="1">IFERROR(__xludf.DUMMYFUNCTION("""COMPUTED_VALUE"""),"Verkeersveiligheid")</f>
        <v>Verkeersveiligheid</v>
      </c>
      <c r="C4" s="2" t="str">
        <f ca="1">IFERROR(__xludf.DUMMYFUNCTION("""COMPUTED_VALUE"""),"Schoolroute")</f>
        <v>Schoolroute</v>
      </c>
      <c r="D4" s="2" t="str">
        <f ca="1">IFERROR(__xludf.DUMMYFUNCTION("""COMPUTED_VALUE"""),"IN/000045")</f>
        <v>IN/000045</v>
      </c>
      <c r="E4" s="2" t="str">
        <f ca="1">IFERROR(__xludf.DUMMYFUNCTION("UNIQUE(FILTER('export kabinetdashboard 1210202'!N:P,'export kabinetdashboard 1210202'!M:M=D4))"),"Verhoging module 13 en structureel onderhoud")</f>
        <v>Verhoging module 13 en structureel onderhoud</v>
      </c>
      <c r="F4" s="2" t="str">
        <f ca="1">IFERROR(__xludf.DUMMYFUNCTION("""COMPUTED_VALUE"""),"2021 - Q2")</f>
        <v>2021 - Q2</v>
      </c>
      <c r="G4" s="2" t="str">
        <f ca="1">IFERROR(__xludf.DUMMYFUNCTION("""COMPUTED_VALUE"""),"n.t.b.")</f>
        <v>n.t.b.</v>
      </c>
      <c r="H4" s="2">
        <f ca="1">SUMIFS('bedragen KIM (budgettering &amp; pl'!S:S,'bedragen KIM (budgettering &amp; pl'!B:B,A4,'bedragen KIM (budgettering &amp; pl'!F:F,D4)</f>
        <v>0</v>
      </c>
      <c r="I4" s="2" t="e">
        <f ca="1">SUMIFS(#REF!,#REF!,A4,#REF!,D4)</f>
        <v>#REF!</v>
      </c>
      <c r="J4" s="2" t="e">
        <f ca="1">SUMIFS(#REF!,#REF!,A4,#REF!,D4)</f>
        <v>#REF!</v>
      </c>
    </row>
    <row r="5" spans="1:10" ht="15.75" customHeight="1" x14ac:dyDescent="0.25">
      <c r="A5" s="2" t="str">
        <f ca="1">IFERROR(__xludf.DUMMYFUNCTION("""COMPUTED_VALUE"""),"KP/001127")</f>
        <v>KP/001127</v>
      </c>
      <c r="B5" s="2" t="str">
        <f ca="1">IFERROR(__xludf.DUMMYFUNCTION("""COMPUTED_VALUE"""),"Verkeersveiligheid")</f>
        <v>Verkeersveiligheid</v>
      </c>
      <c r="C5" s="2" t="str">
        <f ca="1">IFERROR(__xludf.DUMMYFUNCTION("""COMPUTED_VALUE"""),"Schoolroute")</f>
        <v>Schoolroute</v>
      </c>
      <c r="D5" s="2" t="str">
        <f ca="1">IFERROR(__xludf.DUMMYFUNCTION("""COMPUTED_VALUE"""),"IN/000045")</f>
        <v>IN/000045</v>
      </c>
      <c r="E5" s="2" t="str">
        <f ca="1">IFERROR(__xludf.DUMMYFUNCTION("UNIQUE(FILTER('export kabinetdashboard 1210202'!N:P,'export kabinetdashboard 1210202'!M:M=D5))"),"Verhoging module 13 en structureel onderhoud")</f>
        <v>Verhoging module 13 en structureel onderhoud</v>
      </c>
      <c r="F5" s="2" t="str">
        <f ca="1">IFERROR(__xludf.DUMMYFUNCTION("""COMPUTED_VALUE"""),"2021 - Q2")</f>
        <v>2021 - Q2</v>
      </c>
      <c r="G5" s="2" t="str">
        <f ca="1">IFERROR(__xludf.DUMMYFUNCTION("""COMPUTED_VALUE"""),"n.t.b.")</f>
        <v>n.t.b.</v>
      </c>
      <c r="H5" s="2">
        <f ca="1">SUMIFS('bedragen KIM (budgettering &amp; pl'!S:S,'bedragen KIM (budgettering &amp; pl'!B:B,A5,'bedragen KIM (budgettering &amp; pl'!F:F,D5)</f>
        <v>0</v>
      </c>
      <c r="I5" s="2" t="e">
        <f ca="1">SUMIFS(#REF!,#REF!,A5,#REF!,D5)</f>
        <v>#REF!</v>
      </c>
      <c r="J5" s="2" t="e">
        <f ca="1">SUMIFS(#REF!,#REF!,A5,#REF!,D5)</f>
        <v>#REF!</v>
      </c>
    </row>
    <row r="6" spans="1:10" ht="15.75" customHeight="1" x14ac:dyDescent="0.25">
      <c r="A6" s="2" t="str">
        <f ca="1">IFERROR(__xludf.DUMMYFUNCTION("""COMPUTED_VALUE"""),"KP/001325")</f>
        <v>KP/001325</v>
      </c>
      <c r="B6" s="2" t="str">
        <f ca="1">IFERROR(__xludf.DUMMYFUNCTION("""COMPUTED_VALUE"""),"Verkeersveiligheid")</f>
        <v>Verkeersveiligheid</v>
      </c>
      <c r="C6" s="2" t="str">
        <f ca="1">IFERROR(__xludf.DUMMYFUNCTION("""COMPUTED_VALUE"""),"Schoolroute")</f>
        <v>Schoolroute</v>
      </c>
      <c r="D6" s="2" t="str">
        <f ca="1">IFERROR(__xludf.DUMMYFUNCTION("""COMPUTED_VALUE"""),"IN/000045")</f>
        <v>IN/000045</v>
      </c>
      <c r="E6" s="2" t="str">
        <f ca="1">IFERROR(__xludf.DUMMYFUNCTION("UNIQUE(FILTER('export kabinetdashboard 1210202'!N:P,'export kabinetdashboard 1210202'!M:M=D6))"),"Verhoging module 13 en structureel onderhoud")</f>
        <v>Verhoging module 13 en structureel onderhoud</v>
      </c>
      <c r="F6" s="2" t="str">
        <f ca="1">IFERROR(__xludf.DUMMYFUNCTION("""COMPUTED_VALUE"""),"2021 - Q2")</f>
        <v>2021 - Q2</v>
      </c>
      <c r="G6" s="2" t="str">
        <f ca="1">IFERROR(__xludf.DUMMYFUNCTION("""COMPUTED_VALUE"""),"n.t.b.")</f>
        <v>n.t.b.</v>
      </c>
      <c r="H6" s="2">
        <f ca="1">SUMIFS('bedragen KIM (budgettering &amp; pl'!S:S,'bedragen KIM (budgettering &amp; pl'!B:B,A6,'bedragen KIM (budgettering &amp; pl'!F:F,D6)</f>
        <v>0</v>
      </c>
      <c r="I6" s="2" t="e">
        <f ca="1">SUMIFS(#REF!,#REF!,A6,#REF!,D6)</f>
        <v>#REF!</v>
      </c>
      <c r="J6" s="2" t="e">
        <f ca="1">SUMIFS(#REF!,#REF!,A6,#REF!,D6)</f>
        <v>#REF!</v>
      </c>
    </row>
    <row r="7" spans="1:10" ht="15.75" customHeight="1" x14ac:dyDescent="0.25">
      <c r="A7" s="2" t="str">
        <f ca="1">IFERROR(__xludf.DUMMYFUNCTION("""COMPUTED_VALUE"""),"KP/001568")</f>
        <v>KP/001568</v>
      </c>
      <c r="B7" s="2" t="str">
        <f ca="1">IFERROR(__xludf.DUMMYFUNCTION("""COMPUTED_VALUE"""),"Verkeersveiligheid")</f>
        <v>Verkeersveiligheid</v>
      </c>
      <c r="C7" s="2" t="str">
        <f ca="1">IFERROR(__xludf.DUMMYFUNCTION("""COMPUTED_VALUE"""),"Schoolroute")</f>
        <v>Schoolroute</v>
      </c>
      <c r="D7" s="2" t="str">
        <f ca="1">IFERROR(__xludf.DUMMYFUNCTION("""COMPUTED_VALUE"""),"IN/000134")</f>
        <v>IN/000134</v>
      </c>
      <c r="E7" s="2" t="str">
        <f ca="1">IFERROR(__xludf.DUMMYFUNCTION("UNIQUE(FILTER('export kabinetdashboard 1210202'!N:P,'export kabinetdashboard 1210202'!M:M=D7))"),"Structureel Onderhoud - bijna conforme fietspaden in Aalst langs N9")</f>
        <v>Structureel Onderhoud - bijna conforme fietspaden in Aalst langs N9</v>
      </c>
      <c r="F7" s="2" t="str">
        <f ca="1">IFERROR(__xludf.DUMMYFUNCTION("""COMPUTED_VALUE"""),"2023 - Q3")</f>
        <v>2023 - Q3</v>
      </c>
      <c r="G7" s="2" t="str">
        <f ca="1">IFERROR(__xludf.DUMMYFUNCTION("""COMPUTED_VALUE"""),"n.t.b.")</f>
        <v>n.t.b.</v>
      </c>
      <c r="H7" s="2">
        <f ca="1">SUMIFS('bedragen KIM (budgettering &amp; pl'!S:S,'bedragen KIM (budgettering &amp; pl'!B:B,A7,'bedragen KIM (budgettering &amp; pl'!F:F,D7)</f>
        <v>65165.366999999998</v>
      </c>
      <c r="I7" s="2" t="e">
        <f ca="1">SUMIFS(#REF!,#REF!,A7,#REF!,D7)</f>
        <v>#REF!</v>
      </c>
      <c r="J7" s="2" t="e">
        <f ca="1">SUMIFS(#REF!,#REF!,A7,#REF!,D7)</f>
        <v>#REF!</v>
      </c>
    </row>
    <row r="8" spans="1:10" ht="15.75" customHeight="1" x14ac:dyDescent="0.25">
      <c r="A8" s="2" t="str">
        <f ca="1">IFERROR(__xludf.DUMMYFUNCTION("""COMPUTED_VALUE"""),"KP/001100")</f>
        <v>KP/001100</v>
      </c>
      <c r="B8" s="2" t="str">
        <f ca="1">IFERROR(__xludf.DUMMYFUNCTION("""COMPUTED_VALUE"""),"Verkeersveiligheid")</f>
        <v>Verkeersveiligheid</v>
      </c>
      <c r="C8" s="2" t="str">
        <f ca="1">IFERROR(__xludf.DUMMYFUNCTION("""COMPUTED_VALUE"""),"Schoolroute")</f>
        <v>Schoolroute</v>
      </c>
      <c r="D8" s="2" t="str">
        <f ca="1">IFERROR(__xludf.DUMMYFUNCTION("""COMPUTED_VALUE"""),"IN/000144")</f>
        <v>IN/000144</v>
      </c>
      <c r="E8" s="2" t="str">
        <f ca="1">IFERROR(__xludf.DUMMYFUNCTION("UNIQUE(FILTER('export kabinetdashboard 1210202'!N:P,'export kabinetdashboard 1210202'!M:M=D8))"),"ter hoogte vd kruispunten ook infra aanpassing + verplaatsen van 2 lichten, ook afscheiding voorzien tussen rijbaan en FP (of verharding wegnemen)")</f>
        <v>ter hoogte vd kruispunten ook infra aanpassing + verplaatsen van 2 lichten, ook afscheiding voorzien tussen rijbaan en FP (of verharding wegnemen)</v>
      </c>
      <c r="F8" s="2" t="str">
        <f ca="1">IFERROR(__xludf.DUMMYFUNCTION("""COMPUTED_VALUE"""),"2021 - Q3")</f>
        <v>2021 - Q3</v>
      </c>
      <c r="G8" s="2" t="str">
        <f ca="1">IFERROR(__xludf.DUMMYFUNCTION("""COMPUTED_VALUE"""),"n.t.b.")</f>
        <v>n.t.b.</v>
      </c>
      <c r="H8" s="2">
        <f ca="1">SUMIFS('bedragen KIM (budgettering &amp; pl'!S:S,'bedragen KIM (budgettering &amp; pl'!B:B,A8,'bedragen KIM (budgettering &amp; pl'!F:F,D8)</f>
        <v>0</v>
      </c>
      <c r="I8" s="2" t="e">
        <f ca="1">SUMIFS(#REF!,#REF!,A8,#REF!,D8)</f>
        <v>#REF!</v>
      </c>
      <c r="J8" s="2" t="e">
        <f ca="1">SUMIFS(#REF!,#REF!,A8,#REF!,D8)</f>
        <v>#REF!</v>
      </c>
    </row>
    <row r="9" spans="1:10" ht="15.75" customHeight="1" x14ac:dyDescent="0.25">
      <c r="A9" s="2" t="str">
        <f ca="1">IFERROR(__xludf.DUMMYFUNCTION("""COMPUTED_VALUE"""),"KP/001105")</f>
        <v>KP/001105</v>
      </c>
      <c r="B9" s="2" t="str">
        <f ca="1">IFERROR(__xludf.DUMMYFUNCTION("""COMPUTED_VALUE"""),"Verkeersveiligheid")</f>
        <v>Verkeersveiligheid</v>
      </c>
      <c r="C9" s="2" t="str">
        <f ca="1">IFERROR(__xludf.DUMMYFUNCTION("""COMPUTED_VALUE"""),"Schoolroute")</f>
        <v>Schoolroute</v>
      </c>
      <c r="D9" s="2" t="str">
        <f ca="1">IFERROR(__xludf.DUMMYFUNCTION("""COMPUTED_VALUE"""),"IN/000144")</f>
        <v>IN/000144</v>
      </c>
      <c r="E9" s="2" t="str">
        <f ca="1">IFERROR(__xludf.DUMMYFUNCTION("UNIQUE(FILTER('export kabinetdashboard 1210202'!N:P,'export kabinetdashboard 1210202'!M:M=D9))"),"ter hoogte vd kruispunten ook infra aanpassing + verplaatsen van 2 lichten, ook afscheiding voorzien tussen rijbaan en FP (of verharding wegnemen)")</f>
        <v>ter hoogte vd kruispunten ook infra aanpassing + verplaatsen van 2 lichten, ook afscheiding voorzien tussen rijbaan en FP (of verharding wegnemen)</v>
      </c>
      <c r="F9" s="2" t="str">
        <f ca="1">IFERROR(__xludf.DUMMYFUNCTION("""COMPUTED_VALUE"""),"2021 - Q3")</f>
        <v>2021 - Q3</v>
      </c>
      <c r="G9" s="2" t="str">
        <f ca="1">IFERROR(__xludf.DUMMYFUNCTION("""COMPUTED_VALUE"""),"n.t.b.")</f>
        <v>n.t.b.</v>
      </c>
      <c r="H9" s="2">
        <f ca="1">SUMIFS('bedragen KIM (budgettering &amp; pl'!S:S,'bedragen KIM (budgettering &amp; pl'!B:B,A9,'bedragen KIM (budgettering &amp; pl'!F:F,D9)</f>
        <v>0</v>
      </c>
      <c r="I9" s="2" t="e">
        <f ca="1">SUMIFS(#REF!,#REF!,A9,#REF!,D9)</f>
        <v>#REF!</v>
      </c>
      <c r="J9" s="2" t="e">
        <f ca="1">SUMIFS(#REF!,#REF!,A9,#REF!,D9)</f>
        <v>#REF!</v>
      </c>
    </row>
    <row r="10" spans="1:10" ht="15.75" customHeight="1" x14ac:dyDescent="0.25">
      <c r="A10" s="2" t="str">
        <f ca="1">IFERROR(__xludf.DUMMYFUNCTION("""COMPUTED_VALUE"""),"KP/001324")</f>
        <v>KP/001324</v>
      </c>
      <c r="B10" s="2" t="str">
        <f ca="1">IFERROR(__xludf.DUMMYFUNCTION("""COMPUTED_VALUE"""),"Verkeersveiligheid")</f>
        <v>Verkeersveiligheid</v>
      </c>
      <c r="C10" s="2" t="str">
        <f ca="1">IFERROR(__xludf.DUMMYFUNCTION("""COMPUTED_VALUE"""),"Schoolroute")</f>
        <v>Schoolroute</v>
      </c>
      <c r="D10" s="2" t="str">
        <f ca="1">IFERROR(__xludf.DUMMYFUNCTION("""COMPUTED_VALUE"""),"IN/000144")</f>
        <v>IN/000144</v>
      </c>
      <c r="E10" s="2" t="str">
        <f ca="1">IFERROR(__xludf.DUMMYFUNCTION("UNIQUE(FILTER('export kabinetdashboard 1210202'!N:P,'export kabinetdashboard 1210202'!M:M=D10))"),"ter hoogte vd kruispunten ook infra aanpassing + verplaatsen van 2 lichten, ook afscheiding voorzien tussen rijbaan en FP (of verharding wegnemen)")</f>
        <v>ter hoogte vd kruispunten ook infra aanpassing + verplaatsen van 2 lichten, ook afscheiding voorzien tussen rijbaan en FP (of verharding wegnemen)</v>
      </c>
      <c r="F10" s="2" t="str">
        <f ca="1">IFERROR(__xludf.DUMMYFUNCTION("""COMPUTED_VALUE"""),"2021 - Q3")</f>
        <v>2021 - Q3</v>
      </c>
      <c r="G10" s="2" t="str">
        <f ca="1">IFERROR(__xludf.DUMMYFUNCTION("""COMPUTED_VALUE"""),"n.t.b.")</f>
        <v>n.t.b.</v>
      </c>
      <c r="H10" s="2">
        <f ca="1">SUMIFS('bedragen KIM (budgettering &amp; pl'!S:S,'bedragen KIM (budgettering &amp; pl'!B:B,A10,'bedragen KIM (budgettering &amp; pl'!F:F,D10)</f>
        <v>0</v>
      </c>
      <c r="I10" s="2" t="e">
        <f ca="1">SUMIFS(#REF!,#REF!,A10,#REF!,D10)</f>
        <v>#REF!</v>
      </c>
      <c r="J10" s="2" t="e">
        <f ca="1">SUMIFS(#REF!,#REF!,A10,#REF!,D10)</f>
        <v>#REF!</v>
      </c>
    </row>
    <row r="11" spans="1:10" ht="15.75" customHeight="1" x14ac:dyDescent="0.25">
      <c r="A11" s="2" t="str">
        <f ca="1">IFERROR(__xludf.DUMMYFUNCTION("""COMPUTED_VALUE"""),"KP/000859")</f>
        <v>KP/000859</v>
      </c>
      <c r="B11" s="2" t="str">
        <f ca="1">IFERROR(__xludf.DUMMYFUNCTION("""COMPUTED_VALUE"""),"Verkeersveiligheid")</f>
        <v>Verkeersveiligheid</v>
      </c>
      <c r="C11" s="2" t="str">
        <f ca="1">IFERROR(__xludf.DUMMYFUNCTION("""COMPUTED_VALUE"""),"Schoolroute")</f>
        <v>Schoolroute</v>
      </c>
      <c r="D11" s="2" t="str">
        <f ca="1">IFERROR(__xludf.DUMMYFUNCTION("""COMPUTED_VALUE"""),"IN/000151")</f>
        <v>IN/000151</v>
      </c>
      <c r="E11" s="2" t="str">
        <f ca="1">IFERROR(__xludf.DUMMYFUNCTION("UNIQUE(FILTER('export kabinetdashboard 1210202'!N:P,'export kabinetdashboard 1210202'!M:M=D11))"),"")</f>
        <v/>
      </c>
      <c r="F11" s="2" t="str">
        <f ca="1">IFERROR(__xludf.DUMMYFUNCTION("""COMPUTED_VALUE"""),"2022 - Q3")</f>
        <v>2022 - Q3</v>
      </c>
      <c r="G11" s="2" t="str">
        <f ca="1">IFERROR(__xludf.DUMMYFUNCTION("""COMPUTED_VALUE"""),"n.t.b.")</f>
        <v>n.t.b.</v>
      </c>
      <c r="H11" s="2">
        <f ca="1">SUMIFS('bedragen KIM (budgettering &amp; pl'!S:S,'bedragen KIM (budgettering &amp; pl'!B:B,A11,'bedragen KIM (budgettering &amp; pl'!F:F,D11)</f>
        <v>0</v>
      </c>
      <c r="I11" s="2" t="e">
        <f ca="1">SUMIFS(#REF!,#REF!,A11,#REF!,D11)</f>
        <v>#REF!</v>
      </c>
      <c r="J11" s="2" t="e">
        <f ca="1">SUMIFS(#REF!,#REF!,A11,#REF!,D11)</f>
        <v>#REF!</v>
      </c>
    </row>
    <row r="12" spans="1:10" ht="15.75" customHeight="1" x14ac:dyDescent="0.25">
      <c r="A12" s="2" t="str">
        <f ca="1">IFERROR(__xludf.DUMMYFUNCTION("""COMPUTED_VALUE"""),"KP/001258")</f>
        <v>KP/001258</v>
      </c>
      <c r="B12" s="2" t="str">
        <f ca="1">IFERROR(__xludf.DUMMYFUNCTION("""COMPUTED_VALUE"""),"Verkeersveiligheid")</f>
        <v>Verkeersveiligheid</v>
      </c>
      <c r="C12" s="2" t="str">
        <f ca="1">IFERROR(__xludf.DUMMYFUNCTION("""COMPUTED_VALUE"""),"Schoolroute")</f>
        <v>Schoolroute</v>
      </c>
      <c r="D12" s="2" t="str">
        <f ca="1">IFERROR(__xludf.DUMMYFUNCTION("""COMPUTED_VALUE"""),"IN/000158")</f>
        <v>IN/000158</v>
      </c>
      <c r="E12" s="2" t="str">
        <f ca="1">IFERROR(__xludf.DUMMYFUNCTION("UNIQUE(FILTER('export kabinetdashboard 1210202'!N:P,'export kabinetdashboard 1210202'!M:M=D12))"),"Herinrichting fietspaden : UITVOERING")</f>
        <v>Herinrichting fietspaden : UITVOERING</v>
      </c>
      <c r="F12" s="2" t="str">
        <f ca="1">IFERROR(__xludf.DUMMYFUNCTION("""COMPUTED_VALUE"""),"n.t.b.")</f>
        <v>n.t.b.</v>
      </c>
      <c r="G12" s="2" t="str">
        <f ca="1">IFERROR(__xludf.DUMMYFUNCTION("""COMPUTED_VALUE"""),"n.t.b.")</f>
        <v>n.t.b.</v>
      </c>
      <c r="H12" s="2">
        <f ca="1">SUMIFS('bedragen KIM (budgettering &amp; pl'!S:S,'bedragen KIM (budgettering &amp; pl'!B:B,A12,'bedragen KIM (budgettering &amp; pl'!F:F,D12)</f>
        <v>0</v>
      </c>
      <c r="I12" s="2" t="e">
        <f ca="1">SUMIFS(#REF!,#REF!,A12,#REF!,D12)</f>
        <v>#REF!</v>
      </c>
      <c r="J12" s="2" t="e">
        <f ca="1">SUMIFS(#REF!,#REF!,A12,#REF!,D12)</f>
        <v>#REF!</v>
      </c>
    </row>
    <row r="13" spans="1:10" ht="15.75" customHeight="1" x14ac:dyDescent="0.25">
      <c r="A13" s="2" t="str">
        <f ca="1">IFERROR(__xludf.DUMMYFUNCTION("""COMPUTED_VALUE"""),"KP/001259")</f>
        <v>KP/001259</v>
      </c>
      <c r="B13" s="2" t="str">
        <f ca="1">IFERROR(__xludf.DUMMYFUNCTION("""COMPUTED_VALUE"""),"Verkeersveiligheid")</f>
        <v>Verkeersveiligheid</v>
      </c>
      <c r="C13" s="2" t="str">
        <f ca="1">IFERROR(__xludf.DUMMYFUNCTION("""COMPUTED_VALUE"""),"Schoolroute")</f>
        <v>Schoolroute</v>
      </c>
      <c r="D13" s="2" t="str">
        <f ca="1">IFERROR(__xludf.DUMMYFUNCTION("""COMPUTED_VALUE"""),"IN/000158")</f>
        <v>IN/000158</v>
      </c>
      <c r="E13" s="2" t="str">
        <f ca="1">IFERROR(__xludf.DUMMYFUNCTION("UNIQUE(FILTER('export kabinetdashboard 1210202'!N:P,'export kabinetdashboard 1210202'!M:M=D13))"),"Herinrichting fietspaden : UITVOERING")</f>
        <v>Herinrichting fietspaden : UITVOERING</v>
      </c>
      <c r="F13" s="2" t="str">
        <f ca="1">IFERROR(__xludf.DUMMYFUNCTION("""COMPUTED_VALUE"""),"n.t.b.")</f>
        <v>n.t.b.</v>
      </c>
      <c r="G13" s="2" t="str">
        <f ca="1">IFERROR(__xludf.DUMMYFUNCTION("""COMPUTED_VALUE"""),"n.t.b.")</f>
        <v>n.t.b.</v>
      </c>
      <c r="H13" s="2">
        <f ca="1">SUMIFS('bedragen KIM (budgettering &amp; pl'!S:S,'bedragen KIM (budgettering &amp; pl'!B:B,A13,'bedragen KIM (budgettering &amp; pl'!F:F,D13)</f>
        <v>0</v>
      </c>
      <c r="I13" s="2" t="e">
        <f ca="1">SUMIFS(#REF!,#REF!,A13,#REF!,D13)</f>
        <v>#REF!</v>
      </c>
      <c r="J13" s="2" t="e">
        <f ca="1">SUMIFS(#REF!,#REF!,A13,#REF!,D13)</f>
        <v>#REF!</v>
      </c>
    </row>
    <row r="14" spans="1:10" ht="15.75" customHeight="1" x14ac:dyDescent="0.25">
      <c r="A14" s="2" t="str">
        <f ca="1">IFERROR(__xludf.DUMMYFUNCTION("""COMPUTED_VALUE"""),"KP/001333")</f>
        <v>KP/001333</v>
      </c>
      <c r="B14" s="2" t="str">
        <f ca="1">IFERROR(__xludf.DUMMYFUNCTION("""COMPUTED_VALUE"""),"Verkeersveiligheid")</f>
        <v>Verkeersveiligheid</v>
      </c>
      <c r="C14" s="2" t="str">
        <f ca="1">IFERROR(__xludf.DUMMYFUNCTION("""COMPUTED_VALUE"""),"Schoolroute")</f>
        <v>Schoolroute</v>
      </c>
      <c r="D14" s="2" t="str">
        <f ca="1">IFERROR(__xludf.DUMMYFUNCTION("""COMPUTED_VALUE"""),"IN/000159")</f>
        <v>IN/000159</v>
      </c>
      <c r="E14" s="2" t="str">
        <f ca="1">IFERROR(__xludf.DUMMYFUNCTION("UNIQUE(FILTER('export kabinetdashboard 1210202'!N:P,'export kabinetdashboard 1210202'!M:M=D14))"),"Structureel onderhoud fietspad (of heraanleg incL parkeerstrookjes) :WERKEN")</f>
        <v>Structureel onderhoud fietspad (of heraanleg incL parkeerstrookjes) :WERKEN</v>
      </c>
      <c r="F14" s="2" t="str">
        <f ca="1">IFERROR(__xludf.DUMMYFUNCTION("""COMPUTED_VALUE"""),"n.t.b.")</f>
        <v>n.t.b.</v>
      </c>
      <c r="G14" s="2" t="str">
        <f ca="1">IFERROR(__xludf.DUMMYFUNCTION("""COMPUTED_VALUE"""),"n.t.b.")</f>
        <v>n.t.b.</v>
      </c>
      <c r="H14" s="2">
        <f ca="1">SUMIFS('bedragen KIM (budgettering &amp; pl'!S:S,'bedragen KIM (budgettering &amp; pl'!B:B,A14,'bedragen KIM (budgettering &amp; pl'!F:F,D14)</f>
        <v>0</v>
      </c>
      <c r="I14" s="2" t="e">
        <f ca="1">SUMIFS(#REF!,#REF!,A14,#REF!,D14)</f>
        <v>#REF!</v>
      </c>
      <c r="J14" s="2" t="e">
        <f ca="1">SUMIFS(#REF!,#REF!,A14,#REF!,D14)</f>
        <v>#REF!</v>
      </c>
    </row>
    <row r="15" spans="1:10" ht="15.75" customHeight="1" x14ac:dyDescent="0.25">
      <c r="A15" s="2" t="str">
        <f ca="1">IFERROR(__xludf.DUMMYFUNCTION("""COMPUTED_VALUE"""),"KP/001044")</f>
        <v>KP/001044</v>
      </c>
      <c r="B15" s="2" t="str">
        <f ca="1">IFERROR(__xludf.DUMMYFUNCTION("""COMPUTED_VALUE"""),"Verkeersveiligheid")</f>
        <v>Verkeersveiligheid</v>
      </c>
      <c r="C15" s="2" t="str">
        <f ca="1">IFERROR(__xludf.DUMMYFUNCTION("""COMPUTED_VALUE"""),"Schoolroute")</f>
        <v>Schoolroute</v>
      </c>
      <c r="D15" s="2" t="str">
        <f ca="1">IFERROR(__xludf.DUMMYFUNCTION("""COMPUTED_VALUE"""),"IN/000164")</f>
        <v>IN/000164</v>
      </c>
      <c r="E15" s="2" t="str">
        <f ca="1">IFERROR(__xludf.DUMMYFUNCTION("UNIQUE(FILTER('export kabinetdashboard 1210202'!N:P,'export kabinetdashboard 1210202'!M:M=D15))"),"Aanliggend verhoogd fietspad in asfalt realiseren ter vervanging van de betonstroken.")</f>
        <v>Aanliggend verhoogd fietspad in asfalt realiseren ter vervanging van de betonstroken.</v>
      </c>
      <c r="F15" s="2" t="str">
        <f ca="1">IFERROR(__xludf.DUMMYFUNCTION("""COMPUTED_VALUE"""),"2022 - Q1")</f>
        <v>2022 - Q1</v>
      </c>
      <c r="G15" s="2" t="str">
        <f ca="1">IFERROR(__xludf.DUMMYFUNCTION("""COMPUTED_VALUE"""),"2022 - Q2")</f>
        <v>2022 - Q2</v>
      </c>
      <c r="H15" s="2">
        <f ca="1">SUMIFS('bedragen KIM (budgettering &amp; pl'!S:S,'bedragen KIM (budgettering &amp; pl'!B:B,A15,'bedragen KIM (budgettering &amp; pl'!F:F,D15)</f>
        <v>17487.814493000002</v>
      </c>
      <c r="I15" s="2" t="e">
        <f ca="1">SUMIFS(#REF!,#REF!,A15,#REF!,D15)</f>
        <v>#REF!</v>
      </c>
      <c r="J15" s="2" t="e">
        <f ca="1">SUMIFS(#REF!,#REF!,A15,#REF!,D15)</f>
        <v>#REF!</v>
      </c>
    </row>
    <row r="16" spans="1:10" ht="15.75" customHeight="1" x14ac:dyDescent="0.25">
      <c r="A16" s="2" t="str">
        <f ca="1">IFERROR(__xludf.DUMMYFUNCTION("""COMPUTED_VALUE"""),"KP/000812")</f>
        <v>KP/000812</v>
      </c>
      <c r="B16" s="2" t="str">
        <f ca="1">IFERROR(__xludf.DUMMYFUNCTION("""COMPUTED_VALUE"""),"Verkeersveiligheid")</f>
        <v>Verkeersveiligheid</v>
      </c>
      <c r="C16" s="2" t="str">
        <f ca="1">IFERROR(__xludf.DUMMYFUNCTION("""COMPUTED_VALUE"""),"Schoolroute")</f>
        <v>Schoolroute</v>
      </c>
      <c r="D16" s="2" t="str">
        <f ca="1">IFERROR(__xludf.DUMMYFUNCTION("""COMPUTED_VALUE"""),"IN/000165")</f>
        <v>IN/000165</v>
      </c>
      <c r="E16" s="2" t="str">
        <f ca="1">IFERROR(__xludf.DUMMYFUNCTION("UNIQUE(FILTER('export kabinetdashboard 1210202'!N:P,'export kabinetdashboard 1210202'!M:M=D16))"),"50% F. km 1-2,7 : nieuwe toplaag volledige weg en fietspaden breder markeren")</f>
        <v>50% F. km 1-2,7 : nieuwe toplaag volledige weg en fietspaden breder markeren</v>
      </c>
      <c r="F16" s="2" t="str">
        <f ca="1">IFERROR(__xludf.DUMMYFUNCTION("""COMPUTED_VALUE"""),"2022 - Q1")</f>
        <v>2022 - Q1</v>
      </c>
      <c r="G16" s="2" t="str">
        <f ca="1">IFERROR(__xludf.DUMMYFUNCTION("""COMPUTED_VALUE"""),"n.t.b.")</f>
        <v>n.t.b.</v>
      </c>
      <c r="H16" s="2">
        <f ca="1">SUMIFS('bedragen KIM (budgettering &amp; pl'!S:S,'bedragen KIM (budgettering &amp; pl'!B:B,A16,'bedragen KIM (budgettering &amp; pl'!F:F,D16)</f>
        <v>0</v>
      </c>
      <c r="I16" s="2" t="e">
        <f ca="1">SUMIFS(#REF!,#REF!,A16,#REF!,D16)</f>
        <v>#REF!</v>
      </c>
      <c r="J16" s="2" t="e">
        <f ca="1">SUMIFS(#REF!,#REF!,A16,#REF!,D16)</f>
        <v>#REF!</v>
      </c>
    </row>
    <row r="17" spans="1:10" ht="15.75" customHeight="1" x14ac:dyDescent="0.25">
      <c r="A17" s="2" t="str">
        <f ca="1">IFERROR(__xludf.DUMMYFUNCTION("""COMPUTED_VALUE"""),"KP/001410")</f>
        <v>KP/001410</v>
      </c>
      <c r="B17" s="2" t="str">
        <f ca="1">IFERROR(__xludf.DUMMYFUNCTION("""COMPUTED_VALUE"""),"Verkeersveiligheid")</f>
        <v>Verkeersveiligheid</v>
      </c>
      <c r="C17" s="2" t="str">
        <f ca="1">IFERROR(__xludf.DUMMYFUNCTION("""COMPUTED_VALUE"""),"Schoolroute")</f>
        <v>Schoolroute</v>
      </c>
      <c r="D17" s="2" t="str">
        <f ca="1">IFERROR(__xludf.DUMMYFUNCTION("""COMPUTED_VALUE"""),"IN/000257")</f>
        <v>IN/000257</v>
      </c>
      <c r="E17" s="2" t="str">
        <f ca="1">IFERROR(__xludf.DUMMYFUNCTION("UNIQUE(FILTER('export kabinetdashboard 1210202'!N:P,'export kabinetdashboard 1210202'!M:M=D17))"),"nog niet gedefinieerd")</f>
        <v>nog niet gedefinieerd</v>
      </c>
      <c r="F17" s="2" t="str">
        <f ca="1">IFERROR(__xludf.DUMMYFUNCTION("""COMPUTED_VALUE"""),"n.t.b.")</f>
        <v>n.t.b.</v>
      </c>
      <c r="G17" s="2" t="str">
        <f ca="1">IFERROR(__xludf.DUMMYFUNCTION("""COMPUTED_VALUE"""),"n.t.b.")</f>
        <v>n.t.b.</v>
      </c>
      <c r="H17" s="2">
        <f ca="1">SUMIFS('bedragen KIM (budgettering &amp; pl'!S:S,'bedragen KIM (budgettering &amp; pl'!B:B,A17,'bedragen KIM (budgettering &amp; pl'!F:F,D17)</f>
        <v>0</v>
      </c>
      <c r="I17" s="2" t="e">
        <f ca="1">SUMIFS(#REF!,#REF!,A17,#REF!,D17)</f>
        <v>#REF!</v>
      </c>
      <c r="J17" s="2" t="e">
        <f ca="1">SUMIFS(#REF!,#REF!,A17,#REF!,D17)</f>
        <v>#REF!</v>
      </c>
    </row>
    <row r="18" spans="1:10" ht="15.75" customHeight="1" x14ac:dyDescent="0.25">
      <c r="A18" s="2" t="str">
        <f ca="1">IFERROR(__xludf.DUMMYFUNCTION("""COMPUTED_VALUE"""),"KP/001822")</f>
        <v>KP/001822</v>
      </c>
      <c r="B18" s="2" t="str">
        <f ca="1">IFERROR(__xludf.DUMMYFUNCTION("""COMPUTED_VALUE"""),"Verkeersveiligheid")</f>
        <v>Verkeersveiligheid</v>
      </c>
      <c r="C18" s="2" t="str">
        <f ca="1">IFERROR(__xludf.DUMMYFUNCTION("""COMPUTED_VALUE"""),"Schoolroute")</f>
        <v>Schoolroute</v>
      </c>
      <c r="D18" s="2" t="str">
        <f ca="1">IFERROR(__xludf.DUMMYFUNCTION("""COMPUTED_VALUE"""),"IN/000269")</f>
        <v>IN/000269</v>
      </c>
      <c r="E18" s="2" t="str">
        <f ca="1">IFERROR(__xludf.DUMMYFUNCTION("UNIQUE(FILTER('export kabinetdashboard 1210202'!N:P,'export kabinetdashboard 1210202'!M:M=D18))"),"Parkeerplaatsen weghalen + voetpaduitstulping (indien relance)")</f>
        <v>Parkeerplaatsen weghalen + voetpaduitstulping (indien relance)</v>
      </c>
      <c r="F18" s="2" t="str">
        <f ca="1">IFERROR(__xludf.DUMMYFUNCTION("""COMPUTED_VALUE"""),"2022 - Q3")</f>
        <v>2022 - Q3</v>
      </c>
      <c r="G18" s="2" t="str">
        <f ca="1">IFERROR(__xludf.DUMMYFUNCTION("""COMPUTED_VALUE"""),"n.t.b.")</f>
        <v>n.t.b.</v>
      </c>
      <c r="H18" s="2">
        <f ca="1">SUMIFS('bedragen KIM (budgettering &amp; pl'!S:S,'bedragen KIM (budgettering &amp; pl'!B:B,A18,'bedragen KIM (budgettering &amp; pl'!F:F,D18)</f>
        <v>25000</v>
      </c>
      <c r="I18" s="2" t="e">
        <f ca="1">SUMIFS(#REF!,#REF!,A18,#REF!,D18)</f>
        <v>#REF!</v>
      </c>
      <c r="J18" s="2" t="e">
        <f ca="1">SUMIFS(#REF!,#REF!,A18,#REF!,D18)</f>
        <v>#REF!</v>
      </c>
    </row>
    <row r="19" spans="1:10" ht="15.75" customHeight="1" x14ac:dyDescent="0.25">
      <c r="A19" s="2" t="str">
        <f ca="1">IFERROR(__xludf.DUMMYFUNCTION("""COMPUTED_VALUE"""),"KP/001208")</f>
        <v>KP/001208</v>
      </c>
      <c r="B19" s="2" t="str">
        <f ca="1">IFERROR(__xludf.DUMMYFUNCTION("""COMPUTED_VALUE"""),"Verkeersveiligheid")</f>
        <v>Verkeersveiligheid</v>
      </c>
      <c r="C19" s="2" t="str">
        <f ca="1">IFERROR(__xludf.DUMMYFUNCTION("""COMPUTED_VALUE"""),"Schoolroute")</f>
        <v>Schoolroute</v>
      </c>
      <c r="D19" s="2" t="str">
        <f ca="1">IFERROR(__xludf.DUMMYFUNCTION("""COMPUTED_VALUE"""),"IN/000274")</f>
        <v>IN/000274</v>
      </c>
      <c r="E19" s="2" t="str">
        <f ca="1">IFERROR(__xludf.DUMMYFUNCTION("UNIQUE(FILTER('export kabinetdashboard 1210202'!N:P,'export kabinetdashboard 1210202'!M:M=D19))"),"uitgebreide heraanleg tussen Atomiumlaan Krijgslaan (dd juni 2020: onteigeningen lopende)")</f>
        <v>uitgebreide heraanleg tussen Atomiumlaan Krijgslaan (dd juni 2020: onteigeningen lopende)</v>
      </c>
      <c r="F19" s="2" t="str">
        <f ca="1">IFERROR(__xludf.DUMMYFUNCTION("""COMPUTED_VALUE"""),"2023 - Q4")</f>
        <v>2023 - Q4</v>
      </c>
      <c r="G19" s="2" t="str">
        <f ca="1">IFERROR(__xludf.DUMMYFUNCTION("""COMPUTED_VALUE"""),"n.t.b.")</f>
        <v>n.t.b.</v>
      </c>
      <c r="H19" s="2">
        <f ca="1">SUMIFS('bedragen KIM (budgettering &amp; pl'!S:S,'bedragen KIM (budgettering &amp; pl'!B:B,A19,'bedragen KIM (budgettering &amp; pl'!F:F,D19)</f>
        <v>0</v>
      </c>
      <c r="I19" s="2" t="e">
        <f ca="1">SUMIFS(#REF!,#REF!,A19,#REF!,D19)</f>
        <v>#REF!</v>
      </c>
      <c r="J19" s="2" t="e">
        <f ca="1">SUMIFS(#REF!,#REF!,A19,#REF!,D19)</f>
        <v>#REF!</v>
      </c>
    </row>
    <row r="20" spans="1:10" ht="15.75" customHeight="1" x14ac:dyDescent="0.25">
      <c r="A20" s="2" t="str">
        <f ca="1">IFERROR(__xludf.DUMMYFUNCTION("""COMPUTED_VALUE"""),"KP/001209")</f>
        <v>KP/001209</v>
      </c>
      <c r="B20" s="2" t="str">
        <f ca="1">IFERROR(__xludf.DUMMYFUNCTION("""COMPUTED_VALUE"""),"Verkeersveiligheid")</f>
        <v>Verkeersveiligheid</v>
      </c>
      <c r="C20" s="2" t="str">
        <f ca="1">IFERROR(__xludf.DUMMYFUNCTION("""COMPUTED_VALUE"""),"Schoolroute")</f>
        <v>Schoolroute</v>
      </c>
      <c r="D20" s="2" t="str">
        <f ca="1">IFERROR(__xludf.DUMMYFUNCTION("""COMPUTED_VALUE"""),"IN/000280")</f>
        <v>IN/000280</v>
      </c>
      <c r="E20" s="2" t="str">
        <f ca="1">IFERROR(__xludf.DUMMYFUNCTION("UNIQUE(FILTER('export kabinetdashboard 1210202'!N:P,'export kabinetdashboard 1210202'!M:M=D20))"),"Heraanleg kruispunt: studie loopt, werken voorzien vastlegging 2019. Zit in 1 project samen met 8207")</f>
        <v>Heraanleg kruispunt: studie loopt, werken voorzien vastlegging 2019. Zit in 1 project samen met 8207</v>
      </c>
      <c r="F20" s="2" t="str">
        <f ca="1">IFERROR(__xludf.DUMMYFUNCTION("""COMPUTED_VALUE"""),"2022 - Q1")</f>
        <v>2022 - Q1</v>
      </c>
      <c r="G20" s="2" t="str">
        <f ca="1">IFERROR(__xludf.DUMMYFUNCTION("""COMPUTED_VALUE"""),"n.t.b.")</f>
        <v>n.t.b.</v>
      </c>
      <c r="H20" s="2">
        <f ca="1">SUMIFS('bedragen KIM (budgettering &amp; pl'!S:S,'bedragen KIM (budgettering &amp; pl'!B:B,A20,'bedragen KIM (budgettering &amp; pl'!F:F,D20)</f>
        <v>0</v>
      </c>
      <c r="I20" s="2" t="e">
        <f ca="1">SUMIFS(#REF!,#REF!,A20,#REF!,D20)</f>
        <v>#REF!</v>
      </c>
      <c r="J20" s="2" t="e">
        <f ca="1">SUMIFS(#REF!,#REF!,A20,#REF!,D20)</f>
        <v>#REF!</v>
      </c>
    </row>
    <row r="21" spans="1:10" ht="15.75" customHeight="1" x14ac:dyDescent="0.25">
      <c r="A21" s="2" t="str">
        <f ca="1">IFERROR(__xludf.DUMMYFUNCTION("""COMPUTED_VALUE"""),"KP/001207")</f>
        <v>KP/001207</v>
      </c>
      <c r="B21" s="2" t="str">
        <f ca="1">IFERROR(__xludf.DUMMYFUNCTION("""COMPUTED_VALUE"""),"Verkeersveiligheid")</f>
        <v>Verkeersveiligheid</v>
      </c>
      <c r="C21" s="2" t="str">
        <f ca="1">IFERROR(__xludf.DUMMYFUNCTION("""COMPUTED_VALUE"""),"Schoolroute")</f>
        <v>Schoolroute</v>
      </c>
      <c r="D21" s="2" t="str">
        <f ca="1">IFERROR(__xludf.DUMMYFUNCTION("""COMPUTED_VALUE"""),"IN/000285")</f>
        <v>IN/000285</v>
      </c>
      <c r="E21" s="2" t="str">
        <f ca="1">IFERROR(__xludf.DUMMYFUNCTION("UNIQUE(FILTER('export kabinetdashboard 1210202'!N:P,'export kabinetdashboard 1210202'!M:M=D21))"),"Haaientanden + rodeslem")</f>
        <v>Haaientanden + rodeslem</v>
      </c>
      <c r="F21" s="2" t="str">
        <f ca="1">IFERROR(__xludf.DUMMYFUNCTION("""COMPUTED_VALUE"""),"2022 - Q3")</f>
        <v>2022 - Q3</v>
      </c>
      <c r="G21" s="2" t="str">
        <f ca="1">IFERROR(__xludf.DUMMYFUNCTION("""COMPUTED_VALUE"""),"n.t.b.")</f>
        <v>n.t.b.</v>
      </c>
      <c r="H21" s="2">
        <f ca="1">SUMIFS('bedragen KIM (budgettering &amp; pl'!S:S,'bedragen KIM (budgettering &amp; pl'!B:B,A21,'bedragen KIM (budgettering &amp; pl'!F:F,D21)</f>
        <v>0</v>
      </c>
      <c r="I21" s="2" t="e">
        <f ca="1">SUMIFS(#REF!,#REF!,A21,#REF!,D21)</f>
        <v>#REF!</v>
      </c>
      <c r="J21" s="2" t="e">
        <f ca="1">SUMIFS(#REF!,#REF!,A21,#REF!,D21)</f>
        <v>#REF!</v>
      </c>
    </row>
    <row r="22" spans="1:10" ht="12.5" x14ac:dyDescent="0.25">
      <c r="A22" s="2" t="str">
        <f ca="1">IFERROR(__xludf.DUMMYFUNCTION("""COMPUTED_VALUE"""),"KP/001281")</f>
        <v>KP/001281</v>
      </c>
      <c r="B22" s="2" t="str">
        <f ca="1">IFERROR(__xludf.DUMMYFUNCTION("""COMPUTED_VALUE"""),"Verkeersveiligheid")</f>
        <v>Verkeersveiligheid</v>
      </c>
      <c r="C22" s="2" t="str">
        <f ca="1">IFERROR(__xludf.DUMMYFUNCTION("""COMPUTED_VALUE"""),"Schoolroute")</f>
        <v>Schoolroute</v>
      </c>
      <c r="D22" s="2" t="str">
        <f ca="1">IFERROR(__xludf.DUMMYFUNCTION("""COMPUTED_VALUE"""),"IN/000344")</f>
        <v>IN/000344</v>
      </c>
      <c r="E22" s="2" t="str">
        <f ca="1">IFERROR(__xludf.DUMMYFUNCTION("UNIQUE(FILTER('export kabinetdashboard 1210202'!N:P,'export kabinetdashboard 1210202'!M:M=D22))"),"Middeneiland oversteek")</f>
        <v>Middeneiland oversteek</v>
      </c>
      <c r="F22" s="2" t="str">
        <f ca="1">IFERROR(__xludf.DUMMYFUNCTION("""COMPUTED_VALUE"""),"2023 - Q4")</f>
        <v>2023 - Q4</v>
      </c>
      <c r="G22" s="2" t="str">
        <f ca="1">IFERROR(__xludf.DUMMYFUNCTION("""COMPUTED_VALUE"""),"n.t.b.")</f>
        <v>n.t.b.</v>
      </c>
      <c r="H22" s="2">
        <f ca="1">SUMIFS('bedragen KIM (budgettering &amp; pl'!S:S,'bedragen KIM (budgettering &amp; pl'!B:B,A22,'bedragen KIM (budgettering &amp; pl'!F:F,D22)</f>
        <v>0</v>
      </c>
      <c r="I22" s="2" t="e">
        <f ca="1">SUMIFS(#REF!,#REF!,A22,#REF!,D22)</f>
        <v>#REF!</v>
      </c>
      <c r="J22" s="2" t="e">
        <f ca="1">SUMIFS(#REF!,#REF!,A22,#REF!,D22)</f>
        <v>#REF!</v>
      </c>
    </row>
    <row r="23" spans="1:10" ht="12.5" x14ac:dyDescent="0.25">
      <c r="A23" s="2" t="str">
        <f ca="1">IFERROR(__xludf.DUMMYFUNCTION("""COMPUTED_VALUE"""),"KP/001013")</f>
        <v>KP/001013</v>
      </c>
      <c r="B23" s="2" t="str">
        <f ca="1">IFERROR(__xludf.DUMMYFUNCTION("""COMPUTED_VALUE"""),"Verkeersveiligheid")</f>
        <v>Verkeersveiligheid</v>
      </c>
      <c r="C23" s="2" t="str">
        <f ca="1">IFERROR(__xludf.DUMMYFUNCTION("""COMPUTED_VALUE"""),"Schoolroute")</f>
        <v>Schoolroute</v>
      </c>
      <c r="D23" s="2" t="str">
        <f ca="1">IFERROR(__xludf.DUMMYFUNCTION("""COMPUTED_VALUE"""),"IN/000529")</f>
        <v>IN/000529</v>
      </c>
      <c r="E23" s="2" t="str">
        <f ca="1">IFERROR(__xludf.DUMMYFUNCTION("UNIQUE(FILTER('export kabinetdashboard 1210202'!N:P,'export kabinetdashboard 1210202'!M:M=D23))"),"dichten middengeleider voor voertuigen van Hippodroomstraat en Zandbergstraat
aanpassen VRI naar maximaal conflictvrij
aanpassen afslagstroken N43
renovatie fietspaden N43 Gentsesteenweg")</f>
        <v>dichten middengeleider voor voertuigen van Hippodroomstraat en Zandbergstraat
aanpassen VRI naar maximaal conflictvrij
aanpassen afslagstroken N43
renovatie fietspaden N43 Gentsesteenweg</v>
      </c>
      <c r="F23" s="2" t="str">
        <f ca="1">IFERROR(__xludf.DUMMYFUNCTION("""COMPUTED_VALUE"""),"2023 - Q3")</f>
        <v>2023 - Q3</v>
      </c>
      <c r="G23" s="2" t="str">
        <f ca="1">IFERROR(__xludf.DUMMYFUNCTION("""COMPUTED_VALUE"""),"n.t.b.")</f>
        <v>n.t.b.</v>
      </c>
      <c r="H23" s="2">
        <f ca="1">SUMIFS('bedragen KIM (budgettering &amp; pl'!S:S,'bedragen KIM (budgettering &amp; pl'!B:B,A23,'bedragen KIM (budgettering &amp; pl'!F:F,D23)</f>
        <v>360000</v>
      </c>
      <c r="I23" s="2" t="e">
        <f ca="1">SUMIFS(#REF!,#REF!,A23,#REF!,D23)</f>
        <v>#REF!</v>
      </c>
      <c r="J23" s="2" t="e">
        <f ca="1">SUMIFS(#REF!,#REF!,A23,#REF!,D23)</f>
        <v>#REF!</v>
      </c>
    </row>
    <row r="24" spans="1:10" ht="12.5" x14ac:dyDescent="0.25">
      <c r="A24" s="2" t="str">
        <f ca="1">IFERROR(__xludf.DUMMYFUNCTION("""COMPUTED_VALUE"""),"KP/000889")</f>
        <v>KP/000889</v>
      </c>
      <c r="B24" s="2" t="str">
        <f ca="1">IFERROR(__xludf.DUMMYFUNCTION("""COMPUTED_VALUE"""),"Verkeersveiligheid")</f>
        <v>Verkeersveiligheid</v>
      </c>
      <c r="C24" s="2" t="str">
        <f ca="1">IFERROR(__xludf.DUMMYFUNCTION("""COMPUTED_VALUE"""),"Schoolroute")</f>
        <v>Schoolroute</v>
      </c>
      <c r="D24" s="2" t="str">
        <f ca="1">IFERROR(__xludf.DUMMYFUNCTION("""COMPUTED_VALUE"""),"IN/000651")</f>
        <v>IN/000651</v>
      </c>
      <c r="E24" s="2" t="str">
        <f ca="1">IFERROR(__xludf.DUMMYFUNCTION("UNIQUE(FILTER('export kabinetdashboard 1210202'!N:P,'export kabinetdashboard 1210202'!M:M=D24))"),"Aanpassen lichtenregeling + middeneilanden voor voetgangers zodat in 2 keer kan overgestoken worden  + voetgangersuitstulping")</f>
        <v>Aanpassen lichtenregeling + middeneilanden voor voetgangers zodat in 2 keer kan overgestoken worden  + voetgangersuitstulping</v>
      </c>
      <c r="F24" s="2" t="str">
        <f ca="1">IFERROR(__xludf.DUMMYFUNCTION("""COMPUTED_VALUE"""),"2022 - Q1")</f>
        <v>2022 - Q1</v>
      </c>
      <c r="G24" s="2" t="str">
        <f ca="1">IFERROR(__xludf.DUMMYFUNCTION("""COMPUTED_VALUE"""),"2022 - Q1")</f>
        <v>2022 - Q1</v>
      </c>
      <c r="H24" s="2">
        <f ca="1">SUMIFS('bedragen KIM (budgettering &amp; pl'!S:S,'bedragen KIM (budgettering &amp; pl'!B:B,A24,'bedragen KIM (budgettering &amp; pl'!F:F,D24)</f>
        <v>1000</v>
      </c>
      <c r="I24" s="2" t="e">
        <f ca="1">SUMIFS(#REF!,#REF!,A24,#REF!,D24)</f>
        <v>#REF!</v>
      </c>
      <c r="J24" s="2" t="e">
        <f ca="1">SUMIFS(#REF!,#REF!,A24,#REF!,D24)</f>
        <v>#REF!</v>
      </c>
    </row>
    <row r="25" spans="1:10" ht="12.5" x14ac:dyDescent="0.25">
      <c r="A25" s="2" t="str">
        <f ca="1">IFERROR(__xludf.DUMMYFUNCTION("""COMPUTED_VALUE"""),"KP/001077")</f>
        <v>KP/001077</v>
      </c>
      <c r="B25" s="2" t="str">
        <f ca="1">IFERROR(__xludf.DUMMYFUNCTION("""COMPUTED_VALUE"""),"Verkeersveiligheid")</f>
        <v>Verkeersveiligheid</v>
      </c>
      <c r="C25" s="2" t="str">
        <f ca="1">IFERROR(__xludf.DUMMYFUNCTION("""COMPUTED_VALUE"""),"Schoolroute")</f>
        <v>Schoolroute</v>
      </c>
      <c r="D25" s="2" t="str">
        <f ca="1">IFERROR(__xludf.DUMMYFUNCTION("""COMPUTED_VALUE"""),"IN/000660")</f>
        <v>IN/000660</v>
      </c>
      <c r="E25" s="2" t="str">
        <f ca="1">IFERROR(__xludf.DUMMYFUNCTION("UNIQUE(FILTER('export kabinetdashboard 1210202'!N:P,'export kabinetdashboard 1210202'!M:M=D25))"),"Inrichten volgens actieplan + rekening houden met resultaten Vias")</f>
        <v>Inrichten volgens actieplan + rekening houden met resultaten Vias</v>
      </c>
      <c r="F25" s="2" t="str">
        <f ca="1">IFERROR(__xludf.DUMMYFUNCTION("""COMPUTED_VALUE"""),"2022 - Q3")</f>
        <v>2022 - Q3</v>
      </c>
      <c r="G25" s="2" t="str">
        <f ca="1">IFERROR(__xludf.DUMMYFUNCTION("""COMPUTED_VALUE"""),"n.t.b.")</f>
        <v>n.t.b.</v>
      </c>
      <c r="H25" s="2">
        <f ca="1">SUMIFS('bedragen KIM (budgettering &amp; pl'!S:S,'bedragen KIM (budgettering &amp; pl'!B:B,A25,'bedragen KIM (budgettering &amp; pl'!F:F,D25)</f>
        <v>0</v>
      </c>
      <c r="I25" s="2" t="e">
        <f ca="1">SUMIFS(#REF!,#REF!,A25,#REF!,D25)</f>
        <v>#REF!</v>
      </c>
      <c r="J25" s="2" t="e">
        <f ca="1">SUMIFS(#REF!,#REF!,A25,#REF!,D25)</f>
        <v>#REF!</v>
      </c>
    </row>
    <row r="26" spans="1:10" ht="12.5" x14ac:dyDescent="0.25">
      <c r="A26" s="2" t="str">
        <f ca="1">IFERROR(__xludf.DUMMYFUNCTION("""COMPUTED_VALUE"""),"KP/001139")</f>
        <v>KP/001139</v>
      </c>
      <c r="B26" s="2" t="str">
        <f ca="1">IFERROR(__xludf.DUMMYFUNCTION("""COMPUTED_VALUE"""),"Verkeersveiligheid")</f>
        <v>Verkeersveiligheid</v>
      </c>
      <c r="C26" s="2" t="str">
        <f ca="1">IFERROR(__xludf.DUMMYFUNCTION("""COMPUTED_VALUE"""),"Schoolroute")</f>
        <v>Schoolroute</v>
      </c>
      <c r="D26" s="2" t="str">
        <f ca="1">IFERROR(__xludf.DUMMYFUNCTION("""COMPUTED_VALUE"""),"IN/000716")</f>
        <v>IN/000716</v>
      </c>
      <c r="E26" s="2" t="str">
        <f ca="1">IFERROR(__xludf.DUMMYFUNCTION("UNIQUE(FILTER('export kabinetdashboard 1210202'!N:P,'export kabinetdashboard 1210202'!M:M=D26))"),"Fietstunnel ter hoogte van Elfde Liniestraat")</f>
        <v>Fietstunnel ter hoogte van Elfde Liniestraat</v>
      </c>
      <c r="F26" s="2" t="str">
        <f ca="1">IFERROR(__xludf.DUMMYFUNCTION("""COMPUTED_VALUE"""),"n.t.b.")</f>
        <v>n.t.b.</v>
      </c>
      <c r="G26" s="2" t="str">
        <f ca="1">IFERROR(__xludf.DUMMYFUNCTION("""COMPUTED_VALUE"""),"n.t.b.")</f>
        <v>n.t.b.</v>
      </c>
      <c r="H26" s="2">
        <f ca="1">SUMIFS('bedragen KIM (budgettering &amp; pl'!S:S,'bedragen KIM (budgettering &amp; pl'!B:B,A26,'bedragen KIM (budgettering &amp; pl'!F:F,D26)</f>
        <v>0</v>
      </c>
      <c r="I26" s="2" t="e">
        <f ca="1">SUMIFS(#REF!,#REF!,A26,#REF!,D26)</f>
        <v>#REF!</v>
      </c>
      <c r="J26" s="2" t="e">
        <f ca="1">SUMIFS(#REF!,#REF!,A26,#REF!,D26)</f>
        <v>#REF!</v>
      </c>
    </row>
    <row r="27" spans="1:10" ht="12.5" x14ac:dyDescent="0.25">
      <c r="A27" s="2" t="str">
        <f ca="1">IFERROR(__xludf.DUMMYFUNCTION("""COMPUTED_VALUE"""),"KP/001036")</f>
        <v>KP/001036</v>
      </c>
      <c r="B27" s="2" t="str">
        <f ca="1">IFERROR(__xludf.DUMMYFUNCTION("""COMPUTED_VALUE"""),"Verkeersveiligheid")</f>
        <v>Verkeersveiligheid</v>
      </c>
      <c r="C27" s="2" t="str">
        <f ca="1">IFERROR(__xludf.DUMMYFUNCTION("""COMPUTED_VALUE"""),"Schoolroute")</f>
        <v>Schoolroute</v>
      </c>
      <c r="D27" s="2" t="str">
        <f ca="1">IFERROR(__xludf.DUMMYFUNCTION("""COMPUTED_VALUE"""),"IN/000720")</f>
        <v>IN/000720</v>
      </c>
      <c r="E27" s="2" t="str">
        <f ca="1">IFERROR(__xludf.DUMMYFUNCTION("UNIQUE(FILTER('export kabinetdashboard 1210202'!N:P,'export kabinetdashboard 1210202'!M:M=D27))"),"Enkelrichting maken vesten (R12)")</f>
        <v>Enkelrichting maken vesten (R12)</v>
      </c>
      <c r="F27" s="2" t="str">
        <f ca="1">IFERROR(__xludf.DUMMYFUNCTION("""COMPUTED_VALUE"""),"2022 - Q1")</f>
        <v>2022 - Q1</v>
      </c>
      <c r="G27" s="2" t="str">
        <f ca="1">IFERROR(__xludf.DUMMYFUNCTION("""COMPUTED_VALUE"""),"n.t.b.")</f>
        <v>n.t.b.</v>
      </c>
      <c r="H27" s="2">
        <f ca="1">SUMIFS('bedragen KIM (budgettering &amp; pl'!S:S,'bedragen KIM (budgettering &amp; pl'!B:B,A27,'bedragen KIM (budgettering &amp; pl'!F:F,D27)</f>
        <v>0</v>
      </c>
      <c r="I27" s="2" t="e">
        <f ca="1">SUMIFS(#REF!,#REF!,A27,#REF!,D27)</f>
        <v>#REF!</v>
      </c>
      <c r="J27" s="2" t="e">
        <f ca="1">SUMIFS(#REF!,#REF!,A27,#REF!,D27)</f>
        <v>#REF!</v>
      </c>
    </row>
    <row r="28" spans="1:10" ht="12.5" x14ac:dyDescent="0.25">
      <c r="A28" s="2" t="str">
        <f ca="1">IFERROR(__xludf.DUMMYFUNCTION("""COMPUTED_VALUE"""),"KP/001037")</f>
        <v>KP/001037</v>
      </c>
      <c r="B28" s="2" t="str">
        <f ca="1">IFERROR(__xludf.DUMMYFUNCTION("""COMPUTED_VALUE"""),"Verkeersveiligheid")</f>
        <v>Verkeersveiligheid</v>
      </c>
      <c r="C28" s="2" t="str">
        <f ca="1">IFERROR(__xludf.DUMMYFUNCTION("""COMPUTED_VALUE"""),"Schoolroute")</f>
        <v>Schoolroute</v>
      </c>
      <c r="D28" s="2" t="str">
        <f ca="1">IFERROR(__xludf.DUMMYFUNCTION("""COMPUTED_VALUE"""),"IN/000720")</f>
        <v>IN/000720</v>
      </c>
      <c r="E28" s="2" t="str">
        <f ca="1">IFERROR(__xludf.DUMMYFUNCTION("UNIQUE(FILTER('export kabinetdashboard 1210202'!N:P,'export kabinetdashboard 1210202'!M:M=D28))"),"Enkelrichting maken vesten (R12)")</f>
        <v>Enkelrichting maken vesten (R12)</v>
      </c>
      <c r="F28" s="2" t="str">
        <f ca="1">IFERROR(__xludf.DUMMYFUNCTION("""COMPUTED_VALUE"""),"2022 - Q1")</f>
        <v>2022 - Q1</v>
      </c>
      <c r="G28" s="2" t="str">
        <f ca="1">IFERROR(__xludf.DUMMYFUNCTION("""COMPUTED_VALUE"""),"n.t.b.")</f>
        <v>n.t.b.</v>
      </c>
      <c r="H28" s="2">
        <f ca="1">SUMIFS('bedragen KIM (budgettering &amp; pl'!S:S,'bedragen KIM (budgettering &amp; pl'!B:B,A28,'bedragen KIM (budgettering &amp; pl'!F:F,D28)</f>
        <v>0</v>
      </c>
      <c r="I28" s="2" t="e">
        <f ca="1">SUMIFS(#REF!,#REF!,A28,#REF!,D28)</f>
        <v>#REF!</v>
      </c>
      <c r="J28" s="2" t="e">
        <f ca="1">SUMIFS(#REF!,#REF!,A28,#REF!,D28)</f>
        <v>#REF!</v>
      </c>
    </row>
    <row r="29" spans="1:10" ht="12.5" x14ac:dyDescent="0.25">
      <c r="A29" s="2" t="str">
        <f ca="1">IFERROR(__xludf.DUMMYFUNCTION("""COMPUTED_VALUE"""),"KP/001038")</f>
        <v>KP/001038</v>
      </c>
      <c r="B29" s="2" t="str">
        <f ca="1">IFERROR(__xludf.DUMMYFUNCTION("""COMPUTED_VALUE"""),"Verkeersveiligheid")</f>
        <v>Verkeersveiligheid</v>
      </c>
      <c r="C29" s="2" t="str">
        <f ca="1">IFERROR(__xludf.DUMMYFUNCTION("""COMPUTED_VALUE"""),"Schoolroute")</f>
        <v>Schoolroute</v>
      </c>
      <c r="D29" s="2" t="str">
        <f ca="1">IFERROR(__xludf.DUMMYFUNCTION("""COMPUTED_VALUE"""),"IN/000720")</f>
        <v>IN/000720</v>
      </c>
      <c r="E29" s="2" t="str">
        <f ca="1">IFERROR(__xludf.DUMMYFUNCTION("UNIQUE(FILTER('export kabinetdashboard 1210202'!N:P,'export kabinetdashboard 1210202'!M:M=D29))"),"Enkelrichting maken vesten (R12)")</f>
        <v>Enkelrichting maken vesten (R12)</v>
      </c>
      <c r="F29" s="2" t="str">
        <f ca="1">IFERROR(__xludf.DUMMYFUNCTION("""COMPUTED_VALUE"""),"2022 - Q1")</f>
        <v>2022 - Q1</v>
      </c>
      <c r="G29" s="2" t="str">
        <f ca="1">IFERROR(__xludf.DUMMYFUNCTION("""COMPUTED_VALUE"""),"n.t.b.")</f>
        <v>n.t.b.</v>
      </c>
      <c r="H29" s="2">
        <f ca="1">SUMIFS('bedragen KIM (budgettering &amp; pl'!S:S,'bedragen KIM (budgettering &amp; pl'!B:B,A29,'bedragen KIM (budgettering &amp; pl'!F:F,D29)</f>
        <v>0</v>
      </c>
      <c r="I29" s="2" t="e">
        <f ca="1">SUMIFS(#REF!,#REF!,A29,#REF!,D29)</f>
        <v>#REF!</v>
      </c>
      <c r="J29" s="2" t="e">
        <f ca="1">SUMIFS(#REF!,#REF!,A29,#REF!,D29)</f>
        <v>#REF!</v>
      </c>
    </row>
    <row r="30" spans="1:10" ht="12.5" x14ac:dyDescent="0.25">
      <c r="A30" s="2" t="str">
        <f ca="1">IFERROR(__xludf.DUMMYFUNCTION("""COMPUTED_VALUE"""),"KP/001368")</f>
        <v>KP/001368</v>
      </c>
      <c r="B30" s="2" t="str">
        <f ca="1">IFERROR(__xludf.DUMMYFUNCTION("""COMPUTED_VALUE"""),"Verkeersveiligheid")</f>
        <v>Verkeersveiligheid</v>
      </c>
      <c r="C30" s="2" t="str">
        <f ca="1">IFERROR(__xludf.DUMMYFUNCTION("""COMPUTED_VALUE"""),"Schoolroute")</f>
        <v>Schoolroute</v>
      </c>
      <c r="D30" s="2" t="str">
        <f ca="1">IFERROR(__xludf.DUMMYFUNCTION("""COMPUTED_VALUE"""),"IN/000720")</f>
        <v>IN/000720</v>
      </c>
      <c r="E30" s="2" t="str">
        <f ca="1">IFERROR(__xludf.DUMMYFUNCTION("UNIQUE(FILTER('export kabinetdashboard 1210202'!N:P,'export kabinetdashboard 1210202'!M:M=D30))"),"Enkelrichting maken vesten (R12)")</f>
        <v>Enkelrichting maken vesten (R12)</v>
      </c>
      <c r="F30" s="2" t="str">
        <f ca="1">IFERROR(__xludf.DUMMYFUNCTION("""COMPUTED_VALUE"""),"2022 - Q1")</f>
        <v>2022 - Q1</v>
      </c>
      <c r="G30" s="2" t="str">
        <f ca="1">IFERROR(__xludf.DUMMYFUNCTION("""COMPUTED_VALUE"""),"n.t.b.")</f>
        <v>n.t.b.</v>
      </c>
      <c r="H30" s="2">
        <f ca="1">SUMIFS('bedragen KIM (budgettering &amp; pl'!S:S,'bedragen KIM (budgettering &amp; pl'!B:B,A30,'bedragen KIM (budgettering &amp; pl'!F:F,D30)</f>
        <v>0</v>
      </c>
      <c r="I30" s="2" t="e">
        <f ca="1">SUMIFS(#REF!,#REF!,A30,#REF!,D30)</f>
        <v>#REF!</v>
      </c>
      <c r="J30" s="2" t="e">
        <f ca="1">SUMIFS(#REF!,#REF!,A30,#REF!,D30)</f>
        <v>#REF!</v>
      </c>
    </row>
    <row r="31" spans="1:10" ht="12.5" x14ac:dyDescent="0.25">
      <c r="A31" s="2" t="str">
        <f ca="1">IFERROR(__xludf.DUMMYFUNCTION("""COMPUTED_VALUE"""),"KP/001369")</f>
        <v>KP/001369</v>
      </c>
      <c r="B31" s="2" t="str">
        <f ca="1">IFERROR(__xludf.DUMMYFUNCTION("""COMPUTED_VALUE"""),"Verkeersveiligheid")</f>
        <v>Verkeersveiligheid</v>
      </c>
      <c r="C31" s="2" t="str">
        <f ca="1">IFERROR(__xludf.DUMMYFUNCTION("""COMPUTED_VALUE"""),"Schoolroute")</f>
        <v>Schoolroute</v>
      </c>
      <c r="D31" s="2" t="str">
        <f ca="1">IFERROR(__xludf.DUMMYFUNCTION("""COMPUTED_VALUE"""),"IN/000720")</f>
        <v>IN/000720</v>
      </c>
      <c r="E31" s="2" t="str">
        <f ca="1">IFERROR(__xludf.DUMMYFUNCTION("UNIQUE(FILTER('export kabinetdashboard 1210202'!N:P,'export kabinetdashboard 1210202'!M:M=D31))"),"Enkelrichting maken vesten (R12)")</f>
        <v>Enkelrichting maken vesten (R12)</v>
      </c>
      <c r="F31" s="2" t="str">
        <f ca="1">IFERROR(__xludf.DUMMYFUNCTION("""COMPUTED_VALUE"""),"2022 - Q1")</f>
        <v>2022 - Q1</v>
      </c>
      <c r="G31" s="2" t="str">
        <f ca="1">IFERROR(__xludf.DUMMYFUNCTION("""COMPUTED_VALUE"""),"n.t.b.")</f>
        <v>n.t.b.</v>
      </c>
      <c r="H31" s="2">
        <f ca="1">SUMIFS('bedragen KIM (budgettering &amp; pl'!S:S,'bedragen KIM (budgettering &amp; pl'!B:B,A31,'bedragen KIM (budgettering &amp; pl'!F:F,D31)</f>
        <v>0</v>
      </c>
      <c r="I31" s="2" t="e">
        <f ca="1">SUMIFS(#REF!,#REF!,A31,#REF!,D31)</f>
        <v>#REF!</v>
      </c>
      <c r="J31" s="2" t="e">
        <f ca="1">SUMIFS(#REF!,#REF!,A31,#REF!,D31)</f>
        <v>#REF!</v>
      </c>
    </row>
    <row r="32" spans="1:10" ht="12.5" x14ac:dyDescent="0.25">
      <c r="A32" s="2" t="str">
        <f ca="1">IFERROR(__xludf.DUMMYFUNCTION("""COMPUTED_VALUE"""),"KP/000797")</f>
        <v>KP/000797</v>
      </c>
      <c r="B32" s="2" t="str">
        <f ca="1">IFERROR(__xludf.DUMMYFUNCTION("""COMPUTED_VALUE"""),"Verkeersveiligheid")</f>
        <v>Verkeersveiligheid</v>
      </c>
      <c r="C32" s="2" t="str">
        <f ca="1">IFERROR(__xludf.DUMMYFUNCTION("""COMPUTED_VALUE"""),"Schoolroute")</f>
        <v>Schoolroute</v>
      </c>
      <c r="D32" s="2" t="str">
        <f ca="1">IFERROR(__xludf.DUMMYFUNCTION("""COMPUTED_VALUE"""),"IN/000731")</f>
        <v>IN/000731</v>
      </c>
      <c r="E32" s="2" t="str">
        <f ca="1">IFERROR(__xludf.DUMMYFUNCTION("UNIQUE(FILTER('export kabinetdashboard 1210202'!N:P,'export kabinetdashboard 1210202'!M:M=D32))"),"")</f>
        <v/>
      </c>
      <c r="F32" s="2" t="str">
        <f ca="1">IFERROR(__xludf.DUMMYFUNCTION("""COMPUTED_VALUE"""),"2022 - Q2")</f>
        <v>2022 - Q2</v>
      </c>
      <c r="G32" s="2" t="str">
        <f ca="1">IFERROR(__xludf.DUMMYFUNCTION("""COMPUTED_VALUE"""),"n.t.b.")</f>
        <v>n.t.b.</v>
      </c>
      <c r="H32" s="2">
        <f ca="1">SUMIFS('bedragen KIM (budgettering &amp; pl'!S:S,'bedragen KIM (budgettering &amp; pl'!B:B,A32,'bedragen KIM (budgettering &amp; pl'!F:F,D32)</f>
        <v>61500</v>
      </c>
      <c r="I32" s="2" t="e">
        <f ca="1">SUMIFS(#REF!,#REF!,A32,#REF!,D32)</f>
        <v>#REF!</v>
      </c>
      <c r="J32" s="2" t="e">
        <f ca="1">SUMIFS(#REF!,#REF!,A32,#REF!,D32)</f>
        <v>#REF!</v>
      </c>
    </row>
    <row r="33" spans="1:10" ht="12.5" x14ac:dyDescent="0.25">
      <c r="A33" s="2" t="str">
        <f ca="1">IFERROR(__xludf.DUMMYFUNCTION("""COMPUTED_VALUE"""),"KP/000798")</f>
        <v>KP/000798</v>
      </c>
      <c r="B33" s="2" t="str">
        <f ca="1">IFERROR(__xludf.DUMMYFUNCTION("""COMPUTED_VALUE"""),"Verkeersveiligheid")</f>
        <v>Verkeersveiligheid</v>
      </c>
      <c r="C33" s="2" t="str">
        <f ca="1">IFERROR(__xludf.DUMMYFUNCTION("""COMPUTED_VALUE"""),"Schoolroute")</f>
        <v>Schoolroute</v>
      </c>
      <c r="D33" s="2" t="str">
        <f ca="1">IFERROR(__xludf.DUMMYFUNCTION("""COMPUTED_VALUE"""),"IN/000732")</f>
        <v>IN/000732</v>
      </c>
      <c r="E33" s="2" t="str">
        <f ca="1">IFERROR(__xludf.DUMMYFUNCTION("UNIQUE(FILTER('export kabinetdashboard 1210202'!N:P,'export kabinetdashboard 1210202'!M:M=D33))"),"")</f>
        <v/>
      </c>
      <c r="F33" s="2" t="str">
        <f ca="1">IFERROR(__xludf.DUMMYFUNCTION("""COMPUTED_VALUE"""),"2022 - Q2")</f>
        <v>2022 - Q2</v>
      </c>
      <c r="G33" s="2" t="str">
        <f ca="1">IFERROR(__xludf.DUMMYFUNCTION("""COMPUTED_VALUE"""),"2022 - Q3")</f>
        <v>2022 - Q3</v>
      </c>
      <c r="H33" s="2">
        <f ca="1">SUMIFS('bedragen KIM (budgettering &amp; pl'!S:S,'bedragen KIM (budgettering &amp; pl'!B:B,A33,'bedragen KIM (budgettering &amp; pl'!F:F,D33)</f>
        <v>5000</v>
      </c>
      <c r="I33" s="2" t="e">
        <f ca="1">SUMIFS(#REF!,#REF!,A33,#REF!,D33)</f>
        <v>#REF!</v>
      </c>
      <c r="J33" s="2" t="e">
        <f ca="1">SUMIFS(#REF!,#REF!,A33,#REF!,D33)</f>
        <v>#REF!</v>
      </c>
    </row>
    <row r="34" spans="1:10" ht="12.5" x14ac:dyDescent="0.25">
      <c r="A34" s="2" t="str">
        <f ca="1">IFERROR(__xludf.DUMMYFUNCTION("""COMPUTED_VALUE"""),"KP/000799")</f>
        <v>KP/000799</v>
      </c>
      <c r="B34" s="2" t="str">
        <f ca="1">IFERROR(__xludf.DUMMYFUNCTION("""COMPUTED_VALUE"""),"Verkeersveiligheid")</f>
        <v>Verkeersveiligheid</v>
      </c>
      <c r="C34" s="2" t="str">
        <f ca="1">IFERROR(__xludf.DUMMYFUNCTION("""COMPUTED_VALUE"""),"Schoolroute")</f>
        <v>Schoolroute</v>
      </c>
      <c r="D34" s="2" t="str">
        <f ca="1">IFERROR(__xludf.DUMMYFUNCTION("""COMPUTED_VALUE"""),"IN/000733")</f>
        <v>IN/000733</v>
      </c>
      <c r="E34" s="2" t="str">
        <f ca="1">IFERROR(__xludf.DUMMYFUNCTION("UNIQUE(FILTER('export kabinetdashboard 1210202'!N:P,'export kabinetdashboard 1210202'!M:M=D34))"),"")</f>
        <v/>
      </c>
      <c r="F34" s="2" t="str">
        <f ca="1">IFERROR(__xludf.DUMMYFUNCTION("""COMPUTED_VALUE"""),"2023 - Q2")</f>
        <v>2023 - Q2</v>
      </c>
      <c r="G34" s="2" t="str">
        <f ca="1">IFERROR(__xludf.DUMMYFUNCTION("""COMPUTED_VALUE"""),"n.t.b.")</f>
        <v>n.t.b.</v>
      </c>
      <c r="H34" s="2">
        <f ca="1">SUMIFS('bedragen KIM (budgettering &amp; pl'!S:S,'bedragen KIM (budgettering &amp; pl'!B:B,A34,'bedragen KIM (budgettering &amp; pl'!F:F,D34)</f>
        <v>60000</v>
      </c>
      <c r="I34" s="2" t="e">
        <f ca="1">SUMIFS(#REF!,#REF!,A34,#REF!,D34)</f>
        <v>#REF!</v>
      </c>
      <c r="J34" s="2" t="e">
        <f ca="1">SUMIFS(#REF!,#REF!,A34,#REF!,D34)</f>
        <v>#REF!</v>
      </c>
    </row>
    <row r="35" spans="1:10" ht="12.5" x14ac:dyDescent="0.25">
      <c r="A35" s="2" t="str">
        <f ca="1">IFERROR(__xludf.DUMMYFUNCTION("""COMPUTED_VALUE"""),"KP/000801")</f>
        <v>KP/000801</v>
      </c>
      <c r="B35" s="2" t="str">
        <f ca="1">IFERROR(__xludf.DUMMYFUNCTION("""COMPUTED_VALUE"""),"Verkeersveiligheid")</f>
        <v>Verkeersveiligheid</v>
      </c>
      <c r="C35" s="2" t="str">
        <f ca="1">IFERROR(__xludf.DUMMYFUNCTION("""COMPUTED_VALUE"""),"Schoolroute")</f>
        <v>Schoolroute</v>
      </c>
      <c r="D35" s="2" t="str">
        <f ca="1">IFERROR(__xludf.DUMMYFUNCTION("""COMPUTED_VALUE"""),"IN/000734")</f>
        <v>IN/000734</v>
      </c>
      <c r="E35" s="2" t="str">
        <f ca="1">IFERROR(__xludf.DUMMYFUNCTION("UNIQUE(FILTER('export kabinetdashboard 1210202'!N:P,'export kabinetdashboard 1210202'!M:M=D35))"),"")</f>
        <v/>
      </c>
      <c r="F35" s="2" t="str">
        <f ca="1">IFERROR(__xludf.DUMMYFUNCTION("""COMPUTED_VALUE"""),"2023 - Q2")</f>
        <v>2023 - Q2</v>
      </c>
      <c r="G35" s="2" t="str">
        <f ca="1">IFERROR(__xludf.DUMMYFUNCTION("""COMPUTED_VALUE"""),"n.t.b.")</f>
        <v>n.t.b.</v>
      </c>
      <c r="H35" s="2">
        <f ca="1">SUMIFS('bedragen KIM (budgettering &amp; pl'!S:S,'bedragen KIM (budgettering &amp; pl'!B:B,A35,'bedragen KIM (budgettering &amp; pl'!F:F,D35)</f>
        <v>200000</v>
      </c>
      <c r="I35" s="2" t="e">
        <f ca="1">SUMIFS(#REF!,#REF!,A35,#REF!,D35)</f>
        <v>#REF!</v>
      </c>
      <c r="J35" s="2" t="e">
        <f ca="1">SUMIFS(#REF!,#REF!,A35,#REF!,D35)</f>
        <v>#REF!</v>
      </c>
    </row>
    <row r="36" spans="1:10" ht="12.5" x14ac:dyDescent="0.25">
      <c r="A36" s="2" t="str">
        <f ca="1">IFERROR(__xludf.DUMMYFUNCTION("""COMPUTED_VALUE"""),"KP/000802")</f>
        <v>KP/000802</v>
      </c>
      <c r="B36" s="2" t="str">
        <f ca="1">IFERROR(__xludf.DUMMYFUNCTION("""COMPUTED_VALUE"""),"Verkeersveiligheid")</f>
        <v>Verkeersveiligheid</v>
      </c>
      <c r="C36" s="2" t="str">
        <f ca="1">IFERROR(__xludf.DUMMYFUNCTION("""COMPUTED_VALUE"""),"Schoolroute")</f>
        <v>Schoolroute</v>
      </c>
      <c r="D36" s="2" t="str">
        <f ca="1">IFERROR(__xludf.DUMMYFUNCTION("""COMPUTED_VALUE"""),"IN/000735")</f>
        <v>IN/000735</v>
      </c>
      <c r="E36" s="2" t="str">
        <f ca="1">IFERROR(__xludf.DUMMYFUNCTION("UNIQUE(FILTER('export kabinetdashboard 1210202'!N:P,'export kabinetdashboard 1210202'!M:M=D36))"),"")</f>
        <v/>
      </c>
      <c r="F36" s="2" t="str">
        <f ca="1">IFERROR(__xludf.DUMMYFUNCTION("""COMPUTED_VALUE"""),"2022 - Q4")</f>
        <v>2022 - Q4</v>
      </c>
      <c r="G36" s="2" t="str">
        <f ca="1">IFERROR(__xludf.DUMMYFUNCTION("""COMPUTED_VALUE"""),"n.t.b.")</f>
        <v>n.t.b.</v>
      </c>
      <c r="H36" s="2">
        <f ca="1">SUMIFS('bedragen KIM (budgettering &amp; pl'!S:S,'bedragen KIM (budgettering &amp; pl'!B:B,A36,'bedragen KIM (budgettering &amp; pl'!F:F,D36)</f>
        <v>75000</v>
      </c>
      <c r="I36" s="2" t="e">
        <f ca="1">SUMIFS(#REF!,#REF!,A36,#REF!,D36)</f>
        <v>#REF!</v>
      </c>
      <c r="J36" s="2" t="e">
        <f ca="1">SUMIFS(#REF!,#REF!,A36,#REF!,D36)</f>
        <v>#REF!</v>
      </c>
    </row>
    <row r="37" spans="1:10" ht="12.5" x14ac:dyDescent="0.25">
      <c r="A37" s="2" t="str">
        <f ca="1">IFERROR(__xludf.DUMMYFUNCTION("""COMPUTED_VALUE"""),"KP/000803")</f>
        <v>KP/000803</v>
      </c>
      <c r="B37" s="2" t="str">
        <f ca="1">IFERROR(__xludf.DUMMYFUNCTION("""COMPUTED_VALUE"""),"Verkeersveiligheid")</f>
        <v>Verkeersveiligheid</v>
      </c>
      <c r="C37" s="2" t="str">
        <f ca="1">IFERROR(__xludf.DUMMYFUNCTION("""COMPUTED_VALUE"""),"Schoolroute")</f>
        <v>Schoolroute</v>
      </c>
      <c r="D37" s="2" t="str">
        <f ca="1">IFERROR(__xludf.DUMMYFUNCTION("""COMPUTED_VALUE"""),"IN/000736")</f>
        <v>IN/000736</v>
      </c>
      <c r="E37" s="2" t="str">
        <f ca="1">IFERROR(__xludf.DUMMYFUNCTION("UNIQUE(FILTER('export kabinetdashboard 1210202'!N:P,'export kabinetdashboard 1210202'!M:M=D37))"),"")</f>
        <v/>
      </c>
      <c r="F37" s="2" t="str">
        <f ca="1">IFERROR(__xludf.DUMMYFUNCTION("""COMPUTED_VALUE"""),"n.t.b.")</f>
        <v>n.t.b.</v>
      </c>
      <c r="G37" s="2" t="str">
        <f ca="1">IFERROR(__xludf.DUMMYFUNCTION("""COMPUTED_VALUE"""),"n.t.b.")</f>
        <v>n.t.b.</v>
      </c>
      <c r="H37" s="2">
        <f ca="1">SUMIFS('bedragen KIM (budgettering &amp; pl'!S:S,'bedragen KIM (budgettering &amp; pl'!B:B,A37,'bedragen KIM (budgettering &amp; pl'!F:F,D37)</f>
        <v>75000</v>
      </c>
      <c r="I37" s="2" t="e">
        <f ca="1">SUMIFS(#REF!,#REF!,A37,#REF!,D37)</f>
        <v>#REF!</v>
      </c>
      <c r="J37" s="2" t="e">
        <f ca="1">SUMIFS(#REF!,#REF!,A37,#REF!,D37)</f>
        <v>#REF!</v>
      </c>
    </row>
    <row r="38" spans="1:10" ht="12.5" x14ac:dyDescent="0.25">
      <c r="A38" s="2" t="str">
        <f ca="1">IFERROR(__xludf.DUMMYFUNCTION("""COMPUTED_VALUE"""),"KP/000812")</f>
        <v>KP/000812</v>
      </c>
      <c r="B38" s="2" t="str">
        <f ca="1">IFERROR(__xludf.DUMMYFUNCTION("""COMPUTED_VALUE"""),"Verkeersveiligheid")</f>
        <v>Verkeersveiligheid</v>
      </c>
      <c r="C38" s="2" t="str">
        <f ca="1">IFERROR(__xludf.DUMMYFUNCTION("""COMPUTED_VALUE"""),"Schoolroute")</f>
        <v>Schoolroute</v>
      </c>
      <c r="D38" s="2" t="str">
        <f ca="1">IFERROR(__xludf.DUMMYFUNCTION("""COMPUTED_VALUE"""),"IN/000737")</f>
        <v>IN/000737</v>
      </c>
      <c r="E38" s="2" t="str">
        <f ca="1">IFERROR(__xludf.DUMMYFUNCTION("UNIQUE(FILTER('export kabinetdashboard 1210202'!N:P,'export kabinetdashboard 1210202'!M:M=D38))"),"#N/A")</f>
        <v>#N/A</v>
      </c>
      <c r="H38" s="2">
        <f ca="1">SUMIFS('bedragen KIM (budgettering &amp; pl'!S:S,'bedragen KIM (budgettering &amp; pl'!B:B,A38,'bedragen KIM (budgettering &amp; pl'!F:F,D38)</f>
        <v>0</v>
      </c>
      <c r="I38" s="2" t="e">
        <f ca="1">SUMIFS(#REF!,#REF!,A38,#REF!,D38)</f>
        <v>#REF!</v>
      </c>
      <c r="J38" s="2" t="e">
        <f ca="1">SUMIFS(#REF!,#REF!,A38,#REF!,D38)</f>
        <v>#REF!</v>
      </c>
    </row>
    <row r="39" spans="1:10" ht="12.5" x14ac:dyDescent="0.25">
      <c r="A39" s="2" t="str">
        <f ca="1">IFERROR(__xludf.DUMMYFUNCTION("""COMPUTED_VALUE"""),"KP/000813")</f>
        <v>KP/000813</v>
      </c>
      <c r="B39" s="2" t="str">
        <f ca="1">IFERROR(__xludf.DUMMYFUNCTION("""COMPUTED_VALUE"""),"Verkeersveiligheid")</f>
        <v>Verkeersveiligheid</v>
      </c>
      <c r="C39" s="2" t="str">
        <f ca="1">IFERROR(__xludf.DUMMYFUNCTION("""COMPUTED_VALUE"""),"Schoolroute")</f>
        <v>Schoolroute</v>
      </c>
      <c r="D39" s="2" t="str">
        <f ca="1">IFERROR(__xludf.DUMMYFUNCTION("""COMPUTED_VALUE"""),"IN/000738")</f>
        <v>IN/000738</v>
      </c>
      <c r="E39" s="2" t="str">
        <f ca="1">IFERROR(__xludf.DUMMYFUNCTION("UNIQUE(FILTER('export kabinetdashboard 1210202'!N:P,'export kabinetdashboard 1210202'!M:M=D39))"),"")</f>
        <v/>
      </c>
      <c r="F39" s="2" t="str">
        <f ca="1">IFERROR(__xludf.DUMMYFUNCTION("""COMPUTED_VALUE"""),"2022 - Q3")</f>
        <v>2022 - Q3</v>
      </c>
      <c r="G39" s="2" t="str">
        <f ca="1">IFERROR(__xludf.DUMMYFUNCTION("""COMPUTED_VALUE"""),"n.t.b.")</f>
        <v>n.t.b.</v>
      </c>
      <c r="H39" s="2">
        <f ca="1">SUMIFS('bedragen KIM (budgettering &amp; pl'!S:S,'bedragen KIM (budgettering &amp; pl'!B:B,A39,'bedragen KIM (budgettering &amp; pl'!F:F,D39)</f>
        <v>33341</v>
      </c>
      <c r="I39" s="2" t="e">
        <f ca="1">SUMIFS(#REF!,#REF!,A39,#REF!,D39)</f>
        <v>#REF!</v>
      </c>
      <c r="J39" s="2" t="e">
        <f ca="1">SUMIFS(#REF!,#REF!,A39,#REF!,D39)</f>
        <v>#REF!</v>
      </c>
    </row>
    <row r="40" spans="1:10" ht="12.5" x14ac:dyDescent="0.25">
      <c r="A40" s="2" t="str">
        <f ca="1">IFERROR(__xludf.DUMMYFUNCTION("""COMPUTED_VALUE"""),"KP/000816")</f>
        <v>KP/000816</v>
      </c>
      <c r="B40" s="2" t="str">
        <f ca="1">IFERROR(__xludf.DUMMYFUNCTION("""COMPUTED_VALUE"""),"Verkeersveiligheid")</f>
        <v>Verkeersveiligheid</v>
      </c>
      <c r="C40" s="2" t="str">
        <f ca="1">IFERROR(__xludf.DUMMYFUNCTION("""COMPUTED_VALUE"""),"Schoolroute")</f>
        <v>Schoolroute</v>
      </c>
      <c r="D40" s="2" t="str">
        <f ca="1">IFERROR(__xludf.DUMMYFUNCTION("""COMPUTED_VALUE"""),"IN/000739")</f>
        <v>IN/000739</v>
      </c>
      <c r="E40" s="2" t="str">
        <f ca="1">IFERROR(__xludf.DUMMYFUNCTION("UNIQUE(FILTER('export kabinetdashboard 1210202'!N:P,'export kabinetdashboard 1210202'!M:M=D40))"),"")</f>
        <v/>
      </c>
      <c r="F40" s="2" t="str">
        <f ca="1">IFERROR(__xludf.DUMMYFUNCTION("""COMPUTED_VALUE"""),"n.t.b.")</f>
        <v>n.t.b.</v>
      </c>
      <c r="G40" s="2" t="str">
        <f ca="1">IFERROR(__xludf.DUMMYFUNCTION("""COMPUTED_VALUE"""),"n.t.b.")</f>
        <v>n.t.b.</v>
      </c>
      <c r="H40" s="2">
        <f ca="1">SUMIFS('bedragen KIM (budgettering &amp; pl'!S:S,'bedragen KIM (budgettering &amp; pl'!B:B,A40,'bedragen KIM (budgettering &amp; pl'!F:F,D40)</f>
        <v>0</v>
      </c>
      <c r="I40" s="2" t="e">
        <f ca="1">SUMIFS(#REF!,#REF!,A40,#REF!,D40)</f>
        <v>#REF!</v>
      </c>
      <c r="J40" s="2" t="e">
        <f ca="1">SUMIFS(#REF!,#REF!,A40,#REF!,D40)</f>
        <v>#REF!</v>
      </c>
    </row>
    <row r="41" spans="1:10" ht="12.5" x14ac:dyDescent="0.25">
      <c r="A41" s="2" t="str">
        <f ca="1">IFERROR(__xludf.DUMMYFUNCTION("""COMPUTED_VALUE"""),"KP/000817")</f>
        <v>KP/000817</v>
      </c>
      <c r="B41" s="2" t="str">
        <f ca="1">IFERROR(__xludf.DUMMYFUNCTION("""COMPUTED_VALUE"""),"Verkeersveiligheid")</f>
        <v>Verkeersveiligheid</v>
      </c>
      <c r="C41" s="2" t="str">
        <f ca="1">IFERROR(__xludf.DUMMYFUNCTION("""COMPUTED_VALUE"""),"Schoolroute")</f>
        <v>Schoolroute</v>
      </c>
      <c r="D41" s="2" t="str">
        <f ca="1">IFERROR(__xludf.DUMMYFUNCTION("""COMPUTED_VALUE"""),"IN/000740")</f>
        <v>IN/000740</v>
      </c>
      <c r="E41" s="2" t="str">
        <f ca="1">IFERROR(__xludf.DUMMYFUNCTION("UNIQUE(FILTER('export kabinetdashboard 1210202'!N:P,'export kabinetdashboard 1210202'!M:M=D41))"),"")</f>
        <v/>
      </c>
      <c r="F41" s="2" t="str">
        <f ca="1">IFERROR(__xludf.DUMMYFUNCTION("""COMPUTED_VALUE"""),"2022 - Q4")</f>
        <v>2022 - Q4</v>
      </c>
      <c r="G41" s="2" t="str">
        <f ca="1">IFERROR(__xludf.DUMMYFUNCTION("""COMPUTED_VALUE"""),"n.t.b.")</f>
        <v>n.t.b.</v>
      </c>
      <c r="H41" s="2">
        <f ca="1">SUMIFS('bedragen KIM (budgettering &amp; pl'!S:S,'bedragen KIM (budgettering &amp; pl'!B:B,A41,'bedragen KIM (budgettering &amp; pl'!F:F,D41)</f>
        <v>100000</v>
      </c>
      <c r="I41" s="2" t="e">
        <f ca="1">SUMIFS(#REF!,#REF!,A41,#REF!,D41)</f>
        <v>#REF!</v>
      </c>
      <c r="J41" s="2" t="e">
        <f ca="1">SUMIFS(#REF!,#REF!,A41,#REF!,D41)</f>
        <v>#REF!</v>
      </c>
    </row>
    <row r="42" spans="1:10" ht="12.5" x14ac:dyDescent="0.25">
      <c r="A42" s="2" t="str">
        <f ca="1">IFERROR(__xludf.DUMMYFUNCTION("""COMPUTED_VALUE"""),"KP/000820")</f>
        <v>KP/000820</v>
      </c>
      <c r="B42" s="2" t="str">
        <f ca="1">IFERROR(__xludf.DUMMYFUNCTION("""COMPUTED_VALUE"""),"Verkeersveiligheid")</f>
        <v>Verkeersveiligheid</v>
      </c>
      <c r="C42" s="2" t="str">
        <f ca="1">IFERROR(__xludf.DUMMYFUNCTION("""COMPUTED_VALUE"""),"Schoolroute")</f>
        <v>Schoolroute</v>
      </c>
      <c r="D42" s="2" t="str">
        <f ca="1">IFERROR(__xludf.DUMMYFUNCTION("""COMPUTED_VALUE"""),"IN/000741")</f>
        <v>IN/000741</v>
      </c>
      <c r="E42" s="2" t="str">
        <f ca="1">IFERROR(__xludf.DUMMYFUNCTION("UNIQUE(FILTER('export kabinetdashboard 1210202'!N:P,'export kabinetdashboard 1210202'!M:M=D42))"),"VOP, aanpassen voetpaden, punctuele verlichting")</f>
        <v>VOP, aanpassen voetpaden, punctuele verlichting</v>
      </c>
      <c r="F42" s="2" t="str">
        <f ca="1">IFERROR(__xludf.DUMMYFUNCTION("""COMPUTED_VALUE"""),"2022 - Q3")</f>
        <v>2022 - Q3</v>
      </c>
      <c r="G42" s="2" t="str">
        <f ca="1">IFERROR(__xludf.DUMMYFUNCTION("""COMPUTED_VALUE"""),"2022 - Q3")</f>
        <v>2022 - Q3</v>
      </c>
      <c r="H42" s="2">
        <f ca="1">SUMIFS('bedragen KIM (budgettering &amp; pl'!S:S,'bedragen KIM (budgettering &amp; pl'!B:B,A42,'bedragen KIM (budgettering &amp; pl'!F:F,D42)</f>
        <v>33527.19</v>
      </c>
      <c r="I42" s="2" t="e">
        <f ca="1">SUMIFS(#REF!,#REF!,A42,#REF!,D42)</f>
        <v>#REF!</v>
      </c>
      <c r="J42" s="2" t="e">
        <f ca="1">SUMIFS(#REF!,#REF!,A42,#REF!,D42)</f>
        <v>#REF!</v>
      </c>
    </row>
    <row r="43" spans="1:10" ht="12.5" x14ac:dyDescent="0.25">
      <c r="A43" s="2" t="str">
        <f ca="1">IFERROR(__xludf.DUMMYFUNCTION("""COMPUTED_VALUE"""),"KP/000822")</f>
        <v>KP/000822</v>
      </c>
      <c r="B43" s="2" t="str">
        <f ca="1">IFERROR(__xludf.DUMMYFUNCTION("""COMPUTED_VALUE"""),"Verkeersveiligheid")</f>
        <v>Verkeersveiligheid</v>
      </c>
      <c r="C43" s="2" t="str">
        <f ca="1">IFERROR(__xludf.DUMMYFUNCTION("""COMPUTED_VALUE"""),"Schoolroute")</f>
        <v>Schoolroute</v>
      </c>
      <c r="D43" s="2" t="str">
        <f ca="1">IFERROR(__xludf.DUMMYFUNCTION("""COMPUTED_VALUE"""),"IN/000742")</f>
        <v>IN/000742</v>
      </c>
      <c r="E43" s="2" t="str">
        <f ca="1">IFERROR(__xludf.DUMMYFUNCTION("UNIQUE(FILTER('export kabinetdashboard 1210202'!N:P,'export kabinetdashboard 1210202'!M:M=D43))"),"")</f>
        <v/>
      </c>
      <c r="F43" s="2" t="str">
        <f ca="1">IFERROR(__xludf.DUMMYFUNCTION("""COMPUTED_VALUE"""),"2023 - Q4")</f>
        <v>2023 - Q4</v>
      </c>
      <c r="G43" s="2" t="str">
        <f ca="1">IFERROR(__xludf.DUMMYFUNCTION("""COMPUTED_VALUE"""),"n.t.b.")</f>
        <v>n.t.b.</v>
      </c>
      <c r="H43" s="2">
        <f ca="1">SUMIFS('bedragen KIM (budgettering &amp; pl'!S:S,'bedragen KIM (budgettering &amp; pl'!B:B,A43,'bedragen KIM (budgettering &amp; pl'!F:F,D43)</f>
        <v>55000</v>
      </c>
      <c r="I43" s="2" t="e">
        <f ca="1">SUMIFS(#REF!,#REF!,A43,#REF!,D43)</f>
        <v>#REF!</v>
      </c>
      <c r="J43" s="2" t="e">
        <f ca="1">SUMIFS(#REF!,#REF!,A43,#REF!,D43)</f>
        <v>#REF!</v>
      </c>
    </row>
    <row r="44" spans="1:10" ht="12.5" x14ac:dyDescent="0.25">
      <c r="A44" s="2" t="str">
        <f ca="1">IFERROR(__xludf.DUMMYFUNCTION("""COMPUTED_VALUE"""),"KP/000824")</f>
        <v>KP/000824</v>
      </c>
      <c r="B44" s="2" t="str">
        <f ca="1">IFERROR(__xludf.DUMMYFUNCTION("""COMPUTED_VALUE"""),"Verkeersveiligheid")</f>
        <v>Verkeersveiligheid</v>
      </c>
      <c r="C44" s="2" t="str">
        <f ca="1">IFERROR(__xludf.DUMMYFUNCTION("""COMPUTED_VALUE"""),"Schoolroute")</f>
        <v>Schoolroute</v>
      </c>
      <c r="D44" s="2" t="str">
        <f ca="1">IFERROR(__xludf.DUMMYFUNCTION("""COMPUTED_VALUE"""),"IN/000743")</f>
        <v>IN/000743</v>
      </c>
      <c r="E44" s="2" t="str">
        <f ca="1">IFERROR(__xludf.DUMMYFUNCTION("UNIQUE(FILTER('export kabinetdashboard 1210202'!N:P,'export kabinetdashboard 1210202'!M:M=D44))"),"")</f>
        <v/>
      </c>
      <c r="F44" s="2" t="str">
        <f ca="1">IFERROR(__xludf.DUMMYFUNCTION("""COMPUTED_VALUE"""),"2023 - Q2")</f>
        <v>2023 - Q2</v>
      </c>
      <c r="G44" s="2" t="str">
        <f ca="1">IFERROR(__xludf.DUMMYFUNCTION("""COMPUTED_VALUE"""),"n.t.b.")</f>
        <v>n.t.b.</v>
      </c>
      <c r="H44" s="2">
        <f ca="1">SUMIFS('bedragen KIM (budgettering &amp; pl'!S:S,'bedragen KIM (budgettering &amp; pl'!B:B,A44,'bedragen KIM (budgettering &amp; pl'!F:F,D44)</f>
        <v>300000</v>
      </c>
      <c r="I44" s="2" t="e">
        <f ca="1">SUMIFS(#REF!,#REF!,A44,#REF!,D44)</f>
        <v>#REF!</v>
      </c>
      <c r="J44" s="2" t="e">
        <f ca="1">SUMIFS(#REF!,#REF!,A44,#REF!,D44)</f>
        <v>#REF!</v>
      </c>
    </row>
    <row r="45" spans="1:10" ht="12.5" x14ac:dyDescent="0.25">
      <c r="A45" s="2" t="str">
        <f ca="1">IFERROR(__xludf.DUMMYFUNCTION("""COMPUTED_VALUE"""),"KP/000826")</f>
        <v>KP/000826</v>
      </c>
      <c r="B45" s="2" t="str">
        <f ca="1">IFERROR(__xludf.DUMMYFUNCTION("""COMPUTED_VALUE"""),"Verkeersveiligheid")</f>
        <v>Verkeersveiligheid</v>
      </c>
      <c r="C45" s="2" t="str">
        <f ca="1">IFERROR(__xludf.DUMMYFUNCTION("""COMPUTED_VALUE"""),"Schoolroute")</f>
        <v>Schoolroute</v>
      </c>
      <c r="D45" s="2" t="str">
        <f ca="1">IFERROR(__xludf.DUMMYFUNCTION("""COMPUTED_VALUE"""),"IN/000744")</f>
        <v>IN/000744</v>
      </c>
      <c r="E45" s="2" t="str">
        <f ca="1">IFERROR(__xludf.DUMMYFUNCTION("UNIQUE(FILTER('export kabinetdashboard 1210202'!N:P,'export kabinetdashboard 1210202'!M:M=D45))"),"PCV dossier")</f>
        <v>PCV dossier</v>
      </c>
      <c r="F45" s="2" t="str">
        <f ca="1">IFERROR(__xludf.DUMMYFUNCTION("""COMPUTED_VALUE"""),"2022 - Q4")</f>
        <v>2022 - Q4</v>
      </c>
      <c r="G45" s="2" t="str">
        <f ca="1">IFERROR(__xludf.DUMMYFUNCTION("""COMPUTED_VALUE"""),"n.t.b.")</f>
        <v>n.t.b.</v>
      </c>
      <c r="H45" s="2">
        <f ca="1">SUMIFS('bedragen KIM (budgettering &amp; pl'!S:S,'bedragen KIM (budgettering &amp; pl'!B:B,A45,'bedragen KIM (budgettering &amp; pl'!F:F,D45)</f>
        <v>0</v>
      </c>
      <c r="I45" s="2" t="e">
        <f ca="1">SUMIFS(#REF!,#REF!,A45,#REF!,D45)</f>
        <v>#REF!</v>
      </c>
      <c r="J45" s="2" t="e">
        <f ca="1">SUMIFS(#REF!,#REF!,A45,#REF!,D45)</f>
        <v>#REF!</v>
      </c>
    </row>
    <row r="46" spans="1:10" ht="12.5" x14ac:dyDescent="0.25">
      <c r="A46" s="2" t="str">
        <f ca="1">IFERROR(__xludf.DUMMYFUNCTION("""COMPUTED_VALUE"""),"KP/000827")</f>
        <v>KP/000827</v>
      </c>
      <c r="B46" s="2" t="str">
        <f ca="1">IFERROR(__xludf.DUMMYFUNCTION("""COMPUTED_VALUE"""),"Verkeersveiligheid")</f>
        <v>Verkeersveiligheid</v>
      </c>
      <c r="C46" s="2" t="str">
        <f ca="1">IFERROR(__xludf.DUMMYFUNCTION("""COMPUTED_VALUE"""),"Schoolroute")</f>
        <v>Schoolroute</v>
      </c>
      <c r="D46" s="2" t="str">
        <f ca="1">IFERROR(__xludf.DUMMYFUNCTION("""COMPUTED_VALUE"""),"IN/000745")</f>
        <v>IN/000745</v>
      </c>
      <c r="E46" s="2" t="str">
        <f ca="1">IFERROR(__xludf.DUMMYFUNCTION("UNIQUE(FILTER('export kabinetdashboard 1210202'!N:P,'export kabinetdashboard 1210202'!M:M=D46))"),"")</f>
        <v/>
      </c>
      <c r="F46" s="2" t="str">
        <f ca="1">IFERROR(__xludf.DUMMYFUNCTION("""COMPUTED_VALUE"""),"n.t.b.")</f>
        <v>n.t.b.</v>
      </c>
      <c r="G46" s="2" t="str">
        <f ca="1">IFERROR(__xludf.DUMMYFUNCTION("""COMPUTED_VALUE"""),"n.t.b.")</f>
        <v>n.t.b.</v>
      </c>
      <c r="H46" s="2">
        <f ca="1">SUMIFS('bedragen KIM (budgettering &amp; pl'!S:S,'bedragen KIM (budgettering &amp; pl'!B:B,A46,'bedragen KIM (budgettering &amp; pl'!F:F,D46)</f>
        <v>1000</v>
      </c>
      <c r="I46" s="2" t="e">
        <f ca="1">SUMIFS(#REF!,#REF!,A46,#REF!,D46)</f>
        <v>#REF!</v>
      </c>
      <c r="J46" s="2" t="e">
        <f ca="1">SUMIFS(#REF!,#REF!,A46,#REF!,D46)</f>
        <v>#REF!</v>
      </c>
    </row>
    <row r="47" spans="1:10" ht="12.5" x14ac:dyDescent="0.25">
      <c r="A47" s="2" t="str">
        <f ca="1">IFERROR(__xludf.DUMMYFUNCTION("""COMPUTED_VALUE"""),"KP/000829")</f>
        <v>KP/000829</v>
      </c>
      <c r="B47" s="2" t="str">
        <f ca="1">IFERROR(__xludf.DUMMYFUNCTION("""COMPUTED_VALUE"""),"Verkeersveiligheid")</f>
        <v>Verkeersveiligheid</v>
      </c>
      <c r="C47" s="2" t="str">
        <f ca="1">IFERROR(__xludf.DUMMYFUNCTION("""COMPUTED_VALUE"""),"Schoolroute")</f>
        <v>Schoolroute</v>
      </c>
      <c r="D47" s="2" t="str">
        <f ca="1">IFERROR(__xludf.DUMMYFUNCTION("""COMPUTED_VALUE"""),"IN/000746")</f>
        <v>IN/000746</v>
      </c>
      <c r="E47" s="2" t="str">
        <f ca="1">IFERROR(__xludf.DUMMYFUNCTION("UNIQUE(FILTER('export kabinetdashboard 1210202'!N:P,'export kabinetdashboard 1210202'!M:M=D47))"),"VVOP")</f>
        <v>VVOP</v>
      </c>
      <c r="F47" s="2" t="str">
        <f ca="1">IFERROR(__xludf.DUMMYFUNCTION("""COMPUTED_VALUE"""),"2022 - Q4")</f>
        <v>2022 - Q4</v>
      </c>
      <c r="G47" s="2" t="str">
        <f ca="1">IFERROR(__xludf.DUMMYFUNCTION("""COMPUTED_VALUE"""),"n.t.b.")</f>
        <v>n.t.b.</v>
      </c>
      <c r="H47" s="2">
        <f ca="1">SUMIFS('bedragen KIM (budgettering &amp; pl'!S:S,'bedragen KIM (budgettering &amp; pl'!B:B,A47,'bedragen KIM (budgettering &amp; pl'!F:F,D47)</f>
        <v>26235.96</v>
      </c>
      <c r="I47" s="2" t="e">
        <f ca="1">SUMIFS(#REF!,#REF!,A47,#REF!,D47)</f>
        <v>#REF!</v>
      </c>
      <c r="J47" s="2" t="e">
        <f ca="1">SUMIFS(#REF!,#REF!,A47,#REF!,D47)</f>
        <v>#REF!</v>
      </c>
    </row>
    <row r="48" spans="1:10" ht="12.5" x14ac:dyDescent="0.25">
      <c r="A48" s="2" t="str">
        <f ca="1">IFERROR(__xludf.DUMMYFUNCTION("""COMPUTED_VALUE"""),"KP/000830")</f>
        <v>KP/000830</v>
      </c>
      <c r="B48" s="2" t="str">
        <f ca="1">IFERROR(__xludf.DUMMYFUNCTION("""COMPUTED_VALUE"""),"Verkeersveiligheid")</f>
        <v>Verkeersveiligheid</v>
      </c>
      <c r="C48" s="2" t="str">
        <f ca="1">IFERROR(__xludf.DUMMYFUNCTION("""COMPUTED_VALUE"""),"Schoolroute")</f>
        <v>Schoolroute</v>
      </c>
      <c r="D48" s="2" t="str">
        <f ca="1">IFERROR(__xludf.DUMMYFUNCTION("""COMPUTED_VALUE"""),"IN/000747")</f>
        <v>IN/000747</v>
      </c>
      <c r="E48" s="2" t="str">
        <f ca="1">IFERROR(__xludf.DUMMYFUNCTION("UNIQUE(FILTER('export kabinetdashboard 1210202'!N:P,'export kabinetdashboard 1210202'!M:M=D48))"),"")</f>
        <v/>
      </c>
      <c r="F48" s="2" t="str">
        <f ca="1">IFERROR(__xludf.DUMMYFUNCTION("""COMPUTED_VALUE"""),"2023 - Q1")</f>
        <v>2023 - Q1</v>
      </c>
      <c r="G48" s="2" t="str">
        <f ca="1">IFERROR(__xludf.DUMMYFUNCTION("""COMPUTED_VALUE"""),"n.t.b.")</f>
        <v>n.t.b.</v>
      </c>
      <c r="H48" s="2">
        <f ca="1">SUMIFS('bedragen KIM (budgettering &amp; pl'!S:S,'bedragen KIM (budgettering &amp; pl'!B:B,A48,'bedragen KIM (budgettering &amp; pl'!F:F,D48)</f>
        <v>50000</v>
      </c>
      <c r="I48" s="2" t="e">
        <f ca="1">SUMIFS(#REF!,#REF!,A48,#REF!,D48)</f>
        <v>#REF!</v>
      </c>
      <c r="J48" s="2" t="e">
        <f ca="1">SUMIFS(#REF!,#REF!,A48,#REF!,D48)</f>
        <v>#REF!</v>
      </c>
    </row>
    <row r="49" spans="1:10" ht="12.5" x14ac:dyDescent="0.25">
      <c r="A49" s="2" t="str">
        <f ca="1">IFERROR(__xludf.DUMMYFUNCTION("""COMPUTED_VALUE"""),"KP/000833")</f>
        <v>KP/000833</v>
      </c>
      <c r="B49" s="2" t="str">
        <f ca="1">IFERROR(__xludf.DUMMYFUNCTION("""COMPUTED_VALUE"""),"Verkeersveiligheid")</f>
        <v>Verkeersveiligheid</v>
      </c>
      <c r="C49" s="2" t="str">
        <f ca="1">IFERROR(__xludf.DUMMYFUNCTION("""COMPUTED_VALUE"""),"Schoolroute")</f>
        <v>Schoolroute</v>
      </c>
      <c r="D49" s="2" t="str">
        <f ca="1">IFERROR(__xludf.DUMMYFUNCTION("""COMPUTED_VALUE"""),"IN/000748")</f>
        <v>IN/000748</v>
      </c>
      <c r="E49" s="2" t="str">
        <f ca="1">IFERROR(__xludf.DUMMYFUNCTION("UNIQUE(FILTER('export kabinetdashboard 1210202'!N:P,'export kabinetdashboard 1210202'!M:M=D49))"),"- Enkelrichtingsfietsoversteken met toeleidende fietspaden
- verhoogd plateau")</f>
        <v>- Enkelrichtingsfietsoversteken met toeleidende fietspaden
- verhoogd plateau</v>
      </c>
      <c r="F49" s="2" t="str">
        <f ca="1">IFERROR(__xludf.DUMMYFUNCTION("""COMPUTED_VALUE"""),"2022 - Q4")</f>
        <v>2022 - Q4</v>
      </c>
      <c r="G49" s="2" t="str">
        <f ca="1">IFERROR(__xludf.DUMMYFUNCTION("""COMPUTED_VALUE"""),"n.t.b.")</f>
        <v>n.t.b.</v>
      </c>
      <c r="H49" s="2">
        <f ca="1">SUMIFS('bedragen KIM (budgettering &amp; pl'!S:S,'bedragen KIM (budgettering &amp; pl'!B:B,A49,'bedragen KIM (budgettering &amp; pl'!F:F,D49)</f>
        <v>71330</v>
      </c>
      <c r="I49" s="2" t="e">
        <f ca="1">SUMIFS(#REF!,#REF!,A49,#REF!,D49)</f>
        <v>#REF!</v>
      </c>
      <c r="J49" s="2" t="e">
        <f ca="1">SUMIFS(#REF!,#REF!,A49,#REF!,D49)</f>
        <v>#REF!</v>
      </c>
    </row>
    <row r="50" spans="1:10" ht="12.5" x14ac:dyDescent="0.25">
      <c r="A50" s="2" t="str">
        <f ca="1">IFERROR(__xludf.DUMMYFUNCTION("""COMPUTED_VALUE"""),"KP/000834")</f>
        <v>KP/000834</v>
      </c>
      <c r="B50" s="2" t="str">
        <f ca="1">IFERROR(__xludf.DUMMYFUNCTION("""COMPUTED_VALUE"""),"Verkeersveiligheid")</f>
        <v>Verkeersveiligheid</v>
      </c>
      <c r="C50" s="2" t="str">
        <f ca="1">IFERROR(__xludf.DUMMYFUNCTION("""COMPUTED_VALUE"""),"Schoolroute")</f>
        <v>Schoolroute</v>
      </c>
      <c r="D50" s="2" t="str">
        <f ca="1">IFERROR(__xludf.DUMMYFUNCTION("""COMPUTED_VALUE"""),"IN/000749")</f>
        <v>IN/000749</v>
      </c>
      <c r="E50" s="2" t="str">
        <f ca="1">IFERROR(__xludf.DUMMYFUNCTION("UNIQUE(FILTER('export kabinetdashboard 1210202'!N:P,'export kabinetdashboard 1210202'!M:M=D50))"),"uitvoeren oversteek volgens resultaat studie Sweco")</f>
        <v>uitvoeren oversteek volgens resultaat studie Sweco</v>
      </c>
      <c r="F50" s="2" t="str">
        <f ca="1">IFERROR(__xludf.DUMMYFUNCTION("""COMPUTED_VALUE"""),"2021 - Q3")</f>
        <v>2021 - Q3</v>
      </c>
      <c r="G50" s="2" t="str">
        <f ca="1">IFERROR(__xludf.DUMMYFUNCTION("""COMPUTED_VALUE"""),"n.t.b.")</f>
        <v>n.t.b.</v>
      </c>
      <c r="H50" s="2">
        <f ca="1">SUMIFS('bedragen KIM (budgettering &amp; pl'!S:S,'bedragen KIM (budgettering &amp; pl'!B:B,A50,'bedragen KIM (budgettering &amp; pl'!F:F,D50)</f>
        <v>420</v>
      </c>
      <c r="I50" s="2" t="e">
        <f ca="1">SUMIFS(#REF!,#REF!,A50,#REF!,D50)</f>
        <v>#REF!</v>
      </c>
      <c r="J50" s="2" t="e">
        <f ca="1">SUMIFS(#REF!,#REF!,A50,#REF!,D50)</f>
        <v>#REF!</v>
      </c>
    </row>
    <row r="51" spans="1:10" ht="12.5" x14ac:dyDescent="0.25">
      <c r="A51" s="2" t="str">
        <f ca="1">IFERROR(__xludf.DUMMYFUNCTION("""COMPUTED_VALUE"""),"KP/000836")</f>
        <v>KP/000836</v>
      </c>
      <c r="B51" s="2" t="str">
        <f ca="1">IFERROR(__xludf.DUMMYFUNCTION("""COMPUTED_VALUE"""),"Verkeersveiligheid")</f>
        <v>Verkeersveiligheid</v>
      </c>
      <c r="C51" s="2" t="str">
        <f ca="1">IFERROR(__xludf.DUMMYFUNCTION("""COMPUTED_VALUE"""),"Schoolroute")</f>
        <v>Schoolroute</v>
      </c>
      <c r="D51" s="2" t="str">
        <f ca="1">IFERROR(__xludf.DUMMYFUNCTION("""COMPUTED_VALUE"""),"IN/000750")</f>
        <v>IN/000750</v>
      </c>
      <c r="E51" s="2" t="str">
        <f ca="1">IFERROR(__xludf.DUMMYFUNCTION("UNIQUE(FILTER('export kabinetdashboard 1210202'!N:P,'export kabinetdashboard 1210202'!M:M=D51))"),"")</f>
        <v/>
      </c>
      <c r="F51" s="2" t="str">
        <f ca="1">IFERROR(__xludf.DUMMYFUNCTION("""COMPUTED_VALUE"""),"2022 - Q4")</f>
        <v>2022 - Q4</v>
      </c>
      <c r="G51" s="2" t="str">
        <f ca="1">IFERROR(__xludf.DUMMYFUNCTION("""COMPUTED_VALUE"""),"n.t.b.")</f>
        <v>n.t.b.</v>
      </c>
      <c r="H51" s="2">
        <f ca="1">SUMIFS('bedragen KIM (budgettering &amp; pl'!S:S,'bedragen KIM (budgettering &amp; pl'!B:B,A51,'bedragen KIM (budgettering &amp; pl'!F:F,D51)</f>
        <v>7500</v>
      </c>
      <c r="I51" s="2" t="e">
        <f ca="1">SUMIFS(#REF!,#REF!,A51,#REF!,D51)</f>
        <v>#REF!</v>
      </c>
      <c r="J51" s="2" t="e">
        <f ca="1">SUMIFS(#REF!,#REF!,A51,#REF!,D51)</f>
        <v>#REF!</v>
      </c>
    </row>
    <row r="52" spans="1:10" ht="12.5" x14ac:dyDescent="0.25">
      <c r="A52" s="2" t="str">
        <f ca="1">IFERROR(__xludf.DUMMYFUNCTION("""COMPUTED_VALUE"""),"KP/000837")</f>
        <v>KP/000837</v>
      </c>
      <c r="B52" s="2" t="str">
        <f ca="1">IFERROR(__xludf.DUMMYFUNCTION("""COMPUTED_VALUE"""),"Verkeersveiligheid")</f>
        <v>Verkeersveiligheid</v>
      </c>
      <c r="C52" s="2" t="str">
        <f ca="1">IFERROR(__xludf.DUMMYFUNCTION("""COMPUTED_VALUE"""),"Schoolroute")</f>
        <v>Schoolroute</v>
      </c>
      <c r="D52" s="2" t="str">
        <f ca="1">IFERROR(__xludf.DUMMYFUNCTION("""COMPUTED_VALUE"""),"IN/000751")</f>
        <v>IN/000751</v>
      </c>
      <c r="E52" s="2" t="str">
        <f ca="1">IFERROR(__xludf.DUMMYFUNCTION("UNIQUE(FILTER('export kabinetdashboard 1210202'!N:P,'export kabinetdashboard 1210202'!M:M=D52))"),"")</f>
        <v/>
      </c>
      <c r="F52" s="2" t="str">
        <f ca="1">IFERROR(__xludf.DUMMYFUNCTION("""COMPUTED_VALUE"""),"n.t.b.")</f>
        <v>n.t.b.</v>
      </c>
      <c r="G52" s="2" t="str">
        <f ca="1">IFERROR(__xludf.DUMMYFUNCTION("""COMPUTED_VALUE"""),"n.t.b.")</f>
        <v>n.t.b.</v>
      </c>
      <c r="H52" s="2">
        <f ca="1">SUMIFS('bedragen KIM (budgettering &amp; pl'!S:S,'bedragen KIM (budgettering &amp; pl'!B:B,A52,'bedragen KIM (budgettering &amp; pl'!F:F,D52)</f>
        <v>0</v>
      </c>
      <c r="I52" s="2" t="e">
        <f ca="1">SUMIFS(#REF!,#REF!,A52,#REF!,D52)</f>
        <v>#REF!</v>
      </c>
      <c r="J52" s="2" t="e">
        <f ca="1">SUMIFS(#REF!,#REF!,A52,#REF!,D52)</f>
        <v>#REF!</v>
      </c>
    </row>
    <row r="53" spans="1:10" ht="12.5" x14ac:dyDescent="0.25">
      <c r="A53" s="2" t="str">
        <f ca="1">IFERROR(__xludf.DUMMYFUNCTION("""COMPUTED_VALUE"""),"KP/000838")</f>
        <v>KP/000838</v>
      </c>
      <c r="B53" s="2" t="str">
        <f ca="1">IFERROR(__xludf.DUMMYFUNCTION("""COMPUTED_VALUE"""),"Verkeersveiligheid")</f>
        <v>Verkeersveiligheid</v>
      </c>
      <c r="C53" s="2" t="str">
        <f ca="1">IFERROR(__xludf.DUMMYFUNCTION("""COMPUTED_VALUE"""),"Schoolroute")</f>
        <v>Schoolroute</v>
      </c>
      <c r="D53" s="2" t="str">
        <f ca="1">IFERROR(__xludf.DUMMYFUNCTION("""COMPUTED_VALUE"""),"IN/000752")</f>
        <v>IN/000752</v>
      </c>
      <c r="E53" s="2" t="str">
        <f ca="1">IFERROR(__xludf.DUMMYFUNCTION("UNIQUE(FILTER('export kabinetdashboard 1210202'!N:P,'export kabinetdashboard 1210202'!M:M=D53))"),"")</f>
        <v/>
      </c>
      <c r="F53" s="2" t="str">
        <f ca="1">IFERROR(__xludf.DUMMYFUNCTION("""COMPUTED_VALUE"""),"2022 - Q4")</f>
        <v>2022 - Q4</v>
      </c>
      <c r="G53" s="2" t="str">
        <f ca="1">IFERROR(__xludf.DUMMYFUNCTION("""COMPUTED_VALUE"""),"n.t.b.")</f>
        <v>n.t.b.</v>
      </c>
      <c r="H53" s="2">
        <f ca="1">SUMIFS('bedragen KIM (budgettering &amp; pl'!S:S,'bedragen KIM (budgettering &amp; pl'!B:B,A53,'bedragen KIM (budgettering &amp; pl'!F:F,D53)</f>
        <v>7500</v>
      </c>
      <c r="I53" s="2" t="e">
        <f ca="1">SUMIFS(#REF!,#REF!,A53,#REF!,D53)</f>
        <v>#REF!</v>
      </c>
      <c r="J53" s="2" t="e">
        <f ca="1">SUMIFS(#REF!,#REF!,A53,#REF!,D53)</f>
        <v>#REF!</v>
      </c>
    </row>
    <row r="54" spans="1:10" ht="12.5" x14ac:dyDescent="0.25">
      <c r="A54" s="2" t="str">
        <f ca="1">IFERROR(__xludf.DUMMYFUNCTION("""COMPUTED_VALUE"""),"KP/000839")</f>
        <v>KP/000839</v>
      </c>
      <c r="B54" s="2" t="str">
        <f ca="1">IFERROR(__xludf.DUMMYFUNCTION("""COMPUTED_VALUE"""),"Verkeersveiligheid")</f>
        <v>Verkeersveiligheid</v>
      </c>
      <c r="C54" s="2" t="str">
        <f ca="1">IFERROR(__xludf.DUMMYFUNCTION("""COMPUTED_VALUE"""),"Schoolroute")</f>
        <v>Schoolroute</v>
      </c>
      <c r="D54" s="2" t="str">
        <f ca="1">IFERROR(__xludf.DUMMYFUNCTION("""COMPUTED_VALUE"""),"IN/000753")</f>
        <v>IN/000753</v>
      </c>
      <c r="E54" s="2" t="str">
        <f ca="1">IFERROR(__xludf.DUMMYFUNCTION("UNIQUE(FILTER('export kabinetdashboard 1210202'!N:P,'export kabinetdashboard 1210202'!M:M=D54))"),"Insnoeren Arcadelaan. Fietsgeleiding.")</f>
        <v>Insnoeren Arcadelaan. Fietsgeleiding.</v>
      </c>
      <c r="F54" s="2" t="str">
        <f ca="1">IFERROR(__xludf.DUMMYFUNCTION("""COMPUTED_VALUE"""),"2022 - Q4")</f>
        <v>2022 - Q4</v>
      </c>
      <c r="G54" s="2" t="str">
        <f ca="1">IFERROR(__xludf.DUMMYFUNCTION("""COMPUTED_VALUE"""),"n.t.b.")</f>
        <v>n.t.b.</v>
      </c>
      <c r="H54" s="2">
        <f ca="1">SUMIFS('bedragen KIM (budgettering &amp; pl'!S:S,'bedragen KIM (budgettering &amp; pl'!B:B,A54,'bedragen KIM (budgettering &amp; pl'!F:F,D54)</f>
        <v>20000</v>
      </c>
      <c r="I54" s="2" t="e">
        <f ca="1">SUMIFS(#REF!,#REF!,A54,#REF!,D54)</f>
        <v>#REF!</v>
      </c>
      <c r="J54" s="2" t="e">
        <f ca="1">SUMIFS(#REF!,#REF!,A54,#REF!,D54)</f>
        <v>#REF!</v>
      </c>
    </row>
    <row r="55" spans="1:10" ht="12.5" x14ac:dyDescent="0.25">
      <c r="A55" s="2" t="str">
        <f ca="1">IFERROR(__xludf.DUMMYFUNCTION("""COMPUTED_VALUE"""),"KP/000841")</f>
        <v>KP/000841</v>
      </c>
      <c r="B55" s="2" t="str">
        <f ca="1">IFERROR(__xludf.DUMMYFUNCTION("""COMPUTED_VALUE"""),"Verkeersveiligheid")</f>
        <v>Verkeersveiligheid</v>
      </c>
      <c r="C55" s="2" t="str">
        <f ca="1">IFERROR(__xludf.DUMMYFUNCTION("""COMPUTED_VALUE"""),"Schoolroute")</f>
        <v>Schoolroute</v>
      </c>
      <c r="D55" s="2" t="str">
        <f ca="1">IFERROR(__xludf.DUMMYFUNCTION("""COMPUTED_VALUE"""),"IN/000754")</f>
        <v>IN/000754</v>
      </c>
      <c r="E55" s="2" t="str">
        <f ca="1">IFERROR(__xludf.DUMMYFUNCTION("UNIQUE(FILTER('export kabinetdashboard 1210202'!N:P,'export kabinetdashboard 1210202'!M:M=D55))"),"")</f>
        <v/>
      </c>
      <c r="F55" s="2" t="str">
        <f ca="1">IFERROR(__xludf.DUMMYFUNCTION("""COMPUTED_VALUE"""),"2022 - Q3")</f>
        <v>2022 - Q3</v>
      </c>
      <c r="G55" s="2" t="str">
        <f ca="1">IFERROR(__xludf.DUMMYFUNCTION("""COMPUTED_VALUE"""),"n.t.b.")</f>
        <v>n.t.b.</v>
      </c>
      <c r="H55" s="2">
        <f ca="1">SUMIFS('bedragen KIM (budgettering &amp; pl'!S:S,'bedragen KIM (budgettering &amp; pl'!B:B,A55,'bedragen KIM (budgettering &amp; pl'!F:F,D55)</f>
        <v>10000</v>
      </c>
      <c r="I55" s="2" t="e">
        <f ca="1">SUMIFS(#REF!,#REF!,A55,#REF!,D55)</f>
        <v>#REF!</v>
      </c>
      <c r="J55" s="2" t="e">
        <f ca="1">SUMIFS(#REF!,#REF!,A55,#REF!,D55)</f>
        <v>#REF!</v>
      </c>
    </row>
    <row r="56" spans="1:10" ht="12.5" x14ac:dyDescent="0.25">
      <c r="A56" s="2" t="str">
        <f ca="1">IFERROR(__xludf.DUMMYFUNCTION("""COMPUTED_VALUE"""),"KP/000842")</f>
        <v>KP/000842</v>
      </c>
      <c r="B56" s="2" t="str">
        <f ca="1">IFERROR(__xludf.DUMMYFUNCTION("""COMPUTED_VALUE"""),"Verkeersveiligheid")</f>
        <v>Verkeersveiligheid</v>
      </c>
      <c r="C56" s="2" t="str">
        <f ca="1">IFERROR(__xludf.DUMMYFUNCTION("""COMPUTED_VALUE"""),"Schoolroute")</f>
        <v>Schoolroute</v>
      </c>
      <c r="D56" s="2" t="str">
        <f ca="1">IFERROR(__xludf.DUMMYFUNCTION("""COMPUTED_VALUE"""),"IN/000755")</f>
        <v>IN/000755</v>
      </c>
      <c r="E56" s="2" t="str">
        <f ca="1">IFERROR(__xludf.DUMMYFUNCTION("UNIQUE(FILTER('export kabinetdashboard 1210202'!N:P,'export kabinetdashboard 1210202'!M:M=D56))"),"Fietsopstelplaatsen verplaatsen; daardoor detectielusverplaatsen en dwarsprofiel aanpassen")</f>
        <v>Fietsopstelplaatsen verplaatsen; daardoor detectielusverplaatsen en dwarsprofiel aanpassen</v>
      </c>
      <c r="F56" s="2" t="str">
        <f ca="1">IFERROR(__xludf.DUMMYFUNCTION("""COMPUTED_VALUE"""),"2021 - Q3")</f>
        <v>2021 - Q3</v>
      </c>
      <c r="G56" s="2" t="str">
        <f ca="1">IFERROR(__xludf.DUMMYFUNCTION("""COMPUTED_VALUE"""),"n.t.b.")</f>
        <v>n.t.b.</v>
      </c>
      <c r="H56" s="2">
        <f ca="1">SUMIFS('bedragen KIM (budgettering &amp; pl'!S:S,'bedragen KIM (budgettering &amp; pl'!B:B,A56,'bedragen KIM (budgettering &amp; pl'!F:F,D56)</f>
        <v>50000</v>
      </c>
      <c r="I56" s="2" t="e">
        <f ca="1">SUMIFS(#REF!,#REF!,A56,#REF!,D56)</f>
        <v>#REF!</v>
      </c>
      <c r="J56" s="2" t="e">
        <f ca="1">SUMIFS(#REF!,#REF!,A56,#REF!,D56)</f>
        <v>#REF!</v>
      </c>
    </row>
    <row r="57" spans="1:10" ht="12.5" x14ac:dyDescent="0.25">
      <c r="A57" s="2" t="str">
        <f ca="1">IFERROR(__xludf.DUMMYFUNCTION("""COMPUTED_VALUE"""),"KP/000843")</f>
        <v>KP/000843</v>
      </c>
      <c r="B57" s="2" t="str">
        <f ca="1">IFERROR(__xludf.DUMMYFUNCTION("""COMPUTED_VALUE"""),"Verkeersveiligheid")</f>
        <v>Verkeersveiligheid</v>
      </c>
      <c r="C57" s="2" t="str">
        <f ca="1">IFERROR(__xludf.DUMMYFUNCTION("""COMPUTED_VALUE"""),"Schoolroute")</f>
        <v>Schoolroute</v>
      </c>
      <c r="D57" s="2" t="str">
        <f ca="1">IFERROR(__xludf.DUMMYFUNCTION("""COMPUTED_VALUE"""),"IN/000756")</f>
        <v>IN/000756</v>
      </c>
      <c r="E57" s="2" t="str">
        <f ca="1">IFERROR(__xludf.DUMMYFUNCTION("UNIQUE(FILTER('export kabinetdashboard 1210202'!N:P,'export kabinetdashboard 1210202'!M:M=D57))"),"")</f>
        <v/>
      </c>
      <c r="F57" s="2" t="str">
        <f ca="1">IFERROR(__xludf.DUMMYFUNCTION("""COMPUTED_VALUE"""),"2021 - Q3")</f>
        <v>2021 - Q3</v>
      </c>
      <c r="G57" s="2" t="str">
        <f ca="1">IFERROR(__xludf.DUMMYFUNCTION("""COMPUTED_VALUE"""),"2021 - Q4")</f>
        <v>2021 - Q4</v>
      </c>
      <c r="H57" s="2">
        <f ca="1">SUMIFS('bedragen KIM (budgettering &amp; pl'!S:S,'bedragen KIM (budgettering &amp; pl'!B:B,A57,'bedragen KIM (budgettering &amp; pl'!F:F,D57)</f>
        <v>230</v>
      </c>
      <c r="I57" s="2" t="e">
        <f ca="1">SUMIFS(#REF!,#REF!,A57,#REF!,D57)</f>
        <v>#REF!</v>
      </c>
      <c r="J57" s="2" t="e">
        <f ca="1">SUMIFS(#REF!,#REF!,A57,#REF!,D57)</f>
        <v>#REF!</v>
      </c>
    </row>
    <row r="58" spans="1:10" ht="12.5" x14ac:dyDescent="0.25">
      <c r="A58" s="2" t="str">
        <f ca="1">IFERROR(__xludf.DUMMYFUNCTION("""COMPUTED_VALUE"""),"KP/000844")</f>
        <v>KP/000844</v>
      </c>
      <c r="B58" s="2" t="str">
        <f ca="1">IFERROR(__xludf.DUMMYFUNCTION("""COMPUTED_VALUE"""),"Verkeersveiligheid")</f>
        <v>Verkeersveiligheid</v>
      </c>
      <c r="C58" s="2" t="str">
        <f ca="1">IFERROR(__xludf.DUMMYFUNCTION("""COMPUTED_VALUE"""),"Schoolroute")</f>
        <v>Schoolroute</v>
      </c>
      <c r="D58" s="2" t="str">
        <f ca="1">IFERROR(__xludf.DUMMYFUNCTION("""COMPUTED_VALUE"""),"IN/000757")</f>
        <v>IN/000757</v>
      </c>
      <c r="E58" s="2" t="str">
        <f ca="1">IFERROR(__xludf.DUMMYFUNCTION("UNIQUE(FILTER('export kabinetdashboard 1210202'!N:P,'export kabinetdashboard 1210202'!M:M=D58))"),"grijze fietssuggestiestroken in oker gezet")</f>
        <v>grijze fietssuggestiestroken in oker gezet</v>
      </c>
      <c r="F58" s="2" t="str">
        <f ca="1">IFERROR(__xludf.DUMMYFUNCTION("""COMPUTED_VALUE"""),"2021 - Q3")</f>
        <v>2021 - Q3</v>
      </c>
      <c r="G58" s="2" t="str">
        <f ca="1">IFERROR(__xludf.DUMMYFUNCTION("""COMPUTED_VALUE"""),"2021 - Q4")</f>
        <v>2021 - Q4</v>
      </c>
      <c r="H58" s="2">
        <f ca="1">SUMIFS('bedragen KIM (budgettering &amp; pl'!S:S,'bedragen KIM (budgettering &amp; pl'!B:B,A58,'bedragen KIM (budgettering &amp; pl'!F:F,D58)</f>
        <v>18555</v>
      </c>
      <c r="I58" s="2" t="e">
        <f ca="1">SUMIFS(#REF!,#REF!,A58,#REF!,D58)</f>
        <v>#REF!</v>
      </c>
      <c r="J58" s="2" t="e">
        <f ca="1">SUMIFS(#REF!,#REF!,A58,#REF!,D58)</f>
        <v>#REF!</v>
      </c>
    </row>
    <row r="59" spans="1:10" ht="12.5" x14ac:dyDescent="0.25">
      <c r="A59" s="2" t="str">
        <f ca="1">IFERROR(__xludf.DUMMYFUNCTION("""COMPUTED_VALUE"""),"KP/000846")</f>
        <v>KP/000846</v>
      </c>
      <c r="B59" s="2" t="str">
        <f ca="1">IFERROR(__xludf.DUMMYFUNCTION("""COMPUTED_VALUE"""),"Verkeersveiligheid")</f>
        <v>Verkeersveiligheid</v>
      </c>
      <c r="C59" s="2" t="str">
        <f ca="1">IFERROR(__xludf.DUMMYFUNCTION("""COMPUTED_VALUE"""),"Schoolroute")</f>
        <v>Schoolroute</v>
      </c>
      <c r="D59" s="2" t="str">
        <f ca="1">IFERROR(__xludf.DUMMYFUNCTION("""COMPUTED_VALUE"""),"IN/000758")</f>
        <v>IN/000758</v>
      </c>
      <c r="E59" s="2" t="str">
        <f ca="1">IFERROR(__xludf.DUMMYFUNCTION("UNIQUE(FILTER('export kabinetdashboard 1210202'!N:P,'export kabinetdashboard 1210202'!M:M=D59))"),"VVOP ter hoogte van nabijgelegen zebrapad.
Asverschuiving met rustpunt.")</f>
        <v>VVOP ter hoogte van nabijgelegen zebrapad.
Asverschuiving met rustpunt.</v>
      </c>
      <c r="F59" s="2" t="str">
        <f ca="1">IFERROR(__xludf.DUMMYFUNCTION("""COMPUTED_VALUE"""),"2022 - Q4")</f>
        <v>2022 - Q4</v>
      </c>
      <c r="G59" s="2" t="str">
        <f ca="1">IFERROR(__xludf.DUMMYFUNCTION("""COMPUTED_VALUE"""),"n.t.b.")</f>
        <v>n.t.b.</v>
      </c>
      <c r="H59" s="2">
        <f ca="1">SUMIFS('bedragen KIM (budgettering &amp; pl'!S:S,'bedragen KIM (budgettering &amp; pl'!B:B,A59,'bedragen KIM (budgettering &amp; pl'!F:F,D59)</f>
        <v>170000</v>
      </c>
      <c r="I59" s="2" t="e">
        <f ca="1">SUMIFS(#REF!,#REF!,A59,#REF!,D59)</f>
        <v>#REF!</v>
      </c>
      <c r="J59" s="2" t="e">
        <f ca="1">SUMIFS(#REF!,#REF!,A59,#REF!,D59)</f>
        <v>#REF!</v>
      </c>
    </row>
    <row r="60" spans="1:10" ht="12.5" x14ac:dyDescent="0.25">
      <c r="A60" s="2" t="str">
        <f ca="1">IFERROR(__xludf.DUMMYFUNCTION("""COMPUTED_VALUE"""),"KP/000849")</f>
        <v>KP/000849</v>
      </c>
      <c r="B60" s="2" t="str">
        <f ca="1">IFERROR(__xludf.DUMMYFUNCTION("""COMPUTED_VALUE"""),"Verkeersveiligheid")</f>
        <v>Verkeersveiligheid</v>
      </c>
      <c r="C60" s="2" t="str">
        <f ca="1">IFERROR(__xludf.DUMMYFUNCTION("""COMPUTED_VALUE"""),"Schoolroute")</f>
        <v>Schoolroute</v>
      </c>
      <c r="D60" s="2" t="str">
        <f ca="1">IFERROR(__xludf.DUMMYFUNCTION("""COMPUTED_VALUE"""),"IN/000759")</f>
        <v>IN/000759</v>
      </c>
      <c r="E60" s="2" t="str">
        <f ca="1">IFERROR(__xludf.DUMMYFUNCTION("UNIQUE(FILTER('export kabinetdashboard 1210202'!N:P,'export kabinetdashboard 1210202'!M:M=D60))"),"voorstel vernieuwen fietspad nog niet weerhouden")</f>
        <v>voorstel vernieuwen fietspad nog niet weerhouden</v>
      </c>
      <c r="F60" s="2" t="str">
        <f ca="1">IFERROR(__xludf.DUMMYFUNCTION("""COMPUTED_VALUE"""),"n.t.b.")</f>
        <v>n.t.b.</v>
      </c>
      <c r="G60" s="2" t="str">
        <f ca="1">IFERROR(__xludf.DUMMYFUNCTION("""COMPUTED_VALUE"""),"n.t.b.")</f>
        <v>n.t.b.</v>
      </c>
      <c r="H60" s="2">
        <f ca="1">SUMIFS('bedragen KIM (budgettering &amp; pl'!S:S,'bedragen KIM (budgettering &amp; pl'!B:B,A60,'bedragen KIM (budgettering &amp; pl'!F:F,D60)</f>
        <v>1500000</v>
      </c>
      <c r="I60" s="2" t="e">
        <f ca="1">SUMIFS(#REF!,#REF!,A60,#REF!,D60)</f>
        <v>#REF!</v>
      </c>
      <c r="J60" s="2" t="e">
        <f ca="1">SUMIFS(#REF!,#REF!,A60,#REF!,D60)</f>
        <v>#REF!</v>
      </c>
    </row>
    <row r="61" spans="1:10" ht="12.5" x14ac:dyDescent="0.25">
      <c r="A61" s="2" t="str">
        <f ca="1">IFERROR(__xludf.DUMMYFUNCTION("""COMPUTED_VALUE"""),"KP/000850")</f>
        <v>KP/000850</v>
      </c>
      <c r="B61" s="2" t="str">
        <f ca="1">IFERROR(__xludf.DUMMYFUNCTION("""COMPUTED_VALUE"""),"Verkeersveiligheid")</f>
        <v>Verkeersveiligheid</v>
      </c>
      <c r="C61" s="2" t="str">
        <f ca="1">IFERROR(__xludf.DUMMYFUNCTION("""COMPUTED_VALUE"""),"Schoolroute")</f>
        <v>Schoolroute</v>
      </c>
      <c r="D61" s="2" t="str">
        <f ca="1">IFERROR(__xludf.DUMMYFUNCTION("""COMPUTED_VALUE"""),"IN/000760")</f>
        <v>IN/000760</v>
      </c>
      <c r="E61" s="2" t="str">
        <f ca="1">IFERROR(__xludf.DUMMYFUNCTION("UNIQUE(FILTER('export kabinetdashboard 1210202'!N:P,'export kabinetdashboard 1210202'!M:M=D61))"),"")</f>
        <v/>
      </c>
      <c r="F61" s="2" t="str">
        <f ca="1">IFERROR(__xludf.DUMMYFUNCTION("""COMPUTED_VALUE"""),"2022 - Q4")</f>
        <v>2022 - Q4</v>
      </c>
      <c r="G61" s="2" t="str">
        <f ca="1">IFERROR(__xludf.DUMMYFUNCTION("""COMPUTED_VALUE"""),"n.t.b.")</f>
        <v>n.t.b.</v>
      </c>
      <c r="H61" s="2">
        <f ca="1">SUMIFS('bedragen KIM (budgettering &amp; pl'!S:S,'bedragen KIM (budgettering &amp; pl'!B:B,A61,'bedragen KIM (budgettering &amp; pl'!F:F,D61)</f>
        <v>1000</v>
      </c>
      <c r="I61" s="2" t="e">
        <f ca="1">SUMIFS(#REF!,#REF!,A61,#REF!,D61)</f>
        <v>#REF!</v>
      </c>
      <c r="J61" s="2" t="e">
        <f ca="1">SUMIFS(#REF!,#REF!,A61,#REF!,D61)</f>
        <v>#REF!</v>
      </c>
    </row>
    <row r="62" spans="1:10" ht="12.5" x14ac:dyDescent="0.25">
      <c r="A62" s="2" t="str">
        <f ca="1">IFERROR(__xludf.DUMMYFUNCTION("""COMPUTED_VALUE"""),"KP/000851")</f>
        <v>KP/000851</v>
      </c>
      <c r="B62" s="2" t="str">
        <f ca="1">IFERROR(__xludf.DUMMYFUNCTION("""COMPUTED_VALUE"""),"Verkeersveiligheid")</f>
        <v>Verkeersveiligheid</v>
      </c>
      <c r="C62" s="2" t="str">
        <f ca="1">IFERROR(__xludf.DUMMYFUNCTION("""COMPUTED_VALUE"""),"Schoolroute")</f>
        <v>Schoolroute</v>
      </c>
      <c r="D62" s="2" t="str">
        <f ca="1">IFERROR(__xludf.DUMMYFUNCTION("""COMPUTED_VALUE"""),"IN/000761")</f>
        <v>IN/000761</v>
      </c>
      <c r="E62" s="2" t="str">
        <f ca="1">IFERROR(__xludf.DUMMYFUNCTION("UNIQUE(FILTER('export kabinetdashboard 1210202'!N:P,'export kabinetdashboard 1210202'!M:M=D62))"),"Vier palen")</f>
        <v>Vier palen</v>
      </c>
      <c r="F62" s="2" t="str">
        <f ca="1">IFERROR(__xludf.DUMMYFUNCTION("""COMPUTED_VALUE"""),"2022 - Q1")</f>
        <v>2022 - Q1</v>
      </c>
      <c r="G62" s="2" t="str">
        <f ca="1">IFERROR(__xludf.DUMMYFUNCTION("""COMPUTED_VALUE"""),"n.t.b.")</f>
        <v>n.t.b.</v>
      </c>
      <c r="H62" s="2">
        <f ca="1">SUMIFS('bedragen KIM (budgettering &amp; pl'!S:S,'bedragen KIM (budgettering &amp; pl'!B:B,A62,'bedragen KIM (budgettering &amp; pl'!F:F,D62)</f>
        <v>35000</v>
      </c>
      <c r="I62" s="2" t="e">
        <f ca="1">SUMIFS(#REF!,#REF!,A62,#REF!,D62)</f>
        <v>#REF!</v>
      </c>
      <c r="J62" s="2" t="e">
        <f ca="1">SUMIFS(#REF!,#REF!,A62,#REF!,D62)</f>
        <v>#REF!</v>
      </c>
    </row>
    <row r="63" spans="1:10" ht="12.5" x14ac:dyDescent="0.25">
      <c r="A63" s="2" t="str">
        <f ca="1">IFERROR(__xludf.DUMMYFUNCTION("""COMPUTED_VALUE"""),"KP/000852")</f>
        <v>KP/000852</v>
      </c>
      <c r="B63" s="2" t="str">
        <f ca="1">IFERROR(__xludf.DUMMYFUNCTION("""COMPUTED_VALUE"""),"Verkeersveiligheid")</f>
        <v>Verkeersveiligheid</v>
      </c>
      <c r="C63" s="2" t="str">
        <f ca="1">IFERROR(__xludf.DUMMYFUNCTION("""COMPUTED_VALUE"""),"Schoolroute")</f>
        <v>Schoolroute</v>
      </c>
      <c r="D63" s="2" t="str">
        <f ca="1">IFERROR(__xludf.DUMMYFUNCTION("""COMPUTED_VALUE"""),"IN/000762")</f>
        <v>IN/000762</v>
      </c>
      <c r="E63" s="2" t="str">
        <f ca="1">IFERROR(__xludf.DUMMYFUNCTION("UNIQUE(FILTER('export kabinetdashboard 1210202'!N:P,'export kabinetdashboard 1210202'!M:M=D63))"),"")</f>
        <v/>
      </c>
      <c r="F63" s="2" t="str">
        <f ca="1">IFERROR(__xludf.DUMMYFUNCTION("""COMPUTED_VALUE"""),"n.t.b.")</f>
        <v>n.t.b.</v>
      </c>
      <c r="G63" s="2" t="str">
        <f ca="1">IFERROR(__xludf.DUMMYFUNCTION("""COMPUTED_VALUE"""),"n.t.b.")</f>
        <v>n.t.b.</v>
      </c>
      <c r="H63" s="2">
        <f ca="1">SUMIFS('bedragen KIM (budgettering &amp; pl'!S:S,'bedragen KIM (budgettering &amp; pl'!B:B,A63,'bedragen KIM (budgettering &amp; pl'!F:F,D63)</f>
        <v>297500</v>
      </c>
      <c r="I63" s="2" t="e">
        <f ca="1">SUMIFS(#REF!,#REF!,A63,#REF!,D63)</f>
        <v>#REF!</v>
      </c>
      <c r="J63" s="2" t="e">
        <f ca="1">SUMIFS(#REF!,#REF!,A63,#REF!,D63)</f>
        <v>#REF!</v>
      </c>
    </row>
    <row r="64" spans="1:10" ht="12.5" x14ac:dyDescent="0.25">
      <c r="A64" s="2" t="str">
        <f ca="1">IFERROR(__xludf.DUMMYFUNCTION("""COMPUTED_VALUE"""),"KP/000853")</f>
        <v>KP/000853</v>
      </c>
      <c r="B64" s="2" t="str">
        <f ca="1">IFERROR(__xludf.DUMMYFUNCTION("""COMPUTED_VALUE"""),"Verkeersveiligheid")</f>
        <v>Verkeersveiligheid</v>
      </c>
      <c r="C64" s="2" t="str">
        <f ca="1">IFERROR(__xludf.DUMMYFUNCTION("""COMPUTED_VALUE"""),"Schoolroute")</f>
        <v>Schoolroute</v>
      </c>
      <c r="D64" s="2" t="str">
        <f ca="1">IFERROR(__xludf.DUMMYFUNCTION("""COMPUTED_VALUE"""),"IN/000763")</f>
        <v>IN/000763</v>
      </c>
      <c r="E64" s="2" t="str">
        <f ca="1">IFERROR(__xludf.DUMMYFUNCTION("UNIQUE(FILTER('export kabinetdashboard 1210202'!N:P,'export kabinetdashboard 1210202'!M:M=D64))"),"")</f>
        <v/>
      </c>
      <c r="F64" s="2" t="str">
        <f ca="1">IFERROR(__xludf.DUMMYFUNCTION("""COMPUTED_VALUE"""),"n.t.b.")</f>
        <v>n.t.b.</v>
      </c>
      <c r="G64" s="2" t="str">
        <f ca="1">IFERROR(__xludf.DUMMYFUNCTION("""COMPUTED_VALUE"""),"n.t.b.")</f>
        <v>n.t.b.</v>
      </c>
      <c r="H64" s="2">
        <f ca="1">SUMIFS('bedragen KIM (budgettering &amp; pl'!S:S,'bedragen KIM (budgettering &amp; pl'!B:B,A64,'bedragen KIM (budgettering &amp; pl'!F:F,D64)</f>
        <v>35000</v>
      </c>
      <c r="I64" s="2" t="e">
        <f ca="1">SUMIFS(#REF!,#REF!,A64,#REF!,D64)</f>
        <v>#REF!</v>
      </c>
      <c r="J64" s="2" t="e">
        <f ca="1">SUMIFS(#REF!,#REF!,A64,#REF!,D64)</f>
        <v>#REF!</v>
      </c>
    </row>
    <row r="65" spans="1:10" ht="12.5" x14ac:dyDescent="0.25">
      <c r="A65" s="2" t="str">
        <f ca="1">IFERROR(__xludf.DUMMYFUNCTION("""COMPUTED_VALUE"""),"KP/000854")</f>
        <v>KP/000854</v>
      </c>
      <c r="B65" s="2" t="str">
        <f ca="1">IFERROR(__xludf.DUMMYFUNCTION("""COMPUTED_VALUE"""),"Verkeersveiligheid")</f>
        <v>Verkeersveiligheid</v>
      </c>
      <c r="C65" s="2" t="str">
        <f ca="1">IFERROR(__xludf.DUMMYFUNCTION("""COMPUTED_VALUE"""),"Schoolroute")</f>
        <v>Schoolroute</v>
      </c>
      <c r="D65" s="2" t="str">
        <f ca="1">IFERROR(__xludf.DUMMYFUNCTION("""COMPUTED_VALUE"""),"IN/000764")</f>
        <v>IN/000764</v>
      </c>
      <c r="E65" s="2" t="str">
        <f ca="1">IFERROR(__xludf.DUMMYFUNCTION("UNIQUE(FILTER('export kabinetdashboard 1210202'!N:P,'export kabinetdashboard 1210202'!M:M=D65))"),"")</f>
        <v/>
      </c>
      <c r="F65" s="2" t="str">
        <f ca="1">IFERROR(__xludf.DUMMYFUNCTION("""COMPUTED_VALUE"""),"2021 - Q3")</f>
        <v>2021 - Q3</v>
      </c>
      <c r="G65" s="2" t="str">
        <f ca="1">IFERROR(__xludf.DUMMYFUNCTION("""COMPUTED_VALUE"""),"n.t.b.")</f>
        <v>n.t.b.</v>
      </c>
      <c r="H65" s="2">
        <f ca="1">SUMIFS('bedragen KIM (budgettering &amp; pl'!S:S,'bedragen KIM (budgettering &amp; pl'!B:B,A65,'bedragen KIM (budgettering &amp; pl'!F:F,D65)</f>
        <v>75000</v>
      </c>
      <c r="I65" s="2" t="e">
        <f ca="1">SUMIFS(#REF!,#REF!,A65,#REF!,D65)</f>
        <v>#REF!</v>
      </c>
      <c r="J65" s="2" t="e">
        <f ca="1">SUMIFS(#REF!,#REF!,A65,#REF!,D65)</f>
        <v>#REF!</v>
      </c>
    </row>
    <row r="66" spans="1:10" ht="12.5" x14ac:dyDescent="0.25">
      <c r="A66" s="2" t="str">
        <f ca="1">IFERROR(__xludf.DUMMYFUNCTION("""COMPUTED_VALUE"""),"KP/000861")</f>
        <v>KP/000861</v>
      </c>
      <c r="B66" s="2" t="str">
        <f ca="1">IFERROR(__xludf.DUMMYFUNCTION("""COMPUTED_VALUE"""),"Verkeersveiligheid")</f>
        <v>Verkeersveiligheid</v>
      </c>
      <c r="C66" s="2" t="str">
        <f ca="1">IFERROR(__xludf.DUMMYFUNCTION("""COMPUTED_VALUE"""),"Schoolroute")</f>
        <v>Schoolroute</v>
      </c>
      <c r="D66" s="2" t="str">
        <f ca="1">IFERROR(__xludf.DUMMYFUNCTION("""COMPUTED_VALUE"""),"IN/000766")</f>
        <v>IN/000766</v>
      </c>
      <c r="E66" s="2" t="str">
        <f ca="1">IFERROR(__xludf.DUMMYFUNCTION("UNIQUE(FILTER('export kabinetdashboard 1210202'!N:P,'export kabinetdashboard 1210202'!M:M=D66))"),"")</f>
        <v/>
      </c>
      <c r="F66" s="2" t="str">
        <f ca="1">IFERROR(__xludf.DUMMYFUNCTION("""COMPUTED_VALUE"""),"2023 - Q4")</f>
        <v>2023 - Q4</v>
      </c>
      <c r="G66" s="2" t="str">
        <f ca="1">IFERROR(__xludf.DUMMYFUNCTION("""COMPUTED_VALUE"""),"n.t.b.")</f>
        <v>n.t.b.</v>
      </c>
      <c r="H66" s="2">
        <f ca="1">SUMIFS('bedragen KIM (budgettering &amp; pl'!S:S,'bedragen KIM (budgettering &amp; pl'!B:B,A66,'bedragen KIM (budgettering &amp; pl'!F:F,D66)</f>
        <v>150000</v>
      </c>
      <c r="I66" s="2" t="e">
        <f ca="1">SUMIFS(#REF!,#REF!,A66,#REF!,D66)</f>
        <v>#REF!</v>
      </c>
      <c r="J66" s="2" t="e">
        <f ca="1">SUMIFS(#REF!,#REF!,A66,#REF!,D66)</f>
        <v>#REF!</v>
      </c>
    </row>
    <row r="67" spans="1:10" ht="12.5" x14ac:dyDescent="0.25">
      <c r="A67" s="2" t="str">
        <f ca="1">IFERROR(__xludf.DUMMYFUNCTION("""COMPUTED_VALUE"""),"KP/000862")</f>
        <v>KP/000862</v>
      </c>
      <c r="B67" s="2" t="str">
        <f ca="1">IFERROR(__xludf.DUMMYFUNCTION("""COMPUTED_VALUE"""),"Verkeersveiligheid")</f>
        <v>Verkeersveiligheid</v>
      </c>
      <c r="C67" s="2" t="str">
        <f ca="1">IFERROR(__xludf.DUMMYFUNCTION("""COMPUTED_VALUE"""),"Schoolroute")</f>
        <v>Schoolroute</v>
      </c>
      <c r="D67" s="2" t="str">
        <f ca="1">IFERROR(__xludf.DUMMYFUNCTION("""COMPUTED_VALUE"""),"IN/000767")</f>
        <v>IN/000767</v>
      </c>
      <c r="E67" s="2" t="str">
        <f ca="1">IFERROR(__xludf.DUMMYFUNCTION("UNIQUE(FILTER('export kabinetdashboard 1210202'!N:P,'export kabinetdashboard 1210202'!M:M=D67))"),"")</f>
        <v/>
      </c>
      <c r="F67" s="2" t="str">
        <f ca="1">IFERROR(__xludf.DUMMYFUNCTION("""COMPUTED_VALUE"""),"n.t.b.")</f>
        <v>n.t.b.</v>
      </c>
      <c r="G67" s="2" t="str">
        <f ca="1">IFERROR(__xludf.DUMMYFUNCTION("""COMPUTED_VALUE"""),"n.t.b.")</f>
        <v>n.t.b.</v>
      </c>
      <c r="H67" s="2">
        <f ca="1">SUMIFS('bedragen KIM (budgettering &amp; pl'!S:S,'bedragen KIM (budgettering &amp; pl'!B:B,A67,'bedragen KIM (budgettering &amp; pl'!F:F,D67)</f>
        <v>0</v>
      </c>
      <c r="I67" s="2" t="e">
        <f ca="1">SUMIFS(#REF!,#REF!,A67,#REF!,D67)</f>
        <v>#REF!</v>
      </c>
      <c r="J67" s="2" t="e">
        <f ca="1">SUMIFS(#REF!,#REF!,A67,#REF!,D67)</f>
        <v>#REF!</v>
      </c>
    </row>
    <row r="68" spans="1:10" ht="12.5" x14ac:dyDescent="0.25">
      <c r="A68" s="2" t="str">
        <f ca="1">IFERROR(__xludf.DUMMYFUNCTION("""COMPUTED_VALUE"""),"KP/000863")</f>
        <v>KP/000863</v>
      </c>
      <c r="B68" s="2" t="str">
        <f ca="1">IFERROR(__xludf.DUMMYFUNCTION("""COMPUTED_VALUE"""),"Verkeersveiligheid")</f>
        <v>Verkeersveiligheid</v>
      </c>
      <c r="C68" s="2" t="str">
        <f ca="1">IFERROR(__xludf.DUMMYFUNCTION("""COMPUTED_VALUE"""),"Schoolroute")</f>
        <v>Schoolroute</v>
      </c>
      <c r="D68" s="2" t="str">
        <f ca="1">IFERROR(__xludf.DUMMYFUNCTION("""COMPUTED_VALUE"""),"IN/000768")</f>
        <v>IN/000768</v>
      </c>
      <c r="E68" s="2" t="str">
        <f ca="1">IFERROR(__xludf.DUMMYFUNCTION("UNIQUE(FILTER('export kabinetdashboard 1210202'!N:P,'export kabinetdashboard 1210202'!M:M=D68))"),"")</f>
        <v/>
      </c>
      <c r="F68" s="2" t="str">
        <f ca="1">IFERROR(__xludf.DUMMYFUNCTION("""COMPUTED_VALUE"""),"2023 - Q4")</f>
        <v>2023 - Q4</v>
      </c>
      <c r="G68" s="2" t="str">
        <f ca="1">IFERROR(__xludf.DUMMYFUNCTION("""COMPUTED_VALUE"""),"n.t.b.")</f>
        <v>n.t.b.</v>
      </c>
      <c r="H68" s="2">
        <f ca="1">SUMIFS('bedragen KIM (budgettering &amp; pl'!S:S,'bedragen KIM (budgettering &amp; pl'!B:B,A68,'bedragen KIM (budgettering &amp; pl'!F:F,D68)</f>
        <v>2105</v>
      </c>
      <c r="I68" s="2" t="e">
        <f ca="1">SUMIFS(#REF!,#REF!,A68,#REF!,D68)</f>
        <v>#REF!</v>
      </c>
      <c r="J68" s="2" t="e">
        <f ca="1">SUMIFS(#REF!,#REF!,A68,#REF!,D68)</f>
        <v>#REF!</v>
      </c>
    </row>
    <row r="69" spans="1:10" ht="12.5" x14ac:dyDescent="0.25">
      <c r="A69" s="2" t="str">
        <f ca="1">IFERROR(__xludf.DUMMYFUNCTION("""COMPUTED_VALUE"""),"KP/000864")</f>
        <v>KP/000864</v>
      </c>
      <c r="B69" s="2" t="str">
        <f ca="1">IFERROR(__xludf.DUMMYFUNCTION("""COMPUTED_VALUE"""),"Verkeersveiligheid")</f>
        <v>Verkeersveiligheid</v>
      </c>
      <c r="C69" s="2" t="str">
        <f ca="1">IFERROR(__xludf.DUMMYFUNCTION("""COMPUTED_VALUE"""),"Schoolroute")</f>
        <v>Schoolroute</v>
      </c>
      <c r="D69" s="2" t="str">
        <f ca="1">IFERROR(__xludf.DUMMYFUNCTION("""COMPUTED_VALUE"""),"IN/000769")</f>
        <v>IN/000769</v>
      </c>
      <c r="E69" s="2" t="str">
        <f ca="1">IFERROR(__xludf.DUMMYFUNCTION("UNIQUE(FILTER('export kabinetdashboard 1210202'!N:P,'export kabinetdashboard 1210202'!M:M=D69))"),"Fouten in markering weggewerkt")</f>
        <v>Fouten in markering weggewerkt</v>
      </c>
      <c r="F69" s="2" t="str">
        <f ca="1">IFERROR(__xludf.DUMMYFUNCTION("""COMPUTED_VALUE"""),"2022 - Q1")</f>
        <v>2022 - Q1</v>
      </c>
      <c r="G69" s="2" t="str">
        <f ca="1">IFERROR(__xludf.DUMMYFUNCTION("""COMPUTED_VALUE"""),"2022 - Q1")</f>
        <v>2022 - Q1</v>
      </c>
      <c r="H69" s="2">
        <f ca="1">SUMIFS('bedragen KIM (budgettering &amp; pl'!S:S,'bedragen KIM (budgettering &amp; pl'!B:B,A69,'bedragen KIM (budgettering &amp; pl'!F:F,D69)</f>
        <v>1</v>
      </c>
      <c r="I69" s="2" t="e">
        <f ca="1">SUMIFS(#REF!,#REF!,A69,#REF!,D69)</f>
        <v>#REF!</v>
      </c>
      <c r="J69" s="2" t="e">
        <f ca="1">SUMIFS(#REF!,#REF!,A69,#REF!,D69)</f>
        <v>#REF!</v>
      </c>
    </row>
    <row r="70" spans="1:10" ht="12.5" x14ac:dyDescent="0.25">
      <c r="A70" s="2" t="str">
        <f ca="1">IFERROR(__xludf.DUMMYFUNCTION("""COMPUTED_VALUE"""),"KP/000865")</f>
        <v>KP/000865</v>
      </c>
      <c r="B70" s="2" t="str">
        <f ca="1">IFERROR(__xludf.DUMMYFUNCTION("""COMPUTED_VALUE"""),"Verkeersveiligheid")</f>
        <v>Verkeersveiligheid</v>
      </c>
      <c r="C70" s="2" t="str">
        <f ca="1">IFERROR(__xludf.DUMMYFUNCTION("""COMPUTED_VALUE"""),"Schoolroute")</f>
        <v>Schoolroute</v>
      </c>
      <c r="D70" s="2" t="str">
        <f ca="1">IFERROR(__xludf.DUMMYFUNCTION("""COMPUTED_VALUE"""),"IN/000770")</f>
        <v>IN/000770</v>
      </c>
      <c r="E70" s="2" t="str">
        <f ca="1">IFERROR(__xludf.DUMMYFUNCTION("UNIQUE(FILTER('export kabinetdashboard 1210202'!N:P,'export kabinetdashboard 1210202'!M:M=D70))"),"beperkte ingrepen verlichting. Vraag naar VRI wordt opgenomen via PCV, na tellingen en simulatie.")</f>
        <v>beperkte ingrepen verlichting. Vraag naar VRI wordt opgenomen via PCV, na tellingen en simulatie.</v>
      </c>
      <c r="F70" s="2" t="str">
        <f ca="1">IFERROR(__xludf.DUMMYFUNCTION("""COMPUTED_VALUE"""),"2022 - Q3")</f>
        <v>2022 - Q3</v>
      </c>
      <c r="G70" s="2" t="str">
        <f ca="1">IFERROR(__xludf.DUMMYFUNCTION("""COMPUTED_VALUE"""),"n.t.b.")</f>
        <v>n.t.b.</v>
      </c>
      <c r="H70" s="2">
        <f ca="1">SUMIFS('bedragen KIM (budgettering &amp; pl'!S:S,'bedragen KIM (budgettering &amp; pl'!B:B,A70,'bedragen KIM (budgettering &amp; pl'!F:F,D70)</f>
        <v>40000</v>
      </c>
      <c r="I70" s="2" t="e">
        <f ca="1">SUMIFS(#REF!,#REF!,A70,#REF!,D70)</f>
        <v>#REF!</v>
      </c>
      <c r="J70" s="2" t="e">
        <f ca="1">SUMIFS(#REF!,#REF!,A70,#REF!,D70)</f>
        <v>#REF!</v>
      </c>
    </row>
    <row r="71" spans="1:10" ht="12.5" x14ac:dyDescent="0.25">
      <c r="A71" s="2" t="str">
        <f ca="1">IFERROR(__xludf.DUMMYFUNCTION("""COMPUTED_VALUE"""),"KP/000866")</f>
        <v>KP/000866</v>
      </c>
      <c r="B71" s="2" t="str">
        <f ca="1">IFERROR(__xludf.DUMMYFUNCTION("""COMPUTED_VALUE"""),"Verkeersveiligheid")</f>
        <v>Verkeersveiligheid</v>
      </c>
      <c r="C71" s="2" t="str">
        <f ca="1">IFERROR(__xludf.DUMMYFUNCTION("""COMPUTED_VALUE"""),"Schoolroute")</f>
        <v>Schoolroute</v>
      </c>
      <c r="D71" s="2" t="str">
        <f ca="1">IFERROR(__xludf.DUMMYFUNCTION("""COMPUTED_VALUE"""),"IN/000771")</f>
        <v>IN/000771</v>
      </c>
      <c r="E71" s="2" t="str">
        <f ca="1">IFERROR(__xludf.DUMMYFUNCTION("UNIQUE(FILTER('export kabinetdashboard 1210202'!N:P,'export kabinetdashboard 1210202'!M:M=D71))"),"Groot hoogteverschil tussen parkeerstrook en fietspad - Kasseien aantrekken naar het fietspad + fietspad plaatselijk herstellen")</f>
        <v>Groot hoogteverschil tussen parkeerstrook en fietspad - Kasseien aantrekken naar het fietspad + fietspad plaatselijk herstellen</v>
      </c>
      <c r="F71" s="2" t="str">
        <f ca="1">IFERROR(__xludf.DUMMYFUNCTION("""COMPUTED_VALUE"""),"2022 - Q4")</f>
        <v>2022 - Q4</v>
      </c>
      <c r="G71" s="2" t="str">
        <f ca="1">IFERROR(__xludf.DUMMYFUNCTION("""COMPUTED_VALUE"""),"n.t.b.")</f>
        <v>n.t.b.</v>
      </c>
      <c r="H71" s="2">
        <f ca="1">SUMIFS('bedragen KIM (budgettering &amp; pl'!S:S,'bedragen KIM (budgettering &amp; pl'!B:B,A71,'bedragen KIM (budgettering &amp; pl'!F:F,D71)</f>
        <v>100000</v>
      </c>
      <c r="I71" s="2" t="e">
        <f ca="1">SUMIFS(#REF!,#REF!,A71,#REF!,D71)</f>
        <v>#REF!</v>
      </c>
      <c r="J71" s="2" t="e">
        <f ca="1">SUMIFS(#REF!,#REF!,A71,#REF!,D71)</f>
        <v>#REF!</v>
      </c>
    </row>
    <row r="72" spans="1:10" ht="12.5" x14ac:dyDescent="0.25">
      <c r="A72" s="2" t="str">
        <f ca="1">IFERROR(__xludf.DUMMYFUNCTION("""COMPUTED_VALUE"""),"KP/000869")</f>
        <v>KP/000869</v>
      </c>
      <c r="B72" s="2" t="str">
        <f ca="1">IFERROR(__xludf.DUMMYFUNCTION("""COMPUTED_VALUE"""),"Verkeersveiligheid")</f>
        <v>Verkeersveiligheid</v>
      </c>
      <c r="C72" s="2" t="str">
        <f ca="1">IFERROR(__xludf.DUMMYFUNCTION("""COMPUTED_VALUE"""),"Schoolroute")</f>
        <v>Schoolroute</v>
      </c>
      <c r="D72" s="2" t="str">
        <f ca="1">IFERROR(__xludf.DUMMYFUNCTION("""COMPUTED_VALUE"""),"IN/000772")</f>
        <v>IN/000772</v>
      </c>
      <c r="E72" s="2" t="str">
        <f ca="1">IFERROR(__xludf.DUMMYFUNCTION("UNIQUE(FILTER('export kabinetdashboard 1210202'!N:P,'export kabinetdashboard 1210202'!M:M=D72))"),"")</f>
        <v/>
      </c>
      <c r="F72" s="2" t="str">
        <f ca="1">IFERROR(__xludf.DUMMYFUNCTION("""COMPUTED_VALUE"""),"2021 - Q4")</f>
        <v>2021 - Q4</v>
      </c>
      <c r="G72" s="2" t="str">
        <f ca="1">IFERROR(__xludf.DUMMYFUNCTION("""COMPUTED_VALUE"""),"n.t.b.")</f>
        <v>n.t.b.</v>
      </c>
      <c r="H72" s="2">
        <f ca="1">SUMIFS('bedragen KIM (budgettering &amp; pl'!S:S,'bedragen KIM (budgettering &amp; pl'!B:B,A72,'bedragen KIM (budgettering &amp; pl'!F:F,D72)</f>
        <v>7500</v>
      </c>
      <c r="I72" s="2" t="e">
        <f ca="1">SUMIFS(#REF!,#REF!,A72,#REF!,D72)</f>
        <v>#REF!</v>
      </c>
      <c r="J72" s="2" t="e">
        <f ca="1">SUMIFS(#REF!,#REF!,A72,#REF!,D72)</f>
        <v>#REF!</v>
      </c>
    </row>
    <row r="73" spans="1:10" ht="12.5" x14ac:dyDescent="0.25">
      <c r="A73" s="2" t="str">
        <f ca="1">IFERROR(__xludf.DUMMYFUNCTION("""COMPUTED_VALUE"""),"KP/000870")</f>
        <v>KP/000870</v>
      </c>
      <c r="B73" s="2" t="str">
        <f ca="1">IFERROR(__xludf.DUMMYFUNCTION("""COMPUTED_VALUE"""),"Verkeersveiligheid")</f>
        <v>Verkeersveiligheid</v>
      </c>
      <c r="C73" s="2" t="str">
        <f ca="1">IFERROR(__xludf.DUMMYFUNCTION("""COMPUTED_VALUE"""),"Schoolroute")</f>
        <v>Schoolroute</v>
      </c>
      <c r="D73" s="2" t="str">
        <f ca="1">IFERROR(__xludf.DUMMYFUNCTION("""COMPUTED_VALUE"""),"IN/000773")</f>
        <v>IN/000773</v>
      </c>
      <c r="E73" s="2" t="str">
        <f ca="1">IFERROR(__xludf.DUMMYFUNCTION("UNIQUE(FILTER('export kabinetdashboard 1210202'!N:P,'export kabinetdashboard 1210202'!M:M=D73))"),"")</f>
        <v/>
      </c>
      <c r="F73" s="2" t="str">
        <f ca="1">IFERROR(__xludf.DUMMYFUNCTION("""COMPUTED_VALUE"""),"2022 - Q3")</f>
        <v>2022 - Q3</v>
      </c>
      <c r="G73" s="2" t="str">
        <f ca="1">IFERROR(__xludf.DUMMYFUNCTION("""COMPUTED_VALUE"""),"n.t.b.")</f>
        <v>n.t.b.</v>
      </c>
      <c r="H73" s="2">
        <f ca="1">SUMIFS('bedragen KIM (budgettering &amp; pl'!S:S,'bedragen KIM (budgettering &amp; pl'!B:B,A73,'bedragen KIM (budgettering &amp; pl'!F:F,D73)</f>
        <v>105000</v>
      </c>
      <c r="I73" s="2" t="e">
        <f ca="1">SUMIFS(#REF!,#REF!,A73,#REF!,D73)</f>
        <v>#REF!</v>
      </c>
      <c r="J73" s="2" t="e">
        <f ca="1">SUMIFS(#REF!,#REF!,A73,#REF!,D73)</f>
        <v>#REF!</v>
      </c>
    </row>
    <row r="74" spans="1:10" ht="12.5" x14ac:dyDescent="0.25">
      <c r="A74" s="2" t="str">
        <f ca="1">IFERROR(__xludf.DUMMYFUNCTION("""COMPUTED_VALUE"""),"KP/000872")</f>
        <v>KP/000872</v>
      </c>
      <c r="B74" s="2" t="str">
        <f ca="1">IFERROR(__xludf.DUMMYFUNCTION("""COMPUTED_VALUE"""),"Verkeersveiligheid")</f>
        <v>Verkeersveiligheid</v>
      </c>
      <c r="C74" s="2" t="str">
        <f ca="1">IFERROR(__xludf.DUMMYFUNCTION("""COMPUTED_VALUE"""),"Schoolroute")</f>
        <v>Schoolroute</v>
      </c>
      <c r="D74" s="2" t="str">
        <f ca="1">IFERROR(__xludf.DUMMYFUNCTION("""COMPUTED_VALUE"""),"IN/000774")</f>
        <v>IN/000774</v>
      </c>
      <c r="E74" s="2" t="str">
        <f ca="1">IFERROR(__xludf.DUMMYFUNCTION("UNIQUE(FILTER('export kabinetdashboard 1210202'!N:P,'export kabinetdashboard 1210202'!M:M=D74))"),"")</f>
        <v/>
      </c>
      <c r="F74" s="2" t="str">
        <f ca="1">IFERROR(__xludf.DUMMYFUNCTION("""COMPUTED_VALUE"""),"n.t.b.")</f>
        <v>n.t.b.</v>
      </c>
      <c r="G74" s="2" t="str">
        <f ca="1">IFERROR(__xludf.DUMMYFUNCTION("""COMPUTED_VALUE"""),"n.t.b.")</f>
        <v>n.t.b.</v>
      </c>
      <c r="H74" s="2">
        <f ca="1">SUMIFS('bedragen KIM (budgettering &amp; pl'!S:S,'bedragen KIM (budgettering &amp; pl'!B:B,A74,'bedragen KIM (budgettering &amp; pl'!F:F,D74)</f>
        <v>35000</v>
      </c>
      <c r="I74" s="2" t="e">
        <f ca="1">SUMIFS(#REF!,#REF!,A74,#REF!,D74)</f>
        <v>#REF!</v>
      </c>
      <c r="J74" s="2" t="e">
        <f ca="1">SUMIFS(#REF!,#REF!,A74,#REF!,D74)</f>
        <v>#REF!</v>
      </c>
    </row>
    <row r="75" spans="1:10" ht="12.5" x14ac:dyDescent="0.25">
      <c r="A75" s="2" t="str">
        <f ca="1">IFERROR(__xludf.DUMMYFUNCTION("""COMPUTED_VALUE"""),"KP/000873")</f>
        <v>KP/000873</v>
      </c>
      <c r="B75" s="2" t="str">
        <f ca="1">IFERROR(__xludf.DUMMYFUNCTION("""COMPUTED_VALUE"""),"Verkeersveiligheid")</f>
        <v>Verkeersveiligheid</v>
      </c>
      <c r="C75" s="2" t="str">
        <f ca="1">IFERROR(__xludf.DUMMYFUNCTION("""COMPUTED_VALUE"""),"Schoolroute")</f>
        <v>Schoolroute</v>
      </c>
      <c r="D75" s="2" t="str">
        <f ca="1">IFERROR(__xludf.DUMMYFUNCTION("""COMPUTED_VALUE"""),"IN/000775")</f>
        <v>IN/000775</v>
      </c>
      <c r="E75" s="2" t="str">
        <f ca="1">IFERROR(__xludf.DUMMYFUNCTION("UNIQUE(FILTER('export kabinetdashboard 1210202'!N:P,'export kabinetdashboard 1210202'!M:M=D75))"),"VVOP, variabele zone 30, verkeersgeleider, markeringen.")</f>
        <v>VVOP, variabele zone 30, verkeersgeleider, markeringen.</v>
      </c>
      <c r="F75" s="2" t="str">
        <f ca="1">IFERROR(__xludf.DUMMYFUNCTION("""COMPUTED_VALUE"""),"2022 - Q2")</f>
        <v>2022 - Q2</v>
      </c>
      <c r="G75" s="2" t="str">
        <f ca="1">IFERROR(__xludf.DUMMYFUNCTION("""COMPUTED_VALUE"""),"2022 - Q4")</f>
        <v>2022 - Q4</v>
      </c>
      <c r="H75" s="2">
        <f ca="1">SUMIFS('bedragen KIM (budgettering &amp; pl'!S:S,'bedragen KIM (budgettering &amp; pl'!B:B,A75,'bedragen KIM (budgettering &amp; pl'!F:F,D75)</f>
        <v>27800</v>
      </c>
      <c r="I75" s="2" t="e">
        <f ca="1">SUMIFS(#REF!,#REF!,A75,#REF!,D75)</f>
        <v>#REF!</v>
      </c>
      <c r="J75" s="2" t="e">
        <f ca="1">SUMIFS(#REF!,#REF!,A75,#REF!,D75)</f>
        <v>#REF!</v>
      </c>
    </row>
    <row r="76" spans="1:10" ht="12.5" x14ac:dyDescent="0.25">
      <c r="A76" s="2" t="str">
        <f ca="1">IFERROR(__xludf.DUMMYFUNCTION("""COMPUTED_VALUE"""),"KP/000875")</f>
        <v>KP/000875</v>
      </c>
      <c r="B76" s="2" t="str">
        <f ca="1">IFERROR(__xludf.DUMMYFUNCTION("""COMPUTED_VALUE"""),"Verkeersveiligheid")</f>
        <v>Verkeersveiligheid</v>
      </c>
      <c r="C76" s="2" t="str">
        <f ca="1">IFERROR(__xludf.DUMMYFUNCTION("""COMPUTED_VALUE"""),"Schoolroute")</f>
        <v>Schoolroute</v>
      </c>
      <c r="D76" s="2" t="str">
        <f ca="1">IFERROR(__xludf.DUMMYFUNCTION("""COMPUTED_VALUE"""),"IN/000776")</f>
        <v>IN/000776</v>
      </c>
      <c r="E76" s="2" t="str">
        <f ca="1">IFERROR(__xludf.DUMMYFUNCTION("UNIQUE(FILTER('export kabinetdashboard 1210202'!N:P,'export kabinetdashboard 1210202'!M:M=D76))"),"")</f>
        <v/>
      </c>
      <c r="F76" s="2" t="str">
        <f ca="1">IFERROR(__xludf.DUMMYFUNCTION("""COMPUTED_VALUE"""),"2022 - Q4")</f>
        <v>2022 - Q4</v>
      </c>
      <c r="G76" s="2" t="str">
        <f ca="1">IFERROR(__xludf.DUMMYFUNCTION("""COMPUTED_VALUE"""),"n.t.b.")</f>
        <v>n.t.b.</v>
      </c>
      <c r="H76" s="2">
        <f ca="1">SUMIFS('bedragen KIM (budgettering &amp; pl'!S:S,'bedragen KIM (budgettering &amp; pl'!B:B,A76,'bedragen KIM (budgettering &amp; pl'!F:F,D76)</f>
        <v>4000</v>
      </c>
      <c r="I76" s="2" t="e">
        <f ca="1">SUMIFS(#REF!,#REF!,A76,#REF!,D76)</f>
        <v>#REF!</v>
      </c>
      <c r="J76" s="2" t="e">
        <f ca="1">SUMIFS(#REF!,#REF!,A76,#REF!,D76)</f>
        <v>#REF!</v>
      </c>
    </row>
    <row r="77" spans="1:10" ht="12.5" x14ac:dyDescent="0.25">
      <c r="A77" s="2" t="str">
        <f ca="1">IFERROR(__xludf.DUMMYFUNCTION("""COMPUTED_VALUE"""),"KP/000878")</f>
        <v>KP/000878</v>
      </c>
      <c r="B77" s="2" t="str">
        <f ca="1">IFERROR(__xludf.DUMMYFUNCTION("""COMPUTED_VALUE"""),"Verkeersveiligheid")</f>
        <v>Verkeersveiligheid</v>
      </c>
      <c r="C77" s="2" t="str">
        <f ca="1">IFERROR(__xludf.DUMMYFUNCTION("""COMPUTED_VALUE"""),"Schoolroute")</f>
        <v>Schoolroute</v>
      </c>
      <c r="D77" s="2" t="str">
        <f ca="1">IFERROR(__xludf.DUMMYFUNCTION("""COMPUTED_VALUE"""),"IN/000777")</f>
        <v>IN/000777</v>
      </c>
      <c r="E77" s="2" t="str">
        <f ca="1">IFERROR(__xludf.DUMMYFUNCTION("UNIQUE(FILTER('export kabinetdashboard 1210202'!N:P,'export kabinetdashboard 1210202'!M:M=D77))"),"")</f>
        <v/>
      </c>
      <c r="F77" s="2" t="str">
        <f ca="1">IFERROR(__xludf.DUMMYFUNCTION("""COMPUTED_VALUE"""),"2021 - Q2")</f>
        <v>2021 - Q2</v>
      </c>
      <c r="G77" s="2" t="str">
        <f ca="1">IFERROR(__xludf.DUMMYFUNCTION("""COMPUTED_VALUE"""),"n.t.b.")</f>
        <v>n.t.b.</v>
      </c>
      <c r="H77" s="2">
        <f ca="1">SUMIFS('bedragen KIM (budgettering &amp; pl'!S:S,'bedragen KIM (budgettering &amp; pl'!B:B,A77,'bedragen KIM (budgettering &amp; pl'!F:F,D77)</f>
        <v>0</v>
      </c>
      <c r="I77" s="2" t="e">
        <f ca="1">SUMIFS(#REF!,#REF!,A77,#REF!,D77)</f>
        <v>#REF!</v>
      </c>
      <c r="J77" s="2" t="e">
        <f ca="1">SUMIFS(#REF!,#REF!,A77,#REF!,D77)</f>
        <v>#REF!</v>
      </c>
    </row>
    <row r="78" spans="1:10" ht="12.5" x14ac:dyDescent="0.25">
      <c r="A78" s="2" t="str">
        <f ca="1">IFERROR(__xludf.DUMMYFUNCTION("""COMPUTED_VALUE"""),"KP/000879")</f>
        <v>KP/000879</v>
      </c>
      <c r="B78" s="2" t="str">
        <f ca="1">IFERROR(__xludf.DUMMYFUNCTION("""COMPUTED_VALUE"""),"Verkeersveiligheid")</f>
        <v>Verkeersveiligheid</v>
      </c>
      <c r="C78" s="2" t="str">
        <f ca="1">IFERROR(__xludf.DUMMYFUNCTION("""COMPUTED_VALUE"""),"Schoolroute")</f>
        <v>Schoolroute</v>
      </c>
      <c r="D78" s="2" t="str">
        <f ca="1">IFERROR(__xludf.DUMMYFUNCTION("""COMPUTED_VALUE"""),"IN/000778")</f>
        <v>IN/000778</v>
      </c>
      <c r="E78" s="2" t="str">
        <f ca="1">IFERROR(__xludf.DUMMYFUNCTION("UNIQUE(FILTER('export kabinetdashboard 1210202'!N:P,'export kabinetdashboard 1210202'!M:M=D78))"),"- snelheidsverlaging &gt; 50 km/u in ruimere zone dan kruispunt
- dubbelrichtingsfietsoversteek met middengeleider ")</f>
        <v xml:space="preserve">- snelheidsverlaging &gt; 50 km/u in ruimere zone dan kruispunt
- dubbelrichtingsfietsoversteek met middengeleider </v>
      </c>
      <c r="F78" s="2" t="str">
        <f ca="1">IFERROR(__xludf.DUMMYFUNCTION("""COMPUTED_VALUE"""),"n.t.b.")</f>
        <v>n.t.b.</v>
      </c>
      <c r="G78" s="2" t="str">
        <f ca="1">IFERROR(__xludf.DUMMYFUNCTION("""COMPUTED_VALUE"""),"n.t.b.")</f>
        <v>n.t.b.</v>
      </c>
      <c r="H78" s="2">
        <f ca="1">SUMIFS('bedragen KIM (budgettering &amp; pl'!S:S,'bedragen KIM (budgettering &amp; pl'!B:B,A78,'bedragen KIM (budgettering &amp; pl'!F:F,D78)</f>
        <v>10467</v>
      </c>
      <c r="I78" s="2" t="e">
        <f ca="1">SUMIFS(#REF!,#REF!,A78,#REF!,D78)</f>
        <v>#REF!</v>
      </c>
      <c r="J78" s="2" t="e">
        <f ca="1">SUMIFS(#REF!,#REF!,A78,#REF!,D78)</f>
        <v>#REF!</v>
      </c>
    </row>
    <row r="79" spans="1:10" ht="12.5" x14ac:dyDescent="0.25">
      <c r="A79" s="2" t="str">
        <f ca="1">IFERROR(__xludf.DUMMYFUNCTION("""COMPUTED_VALUE"""),"KP/000880")</f>
        <v>KP/000880</v>
      </c>
      <c r="B79" s="2" t="str">
        <f ca="1">IFERROR(__xludf.DUMMYFUNCTION("""COMPUTED_VALUE"""),"Verkeersveiligheid")</f>
        <v>Verkeersveiligheid</v>
      </c>
      <c r="C79" s="2" t="str">
        <f ca="1">IFERROR(__xludf.DUMMYFUNCTION("""COMPUTED_VALUE"""),"Schoolroute")</f>
        <v>Schoolroute</v>
      </c>
      <c r="D79" s="2" t="str">
        <f ca="1">IFERROR(__xludf.DUMMYFUNCTION("""COMPUTED_VALUE"""),"IN/000779")</f>
        <v>IN/000779</v>
      </c>
      <c r="E79" s="2" t="str">
        <f ca="1">IFERROR(__xludf.DUMMYFUNCTION("UNIQUE(FILTER('export kabinetdashboard 1210202'!N:P,'export kabinetdashboard 1210202'!M:M=D79))"),"")</f>
        <v/>
      </c>
      <c r="F79" s="2" t="str">
        <f ca="1">IFERROR(__xludf.DUMMYFUNCTION("""COMPUTED_VALUE"""),"2021 - Q2")</f>
        <v>2021 - Q2</v>
      </c>
      <c r="G79" s="2" t="str">
        <f ca="1">IFERROR(__xludf.DUMMYFUNCTION("""COMPUTED_VALUE"""),"n.t.b.")</f>
        <v>n.t.b.</v>
      </c>
      <c r="H79" s="2">
        <f ca="1">SUMIFS('bedragen KIM (budgettering &amp; pl'!S:S,'bedragen KIM (budgettering &amp; pl'!B:B,A79,'bedragen KIM (budgettering &amp; pl'!F:F,D79)</f>
        <v>0</v>
      </c>
      <c r="I79" s="2" t="e">
        <f ca="1">SUMIFS(#REF!,#REF!,A79,#REF!,D79)</f>
        <v>#REF!</v>
      </c>
      <c r="J79" s="2" t="e">
        <f ca="1">SUMIFS(#REF!,#REF!,A79,#REF!,D79)</f>
        <v>#REF!</v>
      </c>
    </row>
    <row r="80" spans="1:10" ht="12.5" x14ac:dyDescent="0.25">
      <c r="A80" s="2" t="str">
        <f ca="1">IFERROR(__xludf.DUMMYFUNCTION("""COMPUTED_VALUE"""),"KP/000881")</f>
        <v>KP/000881</v>
      </c>
      <c r="B80" s="2" t="str">
        <f ca="1">IFERROR(__xludf.DUMMYFUNCTION("""COMPUTED_VALUE"""),"Verkeersveiligheid")</f>
        <v>Verkeersveiligheid</v>
      </c>
      <c r="C80" s="2" t="str">
        <f ca="1">IFERROR(__xludf.DUMMYFUNCTION("""COMPUTED_VALUE"""),"Schoolroute")</f>
        <v>Schoolroute</v>
      </c>
      <c r="D80" s="2" t="str">
        <f ca="1">IFERROR(__xludf.DUMMYFUNCTION("""COMPUTED_VALUE"""),"IN/000780")</f>
        <v>IN/000780</v>
      </c>
      <c r="E80" s="2" t="str">
        <f ca="1">IFERROR(__xludf.DUMMYFUNCTION("UNIQUE(FILTER('export kabinetdashboard 1210202'!N:P,'export kabinetdashboard 1210202'!M:M=D80))"),"bijkomende VOP te markeren")</f>
        <v>bijkomende VOP te markeren</v>
      </c>
      <c r="F80" s="2" t="str">
        <f ca="1">IFERROR(__xludf.DUMMYFUNCTION("""COMPUTED_VALUE"""),"2021 - Q4")</f>
        <v>2021 - Q4</v>
      </c>
      <c r="G80" s="2" t="str">
        <f ca="1">IFERROR(__xludf.DUMMYFUNCTION("""COMPUTED_VALUE"""),"n.t.b.")</f>
        <v>n.t.b.</v>
      </c>
      <c r="H80" s="2">
        <f ca="1">SUMIFS('bedragen KIM (budgettering &amp; pl'!S:S,'bedragen KIM (budgettering &amp; pl'!B:B,A80,'bedragen KIM (budgettering &amp; pl'!F:F,D80)</f>
        <v>225</v>
      </c>
      <c r="I80" s="2" t="e">
        <f ca="1">SUMIFS(#REF!,#REF!,A80,#REF!,D80)</f>
        <v>#REF!</v>
      </c>
      <c r="J80" s="2" t="e">
        <f ca="1">SUMIFS(#REF!,#REF!,A80,#REF!,D80)</f>
        <v>#REF!</v>
      </c>
    </row>
    <row r="81" spans="1:10" ht="12.5" x14ac:dyDescent="0.25">
      <c r="A81" s="2" t="str">
        <f ca="1">IFERROR(__xludf.DUMMYFUNCTION("""COMPUTED_VALUE"""),"KP/000882")</f>
        <v>KP/000882</v>
      </c>
      <c r="B81" s="2" t="str">
        <f ca="1">IFERROR(__xludf.DUMMYFUNCTION("""COMPUTED_VALUE"""),"Verkeersveiligheid")</f>
        <v>Verkeersveiligheid</v>
      </c>
      <c r="C81" s="2" t="str">
        <f ca="1">IFERROR(__xludf.DUMMYFUNCTION("""COMPUTED_VALUE"""),"Schoolroute")</f>
        <v>Schoolroute</v>
      </c>
      <c r="D81" s="2" t="str">
        <f ca="1">IFERROR(__xludf.DUMMYFUNCTION("""COMPUTED_VALUE"""),"IN/000781")</f>
        <v>IN/000781</v>
      </c>
      <c r="E81" s="2" t="str">
        <f ca="1">IFERROR(__xludf.DUMMYFUNCTION("UNIQUE(FILTER('export kabinetdashboard 1210202'!N:P,'export kabinetdashboard 1210202'!M:M=D81))"),"bijkomende wegwijzer (centrum via trage verbinding)")</f>
        <v>bijkomende wegwijzer (centrum via trage verbinding)</v>
      </c>
      <c r="F81" s="2" t="str">
        <f ca="1">IFERROR(__xludf.DUMMYFUNCTION("""COMPUTED_VALUE"""),"2021 - Q3")</f>
        <v>2021 - Q3</v>
      </c>
      <c r="G81" s="2" t="str">
        <f ca="1">IFERROR(__xludf.DUMMYFUNCTION("""COMPUTED_VALUE"""),"n.t.b.")</f>
        <v>n.t.b.</v>
      </c>
      <c r="H81" s="2">
        <f ca="1">SUMIFS('bedragen KIM (budgettering &amp; pl'!S:S,'bedragen KIM (budgettering &amp; pl'!B:B,A81,'bedragen KIM (budgettering &amp; pl'!F:F,D81)</f>
        <v>125</v>
      </c>
      <c r="I81" s="2" t="e">
        <f ca="1">SUMIFS(#REF!,#REF!,A81,#REF!,D81)</f>
        <v>#REF!</v>
      </c>
      <c r="J81" s="2" t="e">
        <f ca="1">SUMIFS(#REF!,#REF!,A81,#REF!,D81)</f>
        <v>#REF!</v>
      </c>
    </row>
    <row r="82" spans="1:10" ht="12.5" x14ac:dyDescent="0.25">
      <c r="A82" s="2" t="str">
        <f ca="1">IFERROR(__xludf.DUMMYFUNCTION("""COMPUTED_VALUE"""),"KP/000885")</f>
        <v>KP/000885</v>
      </c>
      <c r="B82" s="2" t="str">
        <f ca="1">IFERROR(__xludf.DUMMYFUNCTION("""COMPUTED_VALUE"""),"Verkeersveiligheid")</f>
        <v>Verkeersveiligheid</v>
      </c>
      <c r="C82" s="2" t="str">
        <f ca="1">IFERROR(__xludf.DUMMYFUNCTION("""COMPUTED_VALUE"""),"Schoolroute")</f>
        <v>Schoolroute</v>
      </c>
      <c r="D82" s="2" t="str">
        <f ca="1">IFERROR(__xludf.DUMMYFUNCTION("""COMPUTED_VALUE"""),"IN/000782")</f>
        <v>IN/000782</v>
      </c>
      <c r="E82" s="2" t="str">
        <f ca="1">IFERROR(__xludf.DUMMYFUNCTION("UNIQUE(FILTER('export kabinetdashboard 1210202'!N:P,'export kabinetdashboard 1210202'!M:M=D82))"),"")</f>
        <v/>
      </c>
      <c r="F82" s="2" t="str">
        <f ca="1">IFERROR(__xludf.DUMMYFUNCTION("""COMPUTED_VALUE"""),"2022 - Q4")</f>
        <v>2022 - Q4</v>
      </c>
      <c r="G82" s="2" t="str">
        <f ca="1">IFERROR(__xludf.DUMMYFUNCTION("""COMPUTED_VALUE"""),"n.t.b.")</f>
        <v>n.t.b.</v>
      </c>
      <c r="H82" s="2">
        <f ca="1">SUMIFS('bedragen KIM (budgettering &amp; pl'!S:S,'bedragen KIM (budgettering &amp; pl'!B:B,A82,'bedragen KIM (budgettering &amp; pl'!F:F,D82)</f>
        <v>35382</v>
      </c>
      <c r="I82" s="2" t="e">
        <f ca="1">SUMIFS(#REF!,#REF!,A82,#REF!,D82)</f>
        <v>#REF!</v>
      </c>
      <c r="J82" s="2" t="e">
        <f ca="1">SUMIFS(#REF!,#REF!,A82,#REF!,D82)</f>
        <v>#REF!</v>
      </c>
    </row>
    <row r="83" spans="1:10" ht="12.5" x14ac:dyDescent="0.25">
      <c r="A83" s="2" t="str">
        <f ca="1">IFERROR(__xludf.DUMMYFUNCTION("""COMPUTED_VALUE"""),"KP/000886")</f>
        <v>KP/000886</v>
      </c>
      <c r="B83" s="2" t="str">
        <f ca="1">IFERROR(__xludf.DUMMYFUNCTION("""COMPUTED_VALUE"""),"Verkeersveiligheid")</f>
        <v>Verkeersveiligheid</v>
      </c>
      <c r="C83" s="2" t="str">
        <f ca="1">IFERROR(__xludf.DUMMYFUNCTION("""COMPUTED_VALUE"""),"Schoolroute")</f>
        <v>Schoolroute</v>
      </c>
      <c r="D83" s="2" t="str">
        <f ca="1">IFERROR(__xludf.DUMMYFUNCTION("""COMPUTED_VALUE"""),"IN/000783")</f>
        <v>IN/000783</v>
      </c>
      <c r="E83" s="2" t="str">
        <f ca="1">IFERROR(__xludf.DUMMYFUNCTION("UNIQUE(FILTER('export kabinetdashboard 1210202'!N:P,'export kabinetdashboard 1210202'!M:M=D83))"),"")</f>
        <v/>
      </c>
      <c r="F83" s="2" t="str">
        <f ca="1">IFERROR(__xludf.DUMMYFUNCTION("""COMPUTED_VALUE"""),"2021 - Q3")</f>
        <v>2021 - Q3</v>
      </c>
      <c r="G83" s="2" t="str">
        <f ca="1">IFERROR(__xludf.DUMMYFUNCTION("""COMPUTED_VALUE"""),"n.t.b.")</f>
        <v>n.t.b.</v>
      </c>
      <c r="H83" s="2">
        <f ca="1">SUMIFS('bedragen KIM (budgettering &amp; pl'!S:S,'bedragen KIM (budgettering &amp; pl'!B:B,A83,'bedragen KIM (budgettering &amp; pl'!F:F,D83)</f>
        <v>138</v>
      </c>
      <c r="I83" s="2" t="e">
        <f ca="1">SUMIFS(#REF!,#REF!,A83,#REF!,D83)</f>
        <v>#REF!</v>
      </c>
      <c r="J83" s="2" t="e">
        <f ca="1">SUMIFS(#REF!,#REF!,A83,#REF!,D83)</f>
        <v>#REF!</v>
      </c>
    </row>
    <row r="84" spans="1:10" ht="12.5" x14ac:dyDescent="0.25">
      <c r="A84" s="2" t="str">
        <f ca="1">IFERROR(__xludf.DUMMYFUNCTION("""COMPUTED_VALUE"""),"KP/000887")</f>
        <v>KP/000887</v>
      </c>
      <c r="B84" s="2" t="str">
        <f ca="1">IFERROR(__xludf.DUMMYFUNCTION("""COMPUTED_VALUE"""),"Verkeersveiligheid")</f>
        <v>Verkeersveiligheid</v>
      </c>
      <c r="C84" s="2" t="str">
        <f ca="1">IFERROR(__xludf.DUMMYFUNCTION("""COMPUTED_VALUE"""),"Schoolroute")</f>
        <v>Schoolroute</v>
      </c>
      <c r="D84" s="2" t="str">
        <f ca="1">IFERROR(__xludf.DUMMYFUNCTION("""COMPUTED_VALUE"""),"IN/000784")</f>
        <v>IN/000784</v>
      </c>
      <c r="E84" s="2" t="str">
        <f ca="1">IFERROR(__xludf.DUMMYFUNCTION("UNIQUE(FILTER('export kabinetdashboard 1210202'!N:P,'export kabinetdashboard 1210202'!M:M=D84))"),"")</f>
        <v/>
      </c>
      <c r="F84" s="2" t="str">
        <f ca="1">IFERROR(__xludf.DUMMYFUNCTION("""COMPUTED_VALUE"""),"2021 - Q3")</f>
        <v>2021 - Q3</v>
      </c>
      <c r="G84" s="2" t="str">
        <f ca="1">IFERROR(__xludf.DUMMYFUNCTION("""COMPUTED_VALUE"""),"n.t.b.")</f>
        <v>n.t.b.</v>
      </c>
      <c r="H84" s="2">
        <f ca="1">SUMIFS('bedragen KIM (budgettering &amp; pl'!S:S,'bedragen KIM (budgettering &amp; pl'!B:B,A84,'bedragen KIM (budgettering &amp; pl'!F:F,D84)</f>
        <v>138</v>
      </c>
      <c r="I84" s="2" t="e">
        <f ca="1">SUMIFS(#REF!,#REF!,A84,#REF!,D84)</f>
        <v>#REF!</v>
      </c>
      <c r="J84" s="2" t="e">
        <f ca="1">SUMIFS(#REF!,#REF!,A84,#REF!,D84)</f>
        <v>#REF!</v>
      </c>
    </row>
    <row r="85" spans="1:10" ht="12.5" x14ac:dyDescent="0.25">
      <c r="A85" s="2" t="str">
        <f ca="1">IFERROR(__xludf.DUMMYFUNCTION("""COMPUTED_VALUE"""),"KP/000888")</f>
        <v>KP/000888</v>
      </c>
      <c r="B85" s="2" t="str">
        <f ca="1">IFERROR(__xludf.DUMMYFUNCTION("""COMPUTED_VALUE"""),"Verkeersveiligheid")</f>
        <v>Verkeersveiligheid</v>
      </c>
      <c r="C85" s="2" t="str">
        <f ca="1">IFERROR(__xludf.DUMMYFUNCTION("""COMPUTED_VALUE"""),"Schoolroute")</f>
        <v>Schoolroute</v>
      </c>
      <c r="D85" s="2" t="str">
        <f ca="1">IFERROR(__xludf.DUMMYFUNCTION("""COMPUTED_VALUE"""),"IN/000785")</f>
        <v>IN/000785</v>
      </c>
      <c r="E85" s="2" t="str">
        <f ca="1">IFERROR(__xludf.DUMMYFUNCTION("UNIQUE(FILTER('export kabinetdashboard 1210202'!N:P,'export kabinetdashboard 1210202'!M:M=D85))"),"")</f>
        <v/>
      </c>
      <c r="F85" s="2" t="str">
        <f ca="1">IFERROR(__xludf.DUMMYFUNCTION("""COMPUTED_VALUE"""),"n.t.b.")</f>
        <v>n.t.b.</v>
      </c>
      <c r="G85" s="2" t="str">
        <f ca="1">IFERROR(__xludf.DUMMYFUNCTION("""COMPUTED_VALUE"""),"n.t.b.")</f>
        <v>n.t.b.</v>
      </c>
      <c r="H85" s="2">
        <f ca="1">SUMIFS('bedragen KIM (budgettering &amp; pl'!S:S,'bedragen KIM (budgettering &amp; pl'!B:B,A85,'bedragen KIM (budgettering &amp; pl'!F:F,D85)</f>
        <v>75000</v>
      </c>
      <c r="I85" s="2" t="e">
        <f ca="1">SUMIFS(#REF!,#REF!,A85,#REF!,D85)</f>
        <v>#REF!</v>
      </c>
      <c r="J85" s="2" t="e">
        <f ca="1">SUMIFS(#REF!,#REF!,A85,#REF!,D85)</f>
        <v>#REF!</v>
      </c>
    </row>
    <row r="86" spans="1:10" ht="12.5" x14ac:dyDescent="0.25">
      <c r="A86" s="2" t="str">
        <f ca="1">IFERROR(__xludf.DUMMYFUNCTION("""COMPUTED_VALUE"""),"KP/000891")</f>
        <v>KP/000891</v>
      </c>
      <c r="B86" s="2" t="str">
        <f ca="1">IFERROR(__xludf.DUMMYFUNCTION("""COMPUTED_VALUE"""),"Verkeersveiligheid")</f>
        <v>Verkeersveiligheid</v>
      </c>
      <c r="C86" s="2" t="str">
        <f ca="1">IFERROR(__xludf.DUMMYFUNCTION("""COMPUTED_VALUE"""),"Schoolroute")</f>
        <v>Schoolroute</v>
      </c>
      <c r="D86" s="2" t="str">
        <f ca="1">IFERROR(__xludf.DUMMYFUNCTION("""COMPUTED_VALUE"""),"IN/000786")</f>
        <v>IN/000786</v>
      </c>
      <c r="E86" s="2" t="str">
        <f ca="1">IFERROR(__xludf.DUMMYFUNCTION("UNIQUE(FILTER('export kabinetdashboard 1210202'!N:P,'export kabinetdashboard 1210202'!M:M=D86))"),"")</f>
        <v/>
      </c>
      <c r="F86" s="2" t="str">
        <f ca="1">IFERROR(__xludf.DUMMYFUNCTION("""COMPUTED_VALUE"""),"2021 - Q3")</f>
        <v>2021 - Q3</v>
      </c>
      <c r="G86" s="2" t="str">
        <f ca="1">IFERROR(__xludf.DUMMYFUNCTION("""COMPUTED_VALUE"""),"2021 - Q3")</f>
        <v>2021 - Q3</v>
      </c>
      <c r="H86" s="2">
        <f ca="1">SUMIFS('bedragen KIM (budgettering &amp; pl'!S:S,'bedragen KIM (budgettering &amp; pl'!B:B,A86,'bedragen KIM (budgettering &amp; pl'!F:F,D86)</f>
        <v>5000</v>
      </c>
      <c r="I86" s="2" t="e">
        <f ca="1">SUMIFS(#REF!,#REF!,A86,#REF!,D86)</f>
        <v>#REF!</v>
      </c>
      <c r="J86" s="2" t="e">
        <f ca="1">SUMIFS(#REF!,#REF!,A86,#REF!,D86)</f>
        <v>#REF!</v>
      </c>
    </row>
    <row r="87" spans="1:10" ht="12.5" x14ac:dyDescent="0.25">
      <c r="A87" s="2" t="str">
        <f ca="1">IFERROR(__xludf.DUMMYFUNCTION("""COMPUTED_VALUE"""),"KP/000892")</f>
        <v>KP/000892</v>
      </c>
      <c r="B87" s="2" t="str">
        <f ca="1">IFERROR(__xludf.DUMMYFUNCTION("""COMPUTED_VALUE"""),"Verkeersveiligheid")</f>
        <v>Verkeersveiligheid</v>
      </c>
      <c r="C87" s="2" t="str">
        <f ca="1">IFERROR(__xludf.DUMMYFUNCTION("""COMPUTED_VALUE"""),"Schoolroute")</f>
        <v>Schoolroute</v>
      </c>
      <c r="D87" s="2" t="str">
        <f ca="1">IFERROR(__xludf.DUMMYFUNCTION("""COMPUTED_VALUE"""),"IN/000787")</f>
        <v>IN/000787</v>
      </c>
      <c r="E87" s="2" t="str">
        <f ca="1">IFERROR(__xludf.DUMMYFUNCTION("UNIQUE(FILTER('export kabinetdashboard 1210202'!N:P,'export kabinetdashboard 1210202'!M:M=D87))"),"Aanbrengen van middeneiland")</f>
        <v>Aanbrengen van middeneiland</v>
      </c>
      <c r="F87" s="2" t="str">
        <f ca="1">IFERROR(__xludf.DUMMYFUNCTION("""COMPUTED_VALUE"""),"2022 - Q3")</f>
        <v>2022 - Q3</v>
      </c>
      <c r="G87" s="2" t="str">
        <f ca="1">IFERROR(__xludf.DUMMYFUNCTION("""COMPUTED_VALUE"""),"n.t.b.")</f>
        <v>n.t.b.</v>
      </c>
      <c r="H87" s="2">
        <f ca="1">SUMIFS('bedragen KIM (budgettering &amp; pl'!S:S,'bedragen KIM (budgettering &amp; pl'!B:B,A87,'bedragen KIM (budgettering &amp; pl'!F:F,D87)</f>
        <v>15000</v>
      </c>
      <c r="I87" s="2" t="e">
        <f ca="1">SUMIFS(#REF!,#REF!,A87,#REF!,D87)</f>
        <v>#REF!</v>
      </c>
      <c r="J87" s="2" t="e">
        <f ca="1">SUMIFS(#REF!,#REF!,A87,#REF!,D87)</f>
        <v>#REF!</v>
      </c>
    </row>
    <row r="88" spans="1:10" ht="12.5" x14ac:dyDescent="0.25">
      <c r="A88" s="2" t="str">
        <f ca="1">IFERROR(__xludf.DUMMYFUNCTION("""COMPUTED_VALUE"""),"KP/000894")</f>
        <v>KP/000894</v>
      </c>
      <c r="B88" s="2" t="str">
        <f ca="1">IFERROR(__xludf.DUMMYFUNCTION("""COMPUTED_VALUE"""),"Verkeersveiligheid")</f>
        <v>Verkeersveiligheid</v>
      </c>
      <c r="C88" s="2" t="str">
        <f ca="1">IFERROR(__xludf.DUMMYFUNCTION("""COMPUTED_VALUE"""),"Schoolroute")</f>
        <v>Schoolroute</v>
      </c>
      <c r="D88" s="2" t="str">
        <f ca="1">IFERROR(__xludf.DUMMYFUNCTION("""COMPUTED_VALUE"""),"IN/000788")</f>
        <v>IN/000788</v>
      </c>
      <c r="E88" s="2" t="str">
        <f ca="1">IFERROR(__xludf.DUMMYFUNCTION("UNIQUE(FILTER('export kabinetdashboard 1210202'!N:P,'export kabinetdashboard 1210202'!M:M=D88))"),"VVOP")</f>
        <v>VVOP</v>
      </c>
      <c r="F88" s="2" t="str">
        <f ca="1">IFERROR(__xludf.DUMMYFUNCTION("""COMPUTED_VALUE"""),"2022 - Q2")</f>
        <v>2022 - Q2</v>
      </c>
      <c r="G88" s="2" t="str">
        <f ca="1">IFERROR(__xludf.DUMMYFUNCTION("""COMPUTED_VALUE"""),"n.t.b.")</f>
        <v>n.t.b.</v>
      </c>
      <c r="H88" s="2">
        <f ca="1">SUMIFS('bedragen KIM (budgettering &amp; pl'!S:S,'bedragen KIM (budgettering &amp; pl'!B:B,A88,'bedragen KIM (budgettering &amp; pl'!F:F,D88)</f>
        <v>36000</v>
      </c>
      <c r="I88" s="2" t="e">
        <f ca="1">SUMIFS(#REF!,#REF!,A88,#REF!,D88)</f>
        <v>#REF!</v>
      </c>
      <c r="J88" s="2" t="e">
        <f ca="1">SUMIFS(#REF!,#REF!,A88,#REF!,D88)</f>
        <v>#REF!</v>
      </c>
    </row>
    <row r="89" spans="1:10" ht="12.5" x14ac:dyDescent="0.25">
      <c r="A89" s="2" t="str">
        <f ca="1">IFERROR(__xludf.DUMMYFUNCTION("""COMPUTED_VALUE"""),"KP/000895")</f>
        <v>KP/000895</v>
      </c>
      <c r="B89" s="2" t="str">
        <f ca="1">IFERROR(__xludf.DUMMYFUNCTION("""COMPUTED_VALUE"""),"Verkeersveiligheid")</f>
        <v>Verkeersveiligheid</v>
      </c>
      <c r="C89" s="2" t="str">
        <f ca="1">IFERROR(__xludf.DUMMYFUNCTION("""COMPUTED_VALUE"""),"Schoolroute")</f>
        <v>Schoolroute</v>
      </c>
      <c r="D89" s="2" t="str">
        <f ca="1">IFERROR(__xludf.DUMMYFUNCTION("""COMPUTED_VALUE"""),"IN/000789")</f>
        <v>IN/000789</v>
      </c>
      <c r="E89" s="2" t="str">
        <f ca="1">IFERROR(__xludf.DUMMYFUNCTION("UNIQUE(FILTER('export kabinetdashboard 1210202'!N:P,'export kabinetdashboard 1210202'!M:M=D89))"),"fietslogo's")</f>
        <v>fietslogo's</v>
      </c>
      <c r="F89" s="2" t="str">
        <f ca="1">IFERROR(__xludf.DUMMYFUNCTION("""COMPUTED_VALUE"""),"2022 - Q3")</f>
        <v>2022 - Q3</v>
      </c>
      <c r="G89" s="2" t="str">
        <f ca="1">IFERROR(__xludf.DUMMYFUNCTION("""COMPUTED_VALUE"""),"n.t.b.")</f>
        <v>n.t.b.</v>
      </c>
      <c r="H89" s="2">
        <f ca="1">SUMIFS('bedragen KIM (budgettering &amp; pl'!S:S,'bedragen KIM (budgettering &amp; pl'!B:B,A89,'bedragen KIM (budgettering &amp; pl'!F:F,D89)</f>
        <v>31000</v>
      </c>
      <c r="I89" s="2" t="e">
        <f ca="1">SUMIFS(#REF!,#REF!,A89,#REF!,D89)</f>
        <v>#REF!</v>
      </c>
      <c r="J89" s="2" t="e">
        <f ca="1">SUMIFS(#REF!,#REF!,A89,#REF!,D89)</f>
        <v>#REF!</v>
      </c>
    </row>
    <row r="90" spans="1:10" ht="12.5" x14ac:dyDescent="0.25">
      <c r="A90" s="2" t="str">
        <f ca="1">IFERROR(__xludf.DUMMYFUNCTION("""COMPUTED_VALUE"""),"KP/000896")</f>
        <v>KP/000896</v>
      </c>
      <c r="B90" s="2" t="str">
        <f ca="1">IFERROR(__xludf.DUMMYFUNCTION("""COMPUTED_VALUE"""),"Verkeersveiligheid")</f>
        <v>Verkeersveiligheid</v>
      </c>
      <c r="C90" s="2" t="str">
        <f ca="1">IFERROR(__xludf.DUMMYFUNCTION("""COMPUTED_VALUE"""),"Schoolroute")</f>
        <v>Schoolroute</v>
      </c>
      <c r="D90" s="2" t="str">
        <f ca="1">IFERROR(__xludf.DUMMYFUNCTION("""COMPUTED_VALUE"""),"IN/000790")</f>
        <v>IN/000790</v>
      </c>
      <c r="E90" s="2" t="str">
        <f ca="1">IFERROR(__xludf.DUMMYFUNCTION("UNIQUE(FILTER('export kabinetdashboard 1210202'!N:P,'export kabinetdashboard 1210202'!M:M=D90))"),"")</f>
        <v/>
      </c>
      <c r="F90" s="2" t="str">
        <f ca="1">IFERROR(__xludf.DUMMYFUNCTION("""COMPUTED_VALUE"""),"2022 - Q4")</f>
        <v>2022 - Q4</v>
      </c>
      <c r="G90" s="2" t="str">
        <f ca="1">IFERROR(__xludf.DUMMYFUNCTION("""COMPUTED_VALUE"""),"n.t.b.")</f>
        <v>n.t.b.</v>
      </c>
      <c r="H90" s="2">
        <f ca="1">SUMIFS('bedragen KIM (budgettering &amp; pl'!S:S,'bedragen KIM (budgettering &amp; pl'!B:B,A90,'bedragen KIM (budgettering &amp; pl'!F:F,D90)</f>
        <v>180000</v>
      </c>
      <c r="I90" s="2" t="e">
        <f ca="1">SUMIFS(#REF!,#REF!,A90,#REF!,D90)</f>
        <v>#REF!</v>
      </c>
      <c r="J90" s="2" t="e">
        <f ca="1">SUMIFS(#REF!,#REF!,A90,#REF!,D90)</f>
        <v>#REF!</v>
      </c>
    </row>
    <row r="91" spans="1:10" ht="12.5" x14ac:dyDescent="0.25">
      <c r="A91" s="2" t="str">
        <f ca="1">IFERROR(__xludf.DUMMYFUNCTION("""COMPUTED_VALUE"""),"KP/000897")</f>
        <v>KP/000897</v>
      </c>
      <c r="B91" s="2" t="str">
        <f ca="1">IFERROR(__xludf.DUMMYFUNCTION("""COMPUTED_VALUE"""),"Verkeersveiligheid")</f>
        <v>Verkeersveiligheid</v>
      </c>
      <c r="C91" s="2" t="str">
        <f ca="1">IFERROR(__xludf.DUMMYFUNCTION("""COMPUTED_VALUE"""),"Schoolroute")</f>
        <v>Schoolroute</v>
      </c>
      <c r="D91" s="2" t="str">
        <f ca="1">IFERROR(__xludf.DUMMYFUNCTION("""COMPUTED_VALUE"""),"IN/000791")</f>
        <v>IN/000791</v>
      </c>
      <c r="E91" s="2" t="str">
        <f ca="1">IFERROR(__xludf.DUMMYFUNCTION("UNIQUE(FILTER('export kabinetdashboard 1210202'!N:P,'export kabinetdashboard 1210202'!M:M=D91))"),"PCV dossier
KS147 wordt geschrapt, KS145 opgewaardeerd ")</f>
        <v xml:space="preserve">PCV dossier
KS147 wordt geschrapt, KS145 opgewaardeerd </v>
      </c>
      <c r="F91" s="2" t="str">
        <f ca="1">IFERROR(__xludf.DUMMYFUNCTION("""COMPUTED_VALUE"""),"2022 - Q4")</f>
        <v>2022 - Q4</v>
      </c>
      <c r="G91" s="2" t="str">
        <f ca="1">IFERROR(__xludf.DUMMYFUNCTION("""COMPUTED_VALUE"""),"n.t.b.")</f>
        <v>n.t.b.</v>
      </c>
      <c r="H91" s="2">
        <f ca="1">SUMIFS('bedragen KIM (budgettering &amp; pl'!S:S,'bedragen KIM (budgettering &amp; pl'!B:B,A91,'bedragen KIM (budgettering &amp; pl'!F:F,D91)</f>
        <v>3750</v>
      </c>
      <c r="I91" s="2" t="e">
        <f ca="1">SUMIFS(#REF!,#REF!,A91,#REF!,D91)</f>
        <v>#REF!</v>
      </c>
      <c r="J91" s="2" t="e">
        <f ca="1">SUMIFS(#REF!,#REF!,A91,#REF!,D91)</f>
        <v>#REF!</v>
      </c>
    </row>
    <row r="92" spans="1:10" ht="12.5" x14ac:dyDescent="0.25">
      <c r="A92" s="2" t="str">
        <f ca="1">IFERROR(__xludf.DUMMYFUNCTION("""COMPUTED_VALUE"""),"KP/000899")</f>
        <v>KP/000899</v>
      </c>
      <c r="B92" s="2" t="str">
        <f ca="1">IFERROR(__xludf.DUMMYFUNCTION("""COMPUTED_VALUE"""),"Verkeersveiligheid")</f>
        <v>Verkeersveiligheid</v>
      </c>
      <c r="C92" s="2" t="str">
        <f ca="1">IFERROR(__xludf.DUMMYFUNCTION("""COMPUTED_VALUE"""),"Schoolroute")</f>
        <v>Schoolroute</v>
      </c>
      <c r="D92" s="2" t="str">
        <f ca="1">IFERROR(__xludf.DUMMYFUNCTION("""COMPUTED_VALUE"""),"IN/000791")</f>
        <v>IN/000791</v>
      </c>
      <c r="E92" s="2" t="str">
        <f ca="1">IFERROR(__xludf.DUMMYFUNCTION("UNIQUE(FILTER('export kabinetdashboard 1210202'!N:P,'export kabinetdashboard 1210202'!M:M=D92))"),"PCV dossier
KS147 wordt geschrapt, KS145 opgewaardeerd ")</f>
        <v xml:space="preserve">PCV dossier
KS147 wordt geschrapt, KS145 opgewaardeerd </v>
      </c>
      <c r="F92" s="2" t="str">
        <f ca="1">IFERROR(__xludf.DUMMYFUNCTION("""COMPUTED_VALUE"""),"2022 - Q4")</f>
        <v>2022 - Q4</v>
      </c>
      <c r="G92" s="2" t="str">
        <f ca="1">IFERROR(__xludf.DUMMYFUNCTION("""COMPUTED_VALUE"""),"n.t.b.")</f>
        <v>n.t.b.</v>
      </c>
      <c r="H92" s="2">
        <f ca="1">SUMIFS('bedragen KIM (budgettering &amp; pl'!S:S,'bedragen KIM (budgettering &amp; pl'!B:B,A92,'bedragen KIM (budgettering &amp; pl'!F:F,D92)</f>
        <v>3750</v>
      </c>
      <c r="I92" s="2" t="e">
        <f ca="1">SUMIFS(#REF!,#REF!,A92,#REF!,D92)</f>
        <v>#REF!</v>
      </c>
      <c r="J92" s="2" t="e">
        <f ca="1">SUMIFS(#REF!,#REF!,A92,#REF!,D92)</f>
        <v>#REF!</v>
      </c>
    </row>
    <row r="93" spans="1:10" ht="12.5" x14ac:dyDescent="0.25">
      <c r="A93" s="2" t="str">
        <f ca="1">IFERROR(__xludf.DUMMYFUNCTION("""COMPUTED_VALUE"""),"KP/000900")</f>
        <v>KP/000900</v>
      </c>
      <c r="B93" s="2" t="str">
        <f ca="1">IFERROR(__xludf.DUMMYFUNCTION("""COMPUTED_VALUE"""),"Verkeersveiligheid")</f>
        <v>Verkeersveiligheid</v>
      </c>
      <c r="C93" s="2" t="str">
        <f ca="1">IFERROR(__xludf.DUMMYFUNCTION("""COMPUTED_VALUE"""),"Schoolroute")</f>
        <v>Schoolroute</v>
      </c>
      <c r="D93" s="2" t="str">
        <f ca="1">IFERROR(__xludf.DUMMYFUNCTION("""COMPUTED_VALUE"""),"IN/000792")</f>
        <v>IN/000792</v>
      </c>
      <c r="E93" s="2" t="str">
        <f ca="1">IFERROR(__xludf.DUMMYFUNCTION("UNIQUE(FILTER('export kabinetdashboard 1210202'!N:P,'export kabinetdashboard 1210202'!M:M=D93))"),"")</f>
        <v/>
      </c>
      <c r="F93" s="2" t="str">
        <f ca="1">IFERROR(__xludf.DUMMYFUNCTION("""COMPUTED_VALUE"""),"2022 - Q4")</f>
        <v>2022 - Q4</v>
      </c>
      <c r="G93" s="2" t="str">
        <f ca="1">IFERROR(__xludf.DUMMYFUNCTION("""COMPUTED_VALUE"""),"n.t.b.")</f>
        <v>n.t.b.</v>
      </c>
      <c r="H93" s="2">
        <f ca="1">SUMIFS('bedragen KIM (budgettering &amp; pl'!S:S,'bedragen KIM (budgettering &amp; pl'!B:B,A93,'bedragen KIM (budgettering &amp; pl'!F:F,D93)</f>
        <v>0</v>
      </c>
      <c r="I93" s="2" t="e">
        <f ca="1">SUMIFS(#REF!,#REF!,A93,#REF!,D93)</f>
        <v>#REF!</v>
      </c>
      <c r="J93" s="2" t="e">
        <f ca="1">SUMIFS(#REF!,#REF!,A93,#REF!,D93)</f>
        <v>#REF!</v>
      </c>
    </row>
    <row r="94" spans="1:10" ht="12.5" x14ac:dyDescent="0.25">
      <c r="A94" s="2" t="str">
        <f ca="1">IFERROR(__xludf.DUMMYFUNCTION("""COMPUTED_VALUE"""),"KP/000901")</f>
        <v>KP/000901</v>
      </c>
      <c r="B94" s="2" t="str">
        <f ca="1">IFERROR(__xludf.DUMMYFUNCTION("""COMPUTED_VALUE"""),"Verkeersveiligheid")</f>
        <v>Verkeersveiligheid</v>
      </c>
      <c r="C94" s="2" t="str">
        <f ca="1">IFERROR(__xludf.DUMMYFUNCTION("""COMPUTED_VALUE"""),"Schoolroute")</f>
        <v>Schoolroute</v>
      </c>
      <c r="D94" s="2" t="str">
        <f ca="1">IFERROR(__xludf.DUMMYFUNCTION("""COMPUTED_VALUE"""),"IN/000793")</f>
        <v>IN/000793</v>
      </c>
      <c r="E94" s="2" t="str">
        <f ca="1">IFERROR(__xludf.DUMMYFUNCTION("UNIQUE(FILTER('export kabinetdashboard 1210202'!N:P,'export kabinetdashboard 1210202'!M:M=D94))"),"")</f>
        <v/>
      </c>
      <c r="F94" s="2" t="str">
        <f ca="1">IFERROR(__xludf.DUMMYFUNCTION("""COMPUTED_VALUE"""),"2022 - Q3")</f>
        <v>2022 - Q3</v>
      </c>
      <c r="G94" s="2" t="str">
        <f ca="1">IFERROR(__xludf.DUMMYFUNCTION("""COMPUTED_VALUE"""),"n.t.b.")</f>
        <v>n.t.b.</v>
      </c>
      <c r="H94" s="2">
        <f ca="1">SUMIFS('bedragen KIM (budgettering &amp; pl'!S:S,'bedragen KIM (budgettering &amp; pl'!B:B,A94,'bedragen KIM (budgettering &amp; pl'!F:F,D94)</f>
        <v>100000</v>
      </c>
      <c r="I94" s="2" t="e">
        <f ca="1">SUMIFS(#REF!,#REF!,A94,#REF!,D94)</f>
        <v>#REF!</v>
      </c>
      <c r="J94" s="2" t="e">
        <f ca="1">SUMIFS(#REF!,#REF!,A94,#REF!,D94)</f>
        <v>#REF!</v>
      </c>
    </row>
    <row r="95" spans="1:10" ht="12.5" x14ac:dyDescent="0.25">
      <c r="A95" s="2" t="str">
        <f ca="1">IFERROR(__xludf.DUMMYFUNCTION("""COMPUTED_VALUE"""),"KP/000902")</f>
        <v>KP/000902</v>
      </c>
      <c r="B95" s="2" t="str">
        <f ca="1">IFERROR(__xludf.DUMMYFUNCTION("""COMPUTED_VALUE"""),"Verkeersveiligheid")</f>
        <v>Verkeersveiligheid</v>
      </c>
      <c r="C95" s="2" t="str">
        <f ca="1">IFERROR(__xludf.DUMMYFUNCTION("""COMPUTED_VALUE"""),"Schoolroute")</f>
        <v>Schoolroute</v>
      </c>
      <c r="D95" s="2" t="str">
        <f ca="1">IFERROR(__xludf.DUMMYFUNCTION("""COMPUTED_VALUE"""),"IN/000794")</f>
        <v>IN/000794</v>
      </c>
      <c r="E95" s="2" t="str">
        <f ca="1">IFERROR(__xludf.DUMMYFUNCTION("UNIQUE(FILTER('export kabinetdashboard 1210202'!N:P,'export kabinetdashboard 1210202'!M:M=D95))"),"paaltjes")</f>
        <v>paaltjes</v>
      </c>
      <c r="F95" s="2" t="str">
        <f ca="1">IFERROR(__xludf.DUMMYFUNCTION("""COMPUTED_VALUE"""),"2021 - Q3")</f>
        <v>2021 - Q3</v>
      </c>
      <c r="G95" s="2" t="str">
        <f ca="1">IFERROR(__xludf.DUMMYFUNCTION("""COMPUTED_VALUE"""),"n.t.b.")</f>
        <v>n.t.b.</v>
      </c>
      <c r="H95" s="2">
        <f ca="1">SUMIFS('bedragen KIM (budgettering &amp; pl'!S:S,'bedragen KIM (budgettering &amp; pl'!B:B,A95,'bedragen KIM (budgettering &amp; pl'!F:F,D95)</f>
        <v>140</v>
      </c>
      <c r="I95" s="2" t="e">
        <f ca="1">SUMIFS(#REF!,#REF!,A95,#REF!,D95)</f>
        <v>#REF!</v>
      </c>
      <c r="J95" s="2" t="e">
        <f ca="1">SUMIFS(#REF!,#REF!,A95,#REF!,D95)</f>
        <v>#REF!</v>
      </c>
    </row>
    <row r="96" spans="1:10" ht="12.5" x14ac:dyDescent="0.25">
      <c r="A96" s="2" t="str">
        <f ca="1">IFERROR(__xludf.DUMMYFUNCTION("""COMPUTED_VALUE"""),"KP/000903")</f>
        <v>KP/000903</v>
      </c>
      <c r="B96" s="2" t="str">
        <f ca="1">IFERROR(__xludf.DUMMYFUNCTION("""COMPUTED_VALUE"""),"Verkeersveiligheid")</f>
        <v>Verkeersveiligheid</v>
      </c>
      <c r="C96" s="2" t="str">
        <f ca="1">IFERROR(__xludf.DUMMYFUNCTION("""COMPUTED_VALUE"""),"Schoolroute")</f>
        <v>Schoolroute</v>
      </c>
      <c r="D96" s="2" t="str">
        <f ca="1">IFERROR(__xludf.DUMMYFUNCTION("""COMPUTED_VALUE"""),"IN/000795")</f>
        <v>IN/000795</v>
      </c>
      <c r="E96" s="2" t="str">
        <f ca="1">IFERROR(__xludf.DUMMYFUNCTION("UNIQUE(FILTER('export kabinetdashboard 1210202'!N:P,'export kabinetdashboard 1210202'!M:M=D96))"),"Knip Wijerstraat
VOP verplaatsen, verbreden, punctueel verlichten
Omegabeugels dichten voor betere looplijn naar VOP
")</f>
        <v xml:space="preserve">Knip Wijerstraat
VOP verplaatsen, verbreden, punctueel verlichten
Omegabeugels dichten voor betere looplijn naar VOP
</v>
      </c>
      <c r="F96" s="2" t="str">
        <f ca="1">IFERROR(__xludf.DUMMYFUNCTION("""COMPUTED_VALUE"""),"2022 - Q4")</f>
        <v>2022 - Q4</v>
      </c>
      <c r="G96" s="2" t="str">
        <f ca="1">IFERROR(__xludf.DUMMYFUNCTION("""COMPUTED_VALUE"""),"n.t.b.")</f>
        <v>n.t.b.</v>
      </c>
      <c r="H96" s="2">
        <f ca="1">SUMIFS('bedragen KIM (budgettering &amp; pl'!S:S,'bedragen KIM (budgettering &amp; pl'!B:B,A96,'bedragen KIM (budgettering &amp; pl'!F:F,D96)</f>
        <v>11583</v>
      </c>
      <c r="I96" s="2" t="e">
        <f ca="1">SUMIFS(#REF!,#REF!,A96,#REF!,D96)</f>
        <v>#REF!</v>
      </c>
      <c r="J96" s="2" t="e">
        <f ca="1">SUMIFS(#REF!,#REF!,A96,#REF!,D96)</f>
        <v>#REF!</v>
      </c>
    </row>
    <row r="97" spans="1:10" ht="12.5" x14ac:dyDescent="0.25">
      <c r="A97" s="2" t="str">
        <f ca="1">IFERROR(__xludf.DUMMYFUNCTION("""COMPUTED_VALUE"""),"KP/000905")</f>
        <v>KP/000905</v>
      </c>
      <c r="B97" s="2" t="str">
        <f ca="1">IFERROR(__xludf.DUMMYFUNCTION("""COMPUTED_VALUE"""),"Verkeersveiligheid")</f>
        <v>Verkeersveiligheid</v>
      </c>
      <c r="C97" s="2" t="str">
        <f ca="1">IFERROR(__xludf.DUMMYFUNCTION("""COMPUTED_VALUE"""),"Schoolroute")</f>
        <v>Schoolroute</v>
      </c>
      <c r="D97" s="2" t="str">
        <f ca="1">IFERROR(__xludf.DUMMYFUNCTION("""COMPUTED_VALUE"""),"IN/000796")</f>
        <v>IN/000796</v>
      </c>
      <c r="E97" s="2" t="str">
        <f ca="1">IFERROR(__xludf.DUMMYFUNCTION("UNIQUE(FILTER('export kabinetdashboard 1210202'!N:P,'export kabinetdashboard 1210202'!M:M=D97))"),"VVOP met aanpassing wegenis")</f>
        <v>VVOP met aanpassing wegenis</v>
      </c>
      <c r="F97" s="2" t="str">
        <f ca="1">IFERROR(__xludf.DUMMYFUNCTION("""COMPUTED_VALUE"""),"2022 - Q3")</f>
        <v>2022 - Q3</v>
      </c>
      <c r="G97" s="2" t="str">
        <f ca="1">IFERROR(__xludf.DUMMYFUNCTION("""COMPUTED_VALUE"""),"n.t.b.")</f>
        <v>n.t.b.</v>
      </c>
      <c r="H97" s="2">
        <f ca="1">SUMIFS('bedragen KIM (budgettering &amp; pl'!S:S,'bedragen KIM (budgettering &amp; pl'!B:B,A97,'bedragen KIM (budgettering &amp; pl'!F:F,D97)</f>
        <v>47841.84</v>
      </c>
      <c r="I97" s="2" t="e">
        <f ca="1">SUMIFS(#REF!,#REF!,A97,#REF!,D97)</f>
        <v>#REF!</v>
      </c>
      <c r="J97" s="2" t="e">
        <f ca="1">SUMIFS(#REF!,#REF!,A97,#REF!,D97)</f>
        <v>#REF!</v>
      </c>
    </row>
    <row r="98" spans="1:10" ht="12.5" x14ac:dyDescent="0.25">
      <c r="A98" s="2" t="str">
        <f ca="1">IFERROR(__xludf.DUMMYFUNCTION("""COMPUTED_VALUE"""),"KP/000906")</f>
        <v>KP/000906</v>
      </c>
      <c r="B98" s="2" t="str">
        <f ca="1">IFERROR(__xludf.DUMMYFUNCTION("""COMPUTED_VALUE"""),"Verkeersveiligheid")</f>
        <v>Verkeersveiligheid</v>
      </c>
      <c r="C98" s="2" t="str">
        <f ca="1">IFERROR(__xludf.DUMMYFUNCTION("""COMPUTED_VALUE"""),"Schoolroute")</f>
        <v>Schoolroute</v>
      </c>
      <c r="D98" s="2" t="str">
        <f ca="1">IFERROR(__xludf.DUMMYFUNCTION("""COMPUTED_VALUE"""),"IN/000797")</f>
        <v>IN/000797</v>
      </c>
      <c r="E98" s="2" t="str">
        <f ca="1">IFERROR(__xludf.DUMMYFUNCTION("UNIQUE(FILTER('export kabinetdashboard 1210202'!N:P,'export kabinetdashboard 1210202'!M:M=D98))"),"")</f>
        <v/>
      </c>
      <c r="F98" s="2" t="str">
        <f ca="1">IFERROR(__xludf.DUMMYFUNCTION("""COMPUTED_VALUE"""),"2021 - Q2")</f>
        <v>2021 - Q2</v>
      </c>
      <c r="G98" s="2" t="str">
        <f ca="1">IFERROR(__xludf.DUMMYFUNCTION("""COMPUTED_VALUE"""),"n.t.b.")</f>
        <v>n.t.b.</v>
      </c>
      <c r="H98" s="2">
        <f ca="1">SUMIFS('bedragen KIM (budgettering &amp; pl'!S:S,'bedragen KIM (budgettering &amp; pl'!B:B,A98,'bedragen KIM (budgettering &amp; pl'!F:F,D98)</f>
        <v>30000</v>
      </c>
      <c r="I98" s="2" t="e">
        <f ca="1">SUMIFS(#REF!,#REF!,A98,#REF!,D98)</f>
        <v>#REF!</v>
      </c>
      <c r="J98" s="2" t="e">
        <f ca="1">SUMIFS(#REF!,#REF!,A98,#REF!,D98)</f>
        <v>#REF!</v>
      </c>
    </row>
    <row r="99" spans="1:10" ht="12.5" x14ac:dyDescent="0.25">
      <c r="A99" s="2" t="str">
        <f ca="1">IFERROR(__xludf.DUMMYFUNCTION("""COMPUTED_VALUE"""),"KP/000908")</f>
        <v>KP/000908</v>
      </c>
      <c r="B99" s="2" t="str">
        <f ca="1">IFERROR(__xludf.DUMMYFUNCTION("""COMPUTED_VALUE"""),"Verkeersveiligheid")</f>
        <v>Verkeersveiligheid</v>
      </c>
      <c r="C99" s="2" t="str">
        <f ca="1">IFERROR(__xludf.DUMMYFUNCTION("""COMPUTED_VALUE"""),"Schoolroute")</f>
        <v>Schoolroute</v>
      </c>
      <c r="D99" s="2" t="str">
        <f ca="1">IFERROR(__xludf.DUMMYFUNCTION("""COMPUTED_VALUE"""),"IN/000798")</f>
        <v>IN/000798</v>
      </c>
      <c r="E99" s="2" t="str">
        <f ca="1">IFERROR(__xludf.DUMMYFUNCTION("UNIQUE(FILTER('export kabinetdashboard 1210202'!N:P,'export kabinetdashboard 1210202'!M:M=D99))"),"")</f>
        <v/>
      </c>
      <c r="F99" s="2" t="str">
        <f ca="1">IFERROR(__xludf.DUMMYFUNCTION("""COMPUTED_VALUE"""),"n.t.b.")</f>
        <v>n.t.b.</v>
      </c>
      <c r="G99" s="2" t="str">
        <f ca="1">IFERROR(__xludf.DUMMYFUNCTION("""COMPUTED_VALUE"""),"n.t.b.")</f>
        <v>n.t.b.</v>
      </c>
      <c r="H99" s="2">
        <f ca="1">SUMIFS('bedragen KIM (budgettering &amp; pl'!S:S,'bedragen KIM (budgettering &amp; pl'!B:B,A99,'bedragen KIM (budgettering &amp; pl'!F:F,D99)</f>
        <v>0</v>
      </c>
      <c r="I99" s="2" t="e">
        <f ca="1">SUMIFS(#REF!,#REF!,A99,#REF!,D99)</f>
        <v>#REF!</v>
      </c>
      <c r="J99" s="2" t="e">
        <f ca="1">SUMIFS(#REF!,#REF!,A99,#REF!,D99)</f>
        <v>#REF!</v>
      </c>
    </row>
    <row r="100" spans="1:10" ht="12.5" x14ac:dyDescent="0.25">
      <c r="A100" s="2" t="str">
        <f ca="1">IFERROR(__xludf.DUMMYFUNCTION("""COMPUTED_VALUE"""),"KP/000913")</f>
        <v>KP/000913</v>
      </c>
      <c r="B100" s="2" t="str">
        <f ca="1">IFERROR(__xludf.DUMMYFUNCTION("""COMPUTED_VALUE"""),"Verkeersveiligheid")</f>
        <v>Verkeersveiligheid</v>
      </c>
      <c r="C100" s="2" t="str">
        <f ca="1">IFERROR(__xludf.DUMMYFUNCTION("""COMPUTED_VALUE"""),"Schoolroute")</f>
        <v>Schoolroute</v>
      </c>
      <c r="D100" s="2" t="str">
        <f ca="1">IFERROR(__xludf.DUMMYFUNCTION("""COMPUTED_VALUE"""),"IN/000799")</f>
        <v>IN/000799</v>
      </c>
      <c r="E100" s="2" t="str">
        <f ca="1">IFERROR(__xludf.DUMMYFUNCTION("UNIQUE(FILTER('export kabinetdashboard 1210202'!N:P,'export kabinetdashboard 1210202'!M:M=D100))"),"blokkenmarkering aanbrengen + punctuele verlichting")</f>
        <v>blokkenmarkering aanbrengen + punctuele verlichting</v>
      </c>
      <c r="F100" s="2" t="str">
        <f ca="1">IFERROR(__xludf.DUMMYFUNCTION("""COMPUTED_VALUE"""),"2021 - Q3")</f>
        <v>2021 - Q3</v>
      </c>
      <c r="G100" s="2" t="str">
        <f ca="1">IFERROR(__xludf.DUMMYFUNCTION("""COMPUTED_VALUE"""),"2021 - Q4")</f>
        <v>2021 - Q4</v>
      </c>
      <c r="H100" s="2">
        <f ca="1">SUMIFS('bedragen KIM (budgettering &amp; pl'!S:S,'bedragen KIM (budgettering &amp; pl'!B:B,A100,'bedragen KIM (budgettering &amp; pl'!F:F,D100)</f>
        <v>526.20000000000005</v>
      </c>
      <c r="I100" s="2" t="e">
        <f ca="1">SUMIFS(#REF!,#REF!,A100,#REF!,D100)</f>
        <v>#REF!</v>
      </c>
      <c r="J100" s="2" t="e">
        <f ca="1">SUMIFS(#REF!,#REF!,A100,#REF!,D100)</f>
        <v>#REF!</v>
      </c>
    </row>
    <row r="101" spans="1:10" ht="12.5" x14ac:dyDescent="0.25">
      <c r="A101" s="2" t="str">
        <f ca="1">IFERROR(__xludf.DUMMYFUNCTION("""COMPUTED_VALUE"""),"KP/000914")</f>
        <v>KP/000914</v>
      </c>
      <c r="B101" s="2" t="str">
        <f ca="1">IFERROR(__xludf.DUMMYFUNCTION("""COMPUTED_VALUE"""),"Verkeersveiligheid")</f>
        <v>Verkeersveiligheid</v>
      </c>
      <c r="C101" s="2" t="str">
        <f ca="1">IFERROR(__xludf.DUMMYFUNCTION("""COMPUTED_VALUE"""),"Schoolroute")</f>
        <v>Schoolroute</v>
      </c>
      <c r="D101" s="2" t="str">
        <f ca="1">IFERROR(__xludf.DUMMYFUNCTION("""COMPUTED_VALUE"""),"IN/000800")</f>
        <v>IN/000800</v>
      </c>
      <c r="E101" s="2" t="str">
        <f ca="1">IFERROR(__xludf.DUMMYFUNCTION("UNIQUE(FILTER('export kabinetdashboard 1210202'!N:P,'export kabinetdashboard 1210202'!M:M=D101))"),"stukje fietspad herstellen/effenen")</f>
        <v>stukje fietspad herstellen/effenen</v>
      </c>
      <c r="F101" s="2" t="str">
        <f ca="1">IFERROR(__xludf.DUMMYFUNCTION("""COMPUTED_VALUE"""),"2021 - Q3")</f>
        <v>2021 - Q3</v>
      </c>
      <c r="G101" s="2" t="str">
        <f ca="1">IFERROR(__xludf.DUMMYFUNCTION("""COMPUTED_VALUE"""),"2022 - Q1")</f>
        <v>2022 - Q1</v>
      </c>
      <c r="H101" s="2">
        <f ca="1">SUMIFS('bedragen KIM (budgettering &amp; pl'!S:S,'bedragen KIM (budgettering &amp; pl'!B:B,A101,'bedragen KIM (budgettering &amp; pl'!F:F,D101)</f>
        <v>5320</v>
      </c>
      <c r="I101" s="2" t="e">
        <f ca="1">SUMIFS(#REF!,#REF!,A101,#REF!,D101)</f>
        <v>#REF!</v>
      </c>
      <c r="J101" s="2" t="e">
        <f ca="1">SUMIFS(#REF!,#REF!,A101,#REF!,D101)</f>
        <v>#REF!</v>
      </c>
    </row>
    <row r="102" spans="1:10" ht="12.5" x14ac:dyDescent="0.25">
      <c r="A102" s="2" t="str">
        <f ca="1">IFERROR(__xludf.DUMMYFUNCTION("""COMPUTED_VALUE"""),"KP/000915")</f>
        <v>KP/000915</v>
      </c>
      <c r="B102" s="2" t="str">
        <f ca="1">IFERROR(__xludf.DUMMYFUNCTION("""COMPUTED_VALUE"""),"Verkeersveiligheid")</f>
        <v>Verkeersveiligheid</v>
      </c>
      <c r="C102" s="2" t="str">
        <f ca="1">IFERROR(__xludf.DUMMYFUNCTION("""COMPUTED_VALUE"""),"Schoolroute")</f>
        <v>Schoolroute</v>
      </c>
      <c r="D102" s="2" t="str">
        <f ca="1">IFERROR(__xludf.DUMMYFUNCTION("""COMPUTED_VALUE"""),"IN/000801")</f>
        <v>IN/000801</v>
      </c>
      <c r="E102" s="2" t="str">
        <f ca="1">IFERROR(__xludf.DUMMYFUNCTION("UNIQUE(FILTER('export kabinetdashboard 1210202'!N:P,'export kabinetdashboard 1210202'!M:M=D102))"),"herstelling fietspad en extra VOP")</f>
        <v>herstelling fietspad en extra VOP</v>
      </c>
      <c r="F102" s="2" t="str">
        <f ca="1">IFERROR(__xludf.DUMMYFUNCTION("""COMPUTED_VALUE"""),"2021 - Q4")</f>
        <v>2021 - Q4</v>
      </c>
      <c r="G102" s="2" t="str">
        <f ca="1">IFERROR(__xludf.DUMMYFUNCTION("""COMPUTED_VALUE"""),"2021 - Q4")</f>
        <v>2021 - Q4</v>
      </c>
      <c r="H102" s="2">
        <f ca="1">SUMIFS('bedragen KIM (budgettering &amp; pl'!S:S,'bedragen KIM (budgettering &amp; pl'!B:B,A102,'bedragen KIM (budgettering &amp; pl'!F:F,D102)</f>
        <v>12652</v>
      </c>
      <c r="I102" s="2" t="e">
        <f ca="1">SUMIFS(#REF!,#REF!,A102,#REF!,D102)</f>
        <v>#REF!</v>
      </c>
      <c r="J102" s="2" t="e">
        <f ca="1">SUMIFS(#REF!,#REF!,A102,#REF!,D102)</f>
        <v>#REF!</v>
      </c>
    </row>
    <row r="103" spans="1:10" ht="12.5" x14ac:dyDescent="0.25">
      <c r="A103" s="2" t="str">
        <f ca="1">IFERROR(__xludf.DUMMYFUNCTION("""COMPUTED_VALUE"""),"KP/000916")</f>
        <v>KP/000916</v>
      </c>
      <c r="B103" s="2" t="str">
        <f ca="1">IFERROR(__xludf.DUMMYFUNCTION("""COMPUTED_VALUE"""),"Verkeersveiligheid")</f>
        <v>Verkeersveiligheid</v>
      </c>
      <c r="C103" s="2" t="str">
        <f ca="1">IFERROR(__xludf.DUMMYFUNCTION("""COMPUTED_VALUE"""),"Schoolroute")</f>
        <v>Schoolroute</v>
      </c>
      <c r="D103" s="2" t="str">
        <f ca="1">IFERROR(__xludf.DUMMYFUNCTION("""COMPUTED_VALUE"""),"IN/000802")</f>
        <v>IN/000802</v>
      </c>
      <c r="E103" s="2" t="str">
        <f ca="1">IFERROR(__xludf.DUMMYFUNCTION("UNIQUE(FILTER('export kabinetdashboard 1210202'!N:P,'export kabinetdashboard 1210202'!M:M=D103))"),"")</f>
        <v/>
      </c>
      <c r="F103" s="2" t="str">
        <f ca="1">IFERROR(__xludf.DUMMYFUNCTION("""COMPUTED_VALUE"""),"2022 - Q4")</f>
        <v>2022 - Q4</v>
      </c>
      <c r="G103" s="2" t="str">
        <f ca="1">IFERROR(__xludf.DUMMYFUNCTION("""COMPUTED_VALUE"""),"n.t.b.")</f>
        <v>n.t.b.</v>
      </c>
      <c r="H103" s="2">
        <f ca="1">SUMIFS('bedragen KIM (budgettering &amp; pl'!S:S,'bedragen KIM (budgettering &amp; pl'!B:B,A103,'bedragen KIM (budgettering &amp; pl'!F:F,D103)</f>
        <v>10000</v>
      </c>
      <c r="I103" s="2" t="e">
        <f ca="1">SUMIFS(#REF!,#REF!,A103,#REF!,D103)</f>
        <v>#REF!</v>
      </c>
      <c r="J103" s="2" t="e">
        <f ca="1">SUMIFS(#REF!,#REF!,A103,#REF!,D103)</f>
        <v>#REF!</v>
      </c>
    </row>
    <row r="104" spans="1:10" ht="12.5" x14ac:dyDescent="0.25">
      <c r="A104" s="2" t="str">
        <f ca="1">IFERROR(__xludf.DUMMYFUNCTION("""COMPUTED_VALUE"""),"KP/000918")</f>
        <v>KP/000918</v>
      </c>
      <c r="B104" s="2" t="str">
        <f ca="1">IFERROR(__xludf.DUMMYFUNCTION("""COMPUTED_VALUE"""),"Verkeersveiligheid")</f>
        <v>Verkeersveiligheid</v>
      </c>
      <c r="C104" s="2" t="str">
        <f ca="1">IFERROR(__xludf.DUMMYFUNCTION("""COMPUTED_VALUE"""),"Schoolroute")</f>
        <v>Schoolroute</v>
      </c>
      <c r="D104" s="2" t="str">
        <f ca="1">IFERROR(__xludf.DUMMYFUNCTION("""COMPUTED_VALUE"""),"IN/000803")</f>
        <v>IN/000803</v>
      </c>
      <c r="E104" s="2" t="str">
        <f ca="1">IFERROR(__xludf.DUMMYFUNCTION("UNIQUE(FILTER('export kabinetdashboard 1210202'!N:P,'export kabinetdashboard 1210202'!M:M=D104))"),"snelheidsverlaging &gt; 50 (samen met KS 175)")</f>
        <v>snelheidsverlaging &gt; 50 (samen met KS 175)</v>
      </c>
      <c r="F104" s="2" t="str">
        <f ca="1">IFERROR(__xludf.DUMMYFUNCTION("""COMPUTED_VALUE"""),"2021 - Q3")</f>
        <v>2021 - Q3</v>
      </c>
      <c r="G104" s="2" t="str">
        <f ca="1">IFERROR(__xludf.DUMMYFUNCTION("""COMPUTED_VALUE"""),"2021 - Q3")</f>
        <v>2021 - Q3</v>
      </c>
      <c r="H104" s="2">
        <f ca="1">SUMIFS('bedragen KIM (budgettering &amp; pl'!S:S,'bedragen KIM (budgettering &amp; pl'!B:B,A104,'bedragen KIM (budgettering &amp; pl'!F:F,D104)</f>
        <v>828</v>
      </c>
      <c r="I104" s="2" t="e">
        <f ca="1">SUMIFS(#REF!,#REF!,A104,#REF!,D104)</f>
        <v>#REF!</v>
      </c>
      <c r="J104" s="2" t="e">
        <f ca="1">SUMIFS(#REF!,#REF!,A104,#REF!,D104)</f>
        <v>#REF!</v>
      </c>
    </row>
    <row r="105" spans="1:10" ht="12.5" x14ac:dyDescent="0.25">
      <c r="A105" s="2" t="str">
        <f ca="1">IFERROR(__xludf.DUMMYFUNCTION("""COMPUTED_VALUE"""),"KP/000919")</f>
        <v>KP/000919</v>
      </c>
      <c r="B105" s="2" t="str">
        <f ca="1">IFERROR(__xludf.DUMMYFUNCTION("""COMPUTED_VALUE"""),"Verkeersveiligheid")</f>
        <v>Verkeersveiligheid</v>
      </c>
      <c r="C105" s="2" t="str">
        <f ca="1">IFERROR(__xludf.DUMMYFUNCTION("""COMPUTED_VALUE"""),"Schoolroute")</f>
        <v>Schoolroute</v>
      </c>
      <c r="D105" s="2" t="str">
        <f ca="1">IFERROR(__xludf.DUMMYFUNCTION("""COMPUTED_VALUE"""),"IN/000804")</f>
        <v>IN/000804</v>
      </c>
      <c r="E105" s="2" t="str">
        <f ca="1">IFERROR(__xludf.DUMMYFUNCTION("UNIQUE(FILTER('export kabinetdashboard 1210202'!N:P,'export kabinetdashboard 1210202'!M:M=D105))"),"snelheidsverlaging &gt; 50")</f>
        <v>snelheidsverlaging &gt; 50</v>
      </c>
      <c r="F105" s="2" t="str">
        <f ca="1">IFERROR(__xludf.DUMMYFUNCTION("""COMPUTED_VALUE"""),"2021 - Q3")</f>
        <v>2021 - Q3</v>
      </c>
      <c r="G105" s="2" t="str">
        <f ca="1">IFERROR(__xludf.DUMMYFUNCTION("""COMPUTED_VALUE"""),"2021 - Q3")</f>
        <v>2021 - Q3</v>
      </c>
      <c r="H105" s="2">
        <f ca="1">SUMIFS('bedragen KIM (budgettering &amp; pl'!S:S,'bedragen KIM (budgettering &amp; pl'!B:B,A105,'bedragen KIM (budgettering &amp; pl'!F:F,D105)</f>
        <v>0</v>
      </c>
      <c r="I105" s="2" t="e">
        <f ca="1">SUMIFS(#REF!,#REF!,A105,#REF!,D105)</f>
        <v>#REF!</v>
      </c>
      <c r="J105" s="2" t="e">
        <f ca="1">SUMIFS(#REF!,#REF!,A105,#REF!,D105)</f>
        <v>#REF!</v>
      </c>
    </row>
    <row r="106" spans="1:10" ht="12.5" x14ac:dyDescent="0.25">
      <c r="A106" s="2" t="str">
        <f ca="1">IFERROR(__xludf.DUMMYFUNCTION("""COMPUTED_VALUE"""),"KP/000921")</f>
        <v>KP/000921</v>
      </c>
      <c r="B106" s="2" t="str">
        <f ca="1">IFERROR(__xludf.DUMMYFUNCTION("""COMPUTED_VALUE"""),"Verkeersveiligheid")</f>
        <v>Verkeersveiligheid</v>
      </c>
      <c r="C106" s="2" t="str">
        <f ca="1">IFERROR(__xludf.DUMMYFUNCTION("""COMPUTED_VALUE"""),"Schoolroute")</f>
        <v>Schoolroute</v>
      </c>
      <c r="D106" s="2" t="str">
        <f ca="1">IFERROR(__xludf.DUMMYFUNCTION("""COMPUTED_VALUE"""),"IN/000805")</f>
        <v>IN/000805</v>
      </c>
      <c r="E106" s="2" t="str">
        <f ca="1">IFERROR(__xludf.DUMMYFUNCTION("UNIQUE(FILTER('export kabinetdashboard 1210202'!N:P,'export kabinetdashboard 1210202'!M:M=D106))"),"volle aslijn in aanloop naar het kruispunt (beide richtingen).")</f>
        <v>volle aslijn in aanloop naar het kruispunt (beide richtingen).</v>
      </c>
      <c r="F106" s="2" t="str">
        <f ca="1">IFERROR(__xludf.DUMMYFUNCTION("""COMPUTED_VALUE"""),"2022 - Q4")</f>
        <v>2022 - Q4</v>
      </c>
      <c r="G106" s="2" t="str">
        <f ca="1">IFERROR(__xludf.DUMMYFUNCTION("""COMPUTED_VALUE"""),"n.t.b.")</f>
        <v>n.t.b.</v>
      </c>
      <c r="H106" s="2">
        <f ca="1">SUMIFS('bedragen KIM (budgettering &amp; pl'!S:S,'bedragen KIM (budgettering &amp; pl'!B:B,A106,'bedragen KIM (budgettering &amp; pl'!F:F,D106)</f>
        <v>10000</v>
      </c>
      <c r="I106" s="2" t="e">
        <f ca="1">SUMIFS(#REF!,#REF!,A106,#REF!,D106)</f>
        <v>#REF!</v>
      </c>
      <c r="J106" s="2" t="e">
        <f ca="1">SUMIFS(#REF!,#REF!,A106,#REF!,D106)</f>
        <v>#REF!</v>
      </c>
    </row>
    <row r="107" spans="1:10" ht="12.5" x14ac:dyDescent="0.25">
      <c r="A107" s="2" t="str">
        <f ca="1">IFERROR(__xludf.DUMMYFUNCTION("""COMPUTED_VALUE"""),"KP/000924")</f>
        <v>KP/000924</v>
      </c>
      <c r="B107" s="2" t="str">
        <f ca="1">IFERROR(__xludf.DUMMYFUNCTION("""COMPUTED_VALUE"""),"Verkeersveiligheid")</f>
        <v>Verkeersveiligheid</v>
      </c>
      <c r="C107" s="2" t="str">
        <f ca="1">IFERROR(__xludf.DUMMYFUNCTION("""COMPUTED_VALUE"""),"Schoolroute")</f>
        <v>Schoolroute</v>
      </c>
      <c r="D107" s="2" t="str">
        <f ca="1">IFERROR(__xludf.DUMMYFUNCTION("""COMPUTED_VALUE"""),"IN/000806")</f>
        <v>IN/000806</v>
      </c>
      <c r="E107" s="2" t="str">
        <f ca="1">IFERROR(__xludf.DUMMYFUNCTION("UNIQUE(FILTER('export kabinetdashboard 1210202'!N:P,'export kabinetdashboard 1210202'!M:M=D107))"),"")</f>
        <v/>
      </c>
      <c r="F107" s="2" t="str">
        <f ca="1">IFERROR(__xludf.DUMMYFUNCTION("""COMPUTED_VALUE"""),"2023 - Q2")</f>
        <v>2023 - Q2</v>
      </c>
      <c r="G107" s="2" t="str">
        <f ca="1">IFERROR(__xludf.DUMMYFUNCTION("""COMPUTED_VALUE"""),"n.t.b.")</f>
        <v>n.t.b.</v>
      </c>
      <c r="H107" s="2">
        <f ca="1">SUMIFS('bedragen KIM (budgettering &amp; pl'!S:S,'bedragen KIM (budgettering &amp; pl'!B:B,A107,'bedragen KIM (budgettering &amp; pl'!F:F,D107)</f>
        <v>100000</v>
      </c>
      <c r="I107" s="2" t="e">
        <f ca="1">SUMIFS(#REF!,#REF!,A107,#REF!,D107)</f>
        <v>#REF!</v>
      </c>
      <c r="J107" s="2" t="e">
        <f ca="1">SUMIFS(#REF!,#REF!,A107,#REF!,D107)</f>
        <v>#REF!</v>
      </c>
    </row>
    <row r="108" spans="1:10" ht="12.5" x14ac:dyDescent="0.25">
      <c r="A108" s="2" t="str">
        <f ca="1">IFERROR(__xludf.DUMMYFUNCTION("""COMPUTED_VALUE"""),"KP/000925")</f>
        <v>KP/000925</v>
      </c>
      <c r="B108" s="2" t="str">
        <f ca="1">IFERROR(__xludf.DUMMYFUNCTION("""COMPUTED_VALUE"""),"Verkeersveiligheid")</f>
        <v>Verkeersveiligheid</v>
      </c>
      <c r="C108" s="2" t="str">
        <f ca="1">IFERROR(__xludf.DUMMYFUNCTION("""COMPUTED_VALUE"""),"Schoolroute")</f>
        <v>Schoolroute</v>
      </c>
      <c r="D108" s="2" t="str">
        <f ca="1">IFERROR(__xludf.DUMMYFUNCTION("""COMPUTED_VALUE"""),"IN/000807")</f>
        <v>IN/000807</v>
      </c>
      <c r="E108" s="2" t="str">
        <f ca="1">IFERROR(__xludf.DUMMYFUNCTION("UNIQUE(FILTER('export kabinetdashboard 1210202'!N:P,'export kabinetdashboard 1210202'!M:M=D108))"),"")</f>
        <v/>
      </c>
      <c r="F108" s="2" t="str">
        <f ca="1">IFERROR(__xludf.DUMMYFUNCTION("""COMPUTED_VALUE"""),"2022 - Q4")</f>
        <v>2022 - Q4</v>
      </c>
      <c r="G108" s="2" t="str">
        <f ca="1">IFERROR(__xludf.DUMMYFUNCTION("""COMPUTED_VALUE"""),"n.t.b.")</f>
        <v>n.t.b.</v>
      </c>
      <c r="H108" s="2">
        <f ca="1">SUMIFS('bedragen KIM (budgettering &amp; pl'!S:S,'bedragen KIM (budgettering &amp; pl'!B:B,A108,'bedragen KIM (budgettering &amp; pl'!F:F,D108)</f>
        <v>837</v>
      </c>
      <c r="I108" s="2" t="e">
        <f ca="1">SUMIFS(#REF!,#REF!,A108,#REF!,D108)</f>
        <v>#REF!</v>
      </c>
      <c r="J108" s="2" t="e">
        <f ca="1">SUMIFS(#REF!,#REF!,A108,#REF!,D108)</f>
        <v>#REF!</v>
      </c>
    </row>
    <row r="109" spans="1:10" ht="12.5" x14ac:dyDescent="0.25">
      <c r="A109" s="2" t="str">
        <f ca="1">IFERROR(__xludf.DUMMYFUNCTION("""COMPUTED_VALUE"""),"KP/000929")</f>
        <v>KP/000929</v>
      </c>
      <c r="B109" s="2" t="str">
        <f ca="1">IFERROR(__xludf.DUMMYFUNCTION("""COMPUTED_VALUE"""),"Verkeersveiligheid")</f>
        <v>Verkeersveiligheid</v>
      </c>
      <c r="C109" s="2" t="str">
        <f ca="1">IFERROR(__xludf.DUMMYFUNCTION("""COMPUTED_VALUE"""),"Schoolroute")</f>
        <v>Schoolroute</v>
      </c>
      <c r="D109" s="2" t="str">
        <f ca="1">IFERROR(__xludf.DUMMYFUNCTION("""COMPUTED_VALUE"""),"IN/000808")</f>
        <v>IN/000808</v>
      </c>
      <c r="E109" s="2" t="str">
        <f ca="1">IFERROR(__xludf.DUMMYFUNCTION("UNIQUE(FILTER('export kabinetdashboard 1210202'!N:P,'export kabinetdashboard 1210202'!M:M=D109))"),"")</f>
        <v/>
      </c>
      <c r="F109" s="2" t="str">
        <f ca="1">IFERROR(__xludf.DUMMYFUNCTION("""COMPUTED_VALUE"""),"2022 - Q3")</f>
        <v>2022 - Q3</v>
      </c>
      <c r="G109" s="2" t="str">
        <f ca="1">IFERROR(__xludf.DUMMYFUNCTION("""COMPUTED_VALUE"""),"2022 - Q3")</f>
        <v>2022 - Q3</v>
      </c>
      <c r="H109" s="2">
        <f ca="1">SUMIFS('bedragen KIM (budgettering &amp; pl'!S:S,'bedragen KIM (budgettering &amp; pl'!B:B,A109,'bedragen KIM (budgettering &amp; pl'!F:F,D109)</f>
        <v>30000</v>
      </c>
      <c r="I109" s="2" t="e">
        <f ca="1">SUMIFS(#REF!,#REF!,A109,#REF!,D109)</f>
        <v>#REF!</v>
      </c>
      <c r="J109" s="2" t="e">
        <f ca="1">SUMIFS(#REF!,#REF!,A109,#REF!,D109)</f>
        <v>#REF!</v>
      </c>
    </row>
    <row r="110" spans="1:10" ht="12.5" x14ac:dyDescent="0.25">
      <c r="A110" s="2" t="str">
        <f ca="1">IFERROR(__xludf.DUMMYFUNCTION("""COMPUTED_VALUE"""),"KP/000932")</f>
        <v>KP/000932</v>
      </c>
      <c r="B110" s="2" t="str">
        <f ca="1">IFERROR(__xludf.DUMMYFUNCTION("""COMPUTED_VALUE"""),"Verkeersveiligheid")</f>
        <v>Verkeersveiligheid</v>
      </c>
      <c r="C110" s="2" t="str">
        <f ca="1">IFERROR(__xludf.DUMMYFUNCTION("""COMPUTED_VALUE"""),"Schoolroute")</f>
        <v>Schoolroute</v>
      </c>
      <c r="D110" s="2" t="str">
        <f ca="1">IFERROR(__xludf.DUMMYFUNCTION("""COMPUTED_VALUE"""),"IN/000809")</f>
        <v>IN/000809</v>
      </c>
      <c r="E110" s="2" t="str">
        <f ca="1">IFERROR(__xludf.DUMMYFUNCTION("UNIQUE(FILTER('export kabinetdashboard 1210202'!N:P,'export kabinetdashboard 1210202'!M:M=D110))"),"Heraanleg kruisput + VRI + Toeganelijkehaltes")</f>
        <v>Heraanleg kruisput + VRI + Toeganelijkehaltes</v>
      </c>
      <c r="F110" s="2" t="str">
        <f ca="1">IFERROR(__xludf.DUMMYFUNCTION("""COMPUTED_VALUE"""),"2023 - Q1")</f>
        <v>2023 - Q1</v>
      </c>
      <c r="G110" s="2" t="str">
        <f ca="1">IFERROR(__xludf.DUMMYFUNCTION("""COMPUTED_VALUE"""),"n.t.b.")</f>
        <v>n.t.b.</v>
      </c>
      <c r="H110" s="2">
        <f ca="1">SUMIFS('bedragen KIM (budgettering &amp; pl'!S:S,'bedragen KIM (budgettering &amp; pl'!B:B,A110,'bedragen KIM (budgettering &amp; pl'!F:F,D110)</f>
        <v>200000</v>
      </c>
      <c r="I110" s="2" t="e">
        <f ca="1">SUMIFS(#REF!,#REF!,A110,#REF!,D110)</f>
        <v>#REF!</v>
      </c>
      <c r="J110" s="2" t="e">
        <f ca="1">SUMIFS(#REF!,#REF!,A110,#REF!,D110)</f>
        <v>#REF!</v>
      </c>
    </row>
    <row r="111" spans="1:10" ht="12.5" x14ac:dyDescent="0.25">
      <c r="A111" s="2" t="str">
        <f ca="1">IFERROR(__xludf.DUMMYFUNCTION("""COMPUTED_VALUE"""),"KP/000931")</f>
        <v>KP/000931</v>
      </c>
      <c r="B111" s="2" t="str">
        <f ca="1">IFERROR(__xludf.DUMMYFUNCTION("""COMPUTED_VALUE"""),"Verkeersveiligheid")</f>
        <v>Verkeersveiligheid</v>
      </c>
      <c r="C111" s="2" t="str">
        <f ca="1">IFERROR(__xludf.DUMMYFUNCTION("""COMPUTED_VALUE"""),"Schoolroute")</f>
        <v>Schoolroute</v>
      </c>
      <c r="D111" s="2" t="str">
        <f ca="1">IFERROR(__xludf.DUMMYFUNCTION("""COMPUTED_VALUE"""),"IN/000810")</f>
        <v>IN/000810</v>
      </c>
      <c r="E111" s="2" t="str">
        <f ca="1">IFERROR(__xludf.DUMMYFUNCTION("UNIQUE(FILTER('export kabinetdashboard 1210202'!N:P,'export kabinetdashboard 1210202'!M:M=D111))"),"PCV AN313")</f>
        <v>PCV AN313</v>
      </c>
      <c r="F111" s="2" t="str">
        <f ca="1">IFERROR(__xludf.DUMMYFUNCTION("""COMPUTED_VALUE"""),"2023 - Q4")</f>
        <v>2023 - Q4</v>
      </c>
      <c r="G111" s="2" t="str">
        <f ca="1">IFERROR(__xludf.DUMMYFUNCTION("""COMPUTED_VALUE"""),"n.t.b.")</f>
        <v>n.t.b.</v>
      </c>
      <c r="H111" s="2">
        <f ca="1">SUMIFS('bedragen KIM (budgettering &amp; pl'!S:S,'bedragen KIM (budgettering &amp; pl'!B:B,A111,'bedragen KIM (budgettering &amp; pl'!F:F,D111)</f>
        <v>0</v>
      </c>
      <c r="I111" s="2" t="e">
        <f ca="1">SUMIFS(#REF!,#REF!,A111,#REF!,D111)</f>
        <v>#REF!</v>
      </c>
      <c r="J111" s="2" t="e">
        <f ca="1">SUMIFS(#REF!,#REF!,A111,#REF!,D111)</f>
        <v>#REF!</v>
      </c>
    </row>
    <row r="112" spans="1:10" ht="12.5" x14ac:dyDescent="0.25">
      <c r="A112" s="2" t="str">
        <f ca="1">IFERROR(__xludf.DUMMYFUNCTION("""COMPUTED_VALUE"""),"KP/000933")</f>
        <v>KP/000933</v>
      </c>
      <c r="B112" s="2" t="str">
        <f ca="1">IFERROR(__xludf.DUMMYFUNCTION("""COMPUTED_VALUE"""),"Verkeersveiligheid")</f>
        <v>Verkeersveiligheid</v>
      </c>
      <c r="C112" s="2" t="str">
        <f ca="1">IFERROR(__xludf.DUMMYFUNCTION("""COMPUTED_VALUE"""),"Schoolroute")</f>
        <v>Schoolroute</v>
      </c>
      <c r="D112" s="2" t="str">
        <f ca="1">IFERROR(__xludf.DUMMYFUNCTION("""COMPUTED_VALUE"""),"IN/000810")</f>
        <v>IN/000810</v>
      </c>
      <c r="E112" s="2" t="str">
        <f ca="1">IFERROR(__xludf.DUMMYFUNCTION("UNIQUE(FILTER('export kabinetdashboard 1210202'!N:P,'export kabinetdashboard 1210202'!M:M=D112))"),"PCV AN313")</f>
        <v>PCV AN313</v>
      </c>
      <c r="F112" s="2" t="str">
        <f ca="1">IFERROR(__xludf.DUMMYFUNCTION("""COMPUTED_VALUE"""),"2023 - Q4")</f>
        <v>2023 - Q4</v>
      </c>
      <c r="G112" s="2" t="str">
        <f ca="1">IFERROR(__xludf.DUMMYFUNCTION("""COMPUTED_VALUE"""),"n.t.b.")</f>
        <v>n.t.b.</v>
      </c>
      <c r="H112" s="2">
        <f ca="1">SUMIFS('bedragen KIM (budgettering &amp; pl'!S:S,'bedragen KIM (budgettering &amp; pl'!B:B,A112,'bedragen KIM (budgettering &amp; pl'!F:F,D112)</f>
        <v>0</v>
      </c>
      <c r="I112" s="2" t="e">
        <f ca="1">SUMIFS(#REF!,#REF!,A112,#REF!,D112)</f>
        <v>#REF!</v>
      </c>
      <c r="J112" s="2" t="e">
        <f ca="1">SUMIFS(#REF!,#REF!,A112,#REF!,D112)</f>
        <v>#REF!</v>
      </c>
    </row>
    <row r="113" spans="1:10" ht="12.5" x14ac:dyDescent="0.25">
      <c r="A113" s="2" t="str">
        <f ca="1">IFERROR(__xludf.DUMMYFUNCTION("""COMPUTED_VALUE"""),"KP/000936")</f>
        <v>KP/000936</v>
      </c>
      <c r="B113" s="2" t="str">
        <f ca="1">IFERROR(__xludf.DUMMYFUNCTION("""COMPUTED_VALUE"""),"Verkeersveiligheid")</f>
        <v>Verkeersveiligheid</v>
      </c>
      <c r="C113" s="2" t="str">
        <f ca="1">IFERROR(__xludf.DUMMYFUNCTION("""COMPUTED_VALUE"""),"Schoolroute")</f>
        <v>Schoolroute</v>
      </c>
      <c r="D113" s="2" t="str">
        <f ca="1">IFERROR(__xludf.DUMMYFUNCTION("""COMPUTED_VALUE"""),"IN/000811")</f>
        <v>IN/000811</v>
      </c>
      <c r="E113" s="2" t="str">
        <f ca="1">IFERROR(__xludf.DUMMYFUNCTION("UNIQUE(FILTER('export kabinetdashboard 1210202'!N:P,'export kabinetdashboard 1210202'!M:M=D113))"),"Trajectcontrole: geen actie nodig; gemeente gaat zelf installeren onder GAS5")</f>
        <v>Trajectcontrole: geen actie nodig; gemeente gaat zelf installeren onder GAS5</v>
      </c>
      <c r="F113" s="2" t="str">
        <f ca="1">IFERROR(__xludf.DUMMYFUNCTION("""COMPUTED_VALUE"""),"n.t.b.")</f>
        <v>n.t.b.</v>
      </c>
      <c r="G113" s="2" t="str">
        <f ca="1">IFERROR(__xludf.DUMMYFUNCTION("""COMPUTED_VALUE"""),"n.t.b.")</f>
        <v>n.t.b.</v>
      </c>
      <c r="H113" s="2">
        <f ca="1">SUMIFS('bedragen KIM (budgettering &amp; pl'!S:S,'bedragen KIM (budgettering &amp; pl'!B:B,A113,'bedragen KIM (budgettering &amp; pl'!F:F,D113)</f>
        <v>150000</v>
      </c>
      <c r="I113" s="2" t="e">
        <f ca="1">SUMIFS(#REF!,#REF!,A113,#REF!,D113)</f>
        <v>#REF!</v>
      </c>
      <c r="J113" s="2" t="e">
        <f ca="1">SUMIFS(#REF!,#REF!,A113,#REF!,D113)</f>
        <v>#REF!</v>
      </c>
    </row>
    <row r="114" spans="1:10" ht="12.5" x14ac:dyDescent="0.25">
      <c r="A114" s="2" t="str">
        <f ca="1">IFERROR(__xludf.DUMMYFUNCTION("""COMPUTED_VALUE"""),"KP/000937")</f>
        <v>KP/000937</v>
      </c>
      <c r="B114" s="2" t="str">
        <f ca="1">IFERROR(__xludf.DUMMYFUNCTION("""COMPUTED_VALUE"""),"Verkeersveiligheid")</f>
        <v>Verkeersveiligheid</v>
      </c>
      <c r="C114" s="2" t="str">
        <f ca="1">IFERROR(__xludf.DUMMYFUNCTION("""COMPUTED_VALUE"""),"Schoolroute")</f>
        <v>Schoolroute</v>
      </c>
      <c r="D114" s="2" t="str">
        <f ca="1">IFERROR(__xludf.DUMMYFUNCTION("""COMPUTED_VALUE"""),"IN/000812")</f>
        <v>IN/000812</v>
      </c>
      <c r="E114" s="2" t="str">
        <f ca="1">IFERROR(__xludf.DUMMYFUNCTION("UNIQUE(FILTER('export kabinetdashboard 1210202'!N:P,'export kabinetdashboard 1210202'!M:M=D114))"),"")</f>
        <v/>
      </c>
      <c r="F114" s="2" t="str">
        <f ca="1">IFERROR(__xludf.DUMMYFUNCTION("""COMPUTED_VALUE"""),"n.t.b.")</f>
        <v>n.t.b.</v>
      </c>
      <c r="G114" s="2" t="str">
        <f ca="1">IFERROR(__xludf.DUMMYFUNCTION("""COMPUTED_VALUE"""),"n.t.b.")</f>
        <v>n.t.b.</v>
      </c>
      <c r="H114" s="2">
        <f ca="1">SUMIFS('bedragen KIM (budgettering &amp; pl'!S:S,'bedragen KIM (budgettering &amp; pl'!B:B,A114,'bedragen KIM (budgettering &amp; pl'!F:F,D114)</f>
        <v>500</v>
      </c>
      <c r="I114" s="2" t="e">
        <f ca="1">SUMIFS(#REF!,#REF!,A114,#REF!,D114)</f>
        <v>#REF!</v>
      </c>
      <c r="J114" s="2" t="e">
        <f ca="1">SUMIFS(#REF!,#REF!,A114,#REF!,D114)</f>
        <v>#REF!</v>
      </c>
    </row>
    <row r="115" spans="1:10" ht="12.5" x14ac:dyDescent="0.25">
      <c r="A115" s="2" t="str">
        <f ca="1">IFERROR(__xludf.DUMMYFUNCTION("""COMPUTED_VALUE"""),"KP/000939")</f>
        <v>KP/000939</v>
      </c>
      <c r="B115" s="2" t="str">
        <f ca="1">IFERROR(__xludf.DUMMYFUNCTION("""COMPUTED_VALUE"""),"Verkeersveiligheid")</f>
        <v>Verkeersveiligheid</v>
      </c>
      <c r="C115" s="2" t="str">
        <f ca="1">IFERROR(__xludf.DUMMYFUNCTION("""COMPUTED_VALUE"""),"Schoolroute")</f>
        <v>Schoolroute</v>
      </c>
      <c r="D115" s="2" t="str">
        <f ca="1">IFERROR(__xludf.DUMMYFUNCTION("""COMPUTED_VALUE"""),"IN/000813")</f>
        <v>IN/000813</v>
      </c>
      <c r="E115" s="2" t="str">
        <f ca="1">IFERROR(__xludf.DUMMYFUNCTION("UNIQUE(FILTER('export kabinetdashboard 1210202'!N:P,'export kabinetdashboard 1210202'!M:M=D115))"),"")</f>
        <v/>
      </c>
      <c r="F115" s="2" t="str">
        <f ca="1">IFERROR(__xludf.DUMMYFUNCTION("""COMPUTED_VALUE"""),"n.t.b.")</f>
        <v>n.t.b.</v>
      </c>
      <c r="G115" s="2" t="str">
        <f ca="1">IFERROR(__xludf.DUMMYFUNCTION("""COMPUTED_VALUE"""),"n.t.b.")</f>
        <v>n.t.b.</v>
      </c>
      <c r="H115" s="2">
        <f ca="1">SUMIFS('bedragen KIM (budgettering &amp; pl'!S:S,'bedragen KIM (budgettering &amp; pl'!B:B,A115,'bedragen KIM (budgettering &amp; pl'!F:F,D115)</f>
        <v>35000</v>
      </c>
      <c r="I115" s="2" t="e">
        <f ca="1">SUMIFS(#REF!,#REF!,A115,#REF!,D115)</f>
        <v>#REF!</v>
      </c>
      <c r="J115" s="2" t="e">
        <f ca="1">SUMIFS(#REF!,#REF!,A115,#REF!,D115)</f>
        <v>#REF!</v>
      </c>
    </row>
    <row r="116" spans="1:10" ht="12.5" x14ac:dyDescent="0.25">
      <c r="A116" s="2" t="str">
        <f ca="1">IFERROR(__xludf.DUMMYFUNCTION("""COMPUTED_VALUE"""),"KP/000940")</f>
        <v>KP/000940</v>
      </c>
      <c r="B116" s="2" t="str">
        <f ca="1">IFERROR(__xludf.DUMMYFUNCTION("""COMPUTED_VALUE"""),"Verkeersveiligheid")</f>
        <v>Verkeersveiligheid</v>
      </c>
      <c r="C116" s="2" t="str">
        <f ca="1">IFERROR(__xludf.DUMMYFUNCTION("""COMPUTED_VALUE"""),"Schoolroute")</f>
        <v>Schoolroute</v>
      </c>
      <c r="D116" s="2" t="str">
        <f ca="1">IFERROR(__xludf.DUMMYFUNCTION("""COMPUTED_VALUE"""),"IN/000814")</f>
        <v>IN/000814</v>
      </c>
      <c r="E116" s="2" t="str">
        <f ca="1">IFERROR(__xludf.DUMMYFUNCTION("UNIQUE(FILTER('export kabinetdashboard 1210202'!N:P,'export kabinetdashboard 1210202'!M:M=D116))"),"")</f>
        <v/>
      </c>
      <c r="F116" s="2" t="str">
        <f ca="1">IFERROR(__xludf.DUMMYFUNCTION("""COMPUTED_VALUE"""),"n.t.b.")</f>
        <v>n.t.b.</v>
      </c>
      <c r="G116" s="2" t="str">
        <f ca="1">IFERROR(__xludf.DUMMYFUNCTION("""COMPUTED_VALUE"""),"n.t.b.")</f>
        <v>n.t.b.</v>
      </c>
      <c r="H116" s="2">
        <f ca="1">SUMIFS('bedragen KIM (budgettering &amp; pl'!S:S,'bedragen KIM (budgettering &amp; pl'!B:B,A116,'bedragen KIM (budgettering &amp; pl'!F:F,D116)</f>
        <v>35000</v>
      </c>
      <c r="I116" s="2" t="e">
        <f ca="1">SUMIFS(#REF!,#REF!,A116,#REF!,D116)</f>
        <v>#REF!</v>
      </c>
      <c r="J116" s="2" t="e">
        <f ca="1">SUMIFS(#REF!,#REF!,A116,#REF!,D116)</f>
        <v>#REF!</v>
      </c>
    </row>
    <row r="117" spans="1:10" ht="12.5" x14ac:dyDescent="0.25">
      <c r="A117" s="2" t="str">
        <f ca="1">IFERROR(__xludf.DUMMYFUNCTION("""COMPUTED_VALUE"""),"KP/000941")</f>
        <v>KP/000941</v>
      </c>
      <c r="B117" s="2" t="str">
        <f ca="1">IFERROR(__xludf.DUMMYFUNCTION("""COMPUTED_VALUE"""),"Verkeersveiligheid")</f>
        <v>Verkeersveiligheid</v>
      </c>
      <c r="C117" s="2" t="str">
        <f ca="1">IFERROR(__xludf.DUMMYFUNCTION("""COMPUTED_VALUE"""),"Schoolroute")</f>
        <v>Schoolroute</v>
      </c>
      <c r="D117" s="2" t="str">
        <f ca="1">IFERROR(__xludf.DUMMYFUNCTION("""COMPUTED_VALUE"""),"IN/000815")</f>
        <v>IN/000815</v>
      </c>
      <c r="E117" s="2" t="str">
        <f ca="1">IFERROR(__xludf.DUMMYFUNCTION("UNIQUE(FILTER('export kabinetdashboard 1210202'!N:P,'export kabinetdashboard 1210202'!M:M=D117))"),"")</f>
        <v/>
      </c>
      <c r="F117" s="2" t="str">
        <f ca="1">IFERROR(__xludf.DUMMYFUNCTION("""COMPUTED_VALUE"""),"n.t.b.")</f>
        <v>n.t.b.</v>
      </c>
      <c r="G117" s="2" t="str">
        <f ca="1">IFERROR(__xludf.DUMMYFUNCTION("""COMPUTED_VALUE"""),"n.t.b.")</f>
        <v>n.t.b.</v>
      </c>
      <c r="H117" s="2">
        <f ca="1">SUMIFS('bedragen KIM (budgettering &amp; pl'!S:S,'bedragen KIM (budgettering &amp; pl'!B:B,A117,'bedragen KIM (budgettering &amp; pl'!F:F,D117)</f>
        <v>35000</v>
      </c>
      <c r="I117" s="2" t="e">
        <f ca="1">SUMIFS(#REF!,#REF!,A117,#REF!,D117)</f>
        <v>#REF!</v>
      </c>
      <c r="J117" s="2" t="e">
        <f ca="1">SUMIFS(#REF!,#REF!,A117,#REF!,D117)</f>
        <v>#REF!</v>
      </c>
    </row>
    <row r="118" spans="1:10" ht="12.5" x14ac:dyDescent="0.25">
      <c r="A118" s="2" t="str">
        <f ca="1">IFERROR(__xludf.DUMMYFUNCTION("""COMPUTED_VALUE"""),"KP/000942")</f>
        <v>KP/000942</v>
      </c>
      <c r="B118" s="2" t="str">
        <f ca="1">IFERROR(__xludf.DUMMYFUNCTION("""COMPUTED_VALUE"""),"Verkeersveiligheid")</f>
        <v>Verkeersveiligheid</v>
      </c>
      <c r="C118" s="2" t="str">
        <f ca="1">IFERROR(__xludf.DUMMYFUNCTION("""COMPUTED_VALUE"""),"Schoolroute")</f>
        <v>Schoolroute</v>
      </c>
      <c r="D118" s="2" t="str">
        <f ca="1">IFERROR(__xludf.DUMMYFUNCTION("""COMPUTED_VALUE"""),"IN/000816")</f>
        <v>IN/000816</v>
      </c>
      <c r="E118" s="2" t="str">
        <f ca="1">IFERROR(__xludf.DUMMYFUNCTION("UNIQUE(FILTER('export kabinetdashboard 1210202'!N:P,'export kabinetdashboard 1210202'!M:M=D118))"),"")</f>
        <v/>
      </c>
      <c r="F118" s="2" t="str">
        <f ca="1">IFERROR(__xludf.DUMMYFUNCTION("""COMPUTED_VALUE"""),"n.t.b.")</f>
        <v>n.t.b.</v>
      </c>
      <c r="G118" s="2" t="str">
        <f ca="1">IFERROR(__xludf.DUMMYFUNCTION("""COMPUTED_VALUE"""),"n.t.b.")</f>
        <v>n.t.b.</v>
      </c>
      <c r="H118" s="2">
        <f ca="1">SUMIFS('bedragen KIM (budgettering &amp; pl'!S:S,'bedragen KIM (budgettering &amp; pl'!B:B,A118,'bedragen KIM (budgettering &amp; pl'!F:F,D118)</f>
        <v>500</v>
      </c>
      <c r="I118" s="2" t="e">
        <f ca="1">SUMIFS(#REF!,#REF!,A118,#REF!,D118)</f>
        <v>#REF!</v>
      </c>
      <c r="J118" s="2" t="e">
        <f ca="1">SUMIFS(#REF!,#REF!,A118,#REF!,D118)</f>
        <v>#REF!</v>
      </c>
    </row>
    <row r="119" spans="1:10" ht="12.5" x14ac:dyDescent="0.25">
      <c r="A119" s="2" t="str">
        <f ca="1">IFERROR(__xludf.DUMMYFUNCTION("""COMPUTED_VALUE"""),"KP/000943")</f>
        <v>KP/000943</v>
      </c>
      <c r="B119" s="2" t="str">
        <f ca="1">IFERROR(__xludf.DUMMYFUNCTION("""COMPUTED_VALUE"""),"Verkeersveiligheid")</f>
        <v>Verkeersveiligheid</v>
      </c>
      <c r="C119" s="2" t="str">
        <f ca="1">IFERROR(__xludf.DUMMYFUNCTION("""COMPUTED_VALUE"""),"Schoolroute")</f>
        <v>Schoolroute</v>
      </c>
      <c r="D119" s="2" t="str">
        <f ca="1">IFERROR(__xludf.DUMMYFUNCTION("""COMPUTED_VALUE"""),"IN/000817")</f>
        <v>IN/000817</v>
      </c>
      <c r="E119" s="2" t="str">
        <f ca="1">IFERROR(__xludf.DUMMYFUNCTION("UNIQUE(FILTER('export kabinetdashboard 1210202'!N:P,'export kabinetdashboard 1210202'!M:M=D119))"),"")</f>
        <v/>
      </c>
      <c r="F119" s="2" t="str">
        <f ca="1">IFERROR(__xludf.DUMMYFUNCTION("""COMPUTED_VALUE"""),"n.t.b.")</f>
        <v>n.t.b.</v>
      </c>
      <c r="G119" s="2" t="str">
        <f ca="1">IFERROR(__xludf.DUMMYFUNCTION("""COMPUTED_VALUE"""),"n.t.b.")</f>
        <v>n.t.b.</v>
      </c>
      <c r="H119" s="2">
        <f ca="1">SUMIFS('bedragen KIM (budgettering &amp; pl'!S:S,'bedragen KIM (budgettering &amp; pl'!B:B,A119,'bedragen KIM (budgettering &amp; pl'!F:F,D119)</f>
        <v>2500</v>
      </c>
      <c r="I119" s="2" t="e">
        <f ca="1">SUMIFS(#REF!,#REF!,A119,#REF!,D119)</f>
        <v>#REF!</v>
      </c>
      <c r="J119" s="2" t="e">
        <f ca="1">SUMIFS(#REF!,#REF!,A119,#REF!,D119)</f>
        <v>#REF!</v>
      </c>
    </row>
    <row r="120" spans="1:10" ht="12.5" x14ac:dyDescent="0.25">
      <c r="A120" s="2" t="str">
        <f ca="1">IFERROR(__xludf.DUMMYFUNCTION("""COMPUTED_VALUE"""),"KP/000944")</f>
        <v>KP/000944</v>
      </c>
      <c r="B120" s="2" t="str">
        <f ca="1">IFERROR(__xludf.DUMMYFUNCTION("""COMPUTED_VALUE"""),"Verkeersveiligheid")</f>
        <v>Verkeersveiligheid</v>
      </c>
      <c r="C120" s="2" t="str">
        <f ca="1">IFERROR(__xludf.DUMMYFUNCTION("""COMPUTED_VALUE"""),"Schoolroute")</f>
        <v>Schoolroute</v>
      </c>
      <c r="D120" s="2" t="str">
        <f ca="1">IFERROR(__xludf.DUMMYFUNCTION("""COMPUTED_VALUE"""),"IN/000818")</f>
        <v>IN/000818</v>
      </c>
      <c r="E120" s="2" t="str">
        <f ca="1">IFERROR(__xludf.DUMMYFUNCTION("UNIQUE(FILTER('export kabinetdashboard 1210202'!N:P,'export kabinetdashboard 1210202'!M:M=D120))"),"")</f>
        <v/>
      </c>
      <c r="F120" s="2" t="str">
        <f ca="1">IFERROR(__xludf.DUMMYFUNCTION("""COMPUTED_VALUE"""),"2021 - Q4")</f>
        <v>2021 - Q4</v>
      </c>
      <c r="G120" s="2" t="str">
        <f ca="1">IFERROR(__xludf.DUMMYFUNCTION("""COMPUTED_VALUE"""),"n.t.b.")</f>
        <v>n.t.b.</v>
      </c>
      <c r="H120" s="2">
        <f ca="1">SUMIFS('bedragen KIM (budgettering &amp; pl'!S:S,'bedragen KIM (budgettering &amp; pl'!B:B,A120,'bedragen KIM (budgettering &amp; pl'!F:F,D120)</f>
        <v>4000</v>
      </c>
      <c r="I120" s="2" t="e">
        <f ca="1">SUMIFS(#REF!,#REF!,A120,#REF!,D120)</f>
        <v>#REF!</v>
      </c>
      <c r="J120" s="2" t="e">
        <f ca="1">SUMIFS(#REF!,#REF!,A120,#REF!,D120)</f>
        <v>#REF!</v>
      </c>
    </row>
    <row r="121" spans="1:10" ht="12.5" x14ac:dyDescent="0.25">
      <c r="A121" s="2" t="str">
        <f ca="1">IFERROR(__xludf.DUMMYFUNCTION("""COMPUTED_VALUE"""),"KP/000945")</f>
        <v>KP/000945</v>
      </c>
      <c r="B121" s="2" t="str">
        <f ca="1">IFERROR(__xludf.DUMMYFUNCTION("""COMPUTED_VALUE"""),"Verkeersveiligheid")</f>
        <v>Verkeersveiligheid</v>
      </c>
      <c r="C121" s="2" t="str">
        <f ca="1">IFERROR(__xludf.DUMMYFUNCTION("""COMPUTED_VALUE"""),"Schoolroute")</f>
        <v>Schoolroute</v>
      </c>
      <c r="D121" s="2" t="str">
        <f ca="1">IFERROR(__xludf.DUMMYFUNCTION("""COMPUTED_VALUE"""),"IN/000819")</f>
        <v>IN/000819</v>
      </c>
      <c r="E121" s="2" t="str">
        <f ca="1">IFERROR(__xludf.DUMMYFUNCTION("UNIQUE(FILTER('export kabinetdashboard 1210202'!N:P,'export kabinetdashboard 1210202'!M:M=D121))"),"")</f>
        <v/>
      </c>
      <c r="F121" s="2" t="str">
        <f ca="1">IFERROR(__xludf.DUMMYFUNCTION("""COMPUTED_VALUE"""),"n.t.b.")</f>
        <v>n.t.b.</v>
      </c>
      <c r="G121" s="2" t="str">
        <f ca="1">IFERROR(__xludf.DUMMYFUNCTION("""COMPUTED_VALUE"""),"n.t.b.")</f>
        <v>n.t.b.</v>
      </c>
      <c r="H121" s="2">
        <f ca="1">SUMIFS('bedragen KIM (budgettering &amp; pl'!S:S,'bedragen KIM (budgettering &amp; pl'!B:B,A121,'bedragen KIM (budgettering &amp; pl'!F:F,D121)</f>
        <v>51000</v>
      </c>
      <c r="I121" s="2" t="e">
        <f ca="1">SUMIFS(#REF!,#REF!,A121,#REF!,D121)</f>
        <v>#REF!</v>
      </c>
      <c r="J121" s="2" t="e">
        <f ca="1">SUMIFS(#REF!,#REF!,A121,#REF!,D121)</f>
        <v>#REF!</v>
      </c>
    </row>
    <row r="122" spans="1:10" ht="12.5" x14ac:dyDescent="0.25">
      <c r="A122" s="2" t="str">
        <f ca="1">IFERROR(__xludf.DUMMYFUNCTION("""COMPUTED_VALUE"""),"KP/000947")</f>
        <v>KP/000947</v>
      </c>
      <c r="B122" s="2" t="str">
        <f ca="1">IFERROR(__xludf.DUMMYFUNCTION("""COMPUTED_VALUE"""),"Verkeersveiligheid")</f>
        <v>Verkeersveiligheid</v>
      </c>
      <c r="C122" s="2" t="str">
        <f ca="1">IFERROR(__xludf.DUMMYFUNCTION("""COMPUTED_VALUE"""),"Schoolroute")</f>
        <v>Schoolroute</v>
      </c>
      <c r="D122" s="2" t="str">
        <f ca="1">IFERROR(__xludf.DUMMYFUNCTION("""COMPUTED_VALUE"""),"IN/000819")</f>
        <v>IN/000819</v>
      </c>
      <c r="E122" s="2" t="str">
        <f ca="1">IFERROR(__xludf.DUMMYFUNCTION("UNIQUE(FILTER('export kabinetdashboard 1210202'!N:P,'export kabinetdashboard 1210202'!M:M=D122))"),"")</f>
        <v/>
      </c>
      <c r="F122" s="2" t="str">
        <f ca="1">IFERROR(__xludf.DUMMYFUNCTION("""COMPUTED_VALUE"""),"n.t.b.")</f>
        <v>n.t.b.</v>
      </c>
      <c r="G122" s="2" t="str">
        <f ca="1">IFERROR(__xludf.DUMMYFUNCTION("""COMPUTED_VALUE"""),"n.t.b.")</f>
        <v>n.t.b.</v>
      </c>
      <c r="H122" s="2">
        <f ca="1">SUMIFS('bedragen KIM (budgettering &amp; pl'!S:S,'bedragen KIM (budgettering &amp; pl'!B:B,A122,'bedragen KIM (budgettering &amp; pl'!F:F,D122)</f>
        <v>49500</v>
      </c>
      <c r="I122" s="2" t="e">
        <f ca="1">SUMIFS(#REF!,#REF!,A122,#REF!,D122)</f>
        <v>#REF!</v>
      </c>
      <c r="J122" s="2" t="e">
        <f ca="1">SUMIFS(#REF!,#REF!,A122,#REF!,D122)</f>
        <v>#REF!</v>
      </c>
    </row>
    <row r="123" spans="1:10" ht="12.5" x14ac:dyDescent="0.25">
      <c r="A123" s="2" t="str">
        <f ca="1">IFERROR(__xludf.DUMMYFUNCTION("""COMPUTED_VALUE"""),"KP/000948")</f>
        <v>KP/000948</v>
      </c>
      <c r="B123" s="2" t="str">
        <f ca="1">IFERROR(__xludf.DUMMYFUNCTION("""COMPUTED_VALUE"""),"Verkeersveiligheid")</f>
        <v>Verkeersveiligheid</v>
      </c>
      <c r="C123" s="2" t="str">
        <f ca="1">IFERROR(__xludf.DUMMYFUNCTION("""COMPUTED_VALUE"""),"Schoolroute")</f>
        <v>Schoolroute</v>
      </c>
      <c r="D123" s="2" t="str">
        <f ca="1">IFERROR(__xludf.DUMMYFUNCTION("""COMPUTED_VALUE"""),"IN/000819")</f>
        <v>IN/000819</v>
      </c>
      <c r="E123" s="2" t="str">
        <f ca="1">IFERROR(__xludf.DUMMYFUNCTION("UNIQUE(FILTER('export kabinetdashboard 1210202'!N:P,'export kabinetdashboard 1210202'!M:M=D123))"),"")</f>
        <v/>
      </c>
      <c r="F123" s="2" t="str">
        <f ca="1">IFERROR(__xludf.DUMMYFUNCTION("""COMPUTED_VALUE"""),"n.t.b.")</f>
        <v>n.t.b.</v>
      </c>
      <c r="G123" s="2" t="str">
        <f ca="1">IFERROR(__xludf.DUMMYFUNCTION("""COMPUTED_VALUE"""),"n.t.b.")</f>
        <v>n.t.b.</v>
      </c>
      <c r="H123" s="2">
        <f ca="1">SUMIFS('bedragen KIM (budgettering &amp; pl'!S:S,'bedragen KIM (budgettering &amp; pl'!B:B,A123,'bedragen KIM (budgettering &amp; pl'!F:F,D123)</f>
        <v>49500</v>
      </c>
      <c r="I123" s="2" t="e">
        <f ca="1">SUMIFS(#REF!,#REF!,A123,#REF!,D123)</f>
        <v>#REF!</v>
      </c>
      <c r="J123" s="2" t="e">
        <f ca="1">SUMIFS(#REF!,#REF!,A123,#REF!,D123)</f>
        <v>#REF!</v>
      </c>
    </row>
    <row r="124" spans="1:10" ht="12.5" x14ac:dyDescent="0.25">
      <c r="A124" s="2" t="str">
        <f ca="1">IFERROR(__xludf.DUMMYFUNCTION("""COMPUTED_VALUE"""),"KP/000949")</f>
        <v>KP/000949</v>
      </c>
      <c r="B124" s="2" t="str">
        <f ca="1">IFERROR(__xludf.DUMMYFUNCTION("""COMPUTED_VALUE"""),"Verkeersveiligheid")</f>
        <v>Verkeersveiligheid</v>
      </c>
      <c r="C124" s="2" t="str">
        <f ca="1">IFERROR(__xludf.DUMMYFUNCTION("""COMPUTED_VALUE"""),"Schoolroute")</f>
        <v>Schoolroute</v>
      </c>
      <c r="D124" s="2" t="str">
        <f ca="1">IFERROR(__xludf.DUMMYFUNCTION("""COMPUTED_VALUE"""),"IN/000820")</f>
        <v>IN/000820</v>
      </c>
      <c r="E124" s="2" t="str">
        <f ca="1">IFERROR(__xludf.DUMMYFUNCTION("UNIQUE(FILTER('export kabinetdashboard 1210202'!N:P,'export kabinetdashboard 1210202'!M:M=D124))"),"")</f>
        <v/>
      </c>
      <c r="F124" s="2" t="str">
        <f ca="1">IFERROR(__xludf.DUMMYFUNCTION("""COMPUTED_VALUE"""),"n.t.b.")</f>
        <v>n.t.b.</v>
      </c>
      <c r="G124" s="2" t="str">
        <f ca="1">IFERROR(__xludf.DUMMYFUNCTION("""COMPUTED_VALUE"""),"n.t.b.")</f>
        <v>n.t.b.</v>
      </c>
      <c r="H124" s="2">
        <f ca="1">SUMIFS('bedragen KIM (budgettering &amp; pl'!S:S,'bedragen KIM (budgettering &amp; pl'!B:B,A124,'bedragen KIM (budgettering &amp; pl'!F:F,D124)</f>
        <v>2500</v>
      </c>
      <c r="I124" s="2" t="e">
        <f ca="1">SUMIFS(#REF!,#REF!,A124,#REF!,D124)</f>
        <v>#REF!</v>
      </c>
      <c r="J124" s="2" t="e">
        <f ca="1">SUMIFS(#REF!,#REF!,A124,#REF!,D124)</f>
        <v>#REF!</v>
      </c>
    </row>
    <row r="125" spans="1:10" ht="12.5" x14ac:dyDescent="0.25">
      <c r="A125" s="2" t="str">
        <f ca="1">IFERROR(__xludf.DUMMYFUNCTION("""COMPUTED_VALUE"""),"KP/000951")</f>
        <v>KP/000951</v>
      </c>
      <c r="B125" s="2" t="str">
        <f ca="1">IFERROR(__xludf.DUMMYFUNCTION("""COMPUTED_VALUE"""),"Verkeersveiligheid")</f>
        <v>Verkeersveiligheid</v>
      </c>
      <c r="C125" s="2" t="str">
        <f ca="1">IFERROR(__xludf.DUMMYFUNCTION("""COMPUTED_VALUE"""),"Schoolroute")</f>
        <v>Schoolroute</v>
      </c>
      <c r="D125" s="2" t="str">
        <f ca="1">IFERROR(__xludf.DUMMYFUNCTION("""COMPUTED_VALUE"""),"IN/000821")</f>
        <v>IN/000821</v>
      </c>
      <c r="E125" s="2" t="str">
        <f ca="1">IFERROR(__xludf.DUMMYFUNCTION("UNIQUE(FILTER('export kabinetdashboard 1210202'!N:P,'export kabinetdashboard 1210202'!M:M=D125))"),"Fietsoversteek met middengeleider en aanleg noodzakelijke stukjes dubbelrichtingsfietspad + VFOP")</f>
        <v>Fietsoversteek met middengeleider en aanleg noodzakelijke stukjes dubbelrichtingsfietspad + VFOP</v>
      </c>
      <c r="F125" s="2" t="str">
        <f ca="1">IFERROR(__xludf.DUMMYFUNCTION("""COMPUTED_VALUE"""),"2023 - Q4")</f>
        <v>2023 - Q4</v>
      </c>
      <c r="G125" s="2" t="str">
        <f ca="1">IFERROR(__xludf.DUMMYFUNCTION("""COMPUTED_VALUE"""),"n.t.b.")</f>
        <v>n.t.b.</v>
      </c>
      <c r="H125" s="2">
        <f ca="1">SUMIFS('bedragen KIM (budgettering &amp; pl'!S:S,'bedragen KIM (budgettering &amp; pl'!B:B,A125,'bedragen KIM (budgettering &amp; pl'!F:F,D125)</f>
        <v>206745</v>
      </c>
      <c r="I125" s="2" t="e">
        <f ca="1">SUMIFS(#REF!,#REF!,A125,#REF!,D125)</f>
        <v>#REF!</v>
      </c>
      <c r="J125" s="2" t="e">
        <f ca="1">SUMIFS(#REF!,#REF!,A125,#REF!,D125)</f>
        <v>#REF!</v>
      </c>
    </row>
    <row r="126" spans="1:10" ht="12.5" x14ac:dyDescent="0.25">
      <c r="A126" s="2" t="str">
        <f ca="1">IFERROR(__xludf.DUMMYFUNCTION("""COMPUTED_VALUE"""),"KP/000953")</f>
        <v>KP/000953</v>
      </c>
      <c r="B126" s="2" t="str">
        <f ca="1">IFERROR(__xludf.DUMMYFUNCTION("""COMPUTED_VALUE"""),"Verkeersveiligheid")</f>
        <v>Verkeersveiligheid</v>
      </c>
      <c r="C126" s="2" t="str">
        <f ca="1">IFERROR(__xludf.DUMMYFUNCTION("""COMPUTED_VALUE"""),"Schoolroute")</f>
        <v>Schoolroute</v>
      </c>
      <c r="D126" s="2" t="str">
        <f ca="1">IFERROR(__xludf.DUMMYFUNCTION("""COMPUTED_VALUE"""),"IN/000822")</f>
        <v>IN/000822</v>
      </c>
      <c r="E126" s="2" t="str">
        <f ca="1">IFERROR(__xludf.DUMMYFUNCTION("UNIQUE(FILTER('export kabinetdashboard 1210202'!N:P,'export kabinetdashboard 1210202'!M:M=D126))"),"punctuele verlichting")</f>
        <v>punctuele verlichting</v>
      </c>
      <c r="F126" s="2" t="str">
        <f ca="1">IFERROR(__xludf.DUMMYFUNCTION("""COMPUTED_VALUE"""),"2022 - Q4")</f>
        <v>2022 - Q4</v>
      </c>
      <c r="G126" s="2" t="str">
        <f ca="1">IFERROR(__xludf.DUMMYFUNCTION("""COMPUTED_VALUE"""),"n.t.b.")</f>
        <v>n.t.b.</v>
      </c>
      <c r="H126" s="2">
        <f ca="1">SUMIFS('bedragen KIM (budgettering &amp; pl'!S:S,'bedragen KIM (budgettering &amp; pl'!B:B,A126,'bedragen KIM (budgettering &amp; pl'!F:F,D126)</f>
        <v>150000</v>
      </c>
      <c r="I126" s="2" t="e">
        <f ca="1">SUMIFS(#REF!,#REF!,A126,#REF!,D126)</f>
        <v>#REF!</v>
      </c>
      <c r="J126" s="2" t="e">
        <f ca="1">SUMIFS(#REF!,#REF!,A126,#REF!,D126)</f>
        <v>#REF!</v>
      </c>
    </row>
    <row r="127" spans="1:10" ht="12.5" x14ac:dyDescent="0.25">
      <c r="A127" s="2" t="str">
        <f ca="1">IFERROR(__xludf.DUMMYFUNCTION("""COMPUTED_VALUE"""),"KP/000955")</f>
        <v>KP/000955</v>
      </c>
      <c r="B127" s="2" t="str">
        <f ca="1">IFERROR(__xludf.DUMMYFUNCTION("""COMPUTED_VALUE"""),"Verkeersveiligheid")</f>
        <v>Verkeersveiligheid</v>
      </c>
      <c r="C127" s="2" t="str">
        <f ca="1">IFERROR(__xludf.DUMMYFUNCTION("""COMPUTED_VALUE"""),"Schoolroute")</f>
        <v>Schoolroute</v>
      </c>
      <c r="D127" s="2" t="str">
        <f ca="1">IFERROR(__xludf.DUMMYFUNCTION("""COMPUTED_VALUE"""),"IN/000823")</f>
        <v>IN/000823</v>
      </c>
      <c r="E127" s="2" t="str">
        <f ca="1">IFERROR(__xludf.DUMMYFUNCTION("UNIQUE(FILTER('export kabinetdashboard 1210202'!N:P,'export kabinetdashboard 1210202'!M:M=D127))"),"")</f>
        <v/>
      </c>
      <c r="F127" s="2" t="str">
        <f ca="1">IFERROR(__xludf.DUMMYFUNCTION("""COMPUTED_VALUE"""),"2023 - Q2")</f>
        <v>2023 - Q2</v>
      </c>
      <c r="G127" s="2" t="str">
        <f ca="1">IFERROR(__xludf.DUMMYFUNCTION("""COMPUTED_VALUE"""),"n.t.b.")</f>
        <v>n.t.b.</v>
      </c>
      <c r="H127" s="2">
        <f ca="1">SUMIFS('bedragen KIM (budgettering &amp; pl'!S:S,'bedragen KIM (budgettering &amp; pl'!B:B,A127,'bedragen KIM (budgettering &amp; pl'!F:F,D127)</f>
        <v>20000</v>
      </c>
      <c r="I127" s="2" t="e">
        <f ca="1">SUMIFS(#REF!,#REF!,A127,#REF!,D127)</f>
        <v>#REF!</v>
      </c>
      <c r="J127" s="2" t="e">
        <f ca="1">SUMIFS(#REF!,#REF!,A127,#REF!,D127)</f>
        <v>#REF!</v>
      </c>
    </row>
    <row r="128" spans="1:10" ht="12.5" x14ac:dyDescent="0.25">
      <c r="A128" s="2" t="str">
        <f ca="1">IFERROR(__xludf.DUMMYFUNCTION("""COMPUTED_VALUE"""),"KP/001366")</f>
        <v>KP/001366</v>
      </c>
      <c r="B128" s="2" t="str">
        <f ca="1">IFERROR(__xludf.DUMMYFUNCTION("""COMPUTED_VALUE"""),"Verkeersveiligheid")</f>
        <v>Verkeersveiligheid</v>
      </c>
      <c r="C128" s="2" t="str">
        <f ca="1">IFERROR(__xludf.DUMMYFUNCTION("""COMPUTED_VALUE"""),"Schoolroute")</f>
        <v>Schoolroute</v>
      </c>
      <c r="D128" s="2" t="str">
        <f ca="1">IFERROR(__xludf.DUMMYFUNCTION("""COMPUTED_VALUE"""),"IN/000823")</f>
        <v>IN/000823</v>
      </c>
      <c r="E128" s="2" t="str">
        <f ca="1">IFERROR(__xludf.DUMMYFUNCTION("UNIQUE(FILTER('export kabinetdashboard 1210202'!N:P,'export kabinetdashboard 1210202'!M:M=D128))"),"")</f>
        <v/>
      </c>
      <c r="F128" s="2" t="str">
        <f ca="1">IFERROR(__xludf.DUMMYFUNCTION("""COMPUTED_VALUE"""),"2023 - Q2")</f>
        <v>2023 - Q2</v>
      </c>
      <c r="G128" s="2" t="str">
        <f ca="1">IFERROR(__xludf.DUMMYFUNCTION("""COMPUTED_VALUE"""),"n.t.b.")</f>
        <v>n.t.b.</v>
      </c>
      <c r="H128" s="2">
        <f ca="1">SUMIFS('bedragen KIM (budgettering &amp; pl'!S:S,'bedragen KIM (budgettering &amp; pl'!B:B,A128,'bedragen KIM (budgettering &amp; pl'!F:F,D128)</f>
        <v>0</v>
      </c>
      <c r="I128" s="2" t="e">
        <f ca="1">SUMIFS(#REF!,#REF!,A128,#REF!,D128)</f>
        <v>#REF!</v>
      </c>
      <c r="J128" s="2" t="e">
        <f ca="1">SUMIFS(#REF!,#REF!,A128,#REF!,D128)</f>
        <v>#REF!</v>
      </c>
    </row>
    <row r="129" spans="1:10" ht="12.5" x14ac:dyDescent="0.25">
      <c r="A129" s="2" t="str">
        <f ca="1">IFERROR(__xludf.DUMMYFUNCTION("""COMPUTED_VALUE"""),"KP/000956")</f>
        <v>KP/000956</v>
      </c>
      <c r="B129" s="2" t="str">
        <f ca="1">IFERROR(__xludf.DUMMYFUNCTION("""COMPUTED_VALUE"""),"Verkeersveiligheid")</f>
        <v>Verkeersveiligheid</v>
      </c>
      <c r="C129" s="2" t="str">
        <f ca="1">IFERROR(__xludf.DUMMYFUNCTION("""COMPUTED_VALUE"""),"Schoolroute")</f>
        <v>Schoolroute</v>
      </c>
      <c r="D129" s="2" t="str">
        <f ca="1">IFERROR(__xludf.DUMMYFUNCTION("""COMPUTED_VALUE"""),"IN/000824")</f>
        <v>IN/000824</v>
      </c>
      <c r="E129" s="2" t="str">
        <f ca="1">IFERROR(__xludf.DUMMYFUNCTION("UNIQUE(FILTER('export kabinetdashboard 1210202'!N:P,'export kabinetdashboard 1210202'!M:M=D129))"),"")</f>
        <v/>
      </c>
      <c r="F129" s="2" t="str">
        <f ca="1">IFERROR(__xludf.DUMMYFUNCTION("""COMPUTED_VALUE"""),"2023 - Q2")</f>
        <v>2023 - Q2</v>
      </c>
      <c r="G129" s="2" t="str">
        <f ca="1">IFERROR(__xludf.DUMMYFUNCTION("""COMPUTED_VALUE"""),"n.t.b.")</f>
        <v>n.t.b.</v>
      </c>
      <c r="H129" s="2">
        <f ca="1">SUMIFS('bedragen KIM (budgettering &amp; pl'!S:S,'bedragen KIM (budgettering &amp; pl'!B:B,A129,'bedragen KIM (budgettering &amp; pl'!F:F,D129)</f>
        <v>12000</v>
      </c>
      <c r="I129" s="2" t="e">
        <f ca="1">SUMIFS(#REF!,#REF!,A129,#REF!,D129)</f>
        <v>#REF!</v>
      </c>
      <c r="J129" s="2" t="e">
        <f ca="1">SUMIFS(#REF!,#REF!,A129,#REF!,D129)</f>
        <v>#REF!</v>
      </c>
    </row>
    <row r="130" spans="1:10" ht="12.5" x14ac:dyDescent="0.25">
      <c r="A130" s="2" t="str">
        <f ca="1">IFERROR(__xludf.DUMMYFUNCTION("""COMPUTED_VALUE"""),"KP/000958")</f>
        <v>KP/000958</v>
      </c>
      <c r="B130" s="2" t="str">
        <f ca="1">IFERROR(__xludf.DUMMYFUNCTION("""COMPUTED_VALUE"""),"Verkeersveiligheid")</f>
        <v>Verkeersveiligheid</v>
      </c>
      <c r="C130" s="2" t="str">
        <f ca="1">IFERROR(__xludf.DUMMYFUNCTION("""COMPUTED_VALUE"""),"Schoolroute")</f>
        <v>Schoolroute</v>
      </c>
      <c r="D130" s="2" t="str">
        <f ca="1">IFERROR(__xludf.DUMMYFUNCTION("""COMPUTED_VALUE"""),"IN/000826")</f>
        <v>IN/000826</v>
      </c>
      <c r="E130" s="2" t="str">
        <f ca="1">IFERROR(__xludf.DUMMYFUNCTION("UNIQUE(FILTER('export kabinetdashboard 1210202'!N:P,'export kabinetdashboard 1210202'!M:M=D130))"),"Korte afslagstrook in belijning")</f>
        <v>Korte afslagstrook in belijning</v>
      </c>
      <c r="F130" s="2" t="str">
        <f ca="1">IFERROR(__xludf.DUMMYFUNCTION("""COMPUTED_VALUE"""),"2023 - Q1")</f>
        <v>2023 - Q1</v>
      </c>
      <c r="G130" s="2" t="str">
        <f ca="1">IFERROR(__xludf.DUMMYFUNCTION("""COMPUTED_VALUE"""),"n.t.b.")</f>
        <v>n.t.b.</v>
      </c>
      <c r="H130" s="2">
        <f ca="1">SUMIFS('bedragen KIM (budgettering &amp; pl'!S:S,'bedragen KIM (budgettering &amp; pl'!B:B,A130,'bedragen KIM (budgettering &amp; pl'!F:F,D130)</f>
        <v>7730</v>
      </c>
      <c r="I130" s="2" t="e">
        <f ca="1">SUMIFS(#REF!,#REF!,A130,#REF!,D130)</f>
        <v>#REF!</v>
      </c>
      <c r="J130" s="2" t="e">
        <f ca="1">SUMIFS(#REF!,#REF!,A130,#REF!,D130)</f>
        <v>#REF!</v>
      </c>
    </row>
    <row r="131" spans="1:10" ht="12.5" x14ac:dyDescent="0.25">
      <c r="A131" s="2" t="str">
        <f ca="1">IFERROR(__xludf.DUMMYFUNCTION("""COMPUTED_VALUE"""),"KP/000959")</f>
        <v>KP/000959</v>
      </c>
      <c r="B131" s="2" t="str">
        <f ca="1">IFERROR(__xludf.DUMMYFUNCTION("""COMPUTED_VALUE"""),"Verkeersveiligheid")</f>
        <v>Verkeersveiligheid</v>
      </c>
      <c r="C131" s="2" t="str">
        <f ca="1">IFERROR(__xludf.DUMMYFUNCTION("""COMPUTED_VALUE"""),"Schoolroute")</f>
        <v>Schoolroute</v>
      </c>
      <c r="D131" s="2" t="str">
        <f ca="1">IFERROR(__xludf.DUMMYFUNCTION("""COMPUTED_VALUE"""),"IN/000827")</f>
        <v>IN/000827</v>
      </c>
      <c r="E131" s="2" t="str">
        <f ca="1">IFERROR(__xludf.DUMMYFUNCTION("UNIQUE(FILTER('export kabinetdashboard 1210202'!N:P,'export kabinetdashboard 1210202'!M:M=D131))"),"")</f>
        <v/>
      </c>
      <c r="F131" s="2" t="str">
        <f ca="1">IFERROR(__xludf.DUMMYFUNCTION("""COMPUTED_VALUE"""),"n.t.b.")</f>
        <v>n.t.b.</v>
      </c>
      <c r="G131" s="2" t="str">
        <f ca="1">IFERROR(__xludf.DUMMYFUNCTION("""COMPUTED_VALUE"""),"n.t.b.")</f>
        <v>n.t.b.</v>
      </c>
      <c r="H131" s="2">
        <f ca="1">SUMIFS('bedragen KIM (budgettering &amp; pl'!S:S,'bedragen KIM (budgettering &amp; pl'!B:B,A131,'bedragen KIM (budgettering &amp; pl'!F:F,D131)</f>
        <v>2500</v>
      </c>
      <c r="I131" s="2" t="e">
        <f ca="1">SUMIFS(#REF!,#REF!,A131,#REF!,D131)</f>
        <v>#REF!</v>
      </c>
      <c r="J131" s="2" t="e">
        <f ca="1">SUMIFS(#REF!,#REF!,A131,#REF!,D131)</f>
        <v>#REF!</v>
      </c>
    </row>
    <row r="132" spans="1:10" ht="12.5" x14ac:dyDescent="0.25">
      <c r="A132" s="2" t="str">
        <f ca="1">IFERROR(__xludf.DUMMYFUNCTION("""COMPUTED_VALUE"""),"KP/000960")</f>
        <v>KP/000960</v>
      </c>
      <c r="B132" s="2" t="str">
        <f ca="1">IFERROR(__xludf.DUMMYFUNCTION("""COMPUTED_VALUE"""),"Verkeersveiligheid")</f>
        <v>Verkeersveiligheid</v>
      </c>
      <c r="C132" s="2" t="str">
        <f ca="1">IFERROR(__xludf.DUMMYFUNCTION("""COMPUTED_VALUE"""),"Schoolroute")</f>
        <v>Schoolroute</v>
      </c>
      <c r="D132" s="2" t="str">
        <f ca="1">IFERROR(__xludf.DUMMYFUNCTION("""COMPUTED_VALUE"""),"IN/000828")</f>
        <v>IN/000828</v>
      </c>
      <c r="E132" s="2" t="str">
        <f ca="1">IFERROR(__xludf.DUMMYFUNCTION("UNIQUE(FILTER('export kabinetdashboard 1210202'!N:P,'export kabinetdashboard 1210202'!M:M=D132))"),"")</f>
        <v/>
      </c>
      <c r="F132" s="2" t="str">
        <f ca="1">IFERROR(__xludf.DUMMYFUNCTION("""COMPUTED_VALUE"""),"n.t.b.")</f>
        <v>n.t.b.</v>
      </c>
      <c r="G132" s="2" t="str">
        <f ca="1">IFERROR(__xludf.DUMMYFUNCTION("""COMPUTED_VALUE"""),"n.t.b.")</f>
        <v>n.t.b.</v>
      </c>
      <c r="H132" s="2">
        <f ca="1">SUMIFS('bedragen KIM (budgettering &amp; pl'!S:S,'bedragen KIM (budgettering &amp; pl'!B:B,A132,'bedragen KIM (budgettering &amp; pl'!F:F,D132)</f>
        <v>4000</v>
      </c>
      <c r="I132" s="2" t="e">
        <f ca="1">SUMIFS(#REF!,#REF!,A132,#REF!,D132)</f>
        <v>#REF!</v>
      </c>
      <c r="J132" s="2" t="e">
        <f ca="1">SUMIFS(#REF!,#REF!,A132,#REF!,D132)</f>
        <v>#REF!</v>
      </c>
    </row>
    <row r="133" spans="1:10" ht="12.5" x14ac:dyDescent="0.25">
      <c r="A133" s="2" t="str">
        <f ca="1">IFERROR(__xludf.DUMMYFUNCTION("""COMPUTED_VALUE"""),"KP/000962")</f>
        <v>KP/000962</v>
      </c>
      <c r="B133" s="2" t="str">
        <f ca="1">IFERROR(__xludf.DUMMYFUNCTION("""COMPUTED_VALUE"""),"Verkeersveiligheid")</f>
        <v>Verkeersveiligheid</v>
      </c>
      <c r="C133" s="2" t="str">
        <f ca="1">IFERROR(__xludf.DUMMYFUNCTION("""COMPUTED_VALUE"""),"Schoolroute")</f>
        <v>Schoolroute</v>
      </c>
      <c r="D133" s="2" t="str">
        <f ca="1">IFERROR(__xludf.DUMMYFUNCTION("""COMPUTED_VALUE"""),"IN/000830")</f>
        <v>IN/000830</v>
      </c>
      <c r="E133" s="2" t="str">
        <f ca="1">IFERROR(__xludf.DUMMYFUNCTION("UNIQUE(FILTER('export kabinetdashboard 1210202'!N:P,'export kabinetdashboard 1210202'!M:M=D133))"),"recht of schuin oversteken afhankelijk van ontwikkelaar of niet")</f>
        <v>recht of schuin oversteken afhankelijk van ontwikkelaar of niet</v>
      </c>
      <c r="F133" s="2" t="str">
        <f ca="1">IFERROR(__xludf.DUMMYFUNCTION("""COMPUTED_VALUE"""),"2023 - Q2")</f>
        <v>2023 - Q2</v>
      </c>
      <c r="G133" s="2" t="str">
        <f ca="1">IFERROR(__xludf.DUMMYFUNCTION("""COMPUTED_VALUE"""),"n.t.b.")</f>
        <v>n.t.b.</v>
      </c>
      <c r="H133" s="2">
        <f ca="1">SUMIFS('bedragen KIM (budgettering &amp; pl'!S:S,'bedragen KIM (budgettering &amp; pl'!B:B,A133,'bedragen KIM (budgettering &amp; pl'!F:F,D133)</f>
        <v>14168</v>
      </c>
      <c r="I133" s="2" t="e">
        <f ca="1">SUMIFS(#REF!,#REF!,A133,#REF!,D133)</f>
        <v>#REF!</v>
      </c>
      <c r="J133" s="2" t="e">
        <f ca="1">SUMIFS(#REF!,#REF!,A133,#REF!,D133)</f>
        <v>#REF!</v>
      </c>
    </row>
    <row r="134" spans="1:10" ht="12.5" x14ac:dyDescent="0.25">
      <c r="A134" s="2" t="str">
        <f ca="1">IFERROR(__xludf.DUMMYFUNCTION("""COMPUTED_VALUE"""),"KP/000963")</f>
        <v>KP/000963</v>
      </c>
      <c r="B134" s="2" t="str">
        <f ca="1">IFERROR(__xludf.DUMMYFUNCTION("""COMPUTED_VALUE"""),"Verkeersveiligheid")</f>
        <v>Verkeersveiligheid</v>
      </c>
      <c r="C134" s="2" t="str">
        <f ca="1">IFERROR(__xludf.DUMMYFUNCTION("""COMPUTED_VALUE"""),"Schoolroute")</f>
        <v>Schoolroute</v>
      </c>
      <c r="D134" s="2" t="str">
        <f ca="1">IFERROR(__xludf.DUMMYFUNCTION("""COMPUTED_VALUE"""),"IN/000831")</f>
        <v>IN/000831</v>
      </c>
      <c r="E134" s="2" t="str">
        <f ca="1">IFERROR(__xludf.DUMMYFUNCTION("UNIQUE(FILTER('export kabinetdashboard 1210202'!N:P,'export kabinetdashboard 1210202'!M:M=D134))"),"")</f>
        <v/>
      </c>
      <c r="F134" s="2" t="str">
        <f ca="1">IFERROR(__xludf.DUMMYFUNCTION("""COMPUTED_VALUE"""),"2023 - Q3")</f>
        <v>2023 - Q3</v>
      </c>
      <c r="G134" s="2" t="str">
        <f ca="1">IFERROR(__xludf.DUMMYFUNCTION("""COMPUTED_VALUE"""),"n.t.b.")</f>
        <v>n.t.b.</v>
      </c>
      <c r="H134" s="2">
        <f ca="1">SUMIFS('bedragen KIM (budgettering &amp; pl'!S:S,'bedragen KIM (budgettering &amp; pl'!B:B,A134,'bedragen KIM (budgettering &amp; pl'!F:F,D134)</f>
        <v>292727</v>
      </c>
      <c r="I134" s="2" t="e">
        <f ca="1">SUMIFS(#REF!,#REF!,A134,#REF!,D134)</f>
        <v>#REF!</v>
      </c>
      <c r="J134" s="2" t="e">
        <f ca="1">SUMIFS(#REF!,#REF!,A134,#REF!,D134)</f>
        <v>#REF!</v>
      </c>
    </row>
    <row r="135" spans="1:10" ht="12.5" x14ac:dyDescent="0.25">
      <c r="A135" s="2" t="str">
        <f ca="1">IFERROR(__xludf.DUMMYFUNCTION("""COMPUTED_VALUE"""),"KP/000964")</f>
        <v>KP/000964</v>
      </c>
      <c r="B135" s="2" t="str">
        <f ca="1">IFERROR(__xludf.DUMMYFUNCTION("""COMPUTED_VALUE"""),"Verkeersveiligheid")</f>
        <v>Verkeersveiligheid</v>
      </c>
      <c r="C135" s="2" t="str">
        <f ca="1">IFERROR(__xludf.DUMMYFUNCTION("""COMPUTED_VALUE"""),"Schoolroute")</f>
        <v>Schoolroute</v>
      </c>
      <c r="D135" s="2" t="str">
        <f ca="1">IFERROR(__xludf.DUMMYFUNCTION("""COMPUTED_VALUE"""),"IN/000832")</f>
        <v>IN/000832</v>
      </c>
      <c r="E135" s="2" t="str">
        <f ca="1">IFERROR(__xludf.DUMMYFUNCTION("UNIQUE(FILTER('export kabinetdashboard 1210202'!N:P,'export kabinetdashboard 1210202'!M:M=D135))"),"")</f>
        <v/>
      </c>
      <c r="F135" s="2" t="str">
        <f ca="1">IFERROR(__xludf.DUMMYFUNCTION("""COMPUTED_VALUE"""),"2023 - Q3")</f>
        <v>2023 - Q3</v>
      </c>
      <c r="G135" s="2" t="str">
        <f ca="1">IFERROR(__xludf.DUMMYFUNCTION("""COMPUTED_VALUE"""),"n.t.b.")</f>
        <v>n.t.b.</v>
      </c>
      <c r="H135" s="2">
        <f ca="1">SUMIFS('bedragen KIM (budgettering &amp; pl'!S:S,'bedragen KIM (budgettering &amp; pl'!B:B,A135,'bedragen KIM (budgettering &amp; pl'!F:F,D135)</f>
        <v>282200</v>
      </c>
      <c r="I135" s="2" t="e">
        <f ca="1">SUMIFS(#REF!,#REF!,A135,#REF!,D135)</f>
        <v>#REF!</v>
      </c>
      <c r="J135" s="2" t="e">
        <f ca="1">SUMIFS(#REF!,#REF!,A135,#REF!,D135)</f>
        <v>#REF!</v>
      </c>
    </row>
    <row r="136" spans="1:10" ht="12.5" x14ac:dyDescent="0.25">
      <c r="A136" s="2" t="str">
        <f ca="1">IFERROR(__xludf.DUMMYFUNCTION("""COMPUTED_VALUE"""),"KP/000965")</f>
        <v>KP/000965</v>
      </c>
      <c r="B136" s="2" t="str">
        <f ca="1">IFERROR(__xludf.DUMMYFUNCTION("""COMPUTED_VALUE"""),"Verkeersveiligheid")</f>
        <v>Verkeersveiligheid</v>
      </c>
      <c r="C136" s="2" t="str">
        <f ca="1">IFERROR(__xludf.DUMMYFUNCTION("""COMPUTED_VALUE"""),"Schoolroute")</f>
        <v>Schoolroute</v>
      </c>
      <c r="D136" s="2" t="str">
        <f ca="1">IFERROR(__xludf.DUMMYFUNCTION("""COMPUTED_VALUE"""),"IN/000833")</f>
        <v>IN/000833</v>
      </c>
      <c r="E136" s="2" t="str">
        <f ca="1">IFERROR(__xludf.DUMMYFUNCTION("UNIQUE(FILTER('export kabinetdashboard 1210202'!N:P,'export kabinetdashboard 1210202'!M:M=D136))"),"")</f>
        <v/>
      </c>
      <c r="F136" s="2" t="str">
        <f ca="1">IFERROR(__xludf.DUMMYFUNCTION("""COMPUTED_VALUE"""),"2021 - Q3")</f>
        <v>2021 - Q3</v>
      </c>
      <c r="G136" s="2" t="str">
        <f ca="1">IFERROR(__xludf.DUMMYFUNCTION("""COMPUTED_VALUE"""),"2022 - Q2")</f>
        <v>2022 - Q2</v>
      </c>
      <c r="H136" s="2">
        <f ca="1">SUMIFS('bedragen KIM (budgettering &amp; pl'!S:S,'bedragen KIM (budgettering &amp; pl'!B:B,A136,'bedragen KIM (budgettering &amp; pl'!F:F,D136)</f>
        <v>25000</v>
      </c>
      <c r="I136" s="2" t="e">
        <f ca="1">SUMIFS(#REF!,#REF!,A136,#REF!,D136)</f>
        <v>#REF!</v>
      </c>
      <c r="J136" s="2" t="e">
        <f ca="1">SUMIFS(#REF!,#REF!,A136,#REF!,D136)</f>
        <v>#REF!</v>
      </c>
    </row>
    <row r="137" spans="1:10" ht="12.5" x14ac:dyDescent="0.25">
      <c r="A137" s="2" t="str">
        <f ca="1">IFERROR(__xludf.DUMMYFUNCTION("""COMPUTED_VALUE"""),"KP/000966")</f>
        <v>KP/000966</v>
      </c>
      <c r="B137" s="2" t="str">
        <f ca="1">IFERROR(__xludf.DUMMYFUNCTION("""COMPUTED_VALUE"""),"Verkeersveiligheid")</f>
        <v>Verkeersveiligheid</v>
      </c>
      <c r="C137" s="2" t="str">
        <f ca="1">IFERROR(__xludf.DUMMYFUNCTION("""COMPUTED_VALUE"""),"Schoolroute")</f>
        <v>Schoolroute</v>
      </c>
      <c r="D137" s="2" t="str">
        <f ca="1">IFERROR(__xludf.DUMMYFUNCTION("""COMPUTED_VALUE"""),"IN/000834")</f>
        <v>IN/000834</v>
      </c>
      <c r="E137" s="2" t="str">
        <f ca="1">IFERROR(__xludf.DUMMYFUNCTION("UNIQUE(FILTER('export kabinetdashboard 1210202'!N:P,'export kabinetdashboard 1210202'!M:M=D137))"),"")</f>
        <v/>
      </c>
      <c r="F137" s="2" t="str">
        <f ca="1">IFERROR(__xludf.DUMMYFUNCTION("""COMPUTED_VALUE"""),"2021 - Q3")</f>
        <v>2021 - Q3</v>
      </c>
      <c r="G137" s="2" t="str">
        <f ca="1">IFERROR(__xludf.DUMMYFUNCTION("""COMPUTED_VALUE"""),"2022 - Q2")</f>
        <v>2022 - Q2</v>
      </c>
      <c r="H137" s="2">
        <f ca="1">SUMIFS('bedragen KIM (budgettering &amp; pl'!S:S,'bedragen KIM (budgettering &amp; pl'!B:B,A137,'bedragen KIM (budgettering &amp; pl'!F:F,D137)</f>
        <v>25000</v>
      </c>
      <c r="I137" s="2" t="e">
        <f ca="1">SUMIFS(#REF!,#REF!,A137,#REF!,D137)</f>
        <v>#REF!</v>
      </c>
      <c r="J137" s="2" t="e">
        <f ca="1">SUMIFS(#REF!,#REF!,A137,#REF!,D137)</f>
        <v>#REF!</v>
      </c>
    </row>
    <row r="138" spans="1:10" ht="12.5" x14ac:dyDescent="0.25">
      <c r="A138" s="2" t="str">
        <f ca="1">IFERROR(__xludf.DUMMYFUNCTION("""COMPUTED_VALUE"""),"KP/000967")</f>
        <v>KP/000967</v>
      </c>
      <c r="B138" s="2" t="str">
        <f ca="1">IFERROR(__xludf.DUMMYFUNCTION("""COMPUTED_VALUE"""),"Verkeersveiligheid")</f>
        <v>Verkeersveiligheid</v>
      </c>
      <c r="C138" s="2" t="str">
        <f ca="1">IFERROR(__xludf.DUMMYFUNCTION("""COMPUTED_VALUE"""),"Schoolroute")</f>
        <v>Schoolroute</v>
      </c>
      <c r="D138" s="2" t="str">
        <f ca="1">IFERROR(__xludf.DUMMYFUNCTION("""COMPUTED_VALUE"""),"IN/000835")</f>
        <v>IN/000835</v>
      </c>
      <c r="E138" s="2" t="str">
        <f ca="1">IFERROR(__xludf.DUMMYFUNCTION("UNIQUE(FILTER('export kabinetdashboard 1210202'!N:P,'export kabinetdashboard 1210202'!M:M=D138))"),"")</f>
        <v/>
      </c>
      <c r="F138" s="2" t="str">
        <f ca="1">IFERROR(__xludf.DUMMYFUNCTION("""COMPUTED_VALUE"""),"2021 - Q3")</f>
        <v>2021 - Q3</v>
      </c>
      <c r="G138" s="2" t="str">
        <f ca="1">IFERROR(__xludf.DUMMYFUNCTION("""COMPUTED_VALUE"""),"2022 - Q2")</f>
        <v>2022 - Q2</v>
      </c>
      <c r="H138" s="2">
        <f ca="1">SUMIFS('bedragen KIM (budgettering &amp; pl'!S:S,'bedragen KIM (budgettering &amp; pl'!B:B,A138,'bedragen KIM (budgettering &amp; pl'!F:F,D138)</f>
        <v>25000</v>
      </c>
      <c r="I138" s="2" t="e">
        <f ca="1">SUMIFS(#REF!,#REF!,A138,#REF!,D138)</f>
        <v>#REF!</v>
      </c>
      <c r="J138" s="2" t="e">
        <f ca="1">SUMIFS(#REF!,#REF!,A138,#REF!,D138)</f>
        <v>#REF!</v>
      </c>
    </row>
    <row r="139" spans="1:10" ht="12.5" x14ac:dyDescent="0.25">
      <c r="A139" s="2" t="str">
        <f ca="1">IFERROR(__xludf.DUMMYFUNCTION("""COMPUTED_VALUE"""),"KP/000968")</f>
        <v>KP/000968</v>
      </c>
      <c r="B139" s="2" t="str">
        <f ca="1">IFERROR(__xludf.DUMMYFUNCTION("""COMPUTED_VALUE"""),"Verkeersveiligheid")</f>
        <v>Verkeersveiligheid</v>
      </c>
      <c r="C139" s="2" t="str">
        <f ca="1">IFERROR(__xludf.DUMMYFUNCTION("""COMPUTED_VALUE"""),"Schoolroute")</f>
        <v>Schoolroute</v>
      </c>
      <c r="D139" s="2" t="str">
        <f ca="1">IFERROR(__xludf.DUMMYFUNCTION("""COMPUTED_VALUE"""),"IN/000836")</f>
        <v>IN/000836</v>
      </c>
      <c r="E139" s="2" t="str">
        <f ca="1">IFERROR(__xludf.DUMMYFUNCTION("UNIQUE(FILTER('export kabinetdashboard 1210202'!N:P,'export kabinetdashboard 1210202'!M:M=D139))"),"")</f>
        <v/>
      </c>
      <c r="F139" s="2" t="str">
        <f ca="1">IFERROR(__xludf.DUMMYFUNCTION("""COMPUTED_VALUE"""),"2021 - Q3")</f>
        <v>2021 - Q3</v>
      </c>
      <c r="G139" s="2" t="str">
        <f ca="1">IFERROR(__xludf.DUMMYFUNCTION("""COMPUTED_VALUE"""),"2022 - Q2")</f>
        <v>2022 - Q2</v>
      </c>
      <c r="H139" s="2">
        <f ca="1">SUMIFS('bedragen KIM (budgettering &amp; pl'!S:S,'bedragen KIM (budgettering &amp; pl'!B:B,A139,'bedragen KIM (budgettering &amp; pl'!F:F,D139)</f>
        <v>25000</v>
      </c>
      <c r="I139" s="2" t="e">
        <f ca="1">SUMIFS(#REF!,#REF!,A139,#REF!,D139)</f>
        <v>#REF!</v>
      </c>
      <c r="J139" s="2" t="e">
        <f ca="1">SUMIFS(#REF!,#REF!,A139,#REF!,D139)</f>
        <v>#REF!</v>
      </c>
    </row>
    <row r="140" spans="1:10" ht="12.5" x14ac:dyDescent="0.25">
      <c r="A140" s="2" t="str">
        <f ca="1">IFERROR(__xludf.DUMMYFUNCTION("""COMPUTED_VALUE"""),"KP/000969")</f>
        <v>KP/000969</v>
      </c>
      <c r="B140" s="2" t="str">
        <f ca="1">IFERROR(__xludf.DUMMYFUNCTION("""COMPUTED_VALUE"""),"Verkeersveiligheid")</f>
        <v>Verkeersveiligheid</v>
      </c>
      <c r="C140" s="2" t="str">
        <f ca="1">IFERROR(__xludf.DUMMYFUNCTION("""COMPUTED_VALUE"""),"Schoolroute")</f>
        <v>Schoolroute</v>
      </c>
      <c r="D140" s="2" t="str">
        <f ca="1">IFERROR(__xludf.DUMMYFUNCTION("""COMPUTED_VALUE"""),"IN/000837")</f>
        <v>IN/000837</v>
      </c>
      <c r="E140" s="2" t="str">
        <f ca="1">IFERROR(__xludf.DUMMYFUNCTION("UNIQUE(FILTER('export kabinetdashboard 1210202'!N:P,'export kabinetdashboard 1210202'!M:M=D140))"),"")</f>
        <v/>
      </c>
      <c r="F140" s="2" t="str">
        <f ca="1">IFERROR(__xludf.DUMMYFUNCTION("""COMPUTED_VALUE"""),"2022 - Q4")</f>
        <v>2022 - Q4</v>
      </c>
      <c r="G140" s="2" t="str">
        <f ca="1">IFERROR(__xludf.DUMMYFUNCTION("""COMPUTED_VALUE"""),"n.t.b.")</f>
        <v>n.t.b.</v>
      </c>
      <c r="H140" s="2">
        <f ca="1">SUMIFS('bedragen KIM (budgettering &amp; pl'!S:S,'bedragen KIM (budgettering &amp; pl'!B:B,A140,'bedragen KIM (budgettering &amp; pl'!F:F,D140)</f>
        <v>15440</v>
      </c>
      <c r="I140" s="2" t="e">
        <f ca="1">SUMIFS(#REF!,#REF!,A140,#REF!,D140)</f>
        <v>#REF!</v>
      </c>
      <c r="J140" s="2" t="e">
        <f ca="1">SUMIFS(#REF!,#REF!,A140,#REF!,D140)</f>
        <v>#REF!</v>
      </c>
    </row>
    <row r="141" spans="1:10" ht="12.5" x14ac:dyDescent="0.25">
      <c r="A141" s="2" t="str">
        <f ca="1">IFERROR(__xludf.DUMMYFUNCTION("""COMPUTED_VALUE"""),"KP/000971")</f>
        <v>KP/000971</v>
      </c>
      <c r="B141" s="2" t="str">
        <f ca="1">IFERROR(__xludf.DUMMYFUNCTION("""COMPUTED_VALUE"""),"Verkeersveiligheid")</f>
        <v>Verkeersveiligheid</v>
      </c>
      <c r="C141" s="2" t="str">
        <f ca="1">IFERROR(__xludf.DUMMYFUNCTION("""COMPUTED_VALUE"""),"Schoolroute")</f>
        <v>Schoolroute</v>
      </c>
      <c r="D141" s="2" t="str">
        <f ca="1">IFERROR(__xludf.DUMMYFUNCTION("""COMPUTED_VALUE"""),"IN/000838")</f>
        <v>IN/000838</v>
      </c>
      <c r="E141" s="2" t="str">
        <f ca="1">IFERROR(__xludf.DUMMYFUNCTION("UNIQUE(FILTER('export kabinetdashboard 1210202'!N:P,'export kabinetdashboard 1210202'!M:M=D141))"),"")</f>
        <v/>
      </c>
      <c r="F141" s="2" t="str">
        <f ca="1">IFERROR(__xludf.DUMMYFUNCTION("""COMPUTED_VALUE"""),"2022 - Q4")</f>
        <v>2022 - Q4</v>
      </c>
      <c r="G141" s="2" t="str">
        <f ca="1">IFERROR(__xludf.DUMMYFUNCTION("""COMPUTED_VALUE"""),"2022 - Q3")</f>
        <v>2022 - Q3</v>
      </c>
      <c r="H141" s="2">
        <f ca="1">SUMIFS('bedragen KIM (budgettering &amp; pl'!S:S,'bedragen KIM (budgettering &amp; pl'!B:B,A141,'bedragen KIM (budgettering &amp; pl'!F:F,D141)</f>
        <v>4000</v>
      </c>
      <c r="I141" s="2" t="e">
        <f ca="1">SUMIFS(#REF!,#REF!,A141,#REF!,D141)</f>
        <v>#REF!</v>
      </c>
      <c r="J141" s="2" t="e">
        <f ca="1">SUMIFS(#REF!,#REF!,A141,#REF!,D141)</f>
        <v>#REF!</v>
      </c>
    </row>
    <row r="142" spans="1:10" ht="12.5" x14ac:dyDescent="0.25">
      <c r="A142" s="2" t="str">
        <f ca="1">IFERROR(__xludf.DUMMYFUNCTION("""COMPUTED_VALUE"""),"KP/000973")</f>
        <v>KP/000973</v>
      </c>
      <c r="B142" s="2" t="str">
        <f ca="1">IFERROR(__xludf.DUMMYFUNCTION("""COMPUTED_VALUE"""),"Verkeersveiligheid")</f>
        <v>Verkeersveiligheid</v>
      </c>
      <c r="C142" s="2" t="str">
        <f ca="1">IFERROR(__xludf.DUMMYFUNCTION("""COMPUTED_VALUE"""),"Schoolroute")</f>
        <v>Schoolroute</v>
      </c>
      <c r="D142" s="2" t="str">
        <f ca="1">IFERROR(__xludf.DUMMYFUNCTION("""COMPUTED_VALUE"""),"IN/000839")</f>
        <v>IN/000839</v>
      </c>
      <c r="E142" s="2" t="str">
        <f ca="1">IFERROR(__xludf.DUMMYFUNCTION("UNIQUE(FILTER('export kabinetdashboard 1210202'!N:P,'export kabinetdashboard 1210202'!M:M=D142))"),"")</f>
        <v/>
      </c>
      <c r="F142" s="2" t="str">
        <f ca="1">IFERROR(__xludf.DUMMYFUNCTION("""COMPUTED_VALUE"""),"2022 - Q1")</f>
        <v>2022 - Q1</v>
      </c>
      <c r="G142" s="2" t="str">
        <f ca="1">IFERROR(__xludf.DUMMYFUNCTION("""COMPUTED_VALUE"""),"n.t.b.")</f>
        <v>n.t.b.</v>
      </c>
      <c r="H142" s="2">
        <f ca="1">SUMIFS('bedragen KIM (budgettering &amp; pl'!S:S,'bedragen KIM (budgettering &amp; pl'!B:B,A142,'bedragen KIM (budgettering &amp; pl'!F:F,D142)</f>
        <v>35000</v>
      </c>
      <c r="I142" s="2" t="e">
        <f ca="1">SUMIFS(#REF!,#REF!,A142,#REF!,D142)</f>
        <v>#REF!</v>
      </c>
      <c r="J142" s="2" t="e">
        <f ca="1">SUMIFS(#REF!,#REF!,A142,#REF!,D142)</f>
        <v>#REF!</v>
      </c>
    </row>
    <row r="143" spans="1:10" ht="12.5" x14ac:dyDescent="0.25">
      <c r="A143" s="2" t="str">
        <f ca="1">IFERROR(__xludf.DUMMYFUNCTION("""COMPUTED_VALUE"""),"KP/000974")</f>
        <v>KP/000974</v>
      </c>
      <c r="B143" s="2" t="str">
        <f ca="1">IFERROR(__xludf.DUMMYFUNCTION("""COMPUTED_VALUE"""),"Verkeersveiligheid")</f>
        <v>Verkeersveiligheid</v>
      </c>
      <c r="C143" s="2" t="str">
        <f ca="1">IFERROR(__xludf.DUMMYFUNCTION("""COMPUTED_VALUE"""),"Schoolroute")</f>
        <v>Schoolroute</v>
      </c>
      <c r="D143" s="2" t="str">
        <f ca="1">IFERROR(__xludf.DUMMYFUNCTION("""COMPUTED_VALUE"""),"IN/000840")</f>
        <v>IN/000840</v>
      </c>
      <c r="E143" s="2" t="str">
        <f ca="1">IFERROR(__xludf.DUMMYFUNCTION("UNIQUE(FILTER('export kabinetdashboard 1210202'!N:P,'export kabinetdashboard 1210202'!M:M=D143))"),"")</f>
        <v/>
      </c>
      <c r="F143" s="2" t="str">
        <f ca="1">IFERROR(__xludf.DUMMYFUNCTION("""COMPUTED_VALUE"""),"2022 - Q4")</f>
        <v>2022 - Q4</v>
      </c>
      <c r="G143" s="2" t="str">
        <f ca="1">IFERROR(__xludf.DUMMYFUNCTION("""COMPUTED_VALUE"""),"n.t.b.")</f>
        <v>n.t.b.</v>
      </c>
      <c r="H143" s="2">
        <f ca="1">SUMIFS('bedragen KIM (budgettering &amp; pl'!S:S,'bedragen KIM (budgettering &amp; pl'!B:B,A143,'bedragen KIM (budgettering &amp; pl'!F:F,D143)</f>
        <v>3000</v>
      </c>
      <c r="I143" s="2" t="e">
        <f ca="1">SUMIFS(#REF!,#REF!,A143,#REF!,D143)</f>
        <v>#REF!</v>
      </c>
      <c r="J143" s="2" t="e">
        <f ca="1">SUMIFS(#REF!,#REF!,A143,#REF!,D143)</f>
        <v>#REF!</v>
      </c>
    </row>
    <row r="144" spans="1:10" ht="12.5" x14ac:dyDescent="0.25">
      <c r="A144" s="2" t="str">
        <f ca="1">IFERROR(__xludf.DUMMYFUNCTION("""COMPUTED_VALUE"""),"KP/000975")</f>
        <v>KP/000975</v>
      </c>
      <c r="B144" s="2" t="str">
        <f ca="1">IFERROR(__xludf.DUMMYFUNCTION("""COMPUTED_VALUE"""),"Verkeersveiligheid")</f>
        <v>Verkeersveiligheid</v>
      </c>
      <c r="C144" s="2" t="str">
        <f ca="1">IFERROR(__xludf.DUMMYFUNCTION("""COMPUTED_VALUE"""),"Schoolroute")</f>
        <v>Schoolroute</v>
      </c>
      <c r="D144" s="2" t="str">
        <f ca="1">IFERROR(__xludf.DUMMYFUNCTION("""COMPUTED_VALUE"""),"IN/000841")</f>
        <v>IN/000841</v>
      </c>
      <c r="E144" s="2" t="str">
        <f ca="1">IFERROR(__xludf.DUMMYFUNCTION("UNIQUE(FILTER('export kabinetdashboard 1210202'!N:P,'export kabinetdashboard 1210202'!M:M=D144))"),"")</f>
        <v/>
      </c>
      <c r="F144" s="2" t="str">
        <f ca="1">IFERROR(__xludf.DUMMYFUNCTION("""COMPUTED_VALUE"""),"n.t.b.")</f>
        <v>n.t.b.</v>
      </c>
      <c r="G144" s="2" t="str">
        <f ca="1">IFERROR(__xludf.DUMMYFUNCTION("""COMPUTED_VALUE"""),"n.t.b.")</f>
        <v>n.t.b.</v>
      </c>
      <c r="H144" s="2">
        <f ca="1">SUMIFS('bedragen KIM (budgettering &amp; pl'!S:S,'bedragen KIM (budgettering &amp; pl'!B:B,A144,'bedragen KIM (budgettering &amp; pl'!F:F,D144)</f>
        <v>3000</v>
      </c>
      <c r="I144" s="2" t="e">
        <f ca="1">SUMIFS(#REF!,#REF!,A144,#REF!,D144)</f>
        <v>#REF!</v>
      </c>
      <c r="J144" s="2" t="e">
        <f ca="1">SUMIFS(#REF!,#REF!,A144,#REF!,D144)</f>
        <v>#REF!</v>
      </c>
    </row>
    <row r="145" spans="1:10" ht="12.5" x14ac:dyDescent="0.25">
      <c r="A145" s="2" t="str">
        <f ca="1">IFERROR(__xludf.DUMMYFUNCTION("""COMPUTED_VALUE"""),"KP/000976")</f>
        <v>KP/000976</v>
      </c>
      <c r="B145" s="2" t="str">
        <f ca="1">IFERROR(__xludf.DUMMYFUNCTION("""COMPUTED_VALUE"""),"Verkeersveiligheid")</f>
        <v>Verkeersveiligheid</v>
      </c>
      <c r="C145" s="2" t="str">
        <f ca="1">IFERROR(__xludf.DUMMYFUNCTION("""COMPUTED_VALUE"""),"Schoolroute")</f>
        <v>Schoolroute</v>
      </c>
      <c r="D145" s="2" t="str">
        <f ca="1">IFERROR(__xludf.DUMMYFUNCTION("""COMPUTED_VALUE"""),"IN/000842")</f>
        <v>IN/000842</v>
      </c>
      <c r="E145" s="2" t="str">
        <f ca="1">IFERROR(__xludf.DUMMYFUNCTION("UNIQUE(FILTER('export kabinetdashboard 1210202'!N:P,'export kabinetdashboard 1210202'!M:M=D145))"),"")</f>
        <v/>
      </c>
      <c r="F145" s="2" t="str">
        <f ca="1">IFERROR(__xludf.DUMMYFUNCTION("""COMPUTED_VALUE"""),"2022 - Q2")</f>
        <v>2022 - Q2</v>
      </c>
      <c r="G145" s="2" t="str">
        <f ca="1">IFERROR(__xludf.DUMMYFUNCTION("""COMPUTED_VALUE"""),"n.t.b.")</f>
        <v>n.t.b.</v>
      </c>
      <c r="H145" s="2">
        <f ca="1">SUMIFS('bedragen KIM (budgettering &amp; pl'!S:S,'bedragen KIM (budgettering &amp; pl'!B:B,A145,'bedragen KIM (budgettering &amp; pl'!F:F,D145)</f>
        <v>3500</v>
      </c>
      <c r="I145" s="2" t="e">
        <f ca="1">SUMIFS(#REF!,#REF!,A145,#REF!,D145)</f>
        <v>#REF!</v>
      </c>
      <c r="J145" s="2" t="e">
        <f ca="1">SUMIFS(#REF!,#REF!,A145,#REF!,D145)</f>
        <v>#REF!</v>
      </c>
    </row>
    <row r="146" spans="1:10" ht="12.5" x14ac:dyDescent="0.25">
      <c r="A146" s="2" t="str">
        <f ca="1">IFERROR(__xludf.DUMMYFUNCTION("""COMPUTED_VALUE"""),"KP/000979")</f>
        <v>KP/000979</v>
      </c>
      <c r="B146" s="2" t="str">
        <f ca="1">IFERROR(__xludf.DUMMYFUNCTION("""COMPUTED_VALUE"""),"Verkeersveiligheid")</f>
        <v>Verkeersveiligheid</v>
      </c>
      <c r="C146" s="2" t="str">
        <f ca="1">IFERROR(__xludf.DUMMYFUNCTION("""COMPUTED_VALUE"""),"Schoolroute")</f>
        <v>Schoolroute</v>
      </c>
      <c r="D146" s="2" t="str">
        <f ca="1">IFERROR(__xludf.DUMMYFUNCTION("""COMPUTED_VALUE"""),"IN/000843")</f>
        <v>IN/000843</v>
      </c>
      <c r="E146" s="2" t="str">
        <f ca="1">IFERROR(__xludf.DUMMYFUNCTION("UNIQUE(FILTER('export kabinetdashboard 1210202'!N:P,'export kabinetdashboard 1210202'!M:M=D146))"),"")</f>
        <v/>
      </c>
      <c r="F146" s="2" t="str">
        <f ca="1">IFERROR(__xludf.DUMMYFUNCTION("""COMPUTED_VALUE"""),"2022 - Q2")</f>
        <v>2022 - Q2</v>
      </c>
      <c r="G146" s="2" t="str">
        <f ca="1">IFERROR(__xludf.DUMMYFUNCTION("""COMPUTED_VALUE"""),"n.t.b.")</f>
        <v>n.t.b.</v>
      </c>
      <c r="H146" s="2">
        <f ca="1">SUMIFS('bedragen KIM (budgettering &amp; pl'!S:S,'bedragen KIM (budgettering &amp; pl'!B:B,A146,'bedragen KIM (budgettering &amp; pl'!F:F,D146)</f>
        <v>50000</v>
      </c>
      <c r="I146" s="2" t="e">
        <f ca="1">SUMIFS(#REF!,#REF!,A146,#REF!,D146)</f>
        <v>#REF!</v>
      </c>
      <c r="J146" s="2" t="e">
        <f ca="1">SUMIFS(#REF!,#REF!,A146,#REF!,D146)</f>
        <v>#REF!</v>
      </c>
    </row>
    <row r="147" spans="1:10" ht="12.5" x14ac:dyDescent="0.25">
      <c r="A147" s="2" t="str">
        <f ca="1">IFERROR(__xludf.DUMMYFUNCTION("""COMPUTED_VALUE"""),"KP/000982")</f>
        <v>KP/000982</v>
      </c>
      <c r="B147" s="2" t="str">
        <f ca="1">IFERROR(__xludf.DUMMYFUNCTION("""COMPUTED_VALUE"""),"Verkeersveiligheid")</f>
        <v>Verkeersveiligheid</v>
      </c>
      <c r="C147" s="2" t="str">
        <f ca="1">IFERROR(__xludf.DUMMYFUNCTION("""COMPUTED_VALUE"""),"Schoolroute")</f>
        <v>Schoolroute</v>
      </c>
      <c r="D147" s="2" t="str">
        <f ca="1">IFERROR(__xludf.DUMMYFUNCTION("""COMPUTED_VALUE"""),"IN/000844")</f>
        <v>IN/000844</v>
      </c>
      <c r="E147" s="2" t="str">
        <f ca="1">IFERROR(__xludf.DUMMYFUNCTION("UNIQUE(FILTER('export kabinetdashboard 1210202'!N:P,'export kabinetdashboard 1210202'!M:M=D147))"),"opstelruimte verbeteren")</f>
        <v>opstelruimte verbeteren</v>
      </c>
      <c r="F147" s="2" t="str">
        <f ca="1">IFERROR(__xludf.DUMMYFUNCTION("""COMPUTED_VALUE"""),"2022 - Q3")</f>
        <v>2022 - Q3</v>
      </c>
      <c r="G147" s="2" t="str">
        <f ca="1">IFERROR(__xludf.DUMMYFUNCTION("""COMPUTED_VALUE"""),"n.t.b.")</f>
        <v>n.t.b.</v>
      </c>
      <c r="H147" s="2">
        <f ca="1">SUMIFS('bedragen KIM (budgettering &amp; pl'!S:S,'bedragen KIM (budgettering &amp; pl'!B:B,A147,'bedragen KIM (budgettering &amp; pl'!F:F,D147)</f>
        <v>50000</v>
      </c>
      <c r="I147" s="2" t="e">
        <f ca="1">SUMIFS(#REF!,#REF!,A147,#REF!,D147)</f>
        <v>#REF!</v>
      </c>
      <c r="J147" s="2" t="e">
        <f ca="1">SUMIFS(#REF!,#REF!,A147,#REF!,D147)</f>
        <v>#REF!</v>
      </c>
    </row>
    <row r="148" spans="1:10" ht="12.5" x14ac:dyDescent="0.25">
      <c r="A148" s="2" t="str">
        <f ca="1">IFERROR(__xludf.DUMMYFUNCTION("""COMPUTED_VALUE"""),"KP/000983")</f>
        <v>KP/000983</v>
      </c>
      <c r="B148" s="2" t="str">
        <f ca="1">IFERROR(__xludf.DUMMYFUNCTION("""COMPUTED_VALUE"""),"Verkeersveiligheid")</f>
        <v>Verkeersveiligheid</v>
      </c>
      <c r="C148" s="2" t="str">
        <f ca="1">IFERROR(__xludf.DUMMYFUNCTION("""COMPUTED_VALUE"""),"Schoolroute")</f>
        <v>Schoolroute</v>
      </c>
      <c r="D148" s="2" t="str">
        <f ca="1">IFERROR(__xludf.DUMMYFUNCTION("""COMPUTED_VALUE"""),"IN/000845")</f>
        <v>IN/000845</v>
      </c>
      <c r="E148" s="2" t="str">
        <f ca="1">IFERROR(__xludf.DUMMYFUNCTION("UNIQUE(FILTER('export kabinetdashboard 1210202'!N:P,'export kabinetdashboard 1210202'!M:M=D148))"),"toevoegen VOP's thv beide kruispunten")</f>
        <v>toevoegen VOP's thv beide kruispunten</v>
      </c>
      <c r="F148" s="2" t="str">
        <f ca="1">IFERROR(__xludf.DUMMYFUNCTION("""COMPUTED_VALUE"""),"2022 - Q4")</f>
        <v>2022 - Q4</v>
      </c>
      <c r="G148" s="2" t="str">
        <f ca="1">IFERROR(__xludf.DUMMYFUNCTION("""COMPUTED_VALUE"""),"n.t.b.")</f>
        <v>n.t.b.</v>
      </c>
      <c r="H148" s="2">
        <f ca="1">SUMIFS('bedragen KIM (budgettering &amp; pl'!S:S,'bedragen KIM (budgettering &amp; pl'!B:B,A148,'bedragen KIM (budgettering &amp; pl'!F:F,D148)</f>
        <v>54225</v>
      </c>
      <c r="I148" s="2" t="e">
        <f ca="1">SUMIFS(#REF!,#REF!,A148,#REF!,D148)</f>
        <v>#REF!</v>
      </c>
      <c r="J148" s="2" t="e">
        <f ca="1">SUMIFS(#REF!,#REF!,A148,#REF!,D148)</f>
        <v>#REF!</v>
      </c>
    </row>
    <row r="149" spans="1:10" ht="12.5" x14ac:dyDescent="0.25">
      <c r="A149" s="2" t="str">
        <f ca="1">IFERROR(__xludf.DUMMYFUNCTION("""COMPUTED_VALUE"""),"KP/000984")</f>
        <v>KP/000984</v>
      </c>
      <c r="B149" s="2" t="str">
        <f ca="1">IFERROR(__xludf.DUMMYFUNCTION("""COMPUTED_VALUE"""),"Verkeersveiligheid")</f>
        <v>Verkeersveiligheid</v>
      </c>
      <c r="C149" s="2" t="str">
        <f ca="1">IFERROR(__xludf.DUMMYFUNCTION("""COMPUTED_VALUE"""),"Schoolroute")</f>
        <v>Schoolroute</v>
      </c>
      <c r="D149" s="2" t="str">
        <f ca="1">IFERROR(__xludf.DUMMYFUNCTION("""COMPUTED_VALUE"""),"IN/000846")</f>
        <v>IN/000846</v>
      </c>
      <c r="E149" s="2" t="str">
        <f ca="1">IFERROR(__xludf.DUMMYFUNCTION("UNIQUE(FILTER('export kabinetdashboard 1210202'!N:P,'export kabinetdashboard 1210202'!M:M=D149))"),"extra VOP")</f>
        <v>extra VOP</v>
      </c>
      <c r="F149" s="2" t="str">
        <f ca="1">IFERROR(__xludf.DUMMYFUNCTION("""COMPUTED_VALUE"""),"2021 - Q3")</f>
        <v>2021 - Q3</v>
      </c>
      <c r="G149" s="2" t="str">
        <f ca="1">IFERROR(__xludf.DUMMYFUNCTION("""COMPUTED_VALUE"""),"n.t.b.")</f>
        <v>n.t.b.</v>
      </c>
      <c r="H149" s="2">
        <f ca="1">SUMIFS('bedragen KIM (budgettering &amp; pl'!S:S,'bedragen KIM (budgettering &amp; pl'!B:B,A149,'bedragen KIM (budgettering &amp; pl'!F:F,D149)</f>
        <v>680</v>
      </c>
      <c r="I149" s="2" t="e">
        <f ca="1">SUMIFS(#REF!,#REF!,A149,#REF!,D149)</f>
        <v>#REF!</v>
      </c>
      <c r="J149" s="2" t="e">
        <f ca="1">SUMIFS(#REF!,#REF!,A149,#REF!,D149)</f>
        <v>#REF!</v>
      </c>
    </row>
    <row r="150" spans="1:10" ht="12.5" x14ac:dyDescent="0.25">
      <c r="A150" s="2" t="str">
        <f ca="1">IFERROR(__xludf.DUMMYFUNCTION("""COMPUTED_VALUE"""),"KP/000985")</f>
        <v>KP/000985</v>
      </c>
      <c r="B150" s="2" t="str">
        <f ca="1">IFERROR(__xludf.DUMMYFUNCTION("""COMPUTED_VALUE"""),"Verkeersveiligheid")</f>
        <v>Verkeersveiligheid</v>
      </c>
      <c r="C150" s="2" t="str">
        <f ca="1">IFERROR(__xludf.DUMMYFUNCTION("""COMPUTED_VALUE"""),"Schoolroute")</f>
        <v>Schoolroute</v>
      </c>
      <c r="D150" s="2" t="str">
        <f ca="1">IFERROR(__xludf.DUMMYFUNCTION("""COMPUTED_VALUE"""),"IN/000847")</f>
        <v>IN/000847</v>
      </c>
      <c r="E150" s="2" t="str">
        <f ca="1">IFERROR(__xludf.DUMMYFUNCTION("UNIQUE(FILTER('export kabinetdashboard 1210202'!N:P,'export kabinetdashboard 1210202'!M:M=D150))"),"")</f>
        <v/>
      </c>
      <c r="F150" s="2" t="str">
        <f ca="1">IFERROR(__xludf.DUMMYFUNCTION("""COMPUTED_VALUE"""),"n.t.b.")</f>
        <v>n.t.b.</v>
      </c>
      <c r="G150" s="2" t="str">
        <f ca="1">IFERROR(__xludf.DUMMYFUNCTION("""COMPUTED_VALUE"""),"n.t.b.")</f>
        <v>n.t.b.</v>
      </c>
      <c r="H150" s="2">
        <f ca="1">SUMIFS('bedragen KIM (budgettering &amp; pl'!S:S,'bedragen KIM (budgettering &amp; pl'!B:B,A150,'bedragen KIM (budgettering &amp; pl'!F:F,D150)</f>
        <v>250000</v>
      </c>
      <c r="I150" s="2" t="e">
        <f ca="1">SUMIFS(#REF!,#REF!,A150,#REF!,D150)</f>
        <v>#REF!</v>
      </c>
      <c r="J150" s="2" t="e">
        <f ca="1">SUMIFS(#REF!,#REF!,A150,#REF!,D150)</f>
        <v>#REF!</v>
      </c>
    </row>
    <row r="151" spans="1:10" ht="12.5" x14ac:dyDescent="0.25">
      <c r="A151" s="2" t="str">
        <f ca="1">IFERROR(__xludf.DUMMYFUNCTION("""COMPUTED_VALUE"""),"KP/000986")</f>
        <v>KP/000986</v>
      </c>
      <c r="B151" s="2" t="str">
        <f ca="1">IFERROR(__xludf.DUMMYFUNCTION("""COMPUTED_VALUE"""),"Verkeersveiligheid")</f>
        <v>Verkeersveiligheid</v>
      </c>
      <c r="C151" s="2" t="str">
        <f ca="1">IFERROR(__xludf.DUMMYFUNCTION("""COMPUTED_VALUE"""),"Schoolroute")</f>
        <v>Schoolroute</v>
      </c>
      <c r="D151" s="2" t="str">
        <f ca="1">IFERROR(__xludf.DUMMYFUNCTION("""COMPUTED_VALUE"""),"IN/000848")</f>
        <v>IN/000848</v>
      </c>
      <c r="E151" s="2" t="str">
        <f ca="1">IFERROR(__xludf.DUMMYFUNCTION("UNIQUE(FILTER('export kabinetdashboard 1210202'!N:P,'export kabinetdashboard 1210202'!M:M=D151))"),"")</f>
        <v/>
      </c>
      <c r="F151" s="2" t="str">
        <f ca="1">IFERROR(__xludf.DUMMYFUNCTION("""COMPUTED_VALUE"""),"2022 - Q4")</f>
        <v>2022 - Q4</v>
      </c>
      <c r="G151" s="2" t="str">
        <f ca="1">IFERROR(__xludf.DUMMYFUNCTION("""COMPUTED_VALUE"""),"n.t.b.")</f>
        <v>n.t.b.</v>
      </c>
      <c r="H151" s="2">
        <f ca="1">SUMIFS('bedragen KIM (budgettering &amp; pl'!S:S,'bedragen KIM (budgettering &amp; pl'!B:B,A151,'bedragen KIM (budgettering &amp; pl'!F:F,D151)</f>
        <v>15000</v>
      </c>
      <c r="I151" s="2" t="e">
        <f ca="1">SUMIFS(#REF!,#REF!,A151,#REF!,D151)</f>
        <v>#REF!</v>
      </c>
      <c r="J151" s="2" t="e">
        <f ca="1">SUMIFS(#REF!,#REF!,A151,#REF!,D151)</f>
        <v>#REF!</v>
      </c>
    </row>
    <row r="152" spans="1:10" ht="12.5" x14ac:dyDescent="0.25">
      <c r="A152" s="2" t="str">
        <f ca="1">IFERROR(__xludf.DUMMYFUNCTION("""COMPUTED_VALUE"""),"KP/000988")</f>
        <v>KP/000988</v>
      </c>
      <c r="B152" s="2" t="str">
        <f ca="1">IFERROR(__xludf.DUMMYFUNCTION("""COMPUTED_VALUE"""),"Verkeersveiligheid")</f>
        <v>Verkeersveiligheid</v>
      </c>
      <c r="C152" s="2" t="str">
        <f ca="1">IFERROR(__xludf.DUMMYFUNCTION("""COMPUTED_VALUE"""),"Schoolroute")</f>
        <v>Schoolroute</v>
      </c>
      <c r="D152" s="2" t="str">
        <f ca="1">IFERROR(__xludf.DUMMYFUNCTION("""COMPUTED_VALUE"""),"IN/000849")</f>
        <v>IN/000849</v>
      </c>
      <c r="E152" s="2" t="str">
        <f ca="1">IFERROR(__xludf.DUMMYFUNCTION("UNIQUE(FILTER('export kabinetdashboard 1210202'!N:P,'export kabinetdashboard 1210202'!M:M=D152))"),"")</f>
        <v/>
      </c>
      <c r="F152" s="2" t="str">
        <f ca="1">IFERROR(__xludf.DUMMYFUNCTION("""COMPUTED_VALUE"""),"2022 - Q1")</f>
        <v>2022 - Q1</v>
      </c>
      <c r="G152" s="2" t="str">
        <f ca="1">IFERROR(__xludf.DUMMYFUNCTION("""COMPUTED_VALUE"""),"n.t.b.")</f>
        <v>n.t.b.</v>
      </c>
      <c r="H152" s="2">
        <f ca="1">SUMIFS('bedragen KIM (budgettering &amp; pl'!S:S,'bedragen KIM (budgettering &amp; pl'!B:B,A152,'bedragen KIM (budgettering &amp; pl'!F:F,D152)</f>
        <v>7500</v>
      </c>
      <c r="I152" s="2" t="e">
        <f ca="1">SUMIFS(#REF!,#REF!,A152,#REF!,D152)</f>
        <v>#REF!</v>
      </c>
      <c r="J152" s="2" t="e">
        <f ca="1">SUMIFS(#REF!,#REF!,A152,#REF!,D152)</f>
        <v>#REF!</v>
      </c>
    </row>
    <row r="153" spans="1:10" ht="12.5" x14ac:dyDescent="0.25">
      <c r="A153" s="2" t="str">
        <f ca="1">IFERROR(__xludf.DUMMYFUNCTION("""COMPUTED_VALUE"""),"KP/000989")</f>
        <v>KP/000989</v>
      </c>
      <c r="B153" s="2" t="str">
        <f ca="1">IFERROR(__xludf.DUMMYFUNCTION("""COMPUTED_VALUE"""),"Verkeersveiligheid")</f>
        <v>Verkeersveiligheid</v>
      </c>
      <c r="C153" s="2" t="str">
        <f ca="1">IFERROR(__xludf.DUMMYFUNCTION("""COMPUTED_VALUE"""),"Schoolroute")</f>
        <v>Schoolroute</v>
      </c>
      <c r="D153" s="2" t="str">
        <f ca="1">IFERROR(__xludf.DUMMYFUNCTION("""COMPUTED_VALUE"""),"IN/000850")</f>
        <v>IN/000850</v>
      </c>
      <c r="E153" s="2" t="str">
        <f ca="1">IFERROR(__xludf.DUMMYFUNCTION("UNIQUE(FILTER('export kabinetdashboard 1210202'!N:P,'export kabinetdashboard 1210202'!M:M=D153))"),"")</f>
        <v/>
      </c>
      <c r="F153" s="2" t="str">
        <f ca="1">IFERROR(__xludf.DUMMYFUNCTION("""COMPUTED_VALUE"""),"n.t.b.")</f>
        <v>n.t.b.</v>
      </c>
      <c r="G153" s="2" t="str">
        <f ca="1">IFERROR(__xludf.DUMMYFUNCTION("""COMPUTED_VALUE"""),"n.t.b.")</f>
        <v>n.t.b.</v>
      </c>
      <c r="H153" s="2">
        <f ca="1">SUMIFS('bedragen KIM (budgettering &amp; pl'!S:S,'bedragen KIM (budgettering &amp; pl'!B:B,A153,'bedragen KIM (budgettering &amp; pl'!F:F,D153)</f>
        <v>0</v>
      </c>
      <c r="I153" s="2" t="e">
        <f ca="1">SUMIFS(#REF!,#REF!,A153,#REF!,D153)</f>
        <v>#REF!</v>
      </c>
      <c r="J153" s="2" t="e">
        <f ca="1">SUMIFS(#REF!,#REF!,A153,#REF!,D153)</f>
        <v>#REF!</v>
      </c>
    </row>
    <row r="154" spans="1:10" ht="12.5" x14ac:dyDescent="0.25">
      <c r="A154" s="2" t="str">
        <f ca="1">IFERROR(__xludf.DUMMYFUNCTION("""COMPUTED_VALUE"""),"KP/000995")</f>
        <v>KP/000995</v>
      </c>
      <c r="B154" s="2" t="str">
        <f ca="1">IFERROR(__xludf.DUMMYFUNCTION("""COMPUTED_VALUE"""),"Verkeersveiligheid")</f>
        <v>Verkeersveiligheid</v>
      </c>
      <c r="C154" s="2" t="str">
        <f ca="1">IFERROR(__xludf.DUMMYFUNCTION("""COMPUTED_VALUE"""),"Schoolroute")</f>
        <v>Schoolroute</v>
      </c>
      <c r="D154" s="2" t="str">
        <f ca="1">IFERROR(__xludf.DUMMYFUNCTION("""COMPUTED_VALUE"""),"IN/000851")</f>
        <v>IN/000851</v>
      </c>
      <c r="E154" s="2" t="str">
        <f ca="1">IFERROR(__xludf.DUMMYFUNCTION("UNIQUE(FILTER('export kabinetdashboard 1210202'!N:P,'export kabinetdashboard 1210202'!M:M=D154))"),"")</f>
        <v/>
      </c>
      <c r="F154" s="2" t="str">
        <f ca="1">IFERROR(__xludf.DUMMYFUNCTION("""COMPUTED_VALUE"""),"2022 - Q3")</f>
        <v>2022 - Q3</v>
      </c>
      <c r="G154" s="2" t="str">
        <f ca="1">IFERROR(__xludf.DUMMYFUNCTION("""COMPUTED_VALUE"""),"2022 - Q3")</f>
        <v>2022 - Q3</v>
      </c>
      <c r="H154" s="2">
        <f ca="1">SUMIFS('bedragen KIM (budgettering &amp; pl'!S:S,'bedragen KIM (budgettering &amp; pl'!B:B,A154,'bedragen KIM (budgettering &amp; pl'!F:F,D154)</f>
        <v>50000</v>
      </c>
      <c r="I154" s="2" t="e">
        <f ca="1">SUMIFS(#REF!,#REF!,A154,#REF!,D154)</f>
        <v>#REF!</v>
      </c>
      <c r="J154" s="2" t="e">
        <f ca="1">SUMIFS(#REF!,#REF!,A154,#REF!,D154)</f>
        <v>#REF!</v>
      </c>
    </row>
    <row r="155" spans="1:10" ht="12.5" x14ac:dyDescent="0.25">
      <c r="A155" s="2" t="str">
        <f ca="1">IFERROR(__xludf.DUMMYFUNCTION("""COMPUTED_VALUE"""),"KP/000996")</f>
        <v>KP/000996</v>
      </c>
      <c r="B155" s="2" t="str">
        <f ca="1">IFERROR(__xludf.DUMMYFUNCTION("""COMPUTED_VALUE"""),"Verkeersveiligheid")</f>
        <v>Verkeersveiligheid</v>
      </c>
      <c r="C155" s="2" t="str">
        <f ca="1">IFERROR(__xludf.DUMMYFUNCTION("""COMPUTED_VALUE"""),"Schoolroute")</f>
        <v>Schoolroute</v>
      </c>
      <c r="D155" s="2" t="str">
        <f ca="1">IFERROR(__xludf.DUMMYFUNCTION("""COMPUTED_VALUE"""),"IN/000852")</f>
        <v>IN/000852</v>
      </c>
      <c r="E155" s="2" t="str">
        <f ca="1">IFERROR(__xludf.DUMMYFUNCTION("UNIQUE(FILTER('export kabinetdashboard 1210202'!N:P,'export kabinetdashboard 1210202'!M:M=D155))"),"zone 30 aan Marktplein")</f>
        <v>zone 30 aan Marktplein</v>
      </c>
      <c r="F155" s="2" t="str">
        <f ca="1">IFERROR(__xludf.DUMMYFUNCTION("""COMPUTED_VALUE"""),"2022 - Q2")</f>
        <v>2022 - Q2</v>
      </c>
      <c r="G155" s="2" t="str">
        <f ca="1">IFERROR(__xludf.DUMMYFUNCTION("""COMPUTED_VALUE"""),"n.t.b.")</f>
        <v>n.t.b.</v>
      </c>
      <c r="H155" s="2">
        <f ca="1">SUMIFS('bedragen KIM (budgettering &amp; pl'!S:S,'bedragen KIM (budgettering &amp; pl'!B:B,A155,'bedragen KIM (budgettering &amp; pl'!F:F,D155)</f>
        <v>50000</v>
      </c>
      <c r="I155" s="2" t="e">
        <f ca="1">SUMIFS(#REF!,#REF!,A155,#REF!,D155)</f>
        <v>#REF!</v>
      </c>
      <c r="J155" s="2" t="e">
        <f ca="1">SUMIFS(#REF!,#REF!,A155,#REF!,D155)</f>
        <v>#REF!</v>
      </c>
    </row>
    <row r="156" spans="1:10" ht="12.5" x14ac:dyDescent="0.25">
      <c r="A156" s="2" t="str">
        <f ca="1">IFERROR(__xludf.DUMMYFUNCTION("""COMPUTED_VALUE"""),"KP/000997")</f>
        <v>KP/000997</v>
      </c>
      <c r="B156" s="2" t="str">
        <f ca="1">IFERROR(__xludf.DUMMYFUNCTION("""COMPUTED_VALUE"""),"Verkeersveiligheid")</f>
        <v>Verkeersveiligheid</v>
      </c>
      <c r="C156" s="2" t="str">
        <f ca="1">IFERROR(__xludf.DUMMYFUNCTION("""COMPUTED_VALUE"""),"Schoolroute")</f>
        <v>Schoolroute</v>
      </c>
      <c r="D156" s="2" t="str">
        <f ca="1">IFERROR(__xludf.DUMMYFUNCTION("""COMPUTED_VALUE"""),"IN/000853")</f>
        <v>IN/000853</v>
      </c>
      <c r="E156" s="2" t="str">
        <f ca="1">IFERROR(__xludf.DUMMYFUNCTION("UNIQUE(FILTER('export kabinetdashboard 1210202'!N:P,'export kabinetdashboard 1210202'!M:M=D156))"),"")</f>
        <v/>
      </c>
      <c r="F156" s="2" t="str">
        <f ca="1">IFERROR(__xludf.DUMMYFUNCTION("""COMPUTED_VALUE"""),"2022 - Q1")</f>
        <v>2022 - Q1</v>
      </c>
      <c r="G156" s="2" t="str">
        <f ca="1">IFERROR(__xludf.DUMMYFUNCTION("""COMPUTED_VALUE"""),"n.t.b.")</f>
        <v>n.t.b.</v>
      </c>
      <c r="H156" s="2">
        <f ca="1">SUMIFS('bedragen KIM (budgettering &amp; pl'!S:S,'bedragen KIM (budgettering &amp; pl'!B:B,A156,'bedragen KIM (budgettering &amp; pl'!F:F,D156)</f>
        <v>35000</v>
      </c>
      <c r="I156" s="2" t="e">
        <f ca="1">SUMIFS(#REF!,#REF!,A156,#REF!,D156)</f>
        <v>#REF!</v>
      </c>
      <c r="J156" s="2" t="e">
        <f ca="1">SUMIFS(#REF!,#REF!,A156,#REF!,D156)</f>
        <v>#REF!</v>
      </c>
    </row>
    <row r="157" spans="1:10" ht="12.5" x14ac:dyDescent="0.25">
      <c r="A157" s="2" t="str">
        <f ca="1">IFERROR(__xludf.DUMMYFUNCTION("""COMPUTED_VALUE"""),"KP/000998")</f>
        <v>KP/000998</v>
      </c>
      <c r="B157" s="2" t="str">
        <f ca="1">IFERROR(__xludf.DUMMYFUNCTION("""COMPUTED_VALUE"""),"Verkeersveiligheid")</f>
        <v>Verkeersveiligheid</v>
      </c>
      <c r="C157" s="2" t="str">
        <f ca="1">IFERROR(__xludf.DUMMYFUNCTION("""COMPUTED_VALUE"""),"Schoolroute")</f>
        <v>Schoolroute</v>
      </c>
      <c r="D157" s="2" t="str">
        <f ca="1">IFERROR(__xludf.DUMMYFUNCTION("""COMPUTED_VALUE"""),"IN/000854")</f>
        <v>IN/000854</v>
      </c>
      <c r="E157" s="2" t="str">
        <f ca="1">IFERROR(__xludf.DUMMYFUNCTION("UNIQUE(FILTER('export kabinetdashboard 1210202'!N:P,'export kabinetdashboard 1210202'!M:M=D157))"),"Gemeente maakt aanvullend reglement op voor zone 30. Fietssuggestiestroken zijn heel moeilijk te markeren op klinkers. Thermoplasten brokkelen af. Verf vergaat snel waardoor dit zeer onderhoudsintensief is.")</f>
        <v>Gemeente maakt aanvullend reglement op voor zone 30. Fietssuggestiestroken zijn heel moeilijk te markeren op klinkers. Thermoplasten brokkelen af. Verf vergaat snel waardoor dit zeer onderhoudsintensief is.</v>
      </c>
      <c r="F157" s="2" t="str">
        <f ca="1">IFERROR(__xludf.DUMMYFUNCTION("""COMPUTED_VALUE"""),"n.t.b.")</f>
        <v>n.t.b.</v>
      </c>
      <c r="G157" s="2" t="str">
        <f ca="1">IFERROR(__xludf.DUMMYFUNCTION("""COMPUTED_VALUE"""),"n.t.b.")</f>
        <v>n.t.b.</v>
      </c>
      <c r="H157" s="2">
        <f ca="1">SUMIFS('bedragen KIM (budgettering &amp; pl'!S:S,'bedragen KIM (budgettering &amp; pl'!B:B,A157,'bedragen KIM (budgettering &amp; pl'!F:F,D157)</f>
        <v>0</v>
      </c>
      <c r="I157" s="2" t="e">
        <f ca="1">SUMIFS(#REF!,#REF!,A157,#REF!,D157)</f>
        <v>#REF!</v>
      </c>
      <c r="J157" s="2" t="e">
        <f ca="1">SUMIFS(#REF!,#REF!,A157,#REF!,D157)</f>
        <v>#REF!</v>
      </c>
    </row>
    <row r="158" spans="1:10" ht="12.5" x14ac:dyDescent="0.25">
      <c r="A158" s="2" t="str">
        <f ca="1">IFERROR(__xludf.DUMMYFUNCTION("""COMPUTED_VALUE"""),"KP/000999")</f>
        <v>KP/000999</v>
      </c>
      <c r="B158" s="2" t="str">
        <f ca="1">IFERROR(__xludf.DUMMYFUNCTION("""COMPUTED_VALUE"""),"Verkeersveiligheid")</f>
        <v>Verkeersveiligheid</v>
      </c>
      <c r="C158" s="2" t="str">
        <f ca="1">IFERROR(__xludf.DUMMYFUNCTION("""COMPUTED_VALUE"""),"Schoolroute")</f>
        <v>Schoolroute</v>
      </c>
      <c r="D158" s="2" t="str">
        <f ca="1">IFERROR(__xludf.DUMMYFUNCTION("""COMPUTED_VALUE"""),"IN/000855")</f>
        <v>IN/000855</v>
      </c>
      <c r="E158" s="2" t="str">
        <f ca="1">IFERROR(__xludf.DUMMYFUNCTION("UNIQUE(FILTER('export kabinetdashboard 1210202'!N:P,'export kabinetdashboard 1210202'!M:M=D158))"),"")</f>
        <v/>
      </c>
      <c r="F158" s="2" t="str">
        <f ca="1">IFERROR(__xludf.DUMMYFUNCTION("""COMPUTED_VALUE"""),"n.t.b.")</f>
        <v>n.t.b.</v>
      </c>
      <c r="G158" s="2" t="str">
        <f ca="1">IFERROR(__xludf.DUMMYFUNCTION("""COMPUTED_VALUE"""),"n.t.b.")</f>
        <v>n.t.b.</v>
      </c>
      <c r="H158" s="2">
        <f ca="1">SUMIFS('bedragen KIM (budgettering &amp; pl'!S:S,'bedragen KIM (budgettering &amp; pl'!B:B,A158,'bedragen KIM (budgettering &amp; pl'!F:F,D158)</f>
        <v>0</v>
      </c>
      <c r="I158" s="2" t="e">
        <f ca="1">SUMIFS(#REF!,#REF!,A158,#REF!,D158)</f>
        <v>#REF!</v>
      </c>
      <c r="J158" s="2" t="e">
        <f ca="1">SUMIFS(#REF!,#REF!,A158,#REF!,D158)</f>
        <v>#REF!</v>
      </c>
    </row>
    <row r="159" spans="1:10" ht="12.5" x14ac:dyDescent="0.25">
      <c r="A159" s="2" t="str">
        <f ca="1">IFERROR(__xludf.DUMMYFUNCTION("""COMPUTED_VALUE"""),"KP/001000")</f>
        <v>KP/001000</v>
      </c>
      <c r="B159" s="2" t="str">
        <f ca="1">IFERROR(__xludf.DUMMYFUNCTION("""COMPUTED_VALUE"""),"Verkeersveiligheid")</f>
        <v>Verkeersveiligheid</v>
      </c>
      <c r="C159" s="2" t="str">
        <f ca="1">IFERROR(__xludf.DUMMYFUNCTION("""COMPUTED_VALUE"""),"Schoolroute")</f>
        <v>Schoolroute</v>
      </c>
      <c r="D159" s="2" t="str">
        <f ca="1">IFERROR(__xludf.DUMMYFUNCTION("""COMPUTED_VALUE"""),"IN/000856")</f>
        <v>IN/000856</v>
      </c>
      <c r="E159" s="2" t="str">
        <f ca="1">IFERROR(__xludf.DUMMYFUNCTION("UNIQUE(FILTER('export kabinetdashboard 1210202'!N:P,'export kabinetdashboard 1210202'!M:M=D159))"),"")</f>
        <v/>
      </c>
      <c r="F159" s="2" t="str">
        <f ca="1">IFERROR(__xludf.DUMMYFUNCTION("""COMPUTED_VALUE"""),"n.t.b.")</f>
        <v>n.t.b.</v>
      </c>
      <c r="G159" s="2" t="str">
        <f ca="1">IFERROR(__xludf.DUMMYFUNCTION("""COMPUTED_VALUE"""),"n.t.b.")</f>
        <v>n.t.b.</v>
      </c>
      <c r="H159" s="2">
        <f ca="1">SUMIFS('bedragen KIM (budgettering &amp; pl'!S:S,'bedragen KIM (budgettering &amp; pl'!B:B,A159,'bedragen KIM (budgettering &amp; pl'!F:F,D159)</f>
        <v>35000</v>
      </c>
      <c r="I159" s="2" t="e">
        <f ca="1">SUMIFS(#REF!,#REF!,A159,#REF!,D159)</f>
        <v>#REF!</v>
      </c>
      <c r="J159" s="2" t="e">
        <f ca="1">SUMIFS(#REF!,#REF!,A159,#REF!,D159)</f>
        <v>#REF!</v>
      </c>
    </row>
    <row r="160" spans="1:10" ht="12.5" x14ac:dyDescent="0.25">
      <c r="A160" s="2" t="str">
        <f ca="1">IFERROR(__xludf.DUMMYFUNCTION("""COMPUTED_VALUE"""),"KP/001001")</f>
        <v>KP/001001</v>
      </c>
      <c r="B160" s="2" t="str">
        <f ca="1">IFERROR(__xludf.DUMMYFUNCTION("""COMPUTED_VALUE"""),"Verkeersveiligheid")</f>
        <v>Verkeersveiligheid</v>
      </c>
      <c r="C160" s="2" t="str">
        <f ca="1">IFERROR(__xludf.DUMMYFUNCTION("""COMPUTED_VALUE"""),"Schoolroute")</f>
        <v>Schoolroute</v>
      </c>
      <c r="D160" s="2" t="str">
        <f ca="1">IFERROR(__xludf.DUMMYFUNCTION("""COMPUTED_VALUE"""),"IN/000857")</f>
        <v>IN/000857</v>
      </c>
      <c r="E160" s="2" t="str">
        <f ca="1">IFERROR(__xludf.DUMMYFUNCTION("UNIQUE(FILTER('export kabinetdashboard 1210202'!N:P,'export kabinetdashboard 1210202'!M:M=D160))"),"Vernieuwen oversteekvoorzieningen en bushaltes + plaatsen VVOP")</f>
        <v>Vernieuwen oversteekvoorzieningen en bushaltes + plaatsen VVOP</v>
      </c>
      <c r="F160" s="2" t="str">
        <f ca="1">IFERROR(__xludf.DUMMYFUNCTION("""COMPUTED_VALUE"""),"2023 - Q3")</f>
        <v>2023 - Q3</v>
      </c>
      <c r="G160" s="2" t="str">
        <f ca="1">IFERROR(__xludf.DUMMYFUNCTION("""COMPUTED_VALUE"""),"n.t.b.")</f>
        <v>n.t.b.</v>
      </c>
      <c r="H160" s="2">
        <f ca="1">SUMIFS('bedragen KIM (budgettering &amp; pl'!S:S,'bedragen KIM (budgettering &amp; pl'!B:B,A160,'bedragen KIM (budgettering &amp; pl'!F:F,D160)</f>
        <v>40000</v>
      </c>
      <c r="I160" s="2" t="e">
        <f ca="1">SUMIFS(#REF!,#REF!,A160,#REF!,D160)</f>
        <v>#REF!</v>
      </c>
      <c r="J160" s="2" t="e">
        <f ca="1">SUMIFS(#REF!,#REF!,A160,#REF!,D160)</f>
        <v>#REF!</v>
      </c>
    </row>
    <row r="161" spans="1:10" ht="12.5" x14ac:dyDescent="0.25">
      <c r="A161" s="2" t="str">
        <f ca="1">IFERROR(__xludf.DUMMYFUNCTION("""COMPUTED_VALUE"""),"KP/001002")</f>
        <v>KP/001002</v>
      </c>
      <c r="B161" s="2" t="str">
        <f ca="1">IFERROR(__xludf.DUMMYFUNCTION("""COMPUTED_VALUE"""),"Verkeersveiligheid")</f>
        <v>Verkeersveiligheid</v>
      </c>
      <c r="C161" s="2" t="str">
        <f ca="1">IFERROR(__xludf.DUMMYFUNCTION("""COMPUTED_VALUE"""),"Schoolroute")</f>
        <v>Schoolroute</v>
      </c>
      <c r="D161" s="2" t="str">
        <f ca="1">IFERROR(__xludf.DUMMYFUNCTION("""COMPUTED_VALUE"""),"IN/000858")</f>
        <v>IN/000858</v>
      </c>
      <c r="E161" s="2" t="str">
        <f ca="1">IFERROR(__xludf.DUMMYFUNCTION("UNIQUE(FILTER('export kabinetdashboard 1210202'!N:P,'export kabinetdashboard 1210202'!M:M=D161))"),"")</f>
        <v/>
      </c>
      <c r="F161" s="2" t="str">
        <f ca="1">IFERROR(__xludf.DUMMYFUNCTION("""COMPUTED_VALUE"""),"2022 - Q4")</f>
        <v>2022 - Q4</v>
      </c>
      <c r="G161" s="2" t="str">
        <f ca="1">IFERROR(__xludf.DUMMYFUNCTION("""COMPUTED_VALUE"""),"n.t.b.")</f>
        <v>n.t.b.</v>
      </c>
      <c r="H161" s="2">
        <f ca="1">SUMIFS('bedragen KIM (budgettering &amp; pl'!S:S,'bedragen KIM (budgettering &amp; pl'!B:B,A161,'bedragen KIM (budgettering &amp; pl'!F:F,D161)</f>
        <v>24494.38</v>
      </c>
      <c r="I161" s="2" t="e">
        <f ca="1">SUMIFS(#REF!,#REF!,A161,#REF!,D161)</f>
        <v>#REF!</v>
      </c>
      <c r="J161" s="2" t="e">
        <f ca="1">SUMIFS(#REF!,#REF!,A161,#REF!,D161)</f>
        <v>#REF!</v>
      </c>
    </row>
    <row r="162" spans="1:10" ht="12.5" x14ac:dyDescent="0.25">
      <c r="A162" s="2" t="str">
        <f ca="1">IFERROR(__xludf.DUMMYFUNCTION("""COMPUTED_VALUE"""),"KP/001005")</f>
        <v>KP/001005</v>
      </c>
      <c r="B162" s="2" t="str">
        <f ca="1">IFERROR(__xludf.DUMMYFUNCTION("""COMPUTED_VALUE"""),"Verkeersveiligheid")</f>
        <v>Verkeersveiligheid</v>
      </c>
      <c r="C162" s="2" t="str">
        <f ca="1">IFERROR(__xludf.DUMMYFUNCTION("""COMPUTED_VALUE"""),"Schoolroute")</f>
        <v>Schoolroute</v>
      </c>
      <c r="D162" s="2" t="str">
        <f ca="1">IFERROR(__xludf.DUMMYFUNCTION("""COMPUTED_VALUE"""),"IN/000859")</f>
        <v>IN/000859</v>
      </c>
      <c r="E162" s="2" t="str">
        <f ca="1">IFERROR(__xludf.DUMMYFUNCTION("UNIQUE(FILTER('export kabinetdashboard 1210202'!N:P,'export kabinetdashboard 1210202'!M:M=D162))"),"
")</f>
        <v xml:space="preserve">
</v>
      </c>
      <c r="F162" s="2" t="str">
        <f ca="1">IFERROR(__xludf.DUMMYFUNCTION("""COMPUTED_VALUE"""),"2022 - Q2")</f>
        <v>2022 - Q2</v>
      </c>
      <c r="G162" s="2" t="str">
        <f ca="1">IFERROR(__xludf.DUMMYFUNCTION("""COMPUTED_VALUE"""),"2021 - Q3")</f>
        <v>2021 - Q3</v>
      </c>
      <c r="H162" s="2">
        <f ca="1">SUMIFS('bedragen KIM (budgettering &amp; pl'!S:S,'bedragen KIM (budgettering &amp; pl'!B:B,A162,'bedragen KIM (budgettering &amp; pl'!F:F,D162)</f>
        <v>78565</v>
      </c>
      <c r="I162" s="2" t="e">
        <f ca="1">SUMIFS(#REF!,#REF!,A162,#REF!,D162)</f>
        <v>#REF!</v>
      </c>
      <c r="J162" s="2" t="e">
        <f ca="1">SUMIFS(#REF!,#REF!,A162,#REF!,D162)</f>
        <v>#REF!</v>
      </c>
    </row>
    <row r="163" spans="1:10" ht="12.5" x14ac:dyDescent="0.25">
      <c r="A163" s="2" t="str">
        <f ca="1">IFERROR(__xludf.DUMMYFUNCTION("""COMPUTED_VALUE"""),"KP/001008")</f>
        <v>KP/001008</v>
      </c>
      <c r="B163" s="2" t="str">
        <f ca="1">IFERROR(__xludf.DUMMYFUNCTION("""COMPUTED_VALUE"""),"Verkeersveiligheid")</f>
        <v>Verkeersveiligheid</v>
      </c>
      <c r="C163" s="2" t="str">
        <f ca="1">IFERROR(__xludf.DUMMYFUNCTION("""COMPUTED_VALUE"""),"Schoolroute")</f>
        <v>Schoolroute</v>
      </c>
      <c r="D163" s="2" t="str">
        <f ca="1">IFERROR(__xludf.DUMMYFUNCTION("""COMPUTED_VALUE"""),"IN/000860")</f>
        <v>IN/000860</v>
      </c>
      <c r="E163" s="2" t="str">
        <f ca="1">IFERROR(__xludf.DUMMYFUNCTION("UNIQUE(FILTER('export kabinetdashboard 1210202'!N:P,'export kabinetdashboard 1210202'!M:M=D163))"),"VVOP indien niet op kruispunt?")</f>
        <v>VVOP indien niet op kruispunt?</v>
      </c>
      <c r="F163" s="2" t="str">
        <f ca="1">IFERROR(__xludf.DUMMYFUNCTION("""COMPUTED_VALUE"""),"2024 - Q1")</f>
        <v>2024 - Q1</v>
      </c>
      <c r="G163" s="2" t="str">
        <f ca="1">IFERROR(__xludf.DUMMYFUNCTION("""COMPUTED_VALUE"""),"n.t.b.")</f>
        <v>n.t.b.</v>
      </c>
      <c r="H163" s="2">
        <f ca="1">SUMIFS('bedragen KIM (budgettering &amp; pl'!S:S,'bedragen KIM (budgettering &amp; pl'!B:B,A163,'bedragen KIM (budgettering &amp; pl'!F:F,D163)</f>
        <v>567982.84</v>
      </c>
      <c r="I163" s="2" t="e">
        <f ca="1">SUMIFS(#REF!,#REF!,A163,#REF!,D163)</f>
        <v>#REF!</v>
      </c>
      <c r="J163" s="2" t="e">
        <f ca="1">SUMIFS(#REF!,#REF!,A163,#REF!,D163)</f>
        <v>#REF!</v>
      </c>
    </row>
    <row r="164" spans="1:10" ht="12.5" x14ac:dyDescent="0.25">
      <c r="A164" s="2" t="str">
        <f ca="1">IFERROR(__xludf.DUMMYFUNCTION("""COMPUTED_VALUE"""),"KP/001009")</f>
        <v>KP/001009</v>
      </c>
      <c r="B164" s="2" t="str">
        <f ca="1">IFERROR(__xludf.DUMMYFUNCTION("""COMPUTED_VALUE"""),"Verkeersveiligheid")</f>
        <v>Verkeersveiligheid</v>
      </c>
      <c r="C164" s="2" t="str">
        <f ca="1">IFERROR(__xludf.DUMMYFUNCTION("""COMPUTED_VALUE"""),"Schoolroute")</f>
        <v>Schoolroute</v>
      </c>
      <c r="D164" s="2" t="str">
        <f ca="1">IFERROR(__xludf.DUMMYFUNCTION("""COMPUTED_VALUE"""),"IN/000861")</f>
        <v>IN/000861</v>
      </c>
      <c r="E164" s="2" t="str">
        <f ca="1">IFERROR(__xludf.DUMMYFUNCTION("UNIQUE(FILTER('export kabinetdashboard 1210202'!N:P,'export kabinetdashboard 1210202'!M:M=D164))"),"VVOP voorzien + thermoplast markering ""SCHOOL""")</f>
        <v>VVOP voorzien + thermoplast markering "SCHOOL"</v>
      </c>
      <c r="F164" s="2" t="str">
        <f ca="1">IFERROR(__xludf.DUMMYFUNCTION("""COMPUTED_VALUE"""),"2022 - Q3")</f>
        <v>2022 - Q3</v>
      </c>
      <c r="G164" s="2" t="str">
        <f ca="1">IFERROR(__xludf.DUMMYFUNCTION("""COMPUTED_VALUE"""),"2022 - Q3")</f>
        <v>2022 - Q3</v>
      </c>
      <c r="H164" s="2">
        <f ca="1">SUMIFS('bedragen KIM (budgettering &amp; pl'!S:S,'bedragen KIM (budgettering &amp; pl'!B:B,A164,'bedragen KIM (budgettering &amp; pl'!F:F,D164)</f>
        <v>20367.03</v>
      </c>
      <c r="I164" s="2" t="e">
        <f ca="1">SUMIFS(#REF!,#REF!,A164,#REF!,D164)</f>
        <v>#REF!</v>
      </c>
      <c r="J164" s="2" t="e">
        <f ca="1">SUMIFS(#REF!,#REF!,A164,#REF!,D164)</f>
        <v>#REF!</v>
      </c>
    </row>
    <row r="165" spans="1:10" ht="12.5" x14ac:dyDescent="0.25">
      <c r="A165" s="2" t="str">
        <f ca="1">IFERROR(__xludf.DUMMYFUNCTION("""COMPUTED_VALUE"""),"KP/001011")</f>
        <v>KP/001011</v>
      </c>
      <c r="B165" s="2" t="str">
        <f ca="1">IFERROR(__xludf.DUMMYFUNCTION("""COMPUTED_VALUE"""),"Verkeersveiligheid")</f>
        <v>Verkeersveiligheid</v>
      </c>
      <c r="C165" s="2" t="str">
        <f ca="1">IFERROR(__xludf.DUMMYFUNCTION("""COMPUTED_VALUE"""),"Schoolroute")</f>
        <v>Schoolroute</v>
      </c>
      <c r="D165" s="2" t="str">
        <f ca="1">IFERROR(__xludf.DUMMYFUNCTION("""COMPUTED_VALUE"""),"IN/000862")</f>
        <v>IN/000862</v>
      </c>
      <c r="E165" s="2" t="str">
        <f ca="1">IFERROR(__xludf.DUMMYFUNCTION("UNIQUE(FILTER('export kabinetdashboard 1210202'!N:P,'export kabinetdashboard 1210202'!M:M=D165))"),"")</f>
        <v/>
      </c>
      <c r="F165" s="2" t="str">
        <f ca="1">IFERROR(__xludf.DUMMYFUNCTION("""COMPUTED_VALUE"""),"2022 - Q3")</f>
        <v>2022 - Q3</v>
      </c>
      <c r="G165" s="2" t="str">
        <f ca="1">IFERROR(__xludf.DUMMYFUNCTION("""COMPUTED_VALUE"""),"n.t.b.")</f>
        <v>n.t.b.</v>
      </c>
      <c r="H165" s="2">
        <f ca="1">SUMIFS('bedragen KIM (budgettering &amp; pl'!S:S,'bedragen KIM (budgettering &amp; pl'!B:B,A165,'bedragen KIM (budgettering &amp; pl'!F:F,D165)</f>
        <v>40000</v>
      </c>
      <c r="I165" s="2" t="e">
        <f ca="1">SUMIFS(#REF!,#REF!,A165,#REF!,D165)</f>
        <v>#REF!</v>
      </c>
      <c r="J165" s="2" t="e">
        <f ca="1">SUMIFS(#REF!,#REF!,A165,#REF!,D165)</f>
        <v>#REF!</v>
      </c>
    </row>
    <row r="166" spans="1:10" ht="12.5" x14ac:dyDescent="0.25">
      <c r="A166" s="2" t="str">
        <f ca="1">IFERROR(__xludf.DUMMYFUNCTION("""COMPUTED_VALUE"""),"KP/001012")</f>
        <v>KP/001012</v>
      </c>
      <c r="B166" s="2" t="str">
        <f ca="1">IFERROR(__xludf.DUMMYFUNCTION("""COMPUTED_VALUE"""),"Verkeersveiligheid")</f>
        <v>Verkeersveiligheid</v>
      </c>
      <c r="C166" s="2" t="str">
        <f ca="1">IFERROR(__xludf.DUMMYFUNCTION("""COMPUTED_VALUE"""),"Schoolroute")</f>
        <v>Schoolroute</v>
      </c>
      <c r="D166" s="2" t="str">
        <f ca="1">IFERROR(__xludf.DUMMYFUNCTION("""COMPUTED_VALUE"""),"IN/000863")</f>
        <v>IN/000863</v>
      </c>
      <c r="E166" s="2" t="str">
        <f ca="1">IFERROR(__xludf.DUMMYFUNCTION("UNIQUE(FILTER('export kabinetdashboard 1210202'!N:P,'export kabinetdashboard 1210202'!M:M=D166))"),"klein stukje extra fietspad (= vandaag een olifantenpad door de berm) om fietspad Kasteletsingel te verbinden met fietsroute richting school")</f>
        <v>klein stukje extra fietspad (= vandaag een olifantenpad door de berm) om fietspad Kasteletsingel te verbinden met fietsroute richting school</v>
      </c>
      <c r="F166" s="2" t="str">
        <f ca="1">IFERROR(__xludf.DUMMYFUNCTION("""COMPUTED_VALUE"""),"2022 - Q2")</f>
        <v>2022 - Q2</v>
      </c>
      <c r="G166" s="2" t="str">
        <f ca="1">IFERROR(__xludf.DUMMYFUNCTION("""COMPUTED_VALUE"""),"2022 - Q2")</f>
        <v>2022 - Q2</v>
      </c>
      <c r="H166" s="2">
        <f ca="1">SUMIFS('bedragen KIM (budgettering &amp; pl'!S:S,'bedragen KIM (budgettering &amp; pl'!B:B,A166,'bedragen KIM (budgettering &amp; pl'!F:F,D166)</f>
        <v>6000</v>
      </c>
      <c r="I166" s="2" t="e">
        <f ca="1">SUMIFS(#REF!,#REF!,A166,#REF!,D166)</f>
        <v>#REF!</v>
      </c>
      <c r="J166" s="2" t="e">
        <f ca="1">SUMIFS(#REF!,#REF!,A166,#REF!,D166)</f>
        <v>#REF!</v>
      </c>
    </row>
    <row r="167" spans="1:10" ht="12.5" x14ac:dyDescent="0.25">
      <c r="A167" s="2" t="str">
        <f ca="1">IFERROR(__xludf.DUMMYFUNCTION("""COMPUTED_VALUE"""),"KP/001016")</f>
        <v>KP/001016</v>
      </c>
      <c r="B167" s="2" t="str">
        <f ca="1">IFERROR(__xludf.DUMMYFUNCTION("""COMPUTED_VALUE"""),"Verkeersveiligheid")</f>
        <v>Verkeersveiligheid</v>
      </c>
      <c r="C167" s="2" t="str">
        <f ca="1">IFERROR(__xludf.DUMMYFUNCTION("""COMPUTED_VALUE"""),"Schoolroute")</f>
        <v>Schoolroute</v>
      </c>
      <c r="D167" s="2" t="str">
        <f ca="1">IFERROR(__xludf.DUMMYFUNCTION("""COMPUTED_VALUE"""),"IN/000864")</f>
        <v>IN/000864</v>
      </c>
      <c r="E167" s="2" t="str">
        <f ca="1">IFERROR(__xludf.DUMMYFUNCTION("UNIQUE(FILTER('export kabinetdashboard 1210202'!N:P,'export kabinetdashboard 1210202'!M:M=D167))"),"")</f>
        <v/>
      </c>
      <c r="F167" s="2" t="str">
        <f ca="1">IFERROR(__xludf.DUMMYFUNCTION("""COMPUTED_VALUE"""),"2022 - Q4")</f>
        <v>2022 - Q4</v>
      </c>
      <c r="G167" s="2" t="str">
        <f ca="1">IFERROR(__xludf.DUMMYFUNCTION("""COMPUTED_VALUE"""),"n.t.b.")</f>
        <v>n.t.b.</v>
      </c>
      <c r="H167" s="2">
        <f ca="1">SUMIFS('bedragen KIM (budgettering &amp; pl'!S:S,'bedragen KIM (budgettering &amp; pl'!B:B,A167,'bedragen KIM (budgettering &amp; pl'!F:F,D167)</f>
        <v>50000</v>
      </c>
      <c r="I167" s="2" t="e">
        <f ca="1">SUMIFS(#REF!,#REF!,A167,#REF!,D167)</f>
        <v>#REF!</v>
      </c>
      <c r="J167" s="2" t="e">
        <f ca="1">SUMIFS(#REF!,#REF!,A167,#REF!,D167)</f>
        <v>#REF!</v>
      </c>
    </row>
    <row r="168" spans="1:10" ht="12.5" x14ac:dyDescent="0.25">
      <c r="A168" s="2" t="str">
        <f ca="1">IFERROR(__xludf.DUMMYFUNCTION("""COMPUTED_VALUE"""),"KP/001019")</f>
        <v>KP/001019</v>
      </c>
      <c r="B168" s="2" t="str">
        <f ca="1">IFERROR(__xludf.DUMMYFUNCTION("""COMPUTED_VALUE"""),"Verkeersveiligheid")</f>
        <v>Verkeersveiligheid</v>
      </c>
      <c r="C168" s="2" t="str">
        <f ca="1">IFERROR(__xludf.DUMMYFUNCTION("""COMPUTED_VALUE"""),"Schoolroute")</f>
        <v>Schoolroute</v>
      </c>
      <c r="D168" s="2" t="str">
        <f ca="1">IFERROR(__xludf.DUMMYFUNCTION("""COMPUTED_VALUE"""),"IN/000865")</f>
        <v>IN/000865</v>
      </c>
      <c r="E168" s="2" t="str">
        <f ca="1">IFERROR(__xludf.DUMMYFUNCTION("UNIQUE(FILTER('export kabinetdashboard 1210202'!N:P,'export kabinetdashboard 1210202'!M:M=D168))"),"")</f>
        <v/>
      </c>
      <c r="F168" s="2" t="str">
        <f ca="1">IFERROR(__xludf.DUMMYFUNCTION("""COMPUTED_VALUE"""),"2022 - Q4")</f>
        <v>2022 - Q4</v>
      </c>
      <c r="G168" s="2" t="str">
        <f ca="1">IFERROR(__xludf.DUMMYFUNCTION("""COMPUTED_VALUE"""),"n.t.b.")</f>
        <v>n.t.b.</v>
      </c>
      <c r="H168" s="2">
        <f ca="1">SUMIFS('bedragen KIM (budgettering &amp; pl'!S:S,'bedragen KIM (budgettering &amp; pl'!B:B,A168,'bedragen KIM (budgettering &amp; pl'!F:F,D168)</f>
        <v>65000</v>
      </c>
      <c r="I168" s="2" t="e">
        <f ca="1">SUMIFS(#REF!,#REF!,A168,#REF!,D168)</f>
        <v>#REF!</v>
      </c>
      <c r="J168" s="2" t="e">
        <f ca="1">SUMIFS(#REF!,#REF!,A168,#REF!,D168)</f>
        <v>#REF!</v>
      </c>
    </row>
    <row r="169" spans="1:10" ht="12.5" x14ac:dyDescent="0.25">
      <c r="A169" s="2" t="str">
        <f ca="1">IFERROR(__xludf.DUMMYFUNCTION("""COMPUTED_VALUE"""),"KP/001020")</f>
        <v>KP/001020</v>
      </c>
      <c r="B169" s="2" t="str">
        <f ca="1">IFERROR(__xludf.DUMMYFUNCTION("""COMPUTED_VALUE"""),"Verkeersveiligheid")</f>
        <v>Verkeersveiligheid</v>
      </c>
      <c r="C169" s="2" t="str">
        <f ca="1">IFERROR(__xludf.DUMMYFUNCTION("""COMPUTED_VALUE"""),"Schoolroute")</f>
        <v>Schoolroute</v>
      </c>
      <c r="D169" s="2" t="str">
        <f ca="1">IFERROR(__xludf.DUMMYFUNCTION("""COMPUTED_VALUE"""),"IN/000866")</f>
        <v>IN/000866</v>
      </c>
      <c r="E169" s="2" t="str">
        <f ca="1">IFERROR(__xludf.DUMMYFUNCTION("UNIQUE(FILTER('export kabinetdashboard 1210202'!N:P,'export kabinetdashboard 1210202'!M:M=D169))"),"")</f>
        <v/>
      </c>
      <c r="F169" s="2" t="str">
        <f ca="1">IFERROR(__xludf.DUMMYFUNCTION("""COMPUTED_VALUE"""),"2022 - Q2")</f>
        <v>2022 - Q2</v>
      </c>
      <c r="G169" s="2" t="str">
        <f ca="1">IFERROR(__xludf.DUMMYFUNCTION("""COMPUTED_VALUE"""),"n.t.b.")</f>
        <v>n.t.b.</v>
      </c>
      <c r="H169" s="2">
        <f ca="1">SUMIFS('bedragen KIM (budgettering &amp; pl'!S:S,'bedragen KIM (budgettering &amp; pl'!B:B,A169,'bedragen KIM (budgettering &amp; pl'!F:F,D169)</f>
        <v>5000</v>
      </c>
      <c r="I169" s="2" t="e">
        <f ca="1">SUMIFS(#REF!,#REF!,A169,#REF!,D169)</f>
        <v>#REF!</v>
      </c>
      <c r="J169" s="2" t="e">
        <f ca="1">SUMIFS(#REF!,#REF!,A169,#REF!,D169)</f>
        <v>#REF!</v>
      </c>
    </row>
    <row r="170" spans="1:10" ht="12.5" x14ac:dyDescent="0.25">
      <c r="A170" s="2" t="str">
        <f ca="1">IFERROR(__xludf.DUMMYFUNCTION("""COMPUTED_VALUE"""),"KP/001024")</f>
        <v>KP/001024</v>
      </c>
      <c r="B170" s="2" t="str">
        <f ca="1">IFERROR(__xludf.DUMMYFUNCTION("""COMPUTED_VALUE"""),"Verkeersveiligheid")</f>
        <v>Verkeersveiligheid</v>
      </c>
      <c r="C170" s="2" t="str">
        <f ca="1">IFERROR(__xludf.DUMMYFUNCTION("""COMPUTED_VALUE"""),"Schoolroute")</f>
        <v>Schoolroute</v>
      </c>
      <c r="D170" s="2" t="str">
        <f ca="1">IFERROR(__xludf.DUMMYFUNCTION("""COMPUTED_VALUE"""),"IN/000867")</f>
        <v>IN/000867</v>
      </c>
      <c r="E170" s="2" t="str">
        <f ca="1">IFERROR(__xludf.DUMMYFUNCTION("UNIQUE(FILTER('export kabinetdashboard 1210202'!N:P,'export kabinetdashboard 1210202'!M:M=D170))"),"Opheffen afslagstroken; twee FOP's met middengeleider")</f>
        <v>Opheffen afslagstroken; twee FOP's met middengeleider</v>
      </c>
      <c r="F170" s="2" t="str">
        <f ca="1">IFERROR(__xludf.DUMMYFUNCTION("""COMPUTED_VALUE"""),"2023 - Q2")</f>
        <v>2023 - Q2</v>
      </c>
      <c r="G170" s="2" t="str">
        <f ca="1">IFERROR(__xludf.DUMMYFUNCTION("""COMPUTED_VALUE"""),"n.t.b.")</f>
        <v>n.t.b.</v>
      </c>
      <c r="H170" s="2">
        <f ca="1">SUMIFS('bedragen KIM (budgettering &amp; pl'!S:S,'bedragen KIM (budgettering &amp; pl'!B:B,A170,'bedragen KIM (budgettering &amp; pl'!F:F,D170)</f>
        <v>34540</v>
      </c>
      <c r="I170" s="2" t="e">
        <f ca="1">SUMIFS(#REF!,#REF!,A170,#REF!,D170)</f>
        <v>#REF!</v>
      </c>
      <c r="J170" s="2" t="e">
        <f ca="1">SUMIFS(#REF!,#REF!,A170,#REF!,D170)</f>
        <v>#REF!</v>
      </c>
    </row>
    <row r="171" spans="1:10" ht="12.5" x14ac:dyDescent="0.25">
      <c r="A171" s="2" t="str">
        <f ca="1">IFERROR(__xludf.DUMMYFUNCTION("""COMPUTED_VALUE"""),"KP/001025")</f>
        <v>KP/001025</v>
      </c>
      <c r="B171" s="2" t="str">
        <f ca="1">IFERROR(__xludf.DUMMYFUNCTION("""COMPUTED_VALUE"""),"Verkeersveiligheid")</f>
        <v>Verkeersveiligheid</v>
      </c>
      <c r="C171" s="2" t="str">
        <f ca="1">IFERROR(__xludf.DUMMYFUNCTION("""COMPUTED_VALUE"""),"Schoolroute")</f>
        <v>Schoolroute</v>
      </c>
      <c r="D171" s="2" t="str">
        <f ca="1">IFERROR(__xludf.DUMMYFUNCTION("""COMPUTED_VALUE"""),"IN/000868")</f>
        <v>IN/000868</v>
      </c>
      <c r="E171" s="2" t="str">
        <f ca="1">IFERROR(__xludf.DUMMYFUNCTION("UNIQUE(FILTER('export kabinetdashboard 1210202'!N:P,'export kabinetdashboard 1210202'!M:M=D171))"),"")</f>
        <v/>
      </c>
      <c r="F171" s="2" t="str">
        <f ca="1">IFERROR(__xludf.DUMMYFUNCTION("""COMPUTED_VALUE"""),"2022 - Q2")</f>
        <v>2022 - Q2</v>
      </c>
      <c r="G171" s="2" t="str">
        <f ca="1">IFERROR(__xludf.DUMMYFUNCTION("""COMPUTED_VALUE"""),"2022 - Q3")</f>
        <v>2022 - Q3</v>
      </c>
      <c r="H171" s="2">
        <f ca="1">SUMIFS('bedragen KIM (budgettering &amp; pl'!S:S,'bedragen KIM (budgettering &amp; pl'!B:B,A171,'bedragen KIM (budgettering &amp; pl'!F:F,D171)</f>
        <v>75000</v>
      </c>
      <c r="I171" s="2" t="e">
        <f ca="1">SUMIFS(#REF!,#REF!,A171,#REF!,D171)</f>
        <v>#REF!</v>
      </c>
      <c r="J171" s="2" t="e">
        <f ca="1">SUMIFS(#REF!,#REF!,A171,#REF!,D171)</f>
        <v>#REF!</v>
      </c>
    </row>
    <row r="172" spans="1:10" ht="12.5" x14ac:dyDescent="0.25">
      <c r="A172" s="2" t="str">
        <f ca="1">IFERROR(__xludf.DUMMYFUNCTION("""COMPUTED_VALUE"""),"KP/001026")</f>
        <v>KP/001026</v>
      </c>
      <c r="B172" s="2" t="str">
        <f ca="1">IFERROR(__xludf.DUMMYFUNCTION("""COMPUTED_VALUE"""),"Verkeersveiligheid")</f>
        <v>Verkeersveiligheid</v>
      </c>
      <c r="C172" s="2" t="str">
        <f ca="1">IFERROR(__xludf.DUMMYFUNCTION("""COMPUTED_VALUE"""),"Schoolroute")</f>
        <v>Schoolroute</v>
      </c>
      <c r="D172" s="2" t="str">
        <f ca="1">IFERROR(__xludf.DUMMYFUNCTION("""COMPUTED_VALUE"""),"IN/000869")</f>
        <v>IN/000869</v>
      </c>
      <c r="E172" s="2" t="str">
        <f ca="1">IFERROR(__xludf.DUMMYFUNCTION("UNIQUE(FILTER('export kabinetdashboard 1210202'!N:P,'export kabinetdashboard 1210202'!M:M=D172))"),"")</f>
        <v/>
      </c>
      <c r="F172" s="2" t="str">
        <f ca="1">IFERROR(__xludf.DUMMYFUNCTION("""COMPUTED_VALUE"""),"2022 - Q2")</f>
        <v>2022 - Q2</v>
      </c>
      <c r="G172" s="2" t="str">
        <f ca="1">IFERROR(__xludf.DUMMYFUNCTION("""COMPUTED_VALUE"""),"2022 - Q3")</f>
        <v>2022 - Q3</v>
      </c>
      <c r="H172" s="2">
        <f ca="1">SUMIFS('bedragen KIM (budgettering &amp; pl'!S:S,'bedragen KIM (budgettering &amp; pl'!B:B,A172,'bedragen KIM (budgettering &amp; pl'!F:F,D172)</f>
        <v>75000</v>
      </c>
      <c r="I172" s="2" t="e">
        <f ca="1">SUMIFS(#REF!,#REF!,A172,#REF!,D172)</f>
        <v>#REF!</v>
      </c>
      <c r="J172" s="2" t="e">
        <f ca="1">SUMIFS(#REF!,#REF!,A172,#REF!,D172)</f>
        <v>#REF!</v>
      </c>
    </row>
    <row r="173" spans="1:10" ht="12.5" x14ac:dyDescent="0.25">
      <c r="A173" s="2" t="str">
        <f ca="1">IFERROR(__xludf.DUMMYFUNCTION("""COMPUTED_VALUE"""),"KP/001027")</f>
        <v>KP/001027</v>
      </c>
      <c r="B173" s="2" t="str">
        <f ca="1">IFERROR(__xludf.DUMMYFUNCTION("""COMPUTED_VALUE"""),"Verkeersveiligheid")</f>
        <v>Verkeersveiligheid</v>
      </c>
      <c r="C173" s="2" t="str">
        <f ca="1">IFERROR(__xludf.DUMMYFUNCTION("""COMPUTED_VALUE"""),"Schoolroute")</f>
        <v>Schoolroute</v>
      </c>
      <c r="D173" s="2" t="str">
        <f ca="1">IFERROR(__xludf.DUMMYFUNCTION("""COMPUTED_VALUE"""),"IN/000870")</f>
        <v>IN/000870</v>
      </c>
      <c r="E173" s="2" t="str">
        <f ca="1">IFERROR(__xludf.DUMMYFUNCTION("UNIQUE(FILTER('export kabinetdashboard 1210202'!N:P,'export kabinetdashboard 1210202'!M:M=D173))"),"")</f>
        <v/>
      </c>
      <c r="F173" s="2" t="str">
        <f ca="1">IFERROR(__xludf.DUMMYFUNCTION("""COMPUTED_VALUE"""),"2022 - Q2")</f>
        <v>2022 - Q2</v>
      </c>
      <c r="G173" s="2" t="str">
        <f ca="1">IFERROR(__xludf.DUMMYFUNCTION("""COMPUTED_VALUE"""),"2022 - Q3")</f>
        <v>2022 - Q3</v>
      </c>
      <c r="H173" s="2">
        <f ca="1">SUMIFS('bedragen KIM (budgettering &amp; pl'!S:S,'bedragen KIM (budgettering &amp; pl'!B:B,A173,'bedragen KIM (budgettering &amp; pl'!F:F,D173)</f>
        <v>75000</v>
      </c>
      <c r="I173" s="2" t="e">
        <f ca="1">SUMIFS(#REF!,#REF!,A173,#REF!,D173)</f>
        <v>#REF!</v>
      </c>
      <c r="J173" s="2" t="e">
        <f ca="1">SUMIFS(#REF!,#REF!,A173,#REF!,D173)</f>
        <v>#REF!</v>
      </c>
    </row>
    <row r="174" spans="1:10" ht="12.5" x14ac:dyDescent="0.25">
      <c r="A174" s="2" t="str">
        <f ca="1">IFERROR(__xludf.DUMMYFUNCTION("""COMPUTED_VALUE"""),"KP/001028")</f>
        <v>KP/001028</v>
      </c>
      <c r="B174" s="2" t="str">
        <f ca="1">IFERROR(__xludf.DUMMYFUNCTION("""COMPUTED_VALUE"""),"Verkeersveiligheid")</f>
        <v>Verkeersveiligheid</v>
      </c>
      <c r="C174" s="2" t="str">
        <f ca="1">IFERROR(__xludf.DUMMYFUNCTION("""COMPUTED_VALUE"""),"Schoolroute")</f>
        <v>Schoolroute</v>
      </c>
      <c r="D174" s="2" t="str">
        <f ca="1">IFERROR(__xludf.DUMMYFUNCTION("""COMPUTED_VALUE"""),"IN/000871")</f>
        <v>IN/000871</v>
      </c>
      <c r="E174" s="2" t="str">
        <f ca="1">IFERROR(__xludf.DUMMYFUNCTION("UNIQUE(FILTER('export kabinetdashboard 1210202'!N:P,'export kabinetdashboard 1210202'!M:M=D174))"),"Wordt meegenomen in uitvoering met IN/001323")</f>
        <v>Wordt meegenomen in uitvoering met IN/001323</v>
      </c>
      <c r="F174" s="2" t="str">
        <f ca="1">IFERROR(__xludf.DUMMYFUNCTION("""COMPUTED_VALUE"""),"2022 - Q3")</f>
        <v>2022 - Q3</v>
      </c>
      <c r="G174" s="2" t="str">
        <f ca="1">IFERROR(__xludf.DUMMYFUNCTION("""COMPUTED_VALUE"""),"n.t.b.")</f>
        <v>n.t.b.</v>
      </c>
      <c r="H174" s="2">
        <f ca="1">SUMIFS('bedragen KIM (budgettering &amp; pl'!S:S,'bedragen KIM (budgettering &amp; pl'!B:B,A174,'bedragen KIM (budgettering &amp; pl'!F:F,D174)</f>
        <v>0</v>
      </c>
      <c r="I174" s="2" t="e">
        <f ca="1">SUMIFS(#REF!,#REF!,A174,#REF!,D174)</f>
        <v>#REF!</v>
      </c>
      <c r="J174" s="2" t="e">
        <f ca="1">SUMIFS(#REF!,#REF!,A174,#REF!,D174)</f>
        <v>#REF!</v>
      </c>
    </row>
    <row r="175" spans="1:10" ht="12.5" x14ac:dyDescent="0.25">
      <c r="A175" s="2" t="str">
        <f ca="1">IFERROR(__xludf.DUMMYFUNCTION("""COMPUTED_VALUE"""),"KP/001030")</f>
        <v>KP/001030</v>
      </c>
      <c r="B175" s="2" t="str">
        <f ca="1">IFERROR(__xludf.DUMMYFUNCTION("""COMPUTED_VALUE"""),"Verkeersveiligheid")</f>
        <v>Verkeersveiligheid</v>
      </c>
      <c r="C175" s="2" t="str">
        <f ca="1">IFERROR(__xludf.DUMMYFUNCTION("""COMPUTED_VALUE"""),"Schoolroute")</f>
        <v>Schoolroute</v>
      </c>
      <c r="D175" s="2" t="str">
        <f ca="1">IFERROR(__xludf.DUMMYFUNCTION("""COMPUTED_VALUE"""),"IN/000872")</f>
        <v>IN/000872</v>
      </c>
      <c r="E175" s="2" t="str">
        <f ca="1">IFERROR(__xludf.DUMMYFUNCTION("UNIQUE(FILTER('export kabinetdashboard 1210202'!N:P,'export kabinetdashboard 1210202'!M:M=D175))"),"")</f>
        <v/>
      </c>
      <c r="F175" s="2" t="str">
        <f ca="1">IFERROR(__xludf.DUMMYFUNCTION("""COMPUTED_VALUE"""),"n.t.b.")</f>
        <v>n.t.b.</v>
      </c>
      <c r="G175" s="2" t="str">
        <f ca="1">IFERROR(__xludf.DUMMYFUNCTION("""COMPUTED_VALUE"""),"2021 - Q2")</f>
        <v>2021 - Q2</v>
      </c>
      <c r="H175" s="2">
        <f ca="1">SUMIFS('bedragen KIM (budgettering &amp; pl'!S:S,'bedragen KIM (budgettering &amp; pl'!B:B,A175,'bedragen KIM (budgettering &amp; pl'!F:F,D175)</f>
        <v>2500</v>
      </c>
      <c r="I175" s="2" t="e">
        <f ca="1">SUMIFS(#REF!,#REF!,A175,#REF!,D175)</f>
        <v>#REF!</v>
      </c>
      <c r="J175" s="2" t="e">
        <f ca="1">SUMIFS(#REF!,#REF!,A175,#REF!,D175)</f>
        <v>#REF!</v>
      </c>
    </row>
    <row r="176" spans="1:10" ht="12.5" x14ac:dyDescent="0.25">
      <c r="A176" s="2" t="str">
        <f ca="1">IFERROR(__xludf.DUMMYFUNCTION("""COMPUTED_VALUE"""),"KP/001031")</f>
        <v>KP/001031</v>
      </c>
      <c r="B176" s="2" t="str">
        <f ca="1">IFERROR(__xludf.DUMMYFUNCTION("""COMPUTED_VALUE"""),"Verkeersveiligheid")</f>
        <v>Verkeersveiligheid</v>
      </c>
      <c r="C176" s="2" t="str">
        <f ca="1">IFERROR(__xludf.DUMMYFUNCTION("""COMPUTED_VALUE"""),"Schoolroute")</f>
        <v>Schoolroute</v>
      </c>
      <c r="D176" s="2" t="str">
        <f ca="1">IFERROR(__xludf.DUMMYFUNCTION("""COMPUTED_VALUE"""),"IN/000873")</f>
        <v>IN/000873</v>
      </c>
      <c r="E176" s="2" t="str">
        <f ca="1">IFERROR(__xludf.DUMMYFUNCTION("UNIQUE(FILTER('export kabinetdashboard 1210202'!N:P,'export kabinetdashboard 1210202'!M:M=D176))"),"Doortrekken dubbelrichtingsfietspad tot aan galgestraat")</f>
        <v>Doortrekken dubbelrichtingsfietspad tot aan galgestraat</v>
      </c>
      <c r="F176" s="2" t="str">
        <f ca="1">IFERROR(__xludf.DUMMYFUNCTION("""COMPUTED_VALUE"""),"n.t.b.")</f>
        <v>n.t.b.</v>
      </c>
      <c r="G176" s="2" t="str">
        <f ca="1">IFERROR(__xludf.DUMMYFUNCTION("""COMPUTED_VALUE"""),"n.t.b.")</f>
        <v>n.t.b.</v>
      </c>
      <c r="H176" s="2">
        <f ca="1">SUMIFS('bedragen KIM (budgettering &amp; pl'!S:S,'bedragen KIM (budgettering &amp; pl'!B:B,A176,'bedragen KIM (budgettering &amp; pl'!F:F,D176)</f>
        <v>0</v>
      </c>
      <c r="I176" s="2" t="e">
        <f ca="1">SUMIFS(#REF!,#REF!,A176,#REF!,D176)</f>
        <v>#REF!</v>
      </c>
      <c r="J176" s="2" t="e">
        <f ca="1">SUMIFS(#REF!,#REF!,A176,#REF!,D176)</f>
        <v>#REF!</v>
      </c>
    </row>
    <row r="177" spans="1:10" ht="12.5" x14ac:dyDescent="0.25">
      <c r="A177" s="2" t="str">
        <f ca="1">IFERROR(__xludf.DUMMYFUNCTION("""COMPUTED_VALUE"""),"KP/001033")</f>
        <v>KP/001033</v>
      </c>
      <c r="B177" s="2" t="str">
        <f ca="1">IFERROR(__xludf.DUMMYFUNCTION("""COMPUTED_VALUE"""),"Verkeersveiligheid")</f>
        <v>Verkeersveiligheid</v>
      </c>
      <c r="C177" s="2" t="str">
        <f ca="1">IFERROR(__xludf.DUMMYFUNCTION("""COMPUTED_VALUE"""),"Schoolroute")</f>
        <v>Schoolroute</v>
      </c>
      <c r="D177" s="2" t="str">
        <f ca="1">IFERROR(__xludf.DUMMYFUNCTION("""COMPUTED_VALUE"""),"IN/000874")</f>
        <v>IN/000874</v>
      </c>
      <c r="E177" s="2" t="str">
        <f ca="1">IFERROR(__xludf.DUMMYFUNCTION("UNIQUE(FILTER('export kabinetdashboard 1210202'!N:P,'export kabinetdashboard 1210202'!M:M=D177))"),"")</f>
        <v/>
      </c>
      <c r="F177" s="2" t="str">
        <f ca="1">IFERROR(__xludf.DUMMYFUNCTION("""COMPUTED_VALUE"""),"n.t.b.")</f>
        <v>n.t.b.</v>
      </c>
      <c r="G177" s="2" t="str">
        <f ca="1">IFERROR(__xludf.DUMMYFUNCTION("""COMPUTED_VALUE"""),"n.t.b.")</f>
        <v>n.t.b.</v>
      </c>
      <c r="H177" s="2">
        <f ca="1">SUMIFS('bedragen KIM (budgettering &amp; pl'!S:S,'bedragen KIM (budgettering &amp; pl'!B:B,A177,'bedragen KIM (budgettering &amp; pl'!F:F,D177)</f>
        <v>1000</v>
      </c>
      <c r="I177" s="2" t="e">
        <f ca="1">SUMIFS(#REF!,#REF!,A177,#REF!,D177)</f>
        <v>#REF!</v>
      </c>
      <c r="J177" s="2" t="e">
        <f ca="1">SUMIFS(#REF!,#REF!,A177,#REF!,D177)</f>
        <v>#REF!</v>
      </c>
    </row>
    <row r="178" spans="1:10" ht="12.5" x14ac:dyDescent="0.25">
      <c r="A178" s="2" t="str">
        <f ca="1">IFERROR(__xludf.DUMMYFUNCTION("""COMPUTED_VALUE"""),"KP/001034")</f>
        <v>KP/001034</v>
      </c>
      <c r="B178" s="2" t="str">
        <f ca="1">IFERROR(__xludf.DUMMYFUNCTION("""COMPUTED_VALUE"""),"Verkeersveiligheid")</f>
        <v>Verkeersveiligheid</v>
      </c>
      <c r="C178" s="2" t="str">
        <f ca="1">IFERROR(__xludf.DUMMYFUNCTION("""COMPUTED_VALUE"""),"Schoolroute")</f>
        <v>Schoolroute</v>
      </c>
      <c r="D178" s="2" t="str">
        <f ca="1">IFERROR(__xludf.DUMMYFUNCTION("""COMPUTED_VALUE"""),"IN/000875")</f>
        <v>IN/000875</v>
      </c>
      <c r="E178" s="2" t="str">
        <f ca="1">IFERROR(__xludf.DUMMYFUNCTION("UNIQUE(FILTER('export kabinetdashboard 1210202'!N:P,'export kabinetdashboard 1210202'!M:M=D178))"),"")</f>
        <v/>
      </c>
      <c r="F178" s="2" t="str">
        <f ca="1">IFERROR(__xludf.DUMMYFUNCTION("""COMPUTED_VALUE"""),"2022 - Q4")</f>
        <v>2022 - Q4</v>
      </c>
      <c r="G178" s="2" t="str">
        <f ca="1">IFERROR(__xludf.DUMMYFUNCTION("""COMPUTED_VALUE"""),"n.t.b.")</f>
        <v>n.t.b.</v>
      </c>
      <c r="H178" s="2">
        <f ca="1">SUMIFS('bedragen KIM (budgettering &amp; pl'!S:S,'bedragen KIM (budgettering &amp; pl'!B:B,A178,'bedragen KIM (budgettering &amp; pl'!F:F,D178)</f>
        <v>120000</v>
      </c>
      <c r="I178" s="2" t="e">
        <f ca="1">SUMIFS(#REF!,#REF!,A178,#REF!,D178)</f>
        <v>#REF!</v>
      </c>
      <c r="J178" s="2" t="e">
        <f ca="1">SUMIFS(#REF!,#REF!,A178,#REF!,D178)</f>
        <v>#REF!</v>
      </c>
    </row>
    <row r="179" spans="1:10" ht="12.5" x14ac:dyDescent="0.25">
      <c r="A179" s="2" t="str">
        <f ca="1">IFERROR(__xludf.DUMMYFUNCTION("""COMPUTED_VALUE"""),"KP/001035")</f>
        <v>KP/001035</v>
      </c>
      <c r="B179" s="2" t="str">
        <f ca="1">IFERROR(__xludf.DUMMYFUNCTION("""COMPUTED_VALUE"""),"Verkeersveiligheid")</f>
        <v>Verkeersveiligheid</v>
      </c>
      <c r="C179" s="2" t="str">
        <f ca="1">IFERROR(__xludf.DUMMYFUNCTION("""COMPUTED_VALUE"""),"Schoolroute")</f>
        <v>Schoolroute</v>
      </c>
      <c r="D179" s="2" t="str">
        <f ca="1">IFERROR(__xludf.DUMMYFUNCTION("""COMPUTED_VALUE"""),"IN/000876")</f>
        <v>IN/000876</v>
      </c>
      <c r="E179" s="2" t="str">
        <f ca="1">IFERROR(__xludf.DUMMYFUNCTION("UNIQUE(FILTER('export kabinetdashboard 1210202'!N:P,'export kabinetdashboard 1210202'!M:M=D179))"),"VVOP
+ markering VVOP
")</f>
        <v xml:space="preserve">VVOP
+ markering VVOP
</v>
      </c>
      <c r="F179" s="2" t="str">
        <f ca="1">IFERROR(__xludf.DUMMYFUNCTION("""COMPUTED_VALUE"""),"2022 - Q4")</f>
        <v>2022 - Q4</v>
      </c>
      <c r="G179" s="2" t="str">
        <f ca="1">IFERROR(__xludf.DUMMYFUNCTION("""COMPUTED_VALUE"""),"n.t.b.")</f>
        <v>n.t.b.</v>
      </c>
      <c r="H179" s="2">
        <f ca="1">SUMIFS('bedragen KIM (budgettering &amp; pl'!S:S,'bedragen KIM (budgettering &amp; pl'!B:B,A179,'bedragen KIM (budgettering &amp; pl'!F:F,D179)</f>
        <v>45000</v>
      </c>
      <c r="I179" s="2" t="e">
        <f ca="1">SUMIFS(#REF!,#REF!,A179,#REF!,D179)</f>
        <v>#REF!</v>
      </c>
      <c r="J179" s="2" t="e">
        <f ca="1">SUMIFS(#REF!,#REF!,A179,#REF!,D179)</f>
        <v>#REF!</v>
      </c>
    </row>
    <row r="180" spans="1:10" ht="12.5" x14ac:dyDescent="0.25">
      <c r="A180" s="2" t="str">
        <f ca="1">IFERROR(__xludf.DUMMYFUNCTION("""COMPUTED_VALUE"""),"KP/001036")</f>
        <v>KP/001036</v>
      </c>
      <c r="B180" s="2" t="str">
        <f ca="1">IFERROR(__xludf.DUMMYFUNCTION("""COMPUTED_VALUE"""),"Verkeersveiligheid")</f>
        <v>Verkeersveiligheid</v>
      </c>
      <c r="C180" s="2" t="str">
        <f ca="1">IFERROR(__xludf.DUMMYFUNCTION("""COMPUTED_VALUE"""),"Schoolroute")</f>
        <v>Schoolroute</v>
      </c>
      <c r="D180" s="2" t="str">
        <f ca="1">IFERROR(__xludf.DUMMYFUNCTION("""COMPUTED_VALUE"""),"IN/000877")</f>
        <v>IN/000877</v>
      </c>
      <c r="E180" s="2" t="str">
        <f ca="1">IFERROR(__xludf.DUMMYFUNCTION("UNIQUE(FILTER('export kabinetdashboard 1210202'!N:P,'export kabinetdashboard 1210202'!M:M=D180))"),"#N/A")</f>
        <v>#N/A</v>
      </c>
      <c r="H180" s="2">
        <f ca="1">SUMIFS('bedragen KIM (budgettering &amp; pl'!S:S,'bedragen KIM (budgettering &amp; pl'!B:B,A180,'bedragen KIM (budgettering &amp; pl'!F:F,D180)</f>
        <v>0</v>
      </c>
      <c r="I180" s="2" t="e">
        <f ca="1">SUMIFS(#REF!,#REF!,A180,#REF!,D180)</f>
        <v>#REF!</v>
      </c>
      <c r="J180" s="2" t="e">
        <f ca="1">SUMIFS(#REF!,#REF!,A180,#REF!,D180)</f>
        <v>#REF!</v>
      </c>
    </row>
    <row r="181" spans="1:10" ht="12.5" x14ac:dyDescent="0.25">
      <c r="A181" s="2" t="str">
        <f ca="1">IFERROR(__xludf.DUMMYFUNCTION("""COMPUTED_VALUE"""),"KP/001037")</f>
        <v>KP/001037</v>
      </c>
      <c r="B181" s="2" t="str">
        <f ca="1">IFERROR(__xludf.DUMMYFUNCTION("""COMPUTED_VALUE"""),"Verkeersveiligheid")</f>
        <v>Verkeersveiligheid</v>
      </c>
      <c r="C181" s="2" t="str">
        <f ca="1">IFERROR(__xludf.DUMMYFUNCTION("""COMPUTED_VALUE"""),"Schoolroute")</f>
        <v>Schoolroute</v>
      </c>
      <c r="D181" s="2" t="str">
        <f ca="1">IFERROR(__xludf.DUMMYFUNCTION("""COMPUTED_VALUE"""),"IN/000878")</f>
        <v>IN/000878</v>
      </c>
      <c r="E181" s="2" t="str">
        <f ca="1">IFERROR(__xludf.DUMMYFUNCTION("UNIQUE(FILTER('export kabinetdashboard 1210202'!N:P,'export kabinetdashboard 1210202'!M:M=D181))"),"#N/A")</f>
        <v>#N/A</v>
      </c>
      <c r="H181" s="2">
        <f ca="1">SUMIFS('bedragen KIM (budgettering &amp; pl'!S:S,'bedragen KIM (budgettering &amp; pl'!B:B,A181,'bedragen KIM (budgettering &amp; pl'!F:F,D181)</f>
        <v>0</v>
      </c>
      <c r="I181" s="2" t="e">
        <f ca="1">SUMIFS(#REF!,#REF!,A181,#REF!,D181)</f>
        <v>#REF!</v>
      </c>
      <c r="J181" s="2" t="e">
        <f ca="1">SUMIFS(#REF!,#REF!,A181,#REF!,D181)</f>
        <v>#REF!</v>
      </c>
    </row>
    <row r="182" spans="1:10" ht="12.5" x14ac:dyDescent="0.25">
      <c r="A182" s="2" t="str">
        <f ca="1">IFERROR(__xludf.DUMMYFUNCTION("""COMPUTED_VALUE"""),"KP/001038")</f>
        <v>KP/001038</v>
      </c>
      <c r="B182" s="2" t="str">
        <f ca="1">IFERROR(__xludf.DUMMYFUNCTION("""COMPUTED_VALUE"""),"Verkeersveiligheid")</f>
        <v>Verkeersveiligheid</v>
      </c>
      <c r="C182" s="2" t="str">
        <f ca="1">IFERROR(__xludf.DUMMYFUNCTION("""COMPUTED_VALUE"""),"Schoolroute")</f>
        <v>Schoolroute</v>
      </c>
      <c r="D182" s="2" t="str">
        <f ca="1">IFERROR(__xludf.DUMMYFUNCTION("""COMPUTED_VALUE"""),"IN/000879")</f>
        <v>IN/000879</v>
      </c>
      <c r="E182" s="2" t="str">
        <f ca="1">IFERROR(__xludf.DUMMYFUNCTION("UNIQUE(FILTER('export kabinetdashboard 1210202'!N:P,'export kabinetdashboard 1210202'!M:M=D182))"),"#N/A")</f>
        <v>#N/A</v>
      </c>
      <c r="H182" s="2">
        <f ca="1">SUMIFS('bedragen KIM (budgettering &amp; pl'!S:S,'bedragen KIM (budgettering &amp; pl'!B:B,A182,'bedragen KIM (budgettering &amp; pl'!F:F,D182)</f>
        <v>0</v>
      </c>
      <c r="I182" s="2" t="e">
        <f ca="1">SUMIFS(#REF!,#REF!,A182,#REF!,D182)</f>
        <v>#REF!</v>
      </c>
      <c r="J182" s="2" t="e">
        <f ca="1">SUMIFS(#REF!,#REF!,A182,#REF!,D182)</f>
        <v>#REF!</v>
      </c>
    </row>
    <row r="183" spans="1:10" ht="12.5" x14ac:dyDescent="0.25">
      <c r="A183" s="2" t="str">
        <f ca="1">IFERROR(__xludf.DUMMYFUNCTION("""COMPUTED_VALUE"""),"KP/001040")</f>
        <v>KP/001040</v>
      </c>
      <c r="B183" s="2" t="str">
        <f ca="1">IFERROR(__xludf.DUMMYFUNCTION("""COMPUTED_VALUE"""),"Verkeersveiligheid")</f>
        <v>Verkeersveiligheid</v>
      </c>
      <c r="C183" s="2" t="str">
        <f ca="1">IFERROR(__xludf.DUMMYFUNCTION("""COMPUTED_VALUE"""),"Schoolroute")</f>
        <v>Schoolroute</v>
      </c>
      <c r="D183" s="2" t="str">
        <f ca="1">IFERROR(__xludf.DUMMYFUNCTION("""COMPUTED_VALUE"""),"IN/000880")</f>
        <v>IN/000880</v>
      </c>
      <c r="E183" s="2" t="str">
        <f ca="1">IFERROR(__xludf.DUMMYFUNCTION("UNIQUE(FILTER('export kabinetdashboard 1210202'!N:P,'export kabinetdashboard 1210202'!M:M=D183))"),"#N/A")</f>
        <v>#N/A</v>
      </c>
      <c r="H183" s="2">
        <f ca="1">SUMIFS('bedragen KIM (budgettering &amp; pl'!S:S,'bedragen KIM (budgettering &amp; pl'!B:B,A183,'bedragen KIM (budgettering &amp; pl'!F:F,D183)</f>
        <v>0</v>
      </c>
      <c r="I183" s="2" t="e">
        <f ca="1">SUMIFS(#REF!,#REF!,A183,#REF!,D183)</f>
        <v>#REF!</v>
      </c>
      <c r="J183" s="2" t="e">
        <f ca="1">SUMIFS(#REF!,#REF!,A183,#REF!,D183)</f>
        <v>#REF!</v>
      </c>
    </row>
    <row r="184" spans="1:10" ht="12.5" x14ac:dyDescent="0.25">
      <c r="A184" s="2" t="str">
        <f ca="1">IFERROR(__xludf.DUMMYFUNCTION("""COMPUTED_VALUE"""),"KP/001041")</f>
        <v>KP/001041</v>
      </c>
      <c r="B184" s="2" t="str">
        <f ca="1">IFERROR(__xludf.DUMMYFUNCTION("""COMPUTED_VALUE"""),"Verkeersveiligheid")</f>
        <v>Verkeersveiligheid</v>
      </c>
      <c r="C184" s="2" t="str">
        <f ca="1">IFERROR(__xludf.DUMMYFUNCTION("""COMPUTED_VALUE"""),"Schoolroute")</f>
        <v>Schoolroute</v>
      </c>
      <c r="D184" s="2" t="str">
        <f ca="1">IFERROR(__xludf.DUMMYFUNCTION("""COMPUTED_VALUE"""),"IN/000881")</f>
        <v>IN/000881</v>
      </c>
      <c r="E184" s="2" t="str">
        <f ca="1">IFERROR(__xludf.DUMMYFUNCTION("UNIQUE(FILTER('export kabinetdashboard 1210202'!N:P,'export kabinetdashboard 1210202'!M:M=D184))"),"QW1: signalisatie met borden en F49 borden met bi-flashes
QW2: markeren van verdrijvingsvlak")</f>
        <v>QW1: signalisatie met borden en F49 borden met bi-flashes
QW2: markeren van verdrijvingsvlak</v>
      </c>
      <c r="F184" s="2" t="str">
        <f ca="1">IFERROR(__xludf.DUMMYFUNCTION("""COMPUTED_VALUE"""),"2022 - Q3")</f>
        <v>2022 - Q3</v>
      </c>
      <c r="G184" s="2" t="str">
        <f ca="1">IFERROR(__xludf.DUMMYFUNCTION("""COMPUTED_VALUE"""),"n.t.b.")</f>
        <v>n.t.b.</v>
      </c>
      <c r="H184" s="2">
        <f ca="1">SUMIFS('bedragen KIM (budgettering &amp; pl'!S:S,'bedragen KIM (budgettering &amp; pl'!B:B,A184,'bedragen KIM (budgettering &amp; pl'!F:F,D184)</f>
        <v>43542</v>
      </c>
      <c r="I184" s="2" t="e">
        <f ca="1">SUMIFS(#REF!,#REF!,A184,#REF!,D184)</f>
        <v>#REF!</v>
      </c>
      <c r="J184" s="2" t="e">
        <f ca="1">SUMIFS(#REF!,#REF!,A184,#REF!,D184)</f>
        <v>#REF!</v>
      </c>
    </row>
    <row r="185" spans="1:10" ht="12.5" x14ac:dyDescent="0.25">
      <c r="A185" s="2" t="str">
        <f ca="1">IFERROR(__xludf.DUMMYFUNCTION("""COMPUTED_VALUE"""),"KP/001044")</f>
        <v>KP/001044</v>
      </c>
      <c r="B185" s="2" t="str">
        <f ca="1">IFERROR(__xludf.DUMMYFUNCTION("""COMPUTED_VALUE"""),"Verkeersveiligheid")</f>
        <v>Verkeersveiligheid</v>
      </c>
      <c r="C185" s="2" t="str">
        <f ca="1">IFERROR(__xludf.DUMMYFUNCTION("""COMPUTED_VALUE"""),"Schoolroute")</f>
        <v>Schoolroute</v>
      </c>
      <c r="D185" s="2" t="str">
        <f ca="1">IFERROR(__xludf.DUMMYFUNCTION("""COMPUTED_VALUE"""),"IN/000882")</f>
        <v>IN/000882</v>
      </c>
      <c r="E185" s="2" t="str">
        <f ca="1">IFERROR(__xludf.DUMMYFUNCTION("UNIQUE(FILTER('export kabinetdashboard 1210202'!N:P,'export kabinetdashboard 1210202'!M:M=D185))"),"#N/A")</f>
        <v>#N/A</v>
      </c>
      <c r="H185" s="2">
        <f ca="1">SUMIFS('bedragen KIM (budgettering &amp; pl'!S:S,'bedragen KIM (budgettering &amp; pl'!B:B,A185,'bedragen KIM (budgettering &amp; pl'!F:F,D185)</f>
        <v>10000</v>
      </c>
      <c r="I185" s="2" t="e">
        <f ca="1">SUMIFS(#REF!,#REF!,A185,#REF!,D185)</f>
        <v>#REF!</v>
      </c>
      <c r="J185" s="2" t="e">
        <f ca="1">SUMIFS(#REF!,#REF!,A185,#REF!,D185)</f>
        <v>#REF!</v>
      </c>
    </row>
    <row r="186" spans="1:10" ht="12.5" x14ac:dyDescent="0.25">
      <c r="A186" s="2" t="str">
        <f ca="1">IFERROR(__xludf.DUMMYFUNCTION("""COMPUTED_VALUE"""),"KP/001048")</f>
        <v>KP/001048</v>
      </c>
      <c r="B186" s="2" t="str">
        <f ca="1">IFERROR(__xludf.DUMMYFUNCTION("""COMPUTED_VALUE"""),"Verkeersveiligheid")</f>
        <v>Verkeersveiligheid</v>
      </c>
      <c r="C186" s="2" t="str">
        <f ca="1">IFERROR(__xludf.DUMMYFUNCTION("""COMPUTED_VALUE"""),"Schoolroute")</f>
        <v>Schoolroute</v>
      </c>
      <c r="D186" s="2" t="str">
        <f ca="1">IFERROR(__xludf.DUMMYFUNCTION("""COMPUTED_VALUE"""),"IN/000883")</f>
        <v>IN/000883</v>
      </c>
      <c r="E186" s="2" t="str">
        <f ca="1">IFERROR(__xludf.DUMMYFUNCTION("UNIQUE(FILTER('export kabinetdashboard 1210202'!N:P,'export kabinetdashboard 1210202'!M:M=D186))"),"")</f>
        <v/>
      </c>
      <c r="F186" s="2" t="str">
        <f ca="1">IFERROR(__xludf.DUMMYFUNCTION("""COMPUTED_VALUE"""),"2022 - Q3")</f>
        <v>2022 - Q3</v>
      </c>
      <c r="G186" s="2" t="str">
        <f ca="1">IFERROR(__xludf.DUMMYFUNCTION("""COMPUTED_VALUE"""),"n.t.b.")</f>
        <v>n.t.b.</v>
      </c>
      <c r="H186" s="2">
        <f ca="1">SUMIFS('bedragen KIM (budgettering &amp; pl'!S:S,'bedragen KIM (budgettering &amp; pl'!B:B,A186,'bedragen KIM (budgettering &amp; pl'!F:F,D186)</f>
        <v>10000</v>
      </c>
      <c r="I186" s="2" t="e">
        <f ca="1">SUMIFS(#REF!,#REF!,A186,#REF!,D186)</f>
        <v>#REF!</v>
      </c>
      <c r="J186" s="2" t="e">
        <f ca="1">SUMIFS(#REF!,#REF!,A186,#REF!,D186)</f>
        <v>#REF!</v>
      </c>
    </row>
    <row r="187" spans="1:10" ht="12.5" x14ac:dyDescent="0.25">
      <c r="A187" s="2" t="str">
        <f ca="1">IFERROR(__xludf.DUMMYFUNCTION("""COMPUTED_VALUE"""),"KP/001049")</f>
        <v>KP/001049</v>
      </c>
      <c r="B187" s="2" t="str">
        <f ca="1">IFERROR(__xludf.DUMMYFUNCTION("""COMPUTED_VALUE"""),"Verkeersveiligheid")</f>
        <v>Verkeersveiligheid</v>
      </c>
      <c r="C187" s="2" t="str">
        <f ca="1">IFERROR(__xludf.DUMMYFUNCTION("""COMPUTED_VALUE"""),"Schoolroute")</f>
        <v>Schoolroute</v>
      </c>
      <c r="D187" s="2" t="str">
        <f ca="1">IFERROR(__xludf.DUMMYFUNCTION("""COMPUTED_VALUE"""),"IN/000884")</f>
        <v>IN/000884</v>
      </c>
      <c r="E187" s="2" t="str">
        <f ca="1">IFERROR(__xludf.DUMMYFUNCTION("UNIQUE(FILTER('export kabinetdashboard 1210202'!N:P,'export kabinetdashboard 1210202'!M:M=D187))"),"")</f>
        <v/>
      </c>
      <c r="F187" s="2" t="str">
        <f ca="1">IFERROR(__xludf.DUMMYFUNCTION("""COMPUTED_VALUE"""),"n.t.b.")</f>
        <v>n.t.b.</v>
      </c>
      <c r="G187" s="2" t="str">
        <f ca="1">IFERROR(__xludf.DUMMYFUNCTION("""COMPUTED_VALUE"""),"n.t.b.")</f>
        <v>n.t.b.</v>
      </c>
      <c r="H187" s="2">
        <f ca="1">SUMIFS('bedragen KIM (budgettering &amp; pl'!S:S,'bedragen KIM (budgettering &amp; pl'!B:B,A187,'bedragen KIM (budgettering &amp; pl'!F:F,D187)</f>
        <v>0</v>
      </c>
      <c r="I187" s="2" t="e">
        <f ca="1">SUMIFS(#REF!,#REF!,A187,#REF!,D187)</f>
        <v>#REF!</v>
      </c>
      <c r="J187" s="2" t="e">
        <f ca="1">SUMIFS(#REF!,#REF!,A187,#REF!,D187)</f>
        <v>#REF!</v>
      </c>
    </row>
    <row r="188" spans="1:10" ht="12.5" x14ac:dyDescent="0.25">
      <c r="A188" s="2" t="str">
        <f ca="1">IFERROR(__xludf.DUMMYFUNCTION("""COMPUTED_VALUE"""),"KP/001050")</f>
        <v>KP/001050</v>
      </c>
      <c r="B188" s="2" t="str">
        <f ca="1">IFERROR(__xludf.DUMMYFUNCTION("""COMPUTED_VALUE"""),"Verkeersveiligheid")</f>
        <v>Verkeersveiligheid</v>
      </c>
      <c r="C188" s="2" t="str">
        <f ca="1">IFERROR(__xludf.DUMMYFUNCTION("""COMPUTED_VALUE"""),"Schoolroute")</f>
        <v>Schoolroute</v>
      </c>
      <c r="D188" s="2" t="str">
        <f ca="1">IFERROR(__xludf.DUMMYFUNCTION("""COMPUTED_VALUE"""),"IN/000885")</f>
        <v>IN/000885</v>
      </c>
      <c r="E188" s="2" t="str">
        <f ca="1">IFERROR(__xludf.DUMMYFUNCTION("UNIQUE(FILTER('export kabinetdashboard 1210202'!N:P,'export kabinetdashboard 1210202'!M:M=D188))"),"#N/A")</f>
        <v>#N/A</v>
      </c>
      <c r="H188" s="2">
        <f ca="1">SUMIFS('bedragen KIM (budgettering &amp; pl'!S:S,'bedragen KIM (budgettering &amp; pl'!B:B,A188,'bedragen KIM (budgettering &amp; pl'!F:F,D188)</f>
        <v>0</v>
      </c>
      <c r="I188" s="2" t="e">
        <f ca="1">SUMIFS(#REF!,#REF!,A188,#REF!,D188)</f>
        <v>#REF!</v>
      </c>
      <c r="J188" s="2" t="e">
        <f ca="1">SUMIFS(#REF!,#REF!,A188,#REF!,D188)</f>
        <v>#REF!</v>
      </c>
    </row>
    <row r="189" spans="1:10" ht="12.5" x14ac:dyDescent="0.25">
      <c r="A189" s="2" t="str">
        <f ca="1">IFERROR(__xludf.DUMMYFUNCTION("""COMPUTED_VALUE"""),"KP/001051")</f>
        <v>KP/001051</v>
      </c>
      <c r="B189" s="2" t="str">
        <f ca="1">IFERROR(__xludf.DUMMYFUNCTION("""COMPUTED_VALUE"""),"Verkeersveiligheid")</f>
        <v>Verkeersveiligheid</v>
      </c>
      <c r="C189" s="2" t="str">
        <f ca="1">IFERROR(__xludf.DUMMYFUNCTION("""COMPUTED_VALUE"""),"Schoolroute")</f>
        <v>Schoolroute</v>
      </c>
      <c r="D189" s="2" t="str">
        <f ca="1">IFERROR(__xludf.DUMMYFUNCTION("""COMPUTED_VALUE"""),"IN/000886")</f>
        <v>IN/000886</v>
      </c>
      <c r="E189" s="2" t="str">
        <f ca="1">IFERROR(__xludf.DUMMYFUNCTION("UNIQUE(FILTER('export kabinetdashboard 1210202'!N:P,'export kabinetdashboard 1210202'!M:M=D189))"),"#N/A")</f>
        <v>#N/A</v>
      </c>
      <c r="H189" s="2">
        <f ca="1">SUMIFS('bedragen KIM (budgettering &amp; pl'!S:S,'bedragen KIM (budgettering &amp; pl'!B:B,A189,'bedragen KIM (budgettering &amp; pl'!F:F,D189)</f>
        <v>0</v>
      </c>
      <c r="I189" s="2" t="e">
        <f ca="1">SUMIFS(#REF!,#REF!,A189,#REF!,D189)</f>
        <v>#REF!</v>
      </c>
      <c r="J189" s="2" t="e">
        <f ca="1">SUMIFS(#REF!,#REF!,A189,#REF!,D189)</f>
        <v>#REF!</v>
      </c>
    </row>
    <row r="190" spans="1:10" ht="12.5" x14ac:dyDescent="0.25">
      <c r="A190" s="2" t="str">
        <f ca="1">IFERROR(__xludf.DUMMYFUNCTION("""COMPUTED_VALUE"""),"KP/001052")</f>
        <v>KP/001052</v>
      </c>
      <c r="B190" s="2" t="str">
        <f ca="1">IFERROR(__xludf.DUMMYFUNCTION("""COMPUTED_VALUE"""),"Verkeersveiligheid")</f>
        <v>Verkeersveiligheid</v>
      </c>
      <c r="C190" s="2" t="str">
        <f ca="1">IFERROR(__xludf.DUMMYFUNCTION("""COMPUTED_VALUE"""),"Schoolroute")</f>
        <v>Schoolroute</v>
      </c>
      <c r="D190" s="2" t="str">
        <f ca="1">IFERROR(__xludf.DUMMYFUNCTION("""COMPUTED_VALUE"""),"IN/000887")</f>
        <v>IN/000887</v>
      </c>
      <c r="E190" s="2" t="str">
        <f ca="1">IFERROR(__xludf.DUMMYFUNCTION("UNIQUE(FILTER('export kabinetdashboard 1210202'!N:P,'export kabinetdashboard 1210202'!M:M=D190))"),"")</f>
        <v/>
      </c>
      <c r="F190" s="2" t="str">
        <f ca="1">IFERROR(__xludf.DUMMYFUNCTION("""COMPUTED_VALUE"""),"2023 - Q2")</f>
        <v>2023 - Q2</v>
      </c>
      <c r="G190" s="2" t="str">
        <f ca="1">IFERROR(__xludf.DUMMYFUNCTION("""COMPUTED_VALUE"""),"n.t.b.")</f>
        <v>n.t.b.</v>
      </c>
      <c r="H190" s="2">
        <f ca="1">SUMIFS('bedragen KIM (budgettering &amp; pl'!S:S,'bedragen KIM (budgettering &amp; pl'!B:B,A190,'bedragen KIM (budgettering &amp; pl'!F:F,D190)</f>
        <v>150000</v>
      </c>
      <c r="I190" s="2" t="e">
        <f ca="1">SUMIFS(#REF!,#REF!,A190,#REF!,D190)</f>
        <v>#REF!</v>
      </c>
      <c r="J190" s="2" t="e">
        <f ca="1">SUMIFS(#REF!,#REF!,A190,#REF!,D190)</f>
        <v>#REF!</v>
      </c>
    </row>
    <row r="191" spans="1:10" ht="12.5" x14ac:dyDescent="0.25">
      <c r="A191" s="2" t="str">
        <f ca="1">IFERROR(__xludf.DUMMYFUNCTION("""COMPUTED_VALUE"""),"KP/001058")</f>
        <v>KP/001058</v>
      </c>
      <c r="B191" s="2" t="str">
        <f ca="1">IFERROR(__xludf.DUMMYFUNCTION("""COMPUTED_VALUE"""),"Verkeersveiligheid")</f>
        <v>Verkeersveiligheid</v>
      </c>
      <c r="C191" s="2" t="str">
        <f ca="1">IFERROR(__xludf.DUMMYFUNCTION("""COMPUTED_VALUE"""),"Schoolroute")</f>
        <v>Schoolroute</v>
      </c>
      <c r="D191" s="2" t="str">
        <f ca="1">IFERROR(__xludf.DUMMYFUNCTION("""COMPUTED_VALUE"""),"IN/000888")</f>
        <v>IN/000888</v>
      </c>
      <c r="E191" s="2" t="str">
        <f ca="1">IFERROR(__xludf.DUMMYFUNCTION("UNIQUE(FILTER('export kabinetdashboard 1210202'!N:P,'export kabinetdashboard 1210202'!M:M=D191))"),"- versmallen rijweg
- (al dan niet met snelheidsverlaging naar 50 km/u = nog op te starten)
- voetpad scheiden van fietspad met omegabeugels (hiertoe inname landbouwperceel nodig")</f>
        <v>- versmallen rijweg
- (al dan niet met snelheidsverlaging naar 50 km/u = nog op te starten)
- voetpad scheiden van fietspad met omegabeugels (hiertoe inname landbouwperceel nodig</v>
      </c>
      <c r="F191" s="2" t="str">
        <f ca="1">IFERROR(__xludf.DUMMYFUNCTION("""COMPUTED_VALUE"""),"2022 - Q4")</f>
        <v>2022 - Q4</v>
      </c>
      <c r="G191" s="2" t="str">
        <f ca="1">IFERROR(__xludf.DUMMYFUNCTION("""COMPUTED_VALUE"""),"n.t.b.")</f>
        <v>n.t.b.</v>
      </c>
      <c r="H191" s="2">
        <f ca="1">SUMIFS('bedragen KIM (budgettering &amp; pl'!S:S,'bedragen KIM (budgettering &amp; pl'!B:B,A191,'bedragen KIM (budgettering &amp; pl'!F:F,D191)</f>
        <v>14245</v>
      </c>
      <c r="I191" s="2" t="e">
        <f ca="1">SUMIFS(#REF!,#REF!,A191,#REF!,D191)</f>
        <v>#REF!</v>
      </c>
      <c r="J191" s="2" t="e">
        <f ca="1">SUMIFS(#REF!,#REF!,A191,#REF!,D191)</f>
        <v>#REF!</v>
      </c>
    </row>
    <row r="192" spans="1:10" ht="12.5" x14ac:dyDescent="0.25">
      <c r="A192" s="2" t="str">
        <f ca="1">IFERROR(__xludf.DUMMYFUNCTION("""COMPUTED_VALUE"""),"KP/001059")</f>
        <v>KP/001059</v>
      </c>
      <c r="B192" s="2" t="str">
        <f ca="1">IFERROR(__xludf.DUMMYFUNCTION("""COMPUTED_VALUE"""),"Verkeersveiligheid")</f>
        <v>Verkeersveiligheid</v>
      </c>
      <c r="C192" s="2" t="str">
        <f ca="1">IFERROR(__xludf.DUMMYFUNCTION("""COMPUTED_VALUE"""),"Schoolroute")</f>
        <v>Schoolroute</v>
      </c>
      <c r="D192" s="2" t="str">
        <f ca="1">IFERROR(__xludf.DUMMYFUNCTION("""COMPUTED_VALUE"""),"IN/000889")</f>
        <v>IN/000889</v>
      </c>
      <c r="E192" s="2" t="str">
        <f ca="1">IFERROR(__xludf.DUMMYFUNCTION("UNIQUE(FILTER('export kabinetdashboard 1210202'!N:P,'export kabinetdashboard 1210202'!M:M=D192))"),"Wandelroute verduidelijken en beveiligen. Oversteken beveiligen.")</f>
        <v>Wandelroute verduidelijken en beveiligen. Oversteken beveiligen.</v>
      </c>
      <c r="F192" s="2" t="str">
        <f ca="1">IFERROR(__xludf.DUMMYFUNCTION("""COMPUTED_VALUE"""),"2022 - Q4")</f>
        <v>2022 - Q4</v>
      </c>
      <c r="G192" s="2" t="str">
        <f ca="1">IFERROR(__xludf.DUMMYFUNCTION("""COMPUTED_VALUE"""),"n.t.b.")</f>
        <v>n.t.b.</v>
      </c>
      <c r="H192" s="2">
        <f ca="1">SUMIFS('bedragen KIM (budgettering &amp; pl'!S:S,'bedragen KIM (budgettering &amp; pl'!B:B,A192,'bedragen KIM (budgettering &amp; pl'!F:F,D192)</f>
        <v>80000</v>
      </c>
      <c r="I192" s="2" t="e">
        <f ca="1">SUMIFS(#REF!,#REF!,A192,#REF!,D192)</f>
        <v>#REF!</v>
      </c>
      <c r="J192" s="2" t="e">
        <f ca="1">SUMIFS(#REF!,#REF!,A192,#REF!,D192)</f>
        <v>#REF!</v>
      </c>
    </row>
    <row r="193" spans="1:10" ht="12.5" x14ac:dyDescent="0.25">
      <c r="A193" s="2" t="str">
        <f ca="1">IFERROR(__xludf.DUMMYFUNCTION("""COMPUTED_VALUE"""),"KP/001060")</f>
        <v>KP/001060</v>
      </c>
      <c r="B193" s="2" t="str">
        <f ca="1">IFERROR(__xludf.DUMMYFUNCTION("""COMPUTED_VALUE"""),"Verkeersveiligheid")</f>
        <v>Verkeersveiligheid</v>
      </c>
      <c r="C193" s="2" t="str">
        <f ca="1">IFERROR(__xludf.DUMMYFUNCTION("""COMPUTED_VALUE"""),"Schoolroute")</f>
        <v>Schoolroute</v>
      </c>
      <c r="D193" s="2" t="str">
        <f ca="1">IFERROR(__xludf.DUMMYFUNCTION("""COMPUTED_VALUE"""),"IN/000890")</f>
        <v>IN/000890</v>
      </c>
      <c r="E193" s="2" t="str">
        <f ca="1">IFERROR(__xludf.DUMMYFUNCTION("UNIQUE(FILTER('export kabinetdashboard 1210202'!N:P,'export kabinetdashboard 1210202'!M:M=D193))"),"")</f>
        <v/>
      </c>
      <c r="F193" s="2" t="str">
        <f ca="1">IFERROR(__xludf.DUMMYFUNCTION("""COMPUTED_VALUE"""),"n.t.b.")</f>
        <v>n.t.b.</v>
      </c>
      <c r="G193" s="2" t="str">
        <f ca="1">IFERROR(__xludf.DUMMYFUNCTION("""COMPUTED_VALUE"""),"n.t.b.")</f>
        <v>n.t.b.</v>
      </c>
      <c r="H193" s="2">
        <f ca="1">SUMIFS('bedragen KIM (budgettering &amp; pl'!S:S,'bedragen KIM (budgettering &amp; pl'!B:B,A193,'bedragen KIM (budgettering &amp; pl'!F:F,D193)</f>
        <v>50000</v>
      </c>
      <c r="I193" s="2" t="e">
        <f ca="1">SUMIFS(#REF!,#REF!,A193,#REF!,D193)</f>
        <v>#REF!</v>
      </c>
      <c r="J193" s="2" t="e">
        <f ca="1">SUMIFS(#REF!,#REF!,A193,#REF!,D193)</f>
        <v>#REF!</v>
      </c>
    </row>
    <row r="194" spans="1:10" ht="12.5" x14ac:dyDescent="0.25">
      <c r="A194" s="2" t="str">
        <f ca="1">IFERROR(__xludf.DUMMYFUNCTION("""COMPUTED_VALUE"""),"KP/001061")</f>
        <v>KP/001061</v>
      </c>
      <c r="B194" s="2" t="str">
        <f ca="1">IFERROR(__xludf.DUMMYFUNCTION("""COMPUTED_VALUE"""),"Verkeersveiligheid")</f>
        <v>Verkeersveiligheid</v>
      </c>
      <c r="C194" s="2" t="str">
        <f ca="1">IFERROR(__xludf.DUMMYFUNCTION("""COMPUTED_VALUE"""),"Schoolroute")</f>
        <v>Schoolroute</v>
      </c>
      <c r="D194" s="2" t="str">
        <f ca="1">IFERROR(__xludf.DUMMYFUNCTION("""COMPUTED_VALUE"""),"IN/000891")</f>
        <v>IN/000891</v>
      </c>
      <c r="E194" s="2" t="str">
        <f ca="1">IFERROR(__xludf.DUMMYFUNCTION("UNIQUE(FILTER('export kabinetdashboard 1210202'!N:P,'export kabinetdashboard 1210202'!M:M=D194))"),"")</f>
        <v/>
      </c>
      <c r="F194" s="2" t="str">
        <f ca="1">IFERROR(__xludf.DUMMYFUNCTION("""COMPUTED_VALUE"""),"n.t.b.")</f>
        <v>n.t.b.</v>
      </c>
      <c r="G194" s="2" t="str">
        <f ca="1">IFERROR(__xludf.DUMMYFUNCTION("""COMPUTED_VALUE"""),"n.t.b.")</f>
        <v>n.t.b.</v>
      </c>
      <c r="H194" s="2">
        <f ca="1">SUMIFS('bedragen KIM (budgettering &amp; pl'!S:S,'bedragen KIM (budgettering &amp; pl'!B:B,A194,'bedragen KIM (budgettering &amp; pl'!F:F,D194)</f>
        <v>2000</v>
      </c>
      <c r="I194" s="2" t="e">
        <f ca="1">SUMIFS(#REF!,#REF!,A194,#REF!,D194)</f>
        <v>#REF!</v>
      </c>
      <c r="J194" s="2" t="e">
        <f ca="1">SUMIFS(#REF!,#REF!,A194,#REF!,D194)</f>
        <v>#REF!</v>
      </c>
    </row>
    <row r="195" spans="1:10" ht="12.5" x14ac:dyDescent="0.25">
      <c r="A195" s="2" t="str">
        <f ca="1">IFERROR(__xludf.DUMMYFUNCTION("""COMPUTED_VALUE"""),"KP/001063")</f>
        <v>KP/001063</v>
      </c>
      <c r="B195" s="2" t="str">
        <f ca="1">IFERROR(__xludf.DUMMYFUNCTION("""COMPUTED_VALUE"""),"Verkeersveiligheid")</f>
        <v>Verkeersveiligheid</v>
      </c>
      <c r="C195" s="2" t="str">
        <f ca="1">IFERROR(__xludf.DUMMYFUNCTION("""COMPUTED_VALUE"""),"Schoolroute")</f>
        <v>Schoolroute</v>
      </c>
      <c r="D195" s="2" t="str">
        <f ca="1">IFERROR(__xludf.DUMMYFUNCTION("""COMPUTED_VALUE"""),"IN/000892")</f>
        <v>IN/000892</v>
      </c>
      <c r="E195" s="2" t="str">
        <f ca="1">IFERROR(__xludf.DUMMYFUNCTION("UNIQUE(FILTER('export kabinetdashboard 1210202'!N:P,'export kabinetdashboard 1210202'!M:M=D195))"),"")</f>
        <v/>
      </c>
      <c r="F195" s="2" t="str">
        <f ca="1">IFERROR(__xludf.DUMMYFUNCTION("""COMPUTED_VALUE"""),"n.t.b.")</f>
        <v>n.t.b.</v>
      </c>
      <c r="G195" s="2" t="str">
        <f ca="1">IFERROR(__xludf.DUMMYFUNCTION("""COMPUTED_VALUE"""),"n.t.b.")</f>
        <v>n.t.b.</v>
      </c>
      <c r="H195" s="2">
        <f ca="1">SUMIFS('bedragen KIM (budgettering &amp; pl'!S:S,'bedragen KIM (budgettering &amp; pl'!B:B,A195,'bedragen KIM (budgettering &amp; pl'!F:F,D195)</f>
        <v>35000</v>
      </c>
      <c r="I195" s="2" t="e">
        <f ca="1">SUMIFS(#REF!,#REF!,A195,#REF!,D195)</f>
        <v>#REF!</v>
      </c>
      <c r="J195" s="2" t="e">
        <f ca="1">SUMIFS(#REF!,#REF!,A195,#REF!,D195)</f>
        <v>#REF!</v>
      </c>
    </row>
    <row r="196" spans="1:10" ht="12.5" x14ac:dyDescent="0.25">
      <c r="A196" s="2" t="str">
        <f ca="1">IFERROR(__xludf.DUMMYFUNCTION("""COMPUTED_VALUE"""),"KP/001064")</f>
        <v>KP/001064</v>
      </c>
      <c r="B196" s="2" t="str">
        <f ca="1">IFERROR(__xludf.DUMMYFUNCTION("""COMPUTED_VALUE"""),"Verkeersveiligheid")</f>
        <v>Verkeersveiligheid</v>
      </c>
      <c r="C196" s="2" t="str">
        <f ca="1">IFERROR(__xludf.DUMMYFUNCTION("""COMPUTED_VALUE"""),"Schoolroute")</f>
        <v>Schoolroute</v>
      </c>
      <c r="D196" s="2" t="str">
        <f ca="1">IFERROR(__xludf.DUMMYFUNCTION("""COMPUTED_VALUE"""),"IN/000893")</f>
        <v>IN/000893</v>
      </c>
      <c r="E196" s="2" t="str">
        <f ca="1">IFERROR(__xludf.DUMMYFUNCTION("UNIQUE(FILTER('export kabinetdashboard 1210202'!N:P,'export kabinetdashboard 1210202'!M:M=D196))"),"")</f>
        <v/>
      </c>
      <c r="F196" s="2" t="str">
        <f ca="1">IFERROR(__xludf.DUMMYFUNCTION("""COMPUTED_VALUE"""),"n.t.b.")</f>
        <v>n.t.b.</v>
      </c>
      <c r="G196" s="2" t="str">
        <f ca="1">IFERROR(__xludf.DUMMYFUNCTION("""COMPUTED_VALUE"""),"n.t.b.")</f>
        <v>n.t.b.</v>
      </c>
      <c r="H196" s="2">
        <f ca="1">SUMIFS('bedragen KIM (budgettering &amp; pl'!S:S,'bedragen KIM (budgettering &amp; pl'!B:B,A196,'bedragen KIM (budgettering &amp; pl'!F:F,D196)</f>
        <v>35000</v>
      </c>
      <c r="I196" s="2" t="e">
        <f ca="1">SUMIFS(#REF!,#REF!,A196,#REF!,D196)</f>
        <v>#REF!</v>
      </c>
      <c r="J196" s="2" t="e">
        <f ca="1">SUMIFS(#REF!,#REF!,A196,#REF!,D196)</f>
        <v>#REF!</v>
      </c>
    </row>
    <row r="197" spans="1:10" ht="12.5" x14ac:dyDescent="0.25">
      <c r="A197" s="2" t="str">
        <f ca="1">IFERROR(__xludf.DUMMYFUNCTION("""COMPUTED_VALUE"""),"KP/001065")</f>
        <v>KP/001065</v>
      </c>
      <c r="B197" s="2" t="str">
        <f ca="1">IFERROR(__xludf.DUMMYFUNCTION("""COMPUTED_VALUE"""),"Verkeersveiligheid")</f>
        <v>Verkeersveiligheid</v>
      </c>
      <c r="C197" s="2" t="str">
        <f ca="1">IFERROR(__xludf.DUMMYFUNCTION("""COMPUTED_VALUE"""),"Schoolroute")</f>
        <v>Schoolroute</v>
      </c>
      <c r="D197" s="2" t="str">
        <f ca="1">IFERROR(__xludf.DUMMYFUNCTION("""COMPUTED_VALUE"""),"IN/000894")</f>
        <v>IN/000894</v>
      </c>
      <c r="E197" s="2" t="str">
        <f ca="1">IFERROR(__xludf.DUMMYFUNCTION("UNIQUE(FILTER('export kabinetdashboard 1210202'!N:P,'export kabinetdashboard 1210202'!M:M=D197))"),"")</f>
        <v/>
      </c>
      <c r="F197" s="2" t="str">
        <f ca="1">IFERROR(__xludf.DUMMYFUNCTION("""COMPUTED_VALUE"""),"2022 - Q3")</f>
        <v>2022 - Q3</v>
      </c>
      <c r="G197" s="2" t="str">
        <f ca="1">IFERROR(__xludf.DUMMYFUNCTION("""COMPUTED_VALUE"""),"n.t.b.")</f>
        <v>n.t.b.</v>
      </c>
      <c r="H197" s="2">
        <f ca="1">SUMIFS('bedragen KIM (budgettering &amp; pl'!S:S,'bedragen KIM (budgettering &amp; pl'!B:B,A197,'bedragen KIM (budgettering &amp; pl'!F:F,D197)</f>
        <v>27200</v>
      </c>
      <c r="I197" s="2" t="e">
        <f ca="1">SUMIFS(#REF!,#REF!,A197,#REF!,D197)</f>
        <v>#REF!</v>
      </c>
      <c r="J197" s="2" t="e">
        <f ca="1">SUMIFS(#REF!,#REF!,A197,#REF!,D197)</f>
        <v>#REF!</v>
      </c>
    </row>
    <row r="198" spans="1:10" ht="12.5" x14ac:dyDescent="0.25">
      <c r="A198" s="2" t="str">
        <f ca="1">IFERROR(__xludf.DUMMYFUNCTION("""COMPUTED_VALUE"""),"KP/001067")</f>
        <v>KP/001067</v>
      </c>
      <c r="B198" s="2" t="str">
        <f ca="1">IFERROR(__xludf.DUMMYFUNCTION("""COMPUTED_VALUE"""),"Verkeersveiligheid")</f>
        <v>Verkeersveiligheid</v>
      </c>
      <c r="C198" s="2" t="str">
        <f ca="1">IFERROR(__xludf.DUMMYFUNCTION("""COMPUTED_VALUE"""),"Schoolroute")</f>
        <v>Schoolroute</v>
      </c>
      <c r="D198" s="2" t="str">
        <f ca="1">IFERROR(__xludf.DUMMYFUNCTION("""COMPUTED_VALUE"""),"IN/000895")</f>
        <v>IN/000895</v>
      </c>
      <c r="E198" s="2" t="str">
        <f ca="1">IFERROR(__xludf.DUMMYFUNCTION("UNIQUE(FILTER('export kabinetdashboard 1210202'!N:P,'export kabinetdashboard 1210202'!M:M=D198))"),"")</f>
        <v/>
      </c>
      <c r="F198" s="2" t="str">
        <f ca="1">IFERROR(__xludf.DUMMYFUNCTION("""COMPUTED_VALUE"""),"n.t.b.")</f>
        <v>n.t.b.</v>
      </c>
      <c r="G198" s="2" t="str">
        <f ca="1">IFERROR(__xludf.DUMMYFUNCTION("""COMPUTED_VALUE"""),"n.t.b.")</f>
        <v>n.t.b.</v>
      </c>
      <c r="H198" s="2">
        <f ca="1">SUMIFS('bedragen KIM (budgettering &amp; pl'!S:S,'bedragen KIM (budgettering &amp; pl'!B:B,A198,'bedragen KIM (budgettering &amp; pl'!F:F,D198)</f>
        <v>2500</v>
      </c>
      <c r="I198" s="2" t="e">
        <f ca="1">SUMIFS(#REF!,#REF!,A198,#REF!,D198)</f>
        <v>#REF!</v>
      </c>
      <c r="J198" s="2" t="e">
        <f ca="1">SUMIFS(#REF!,#REF!,A198,#REF!,D198)</f>
        <v>#REF!</v>
      </c>
    </row>
    <row r="199" spans="1:10" ht="12.5" x14ac:dyDescent="0.25">
      <c r="A199" s="2" t="str">
        <f ca="1">IFERROR(__xludf.DUMMYFUNCTION("""COMPUTED_VALUE"""),"KP/001068")</f>
        <v>KP/001068</v>
      </c>
      <c r="B199" s="2" t="str">
        <f ca="1">IFERROR(__xludf.DUMMYFUNCTION("""COMPUTED_VALUE"""),"Verkeersveiligheid")</f>
        <v>Verkeersveiligheid</v>
      </c>
      <c r="C199" s="2" t="str">
        <f ca="1">IFERROR(__xludf.DUMMYFUNCTION("""COMPUTED_VALUE"""),"Schoolroute")</f>
        <v>Schoolroute</v>
      </c>
      <c r="D199" s="2" t="str">
        <f ca="1">IFERROR(__xludf.DUMMYFUNCTION("""COMPUTED_VALUE"""),"IN/000896")</f>
        <v>IN/000896</v>
      </c>
      <c r="E199" s="2" t="str">
        <f ca="1">IFERROR(__xludf.DUMMYFUNCTION("UNIQUE(FILTER('export kabinetdashboard 1210202'!N:P,'export kabinetdashboard 1210202'!M:M=D199))"),"")</f>
        <v/>
      </c>
      <c r="F199" s="2" t="str">
        <f ca="1">IFERROR(__xludf.DUMMYFUNCTION("""COMPUTED_VALUE"""),"n.t.b.")</f>
        <v>n.t.b.</v>
      </c>
      <c r="G199" s="2" t="str">
        <f ca="1">IFERROR(__xludf.DUMMYFUNCTION("""COMPUTED_VALUE"""),"n.t.b.")</f>
        <v>n.t.b.</v>
      </c>
      <c r="H199" s="2">
        <f ca="1">SUMIFS('bedragen KIM (budgettering &amp; pl'!S:S,'bedragen KIM (budgettering &amp; pl'!B:B,A199,'bedragen KIM (budgettering &amp; pl'!F:F,D199)</f>
        <v>2500</v>
      </c>
      <c r="I199" s="2" t="e">
        <f ca="1">SUMIFS(#REF!,#REF!,A199,#REF!,D199)</f>
        <v>#REF!</v>
      </c>
      <c r="J199" s="2" t="e">
        <f ca="1">SUMIFS(#REF!,#REF!,A199,#REF!,D199)</f>
        <v>#REF!</v>
      </c>
    </row>
    <row r="200" spans="1:10" ht="12.5" x14ac:dyDescent="0.25">
      <c r="A200" s="2" t="str">
        <f ca="1">IFERROR(__xludf.DUMMYFUNCTION("""COMPUTED_VALUE"""),"KP/001069")</f>
        <v>KP/001069</v>
      </c>
      <c r="B200" s="2" t="str">
        <f ca="1">IFERROR(__xludf.DUMMYFUNCTION("""COMPUTED_VALUE"""),"Verkeersveiligheid")</f>
        <v>Verkeersveiligheid</v>
      </c>
      <c r="C200" s="2" t="str">
        <f ca="1">IFERROR(__xludf.DUMMYFUNCTION("""COMPUTED_VALUE"""),"Schoolroute")</f>
        <v>Schoolroute</v>
      </c>
      <c r="D200" s="2" t="str">
        <f ca="1">IFERROR(__xludf.DUMMYFUNCTION("""COMPUTED_VALUE"""),"IN/000897")</f>
        <v>IN/000897</v>
      </c>
      <c r="E200" s="2" t="str">
        <f ca="1">IFERROR(__xludf.DUMMYFUNCTION("UNIQUE(FILTER('export kabinetdashboard 1210202'!N:P,'export kabinetdashboard 1210202'!M:M=D200))"),"")</f>
        <v/>
      </c>
      <c r="F200" s="2" t="str">
        <f ca="1">IFERROR(__xludf.DUMMYFUNCTION("""COMPUTED_VALUE"""),"n.t.b.")</f>
        <v>n.t.b.</v>
      </c>
      <c r="G200" s="2" t="str">
        <f ca="1">IFERROR(__xludf.DUMMYFUNCTION("""COMPUTED_VALUE"""),"n.t.b.")</f>
        <v>n.t.b.</v>
      </c>
      <c r="H200" s="2">
        <f ca="1">SUMIFS('bedragen KIM (budgettering &amp; pl'!S:S,'bedragen KIM (budgettering &amp; pl'!B:B,A200,'bedragen KIM (budgettering &amp; pl'!F:F,D200)</f>
        <v>4000</v>
      </c>
      <c r="I200" s="2" t="e">
        <f ca="1">SUMIFS(#REF!,#REF!,A200,#REF!,D200)</f>
        <v>#REF!</v>
      </c>
      <c r="J200" s="2" t="e">
        <f ca="1">SUMIFS(#REF!,#REF!,A200,#REF!,D200)</f>
        <v>#REF!</v>
      </c>
    </row>
    <row r="201" spans="1:10" ht="12.5" x14ac:dyDescent="0.25">
      <c r="A201" s="2" t="str">
        <f ca="1">IFERROR(__xludf.DUMMYFUNCTION("""COMPUTED_VALUE"""),"KP/001070")</f>
        <v>KP/001070</v>
      </c>
      <c r="B201" s="2" t="str">
        <f ca="1">IFERROR(__xludf.DUMMYFUNCTION("""COMPUTED_VALUE"""),"Verkeersveiligheid")</f>
        <v>Verkeersveiligheid</v>
      </c>
      <c r="C201" s="2" t="str">
        <f ca="1">IFERROR(__xludf.DUMMYFUNCTION("""COMPUTED_VALUE"""),"Schoolroute")</f>
        <v>Schoolroute</v>
      </c>
      <c r="D201" s="2" t="str">
        <f ca="1">IFERROR(__xludf.DUMMYFUNCTION("""COMPUTED_VALUE"""),"IN/000898")</f>
        <v>IN/000898</v>
      </c>
      <c r="E201" s="2" t="str">
        <f ca="1">IFERROR(__xludf.DUMMYFUNCTION("UNIQUE(FILTER('export kabinetdashboard 1210202'!N:P,'export kabinetdashboard 1210202'!M:M=D201))"),"regenboogzebrapad ipv bestaand zebrapad")</f>
        <v>regenboogzebrapad ipv bestaand zebrapad</v>
      </c>
      <c r="F201" s="2" t="str">
        <f ca="1">IFERROR(__xludf.DUMMYFUNCTION("""COMPUTED_VALUE"""),"2021 - Q2")</f>
        <v>2021 - Q2</v>
      </c>
      <c r="G201" s="2" t="str">
        <f ca="1">IFERROR(__xludf.DUMMYFUNCTION("""COMPUTED_VALUE"""),"n.t.b.")</f>
        <v>n.t.b.</v>
      </c>
      <c r="H201" s="2">
        <f ca="1">SUMIFS('bedragen KIM (budgettering &amp; pl'!S:S,'bedragen KIM (budgettering &amp; pl'!B:B,A201,'bedragen KIM (budgettering &amp; pl'!F:F,D201)</f>
        <v>193</v>
      </c>
      <c r="I201" s="2" t="e">
        <f ca="1">SUMIFS(#REF!,#REF!,A201,#REF!,D201)</f>
        <v>#REF!</v>
      </c>
      <c r="J201" s="2" t="e">
        <f ca="1">SUMIFS(#REF!,#REF!,A201,#REF!,D201)</f>
        <v>#REF!</v>
      </c>
    </row>
    <row r="202" spans="1:10" ht="12.5" x14ac:dyDescent="0.25">
      <c r="A202" s="2" t="str">
        <f ca="1">IFERROR(__xludf.DUMMYFUNCTION("""COMPUTED_VALUE"""),"KP/001071")</f>
        <v>KP/001071</v>
      </c>
      <c r="B202" s="2" t="str">
        <f ca="1">IFERROR(__xludf.DUMMYFUNCTION("""COMPUTED_VALUE"""),"Verkeersveiligheid")</f>
        <v>Verkeersveiligheid</v>
      </c>
      <c r="C202" s="2" t="str">
        <f ca="1">IFERROR(__xludf.DUMMYFUNCTION("""COMPUTED_VALUE"""),"Schoolroute")</f>
        <v>Schoolroute</v>
      </c>
      <c r="D202" s="2" t="str">
        <f ca="1">IFERROR(__xludf.DUMMYFUNCTION("""COMPUTED_VALUE"""),"IN/000899")</f>
        <v>IN/000899</v>
      </c>
      <c r="E202" s="2" t="str">
        <f ca="1">IFERROR(__xludf.DUMMYFUNCTION("UNIQUE(FILTER('export kabinetdashboard 1210202'!N:P,'export kabinetdashboard 1210202'!M:M=D202))"),"- accentueren VOP met wegdekreflectoren
- evaluatie na 6 maanden (bedrijfszekerheid; financieel; kwalitatief naar tevredenheid verkeersdeelnemers)")</f>
        <v>- accentueren VOP met wegdekreflectoren
- evaluatie na 6 maanden (bedrijfszekerheid; financieel; kwalitatief naar tevredenheid verkeersdeelnemers)</v>
      </c>
      <c r="F202" s="2" t="str">
        <f ca="1">IFERROR(__xludf.DUMMYFUNCTION("""COMPUTED_VALUE"""),"n.t.b.")</f>
        <v>n.t.b.</v>
      </c>
      <c r="G202" s="2" t="str">
        <f ca="1">IFERROR(__xludf.DUMMYFUNCTION("""COMPUTED_VALUE"""),"n.t.b.")</f>
        <v>n.t.b.</v>
      </c>
      <c r="H202" s="2">
        <f ca="1">SUMIFS('bedragen KIM (budgettering &amp; pl'!S:S,'bedragen KIM (budgettering &amp; pl'!B:B,A202,'bedragen KIM (budgettering &amp; pl'!F:F,D202)</f>
        <v>150000</v>
      </c>
      <c r="I202" s="2" t="e">
        <f ca="1">SUMIFS(#REF!,#REF!,A202,#REF!,D202)</f>
        <v>#REF!</v>
      </c>
      <c r="J202" s="2" t="e">
        <f ca="1">SUMIFS(#REF!,#REF!,A202,#REF!,D202)</f>
        <v>#REF!</v>
      </c>
    </row>
    <row r="203" spans="1:10" ht="12.5" x14ac:dyDescent="0.25">
      <c r="A203" s="2" t="str">
        <f ca="1">IFERROR(__xludf.DUMMYFUNCTION("""COMPUTED_VALUE"""),"KP/001074")</f>
        <v>KP/001074</v>
      </c>
      <c r="B203" s="2" t="str">
        <f ca="1">IFERROR(__xludf.DUMMYFUNCTION("""COMPUTED_VALUE"""),"Verkeersveiligheid")</f>
        <v>Verkeersveiligheid</v>
      </c>
      <c r="C203" s="2" t="str">
        <f ca="1">IFERROR(__xludf.DUMMYFUNCTION("""COMPUTED_VALUE"""),"Schoolroute")</f>
        <v>Schoolroute</v>
      </c>
      <c r="D203" s="2" t="str">
        <f ca="1">IFERROR(__xludf.DUMMYFUNCTION("""COMPUTED_VALUE"""),"IN/000900")</f>
        <v>IN/000900</v>
      </c>
      <c r="E203" s="2" t="str">
        <f ca="1">IFERROR(__xludf.DUMMYFUNCTION("UNIQUE(FILTER('export kabinetdashboard 1210202'!N:P,'export kabinetdashboard 1210202'!M:M=D203))"),"Bestaande oversteekplaats voorzien van middengeleider")</f>
        <v>Bestaande oversteekplaats voorzien van middengeleider</v>
      </c>
      <c r="F203" s="2" t="str">
        <f ca="1">IFERROR(__xludf.DUMMYFUNCTION("""COMPUTED_VALUE"""),"2023 - Q4")</f>
        <v>2023 - Q4</v>
      </c>
      <c r="G203" s="2" t="str">
        <f ca="1">IFERROR(__xludf.DUMMYFUNCTION("""COMPUTED_VALUE"""),"n.t.b.")</f>
        <v>n.t.b.</v>
      </c>
      <c r="H203" s="2">
        <f ca="1">SUMIFS('bedragen KIM (budgettering &amp; pl'!S:S,'bedragen KIM (budgettering &amp; pl'!B:B,A203,'bedragen KIM (budgettering &amp; pl'!F:F,D203)</f>
        <v>63701</v>
      </c>
      <c r="I203" s="2" t="e">
        <f ca="1">SUMIFS(#REF!,#REF!,A203,#REF!,D203)</f>
        <v>#REF!</v>
      </c>
      <c r="J203" s="2" t="e">
        <f ca="1">SUMIFS(#REF!,#REF!,A203,#REF!,D203)</f>
        <v>#REF!</v>
      </c>
    </row>
    <row r="204" spans="1:10" ht="12.5" x14ac:dyDescent="0.25">
      <c r="A204" s="2" t="str">
        <f ca="1">IFERROR(__xludf.DUMMYFUNCTION("""COMPUTED_VALUE"""),"KP/001076")</f>
        <v>KP/001076</v>
      </c>
      <c r="B204" s="2" t="str">
        <f ca="1">IFERROR(__xludf.DUMMYFUNCTION("""COMPUTED_VALUE"""),"Verkeersveiligheid")</f>
        <v>Verkeersveiligheid</v>
      </c>
      <c r="C204" s="2" t="str">
        <f ca="1">IFERROR(__xludf.DUMMYFUNCTION("""COMPUTED_VALUE"""),"Schoolroute")</f>
        <v>Schoolroute</v>
      </c>
      <c r="D204" s="2" t="str">
        <f ca="1">IFERROR(__xludf.DUMMYFUNCTION("""COMPUTED_VALUE"""),"IN/000901")</f>
        <v>IN/000901</v>
      </c>
      <c r="E204" s="2" t="str">
        <f ca="1">IFERROR(__xludf.DUMMYFUNCTION("UNIQUE(FILTER('export kabinetdashboard 1210202'!N:P,'export kabinetdashboard 1210202'!M:M=D204))"),"FSS Speldenstraat, fietslogo's Geluwestraat-Geluwesteenweg, rugdekking.")</f>
        <v>FSS Speldenstraat, fietslogo's Geluwestraat-Geluwesteenweg, rugdekking.</v>
      </c>
      <c r="F204" s="2" t="str">
        <f ca="1">IFERROR(__xludf.DUMMYFUNCTION("""COMPUTED_VALUE"""),"2022 - Q3")</f>
        <v>2022 - Q3</v>
      </c>
      <c r="G204" s="2" t="str">
        <f ca="1">IFERROR(__xludf.DUMMYFUNCTION("""COMPUTED_VALUE"""),"n.t.b.")</f>
        <v>n.t.b.</v>
      </c>
      <c r="H204" s="2">
        <f ca="1">SUMIFS('bedragen KIM (budgettering &amp; pl'!S:S,'bedragen KIM (budgettering &amp; pl'!B:B,A204,'bedragen KIM (budgettering &amp; pl'!F:F,D204)</f>
        <v>110000</v>
      </c>
      <c r="I204" s="2" t="e">
        <f ca="1">SUMIFS(#REF!,#REF!,A204,#REF!,D204)</f>
        <v>#REF!</v>
      </c>
      <c r="J204" s="2" t="e">
        <f ca="1">SUMIFS(#REF!,#REF!,A204,#REF!,D204)</f>
        <v>#REF!</v>
      </c>
    </row>
    <row r="205" spans="1:10" ht="12.5" x14ac:dyDescent="0.25">
      <c r="A205" s="2" t="str">
        <f ca="1">IFERROR(__xludf.DUMMYFUNCTION("""COMPUTED_VALUE"""),"KP/001078")</f>
        <v>KP/001078</v>
      </c>
      <c r="B205" s="2" t="str">
        <f ca="1">IFERROR(__xludf.DUMMYFUNCTION("""COMPUTED_VALUE"""),"Verkeersveiligheid")</f>
        <v>Verkeersveiligheid</v>
      </c>
      <c r="C205" s="2" t="str">
        <f ca="1">IFERROR(__xludf.DUMMYFUNCTION("""COMPUTED_VALUE"""),"Schoolroute")</f>
        <v>Schoolroute</v>
      </c>
      <c r="D205" s="2" t="str">
        <f ca="1">IFERROR(__xludf.DUMMYFUNCTION("""COMPUTED_VALUE"""),"IN/000902")</f>
        <v>IN/000902</v>
      </c>
      <c r="E205" s="2" t="str">
        <f ca="1">IFERROR(__xludf.DUMMYFUNCTION("UNIQUE(FILTER('export kabinetdashboard 1210202'!N:P,'export kabinetdashboard 1210202'!M:M=D205))"),"Uitbreken fietspad in betonstraatstenen en opnieuw aanleggen in asfalt")</f>
        <v>Uitbreken fietspad in betonstraatstenen en opnieuw aanleggen in asfalt</v>
      </c>
      <c r="F205" s="2" t="str">
        <f ca="1">IFERROR(__xludf.DUMMYFUNCTION("""COMPUTED_VALUE"""),"2022 - Q4")</f>
        <v>2022 - Q4</v>
      </c>
      <c r="G205" s="2" t="str">
        <f ca="1">IFERROR(__xludf.DUMMYFUNCTION("""COMPUTED_VALUE"""),"n.t.b.")</f>
        <v>n.t.b.</v>
      </c>
      <c r="H205" s="2">
        <f ca="1">SUMIFS('bedragen KIM (budgettering &amp; pl'!S:S,'bedragen KIM (budgettering &amp; pl'!B:B,A205,'bedragen KIM (budgettering &amp; pl'!F:F,D205)</f>
        <v>40000</v>
      </c>
      <c r="I205" s="2" t="e">
        <f ca="1">SUMIFS(#REF!,#REF!,A205,#REF!,D205)</f>
        <v>#REF!</v>
      </c>
      <c r="J205" s="2" t="e">
        <f ca="1">SUMIFS(#REF!,#REF!,A205,#REF!,D205)</f>
        <v>#REF!</v>
      </c>
    </row>
    <row r="206" spans="1:10" ht="12.5" x14ac:dyDescent="0.25">
      <c r="A206" s="2" t="str">
        <f ca="1">IFERROR(__xludf.DUMMYFUNCTION("""COMPUTED_VALUE"""),"KP/001083")</f>
        <v>KP/001083</v>
      </c>
      <c r="B206" s="2" t="str">
        <f ca="1">IFERROR(__xludf.DUMMYFUNCTION("""COMPUTED_VALUE"""),"Verkeersveiligheid")</f>
        <v>Verkeersveiligheid</v>
      </c>
      <c r="C206" s="2" t="str">
        <f ca="1">IFERROR(__xludf.DUMMYFUNCTION("""COMPUTED_VALUE"""),"Schoolroute")</f>
        <v>Schoolroute</v>
      </c>
      <c r="D206" s="2" t="str">
        <f ca="1">IFERROR(__xludf.DUMMYFUNCTION("""COMPUTED_VALUE"""),"IN/000903")</f>
        <v>IN/000903</v>
      </c>
      <c r="E206" s="2" t="str">
        <f ca="1">IFERROR(__xludf.DUMMYFUNCTION("UNIQUE(FILTER('export kabinetdashboard 1210202'!N:P,'export kabinetdashboard 1210202'!M:M=D206))"),"")</f>
        <v/>
      </c>
      <c r="F206" s="2" t="str">
        <f ca="1">IFERROR(__xludf.DUMMYFUNCTION("""COMPUTED_VALUE"""),"n.t.b.")</f>
        <v>n.t.b.</v>
      </c>
      <c r="G206" s="2" t="str">
        <f ca="1">IFERROR(__xludf.DUMMYFUNCTION("""COMPUTED_VALUE"""),"n.t.b.")</f>
        <v>n.t.b.</v>
      </c>
      <c r="H206" s="2">
        <f ca="1">SUMIFS('bedragen KIM (budgettering &amp; pl'!S:S,'bedragen KIM (budgettering &amp; pl'!B:B,A206,'bedragen KIM (budgettering &amp; pl'!F:F,D206)</f>
        <v>0</v>
      </c>
      <c r="I206" s="2" t="e">
        <f ca="1">SUMIFS(#REF!,#REF!,A206,#REF!,D206)</f>
        <v>#REF!</v>
      </c>
      <c r="J206" s="2" t="e">
        <f ca="1">SUMIFS(#REF!,#REF!,A206,#REF!,D206)</f>
        <v>#REF!</v>
      </c>
    </row>
    <row r="207" spans="1:10" ht="12.5" x14ac:dyDescent="0.25">
      <c r="A207" s="2" t="str">
        <f ca="1">IFERROR(__xludf.DUMMYFUNCTION("""COMPUTED_VALUE"""),"KP/001087")</f>
        <v>KP/001087</v>
      </c>
      <c r="B207" s="2" t="str">
        <f ca="1">IFERROR(__xludf.DUMMYFUNCTION("""COMPUTED_VALUE"""),"Verkeersveiligheid")</f>
        <v>Verkeersveiligheid</v>
      </c>
      <c r="C207" s="2" t="str">
        <f ca="1">IFERROR(__xludf.DUMMYFUNCTION("""COMPUTED_VALUE"""),"Schoolroute")</f>
        <v>Schoolroute</v>
      </c>
      <c r="D207" s="2" t="str">
        <f ca="1">IFERROR(__xludf.DUMMYFUNCTION("""COMPUTED_VALUE"""),"IN/000904")</f>
        <v>IN/000904</v>
      </c>
      <c r="E207" s="2" t="str">
        <f ca="1">IFERROR(__xludf.DUMMYFUNCTION("UNIQUE(FILTER('export kabinetdashboard 1210202'!N:P,'export kabinetdashboard 1210202'!M:M=D207))"),"")</f>
        <v/>
      </c>
      <c r="F207" s="2" t="str">
        <f ca="1">IFERROR(__xludf.DUMMYFUNCTION("""COMPUTED_VALUE"""),"2022 - Q2")</f>
        <v>2022 - Q2</v>
      </c>
      <c r="G207" s="2" t="str">
        <f ca="1">IFERROR(__xludf.DUMMYFUNCTION("""COMPUTED_VALUE"""),"n.t.b.")</f>
        <v>n.t.b.</v>
      </c>
      <c r="H207" s="2">
        <f ca="1">SUMIFS('bedragen KIM (budgettering &amp; pl'!S:S,'bedragen KIM (budgettering &amp; pl'!B:B,A207,'bedragen KIM (budgettering &amp; pl'!F:F,D207)</f>
        <v>61000</v>
      </c>
      <c r="I207" s="2" t="e">
        <f ca="1">SUMIFS(#REF!,#REF!,A207,#REF!,D207)</f>
        <v>#REF!</v>
      </c>
      <c r="J207" s="2" t="e">
        <f ca="1">SUMIFS(#REF!,#REF!,A207,#REF!,D207)</f>
        <v>#REF!</v>
      </c>
    </row>
    <row r="208" spans="1:10" ht="12.5" x14ac:dyDescent="0.25">
      <c r="A208" s="2" t="str">
        <f ca="1">IFERROR(__xludf.DUMMYFUNCTION("""COMPUTED_VALUE"""),"KP/001088")</f>
        <v>KP/001088</v>
      </c>
      <c r="B208" s="2" t="str">
        <f ca="1">IFERROR(__xludf.DUMMYFUNCTION("""COMPUTED_VALUE"""),"Verkeersveiligheid")</f>
        <v>Verkeersveiligheid</v>
      </c>
      <c r="C208" s="2" t="str">
        <f ca="1">IFERROR(__xludf.DUMMYFUNCTION("""COMPUTED_VALUE"""),"Schoolroute")</f>
        <v>Schoolroute</v>
      </c>
      <c r="D208" s="2" t="str">
        <f ca="1">IFERROR(__xludf.DUMMYFUNCTION("""COMPUTED_VALUE"""),"IN/000905")</f>
        <v>IN/000905</v>
      </c>
      <c r="E208" s="2" t="str">
        <f ca="1">IFERROR(__xludf.DUMMYFUNCTION("UNIQUE(FILTER('export kabinetdashboard 1210202'!N:P,'export kabinetdashboard 1210202'!M:M=D208))"),"aanbrengen VOP")</f>
        <v>aanbrengen VOP</v>
      </c>
      <c r="F208" s="2" t="str">
        <f ca="1">IFERROR(__xludf.DUMMYFUNCTION("""COMPUTED_VALUE"""),"2022 - Q3")</f>
        <v>2022 - Q3</v>
      </c>
      <c r="G208" s="2" t="str">
        <f ca="1">IFERROR(__xludf.DUMMYFUNCTION("""COMPUTED_VALUE"""),"2022 - Q3")</f>
        <v>2022 - Q3</v>
      </c>
      <c r="H208" s="2">
        <f ca="1">SUMIFS('bedragen KIM (budgettering &amp; pl'!S:S,'bedragen KIM (budgettering &amp; pl'!B:B,A208,'bedragen KIM (budgettering &amp; pl'!F:F,D208)</f>
        <v>25000</v>
      </c>
      <c r="I208" s="2" t="e">
        <f ca="1">SUMIFS(#REF!,#REF!,A208,#REF!,D208)</f>
        <v>#REF!</v>
      </c>
      <c r="J208" s="2" t="e">
        <f ca="1">SUMIFS(#REF!,#REF!,A208,#REF!,D208)</f>
        <v>#REF!</v>
      </c>
    </row>
    <row r="209" spans="1:10" ht="12.5" x14ac:dyDescent="0.25">
      <c r="A209" s="2" t="str">
        <f ca="1">IFERROR(__xludf.DUMMYFUNCTION("""COMPUTED_VALUE"""),"KP/001089")</f>
        <v>KP/001089</v>
      </c>
      <c r="B209" s="2" t="str">
        <f ca="1">IFERROR(__xludf.DUMMYFUNCTION("""COMPUTED_VALUE"""),"Verkeersveiligheid")</f>
        <v>Verkeersveiligheid</v>
      </c>
      <c r="C209" s="2" t="str">
        <f ca="1">IFERROR(__xludf.DUMMYFUNCTION("""COMPUTED_VALUE"""),"Schoolroute")</f>
        <v>Schoolroute</v>
      </c>
      <c r="D209" s="2" t="str">
        <f ca="1">IFERROR(__xludf.DUMMYFUNCTION("""COMPUTED_VALUE"""),"IN/000906")</f>
        <v>IN/000906</v>
      </c>
      <c r="E209" s="2" t="str">
        <f ca="1">IFERROR(__xludf.DUMMYFUNCTION("UNIQUE(FILTER('export kabinetdashboard 1210202'!N:P,'export kabinetdashboard 1210202'!M:M=D209))"),"")</f>
        <v/>
      </c>
      <c r="F209" s="2" t="str">
        <f ca="1">IFERROR(__xludf.DUMMYFUNCTION("""COMPUTED_VALUE"""),"2022 - Q2")</f>
        <v>2022 - Q2</v>
      </c>
      <c r="G209" s="2" t="str">
        <f ca="1">IFERROR(__xludf.DUMMYFUNCTION("""COMPUTED_VALUE"""),"2022 - Q3")</f>
        <v>2022 - Q3</v>
      </c>
      <c r="H209" s="2">
        <f ca="1">SUMIFS('bedragen KIM (budgettering &amp; pl'!S:S,'bedragen KIM (budgettering &amp; pl'!B:B,A209,'bedragen KIM (budgettering &amp; pl'!F:F,D209)</f>
        <v>75000</v>
      </c>
      <c r="I209" s="2" t="e">
        <f ca="1">SUMIFS(#REF!,#REF!,A209,#REF!,D209)</f>
        <v>#REF!</v>
      </c>
      <c r="J209" s="2" t="e">
        <f ca="1">SUMIFS(#REF!,#REF!,A209,#REF!,D209)</f>
        <v>#REF!</v>
      </c>
    </row>
    <row r="210" spans="1:10" ht="12.5" x14ac:dyDescent="0.25">
      <c r="A210" s="2" t="str">
        <f ca="1">IFERROR(__xludf.DUMMYFUNCTION("""COMPUTED_VALUE"""),"KP/001090")</f>
        <v>KP/001090</v>
      </c>
      <c r="B210" s="2" t="str">
        <f ca="1">IFERROR(__xludf.DUMMYFUNCTION("""COMPUTED_VALUE"""),"Verkeersveiligheid")</f>
        <v>Verkeersveiligheid</v>
      </c>
      <c r="C210" s="2" t="str">
        <f ca="1">IFERROR(__xludf.DUMMYFUNCTION("""COMPUTED_VALUE"""),"Schoolroute")</f>
        <v>Schoolroute</v>
      </c>
      <c r="D210" s="2" t="str">
        <f ca="1">IFERROR(__xludf.DUMMYFUNCTION("""COMPUTED_VALUE"""),"IN/000907")</f>
        <v>IN/000907</v>
      </c>
      <c r="E210" s="2" t="str">
        <f ca="1">IFERROR(__xludf.DUMMYFUNCTION("UNIQUE(FILTER('export kabinetdashboard 1210202'!N:P,'export kabinetdashboard 1210202'!M:M=D210))"),"")</f>
        <v/>
      </c>
      <c r="F210" s="2" t="str">
        <f ca="1">IFERROR(__xludf.DUMMYFUNCTION("""COMPUTED_VALUE"""),"2022 - Q3")</f>
        <v>2022 - Q3</v>
      </c>
      <c r="G210" s="2" t="str">
        <f ca="1">IFERROR(__xludf.DUMMYFUNCTION("""COMPUTED_VALUE"""),"n.t.b.")</f>
        <v>n.t.b.</v>
      </c>
      <c r="H210" s="2">
        <f ca="1">SUMIFS('bedragen KIM (budgettering &amp; pl'!S:S,'bedragen KIM (budgettering &amp; pl'!B:B,A210,'bedragen KIM (budgettering &amp; pl'!F:F,D210)</f>
        <v>25000</v>
      </c>
      <c r="I210" s="2" t="e">
        <f ca="1">SUMIFS(#REF!,#REF!,A210,#REF!,D210)</f>
        <v>#REF!</v>
      </c>
      <c r="J210" s="2" t="e">
        <f ca="1">SUMIFS(#REF!,#REF!,A210,#REF!,D210)</f>
        <v>#REF!</v>
      </c>
    </row>
    <row r="211" spans="1:10" ht="12.5" x14ac:dyDescent="0.25">
      <c r="A211" s="2" t="str">
        <f ca="1">IFERROR(__xludf.DUMMYFUNCTION("""COMPUTED_VALUE"""),"KP/001091")</f>
        <v>KP/001091</v>
      </c>
      <c r="B211" s="2" t="str">
        <f ca="1">IFERROR(__xludf.DUMMYFUNCTION("""COMPUTED_VALUE"""),"Verkeersveiligheid")</f>
        <v>Verkeersveiligheid</v>
      </c>
      <c r="C211" s="2" t="str">
        <f ca="1">IFERROR(__xludf.DUMMYFUNCTION("""COMPUTED_VALUE"""),"Schoolroute")</f>
        <v>Schoolroute</v>
      </c>
      <c r="D211" s="2" t="str">
        <f ca="1">IFERROR(__xludf.DUMMYFUNCTION("""COMPUTED_VALUE"""),"IN/000908")</f>
        <v>IN/000908</v>
      </c>
      <c r="E211" s="2" t="str">
        <f ca="1">IFERROR(__xludf.DUMMYFUNCTION("UNIQUE(FILTER('export kabinetdashboard 1210202'!N:P,'export kabinetdashboard 1210202'!M:M=D211))"),"fietsoversteekvoorziening met fietslogoverbinding")</f>
        <v>fietsoversteekvoorziening met fietslogoverbinding</v>
      </c>
      <c r="F211" s="2" t="str">
        <f ca="1">IFERROR(__xludf.DUMMYFUNCTION("""COMPUTED_VALUE"""),"2023 - Q4")</f>
        <v>2023 - Q4</v>
      </c>
      <c r="G211" s="2" t="str">
        <f ca="1">IFERROR(__xludf.DUMMYFUNCTION("""COMPUTED_VALUE"""),"n.t.b.")</f>
        <v>n.t.b.</v>
      </c>
      <c r="H211" s="2">
        <f ca="1">SUMIFS('bedragen KIM (budgettering &amp; pl'!S:S,'bedragen KIM (budgettering &amp; pl'!B:B,A211,'bedragen KIM (budgettering &amp; pl'!F:F,D211)</f>
        <v>13541</v>
      </c>
      <c r="I211" s="2" t="e">
        <f ca="1">SUMIFS(#REF!,#REF!,A211,#REF!,D211)</f>
        <v>#REF!</v>
      </c>
      <c r="J211" s="2" t="e">
        <f ca="1">SUMIFS(#REF!,#REF!,A211,#REF!,D211)</f>
        <v>#REF!</v>
      </c>
    </row>
    <row r="212" spans="1:10" ht="12.5" x14ac:dyDescent="0.25">
      <c r="A212" s="2" t="str">
        <f ca="1">IFERROR(__xludf.DUMMYFUNCTION("""COMPUTED_VALUE"""),"KP/001092")</f>
        <v>KP/001092</v>
      </c>
      <c r="B212" s="2" t="str">
        <f ca="1">IFERROR(__xludf.DUMMYFUNCTION("""COMPUTED_VALUE"""),"Verkeersveiligheid")</f>
        <v>Verkeersveiligheid</v>
      </c>
      <c r="C212" s="2" t="str">
        <f ca="1">IFERROR(__xludf.DUMMYFUNCTION("""COMPUTED_VALUE"""),"Schoolroute")</f>
        <v>Schoolroute</v>
      </c>
      <c r="D212" s="2" t="str">
        <f ca="1">IFERROR(__xludf.DUMMYFUNCTION("""COMPUTED_VALUE"""),"IN/000909")</f>
        <v>IN/000909</v>
      </c>
      <c r="E212" s="2" t="str">
        <f ca="1">IFERROR(__xludf.DUMMYFUNCTION("UNIQUE(FILTER('export kabinetdashboard 1210202'!N:P,'export kabinetdashboard 1210202'!M:M=D212))"),"")</f>
        <v/>
      </c>
      <c r="F212" s="2" t="str">
        <f ca="1">IFERROR(__xludf.DUMMYFUNCTION("""COMPUTED_VALUE"""),"2023 - Q2")</f>
        <v>2023 - Q2</v>
      </c>
      <c r="G212" s="2" t="str">
        <f ca="1">IFERROR(__xludf.DUMMYFUNCTION("""COMPUTED_VALUE"""),"n.t.b.")</f>
        <v>n.t.b.</v>
      </c>
      <c r="H212" s="2">
        <f ca="1">SUMIFS('bedragen KIM (budgettering &amp; pl'!S:S,'bedragen KIM (budgettering &amp; pl'!B:B,A212,'bedragen KIM (budgettering &amp; pl'!F:F,D212)</f>
        <v>35000</v>
      </c>
      <c r="I212" s="2" t="e">
        <f ca="1">SUMIFS(#REF!,#REF!,A212,#REF!,D212)</f>
        <v>#REF!</v>
      </c>
      <c r="J212" s="2" t="e">
        <f ca="1">SUMIFS(#REF!,#REF!,A212,#REF!,D212)</f>
        <v>#REF!</v>
      </c>
    </row>
    <row r="213" spans="1:10" ht="12.5" x14ac:dyDescent="0.25">
      <c r="A213" s="2" t="str">
        <f ca="1">IFERROR(__xludf.DUMMYFUNCTION("""COMPUTED_VALUE"""),"KP/001094")</f>
        <v>KP/001094</v>
      </c>
      <c r="B213" s="2" t="str">
        <f ca="1">IFERROR(__xludf.DUMMYFUNCTION("""COMPUTED_VALUE"""),"Verkeersveiligheid")</f>
        <v>Verkeersveiligheid</v>
      </c>
      <c r="C213" s="2" t="str">
        <f ca="1">IFERROR(__xludf.DUMMYFUNCTION("""COMPUTED_VALUE"""),"Schoolroute")</f>
        <v>Schoolroute</v>
      </c>
      <c r="D213" s="2" t="str">
        <f ca="1">IFERROR(__xludf.DUMMYFUNCTION("""COMPUTED_VALUE"""),"IN/000911")</f>
        <v>IN/000911</v>
      </c>
      <c r="E213" s="2" t="str">
        <f ca="1">IFERROR(__xludf.DUMMYFUNCTION("UNIQUE(FILTER('export kabinetdashboard 1210202'!N:P,'export kabinetdashboard 1210202'!M:M=D213))"),"")</f>
        <v/>
      </c>
      <c r="F213" s="2" t="str">
        <f ca="1">IFERROR(__xludf.DUMMYFUNCTION("""COMPUTED_VALUE"""),"2022 - Q2")</f>
        <v>2022 - Q2</v>
      </c>
      <c r="G213" s="2" t="str">
        <f ca="1">IFERROR(__xludf.DUMMYFUNCTION("""COMPUTED_VALUE"""),"2022 - Q3")</f>
        <v>2022 - Q3</v>
      </c>
      <c r="H213" s="2">
        <f ca="1">SUMIFS('bedragen KIM (budgettering &amp; pl'!S:S,'bedragen KIM (budgettering &amp; pl'!B:B,A213,'bedragen KIM (budgettering &amp; pl'!F:F,D213)</f>
        <v>75000</v>
      </c>
      <c r="I213" s="2" t="e">
        <f ca="1">SUMIFS(#REF!,#REF!,A213,#REF!,D213)</f>
        <v>#REF!</v>
      </c>
      <c r="J213" s="2" t="e">
        <f ca="1">SUMIFS(#REF!,#REF!,A213,#REF!,D213)</f>
        <v>#REF!</v>
      </c>
    </row>
    <row r="214" spans="1:10" ht="12.5" x14ac:dyDescent="0.25">
      <c r="A214" s="2" t="str">
        <f ca="1">IFERROR(__xludf.DUMMYFUNCTION("""COMPUTED_VALUE"""),"KP/001096")</f>
        <v>KP/001096</v>
      </c>
      <c r="B214" s="2" t="str">
        <f ca="1">IFERROR(__xludf.DUMMYFUNCTION("""COMPUTED_VALUE"""),"Verkeersveiligheid")</f>
        <v>Verkeersveiligheid</v>
      </c>
      <c r="C214" s="2" t="str">
        <f ca="1">IFERROR(__xludf.DUMMYFUNCTION("""COMPUTED_VALUE"""),"Schoolroute")</f>
        <v>Schoolroute</v>
      </c>
      <c r="D214" s="2" t="str">
        <f ca="1">IFERROR(__xludf.DUMMYFUNCTION("""COMPUTED_VALUE"""),"IN/000912")</f>
        <v>IN/000912</v>
      </c>
      <c r="E214" s="2" t="str">
        <f ca="1">IFERROR(__xludf.DUMMYFUNCTION("UNIQUE(FILTER('export kabinetdashboard 1210202'!N:P,'export kabinetdashboard 1210202'!M:M=D214))"),"Plaatsing VFOP - VVOP")</f>
        <v>Plaatsing VFOP - VVOP</v>
      </c>
      <c r="F214" s="2" t="str">
        <f ca="1">IFERROR(__xludf.DUMMYFUNCTION("""COMPUTED_VALUE"""),"2023 - Q1")</f>
        <v>2023 - Q1</v>
      </c>
      <c r="G214" s="2" t="str">
        <f ca="1">IFERROR(__xludf.DUMMYFUNCTION("""COMPUTED_VALUE"""),"n.t.b.")</f>
        <v>n.t.b.</v>
      </c>
      <c r="H214" s="2">
        <f ca="1">SUMIFS('bedragen KIM (budgettering &amp; pl'!S:S,'bedragen KIM (budgettering &amp; pl'!B:B,A214,'bedragen KIM (budgettering &amp; pl'!F:F,D214)</f>
        <v>20000</v>
      </c>
      <c r="I214" s="2" t="e">
        <f ca="1">SUMIFS(#REF!,#REF!,A214,#REF!,D214)</f>
        <v>#REF!</v>
      </c>
      <c r="J214" s="2" t="e">
        <f ca="1">SUMIFS(#REF!,#REF!,A214,#REF!,D214)</f>
        <v>#REF!</v>
      </c>
    </row>
    <row r="215" spans="1:10" ht="12.5" x14ac:dyDescent="0.25">
      <c r="A215" s="2" t="str">
        <f ca="1">IFERROR(__xludf.DUMMYFUNCTION("""COMPUTED_VALUE"""),"KP/001097")</f>
        <v>KP/001097</v>
      </c>
      <c r="B215" s="2" t="str">
        <f ca="1">IFERROR(__xludf.DUMMYFUNCTION("""COMPUTED_VALUE"""),"Verkeersveiligheid")</f>
        <v>Verkeersveiligheid</v>
      </c>
      <c r="C215" s="2" t="str">
        <f ca="1">IFERROR(__xludf.DUMMYFUNCTION("""COMPUTED_VALUE"""),"Schoolroute")</f>
        <v>Schoolroute</v>
      </c>
      <c r="D215" s="2" t="str">
        <f ca="1">IFERROR(__xludf.DUMMYFUNCTION("""COMPUTED_VALUE"""),"IN/000913")</f>
        <v>IN/000913</v>
      </c>
      <c r="E215" s="2" t="str">
        <f ca="1">IFERROR(__xludf.DUMMYFUNCTION("UNIQUE(FILTER('export kabinetdashboard 1210202'!N:P,'export kabinetdashboard 1210202'!M:M=D215))"),"dichten middenberm en oversteek in fietslogoverbinding toevoegen")</f>
        <v>dichten middenberm en oversteek in fietslogoverbinding toevoegen</v>
      </c>
      <c r="F215" s="2" t="str">
        <f ca="1">IFERROR(__xludf.DUMMYFUNCTION("""COMPUTED_VALUE"""),"2022 - Q4")</f>
        <v>2022 - Q4</v>
      </c>
      <c r="G215" s="2" t="str">
        <f ca="1">IFERROR(__xludf.DUMMYFUNCTION("""COMPUTED_VALUE"""),"n.t.b.")</f>
        <v>n.t.b.</v>
      </c>
      <c r="H215" s="2">
        <f ca="1">SUMIFS('bedragen KIM (budgettering &amp; pl'!S:S,'bedragen KIM (budgettering &amp; pl'!B:B,A215,'bedragen KIM (budgettering &amp; pl'!F:F,D215)</f>
        <v>33358</v>
      </c>
      <c r="I215" s="2" t="e">
        <f ca="1">SUMIFS(#REF!,#REF!,A215,#REF!,D215)</f>
        <v>#REF!</v>
      </c>
      <c r="J215" s="2" t="e">
        <f ca="1">SUMIFS(#REF!,#REF!,A215,#REF!,D215)</f>
        <v>#REF!</v>
      </c>
    </row>
    <row r="216" spans="1:10" ht="12.5" x14ac:dyDescent="0.25">
      <c r="A216" s="2" t="str">
        <f ca="1">IFERROR(__xludf.DUMMYFUNCTION("""COMPUTED_VALUE"""),"KP/001098")</f>
        <v>KP/001098</v>
      </c>
      <c r="B216" s="2" t="str">
        <f ca="1">IFERROR(__xludf.DUMMYFUNCTION("""COMPUTED_VALUE"""),"Verkeersveiligheid")</f>
        <v>Verkeersveiligheid</v>
      </c>
      <c r="C216" s="2" t="str">
        <f ca="1">IFERROR(__xludf.DUMMYFUNCTION("""COMPUTED_VALUE"""),"Schoolroute")</f>
        <v>Schoolroute</v>
      </c>
      <c r="D216" s="2" t="str">
        <f ca="1">IFERROR(__xludf.DUMMYFUNCTION("""COMPUTED_VALUE"""),"IN/000914")</f>
        <v>IN/000914</v>
      </c>
      <c r="E216" s="2" t="str">
        <f ca="1">IFERROR(__xludf.DUMMYFUNCTION("UNIQUE(FILTER('export kabinetdashboard 1210202'!N:P,'export kabinetdashboard 1210202'!M:M=D216))"),"")</f>
        <v/>
      </c>
      <c r="F216" s="2" t="str">
        <f ca="1">IFERROR(__xludf.DUMMYFUNCTION("""COMPUTED_VALUE"""),"n.t.b.")</f>
        <v>n.t.b.</v>
      </c>
      <c r="G216" s="2" t="str">
        <f ca="1">IFERROR(__xludf.DUMMYFUNCTION("""COMPUTED_VALUE"""),"n.t.b.")</f>
        <v>n.t.b.</v>
      </c>
      <c r="H216" s="2">
        <f ca="1">SUMIFS('bedragen KIM (budgettering &amp; pl'!S:S,'bedragen KIM (budgettering &amp; pl'!B:B,A216,'bedragen KIM (budgettering &amp; pl'!F:F,D216)</f>
        <v>1500</v>
      </c>
      <c r="I216" s="2" t="e">
        <f ca="1">SUMIFS(#REF!,#REF!,A216,#REF!,D216)</f>
        <v>#REF!</v>
      </c>
      <c r="J216" s="2" t="e">
        <f ca="1">SUMIFS(#REF!,#REF!,A216,#REF!,D216)</f>
        <v>#REF!</v>
      </c>
    </row>
    <row r="217" spans="1:10" ht="12.5" x14ac:dyDescent="0.25">
      <c r="A217" s="2" t="str">
        <f ca="1">IFERROR(__xludf.DUMMYFUNCTION("""COMPUTED_VALUE"""),"KP/001099")</f>
        <v>KP/001099</v>
      </c>
      <c r="B217" s="2" t="str">
        <f ca="1">IFERROR(__xludf.DUMMYFUNCTION("""COMPUTED_VALUE"""),"Verkeersveiligheid")</f>
        <v>Verkeersveiligheid</v>
      </c>
      <c r="C217" s="2" t="str">
        <f ca="1">IFERROR(__xludf.DUMMYFUNCTION("""COMPUTED_VALUE"""),"Schoolroute")</f>
        <v>Schoolroute</v>
      </c>
      <c r="D217" s="2" t="str">
        <f ca="1">IFERROR(__xludf.DUMMYFUNCTION("""COMPUTED_VALUE"""),"IN/000915")</f>
        <v>IN/000915</v>
      </c>
      <c r="E217" s="2" t="str">
        <f ca="1">IFERROR(__xludf.DUMMYFUNCTION("UNIQUE(FILTER('export kabinetdashboard 1210202'!N:P,'export kabinetdashboard 1210202'!M:M=D217))"),"Dit wordt verder uitgewerkt binnen traject van de Hoppinpunten:
- Hoppinpunt aanleggen
- middengeleider
- punctuele verlichting")</f>
        <v>Dit wordt verder uitgewerkt binnen traject van de Hoppinpunten:
- Hoppinpunt aanleggen
- middengeleider
- punctuele verlichting</v>
      </c>
      <c r="F217" s="2" t="str">
        <f ca="1">IFERROR(__xludf.DUMMYFUNCTION("""COMPUTED_VALUE"""),"n.t.b.")</f>
        <v>n.t.b.</v>
      </c>
      <c r="G217" s="2" t="str">
        <f ca="1">IFERROR(__xludf.DUMMYFUNCTION("""COMPUTED_VALUE"""),"n.t.b.")</f>
        <v>n.t.b.</v>
      </c>
      <c r="H217" s="2">
        <f ca="1">SUMIFS('bedragen KIM (budgettering &amp; pl'!S:S,'bedragen KIM (budgettering &amp; pl'!B:B,A217,'bedragen KIM (budgettering &amp; pl'!F:F,D217)</f>
        <v>200000</v>
      </c>
      <c r="I217" s="2" t="e">
        <f ca="1">SUMIFS(#REF!,#REF!,A217,#REF!,D217)</f>
        <v>#REF!</v>
      </c>
      <c r="J217" s="2" t="e">
        <f ca="1">SUMIFS(#REF!,#REF!,A217,#REF!,D217)</f>
        <v>#REF!</v>
      </c>
    </row>
    <row r="218" spans="1:10" ht="12.5" x14ac:dyDescent="0.25">
      <c r="A218" s="2" t="str">
        <f ca="1">IFERROR(__xludf.DUMMYFUNCTION("""COMPUTED_VALUE"""),"KP/001100")</f>
        <v>KP/001100</v>
      </c>
      <c r="B218" s="2" t="str">
        <f ca="1">IFERROR(__xludf.DUMMYFUNCTION("""COMPUTED_VALUE"""),"Verkeersveiligheid")</f>
        <v>Verkeersveiligheid</v>
      </c>
      <c r="C218" s="2" t="str">
        <f ca="1">IFERROR(__xludf.DUMMYFUNCTION("""COMPUTED_VALUE"""),"Schoolroute")</f>
        <v>Schoolroute</v>
      </c>
      <c r="D218" s="2" t="str">
        <f ca="1">IFERROR(__xludf.DUMMYFUNCTION("""COMPUTED_VALUE"""),"IN/000916")</f>
        <v>IN/000916</v>
      </c>
      <c r="E218" s="2" t="str">
        <f ca="1">IFERROR(__xludf.DUMMYFUNCTION("UNIQUE(FILTER('export kabinetdashboard 1210202'!N:P,'export kabinetdashboard 1210202'!M:M=D218))"),"#N/A")</f>
        <v>#N/A</v>
      </c>
      <c r="H218" s="2">
        <f ca="1">SUMIFS('bedragen KIM (budgettering &amp; pl'!S:S,'bedragen KIM (budgettering &amp; pl'!B:B,A218,'bedragen KIM (budgettering &amp; pl'!F:F,D218)</f>
        <v>0</v>
      </c>
      <c r="I218" s="2" t="e">
        <f ca="1">SUMIFS(#REF!,#REF!,A218,#REF!,D218)</f>
        <v>#REF!</v>
      </c>
      <c r="J218" s="2" t="e">
        <f ca="1">SUMIFS(#REF!,#REF!,A218,#REF!,D218)</f>
        <v>#REF!</v>
      </c>
    </row>
    <row r="219" spans="1:10" ht="12.5" x14ac:dyDescent="0.25">
      <c r="A219" s="2" t="str">
        <f ca="1">IFERROR(__xludf.DUMMYFUNCTION("""COMPUTED_VALUE"""),"KP/001101")</f>
        <v>KP/001101</v>
      </c>
      <c r="B219" s="2" t="str">
        <f ca="1">IFERROR(__xludf.DUMMYFUNCTION("""COMPUTED_VALUE"""),"Verkeersveiligheid")</f>
        <v>Verkeersveiligheid</v>
      </c>
      <c r="C219" s="2" t="str">
        <f ca="1">IFERROR(__xludf.DUMMYFUNCTION("""COMPUTED_VALUE"""),"Schoolroute")</f>
        <v>Schoolroute</v>
      </c>
      <c r="D219" s="2" t="str">
        <f ca="1">IFERROR(__xludf.DUMMYFUNCTION("""COMPUTED_VALUE"""),"IN/000917")</f>
        <v>IN/000917</v>
      </c>
      <c r="E219" s="2" t="str">
        <f ca="1">IFERROR(__xludf.DUMMYFUNCTION("UNIQUE(FILTER('export kabinetdashboard 1210202'!N:P,'export kabinetdashboard 1210202'!M:M=D219))"),"")</f>
        <v/>
      </c>
      <c r="F219" s="2" t="str">
        <f ca="1">IFERROR(__xludf.DUMMYFUNCTION("""COMPUTED_VALUE"""),"2022 - Q4")</f>
        <v>2022 - Q4</v>
      </c>
      <c r="G219" s="2" t="str">
        <f ca="1">IFERROR(__xludf.DUMMYFUNCTION("""COMPUTED_VALUE"""),"n.t.b.")</f>
        <v>n.t.b.</v>
      </c>
      <c r="H219" s="2">
        <f ca="1">SUMIFS('bedragen KIM (budgettering &amp; pl'!S:S,'bedragen KIM (budgettering &amp; pl'!B:B,A219,'bedragen KIM (budgettering &amp; pl'!F:F,D219)</f>
        <v>0</v>
      </c>
      <c r="I219" s="2" t="e">
        <f ca="1">SUMIFS(#REF!,#REF!,A219,#REF!,D219)</f>
        <v>#REF!</v>
      </c>
      <c r="J219" s="2" t="e">
        <f ca="1">SUMIFS(#REF!,#REF!,A219,#REF!,D219)</f>
        <v>#REF!</v>
      </c>
    </row>
    <row r="220" spans="1:10" ht="12.5" x14ac:dyDescent="0.25">
      <c r="A220" s="2" t="str">
        <f ca="1">IFERROR(__xludf.DUMMYFUNCTION("""COMPUTED_VALUE"""),"KP/001108")</f>
        <v>KP/001108</v>
      </c>
      <c r="B220" s="2" t="str">
        <f ca="1">IFERROR(__xludf.DUMMYFUNCTION("""COMPUTED_VALUE"""),"Verkeersveiligheid")</f>
        <v>Verkeersveiligheid</v>
      </c>
      <c r="C220" s="2" t="str">
        <f ca="1">IFERROR(__xludf.DUMMYFUNCTION("""COMPUTED_VALUE"""),"Schoolroute")</f>
        <v>Schoolroute</v>
      </c>
      <c r="D220" s="2" t="str">
        <f ca="1">IFERROR(__xludf.DUMMYFUNCTION("""COMPUTED_VALUE"""),"IN/000918")</f>
        <v>IN/000918</v>
      </c>
      <c r="E220" s="2" t="str">
        <f ca="1">IFERROR(__xludf.DUMMYFUNCTION("UNIQUE(FILTER('export kabinetdashboard 1210202'!N:P,'export kabinetdashboard 1210202'!M:M=D220))"),"Ontruimingstijd/V-plan aanpassen")</f>
        <v>Ontruimingstijd/V-plan aanpassen</v>
      </c>
      <c r="F220" s="2" t="str">
        <f ca="1">IFERROR(__xludf.DUMMYFUNCTION("""COMPUTED_VALUE"""),"2021 - Q4")</f>
        <v>2021 - Q4</v>
      </c>
      <c r="G220" s="2" t="str">
        <f ca="1">IFERROR(__xludf.DUMMYFUNCTION("""COMPUTED_VALUE"""),"n.t.b.")</f>
        <v>n.t.b.</v>
      </c>
      <c r="H220" s="2">
        <f ca="1">SUMIFS('bedragen KIM (budgettering &amp; pl'!S:S,'bedragen KIM (budgettering &amp; pl'!B:B,A220,'bedragen KIM (budgettering &amp; pl'!F:F,D220)</f>
        <v>0</v>
      </c>
      <c r="I220" s="2" t="e">
        <f ca="1">SUMIFS(#REF!,#REF!,A220,#REF!,D220)</f>
        <v>#REF!</v>
      </c>
      <c r="J220" s="2" t="e">
        <f ca="1">SUMIFS(#REF!,#REF!,A220,#REF!,D220)</f>
        <v>#REF!</v>
      </c>
    </row>
    <row r="221" spans="1:10" ht="12.5" x14ac:dyDescent="0.25">
      <c r="A221" s="2" t="str">
        <f ca="1">IFERROR(__xludf.DUMMYFUNCTION("""COMPUTED_VALUE"""),"KP/001109")</f>
        <v>KP/001109</v>
      </c>
      <c r="B221" s="2" t="str">
        <f ca="1">IFERROR(__xludf.DUMMYFUNCTION("""COMPUTED_VALUE"""),"Verkeersveiligheid")</f>
        <v>Verkeersveiligheid</v>
      </c>
      <c r="C221" s="2" t="str">
        <f ca="1">IFERROR(__xludf.DUMMYFUNCTION("""COMPUTED_VALUE"""),"Schoolroute")</f>
        <v>Schoolroute</v>
      </c>
      <c r="D221" s="2" t="str">
        <f ca="1">IFERROR(__xludf.DUMMYFUNCTION("""COMPUTED_VALUE"""),"IN/000919")</f>
        <v>IN/000919</v>
      </c>
      <c r="E221" s="2" t="str">
        <f ca="1">IFERROR(__xludf.DUMMYFUNCTION("UNIQUE(FILTER('export kabinetdashboard 1210202'!N:P,'export kabinetdashboard 1210202'!M:M=D221))"),"Frietzak signalisatie")</f>
        <v>Frietzak signalisatie</v>
      </c>
      <c r="F221" s="2" t="str">
        <f ca="1">IFERROR(__xludf.DUMMYFUNCTION("""COMPUTED_VALUE"""),"2022 - Q2")</f>
        <v>2022 - Q2</v>
      </c>
      <c r="G221" s="2" t="str">
        <f ca="1">IFERROR(__xludf.DUMMYFUNCTION("""COMPUTED_VALUE"""),"n.t.b.")</f>
        <v>n.t.b.</v>
      </c>
      <c r="H221" s="2">
        <f ca="1">SUMIFS('bedragen KIM (budgettering &amp; pl'!S:S,'bedragen KIM (budgettering &amp; pl'!B:B,A221,'bedragen KIM (budgettering &amp; pl'!F:F,D221)</f>
        <v>2500</v>
      </c>
      <c r="I221" s="2" t="e">
        <f ca="1">SUMIFS(#REF!,#REF!,A221,#REF!,D221)</f>
        <v>#REF!</v>
      </c>
      <c r="J221" s="2" t="e">
        <f ca="1">SUMIFS(#REF!,#REF!,A221,#REF!,D221)</f>
        <v>#REF!</v>
      </c>
    </row>
    <row r="222" spans="1:10" ht="12.5" x14ac:dyDescent="0.25">
      <c r="A222" s="2" t="str">
        <f ca="1">IFERROR(__xludf.DUMMYFUNCTION("""COMPUTED_VALUE"""),"KP/001114")</f>
        <v>KP/001114</v>
      </c>
      <c r="B222" s="2" t="str">
        <f ca="1">IFERROR(__xludf.DUMMYFUNCTION("""COMPUTED_VALUE"""),"Verkeersveiligheid")</f>
        <v>Verkeersveiligheid</v>
      </c>
      <c r="C222" s="2" t="str">
        <f ca="1">IFERROR(__xludf.DUMMYFUNCTION("""COMPUTED_VALUE"""),"Schoolroute")</f>
        <v>Schoolroute</v>
      </c>
      <c r="D222" s="2" t="str">
        <f ca="1">IFERROR(__xludf.DUMMYFUNCTION("""COMPUTED_VALUE"""),"IN/000920")</f>
        <v>IN/000920</v>
      </c>
      <c r="E222" s="2" t="str">
        <f ca="1">IFERROR(__xludf.DUMMYFUNCTION("UNIQUE(FILTER('export kabinetdashboard 1210202'!N:P,'export kabinetdashboard 1210202'!M:M=D222))"),"")</f>
        <v/>
      </c>
      <c r="F222" s="2" t="str">
        <f ca="1">IFERROR(__xludf.DUMMYFUNCTION("""COMPUTED_VALUE"""),"2022 - Q2")</f>
        <v>2022 - Q2</v>
      </c>
      <c r="G222" s="2" t="str">
        <f ca="1">IFERROR(__xludf.DUMMYFUNCTION("""COMPUTED_VALUE"""),"2022 - Q1")</f>
        <v>2022 - Q1</v>
      </c>
      <c r="H222" s="2">
        <f ca="1">SUMIFS('bedragen KIM (budgettering &amp; pl'!S:S,'bedragen KIM (budgettering &amp; pl'!B:B,A222,'bedragen KIM (budgettering &amp; pl'!F:F,D222)</f>
        <v>25000</v>
      </c>
      <c r="I222" s="2" t="e">
        <f ca="1">SUMIFS(#REF!,#REF!,A222,#REF!,D222)</f>
        <v>#REF!</v>
      </c>
      <c r="J222" s="2" t="e">
        <f ca="1">SUMIFS(#REF!,#REF!,A222,#REF!,D222)</f>
        <v>#REF!</v>
      </c>
    </row>
    <row r="223" spans="1:10" ht="12.5" x14ac:dyDescent="0.25">
      <c r="A223" s="2" t="str">
        <f ca="1">IFERROR(__xludf.DUMMYFUNCTION("""COMPUTED_VALUE"""),"KP/001116")</f>
        <v>KP/001116</v>
      </c>
      <c r="B223" s="2" t="str">
        <f ca="1">IFERROR(__xludf.DUMMYFUNCTION("""COMPUTED_VALUE"""),"Verkeersveiligheid")</f>
        <v>Verkeersveiligheid</v>
      </c>
      <c r="C223" s="2" t="str">
        <f ca="1">IFERROR(__xludf.DUMMYFUNCTION("""COMPUTED_VALUE"""),"Schoolroute")</f>
        <v>Schoolroute</v>
      </c>
      <c r="D223" s="2" t="str">
        <f ca="1">IFERROR(__xludf.DUMMYFUNCTION("""COMPUTED_VALUE"""),"IN/000921")</f>
        <v>IN/000921</v>
      </c>
      <c r="E223" s="2" t="str">
        <f ca="1">IFERROR(__xludf.DUMMYFUNCTION("UNIQUE(FILTER('export kabinetdashboard 1210202'!N:P,'export kabinetdashboard 1210202'!M:M=D223))"),"")</f>
        <v/>
      </c>
      <c r="F223" s="2" t="str">
        <f ca="1">IFERROR(__xludf.DUMMYFUNCTION("""COMPUTED_VALUE"""),"2022 - Q1")</f>
        <v>2022 - Q1</v>
      </c>
      <c r="G223" s="2" t="str">
        <f ca="1">IFERROR(__xludf.DUMMYFUNCTION("""COMPUTED_VALUE"""),"2022 - Q2")</f>
        <v>2022 - Q2</v>
      </c>
      <c r="H223" s="2">
        <f ca="1">SUMIFS('bedragen KIM (budgettering &amp; pl'!S:S,'bedragen KIM (budgettering &amp; pl'!B:B,A223,'bedragen KIM (budgettering &amp; pl'!F:F,D223)</f>
        <v>100000</v>
      </c>
      <c r="I223" s="2" t="e">
        <f ca="1">SUMIFS(#REF!,#REF!,A223,#REF!,D223)</f>
        <v>#REF!</v>
      </c>
      <c r="J223" s="2" t="e">
        <f ca="1">SUMIFS(#REF!,#REF!,A223,#REF!,D223)</f>
        <v>#REF!</v>
      </c>
    </row>
    <row r="224" spans="1:10" ht="12.5" x14ac:dyDescent="0.25">
      <c r="A224" s="2" t="str">
        <f ca="1">IFERROR(__xludf.DUMMYFUNCTION("""COMPUTED_VALUE"""),"KP/001118")</f>
        <v>KP/001118</v>
      </c>
      <c r="B224" s="2" t="str">
        <f ca="1">IFERROR(__xludf.DUMMYFUNCTION("""COMPUTED_VALUE"""),"Verkeersveiligheid")</f>
        <v>Verkeersveiligheid</v>
      </c>
      <c r="C224" s="2" t="str">
        <f ca="1">IFERROR(__xludf.DUMMYFUNCTION("""COMPUTED_VALUE"""),"Schoolroute")</f>
        <v>Schoolroute</v>
      </c>
      <c r="D224" s="2" t="str">
        <f ca="1">IFERROR(__xludf.DUMMYFUNCTION("""COMPUTED_VALUE"""),"IN/000922")</f>
        <v>IN/000922</v>
      </c>
      <c r="E224" s="2" t="str">
        <f ca="1">IFERROR(__xludf.DUMMYFUNCTION("UNIQUE(FILTER('export kabinetdashboard 1210202'!N:P,'export kabinetdashboard 1210202'!M:M=D224))"),"akkoord obv studie Sweco (oversteekvoorziening met middengeleider én extra verlichting)")</f>
        <v>akkoord obv studie Sweco (oversteekvoorziening met middengeleider én extra verlichting)</v>
      </c>
      <c r="F224" s="2" t="str">
        <f ca="1">IFERROR(__xludf.DUMMYFUNCTION("""COMPUTED_VALUE"""),"2023 - Q4")</f>
        <v>2023 - Q4</v>
      </c>
      <c r="G224" s="2" t="str">
        <f ca="1">IFERROR(__xludf.DUMMYFUNCTION("""COMPUTED_VALUE"""),"n.t.b.")</f>
        <v>n.t.b.</v>
      </c>
      <c r="H224" s="2">
        <f ca="1">SUMIFS('bedragen KIM (budgettering &amp; pl'!S:S,'bedragen KIM (budgettering &amp; pl'!B:B,A224,'bedragen KIM (budgettering &amp; pl'!F:F,D224)</f>
        <v>256476</v>
      </c>
      <c r="I224" s="2" t="e">
        <f ca="1">SUMIFS(#REF!,#REF!,A224,#REF!,D224)</f>
        <v>#REF!</v>
      </c>
      <c r="J224" s="2" t="e">
        <f ca="1">SUMIFS(#REF!,#REF!,A224,#REF!,D224)</f>
        <v>#REF!</v>
      </c>
    </row>
    <row r="225" spans="1:10" ht="12.5" x14ac:dyDescent="0.25">
      <c r="A225" s="2" t="str">
        <f ca="1">IFERROR(__xludf.DUMMYFUNCTION("""COMPUTED_VALUE"""),"KP/001119")</f>
        <v>KP/001119</v>
      </c>
      <c r="B225" s="2" t="str">
        <f ca="1">IFERROR(__xludf.DUMMYFUNCTION("""COMPUTED_VALUE"""),"Verkeersveiligheid")</f>
        <v>Verkeersveiligheid</v>
      </c>
      <c r="C225" s="2" t="str">
        <f ca="1">IFERROR(__xludf.DUMMYFUNCTION("""COMPUTED_VALUE"""),"Schoolroute")</f>
        <v>Schoolroute</v>
      </c>
      <c r="D225" s="2" t="str">
        <f ca="1">IFERROR(__xludf.DUMMYFUNCTION("""COMPUTED_VALUE"""),"IN/000923")</f>
        <v>IN/000923</v>
      </c>
      <c r="E225" s="2" t="str">
        <f ca="1">IFERROR(__xludf.DUMMYFUNCTION("UNIQUE(FILTER('export kabinetdashboard 1210202'!N:P,'export kabinetdashboard 1210202'!M:M=D225))"),"Dubbelrichtingsfietsoversteek, stukje dubbelrichtingsfietspad in Sevensstraat, fietssuggestiestroken of logo's bij kruispunt")</f>
        <v>Dubbelrichtingsfietsoversteek, stukje dubbelrichtingsfietspad in Sevensstraat, fietssuggestiestroken of logo's bij kruispunt</v>
      </c>
      <c r="F225" s="2" t="str">
        <f ca="1">IFERROR(__xludf.DUMMYFUNCTION("""COMPUTED_VALUE"""),"2022 - Q4")</f>
        <v>2022 - Q4</v>
      </c>
      <c r="G225" s="2" t="str">
        <f ca="1">IFERROR(__xludf.DUMMYFUNCTION("""COMPUTED_VALUE"""),"n.t.b.")</f>
        <v>n.t.b.</v>
      </c>
      <c r="H225" s="2">
        <f ca="1">SUMIFS('bedragen KIM (budgettering &amp; pl'!S:S,'bedragen KIM (budgettering &amp; pl'!B:B,A225,'bedragen KIM (budgettering &amp; pl'!F:F,D225)</f>
        <v>20625</v>
      </c>
      <c r="I225" s="2" t="e">
        <f ca="1">SUMIFS(#REF!,#REF!,A225,#REF!,D225)</f>
        <v>#REF!</v>
      </c>
      <c r="J225" s="2" t="e">
        <f ca="1">SUMIFS(#REF!,#REF!,A225,#REF!,D225)</f>
        <v>#REF!</v>
      </c>
    </row>
    <row r="226" spans="1:10" ht="12.5" x14ac:dyDescent="0.25">
      <c r="A226" s="2" t="str">
        <f ca="1">IFERROR(__xludf.DUMMYFUNCTION("""COMPUTED_VALUE"""),"KP/001122")</f>
        <v>KP/001122</v>
      </c>
      <c r="B226" s="2" t="str">
        <f ca="1">IFERROR(__xludf.DUMMYFUNCTION("""COMPUTED_VALUE"""),"Verkeersveiligheid")</f>
        <v>Verkeersveiligheid</v>
      </c>
      <c r="C226" s="2" t="str">
        <f ca="1">IFERROR(__xludf.DUMMYFUNCTION("""COMPUTED_VALUE"""),"Schoolroute")</f>
        <v>Schoolroute</v>
      </c>
      <c r="D226" s="2" t="str">
        <f ca="1">IFERROR(__xludf.DUMMYFUNCTION("""COMPUTED_VALUE"""),"IN/000924")</f>
        <v>IN/000924</v>
      </c>
      <c r="E226" s="2" t="str">
        <f ca="1">IFERROR(__xludf.DUMMYFUNCTION("UNIQUE(FILTER('export kabinetdashboard 1210202'!N:P,'export kabinetdashboard 1210202'!M:M=D226))"),"")</f>
        <v/>
      </c>
      <c r="F226" s="2" t="str">
        <f ca="1">IFERROR(__xludf.DUMMYFUNCTION("""COMPUTED_VALUE"""),"2023 - Q2")</f>
        <v>2023 - Q2</v>
      </c>
      <c r="G226" s="2" t="str">
        <f ca="1">IFERROR(__xludf.DUMMYFUNCTION("""COMPUTED_VALUE"""),"n.t.b.")</f>
        <v>n.t.b.</v>
      </c>
      <c r="H226" s="2">
        <f ca="1">SUMIFS('bedragen KIM (budgettering &amp; pl'!S:S,'bedragen KIM (budgettering &amp; pl'!B:B,A226,'bedragen KIM (budgettering &amp; pl'!F:F,D226)</f>
        <v>50000</v>
      </c>
      <c r="I226" s="2" t="e">
        <f ca="1">SUMIFS(#REF!,#REF!,A226,#REF!,D226)</f>
        <v>#REF!</v>
      </c>
      <c r="J226" s="2" t="e">
        <f ca="1">SUMIFS(#REF!,#REF!,A226,#REF!,D226)</f>
        <v>#REF!</v>
      </c>
    </row>
    <row r="227" spans="1:10" ht="12.5" x14ac:dyDescent="0.25">
      <c r="A227" s="2" t="str">
        <f ca="1">IFERROR(__xludf.DUMMYFUNCTION("""COMPUTED_VALUE"""),"KP/001124")</f>
        <v>KP/001124</v>
      </c>
      <c r="B227" s="2" t="str">
        <f ca="1">IFERROR(__xludf.DUMMYFUNCTION("""COMPUTED_VALUE"""),"Verkeersveiligheid")</f>
        <v>Verkeersveiligheid</v>
      </c>
      <c r="C227" s="2" t="str">
        <f ca="1">IFERROR(__xludf.DUMMYFUNCTION("""COMPUTED_VALUE"""),"Schoolroute")</f>
        <v>Schoolroute</v>
      </c>
      <c r="D227" s="2" t="str">
        <f ca="1">IFERROR(__xludf.DUMMYFUNCTION("""COMPUTED_VALUE"""),"IN/000925")</f>
        <v>IN/000925</v>
      </c>
      <c r="E227" s="2" t="str">
        <f ca="1">IFERROR(__xludf.DUMMYFUNCTION("UNIQUE(FILTER('export kabinetdashboard 1210202'!N:P,'export kabinetdashboard 1210202'!M:M=D227))"),"")</f>
        <v/>
      </c>
      <c r="F227" s="2" t="str">
        <f ca="1">IFERROR(__xludf.DUMMYFUNCTION("""COMPUTED_VALUE"""),"2021 - Q3")</f>
        <v>2021 - Q3</v>
      </c>
      <c r="G227" s="2" t="str">
        <f ca="1">IFERROR(__xludf.DUMMYFUNCTION("""COMPUTED_VALUE"""),"n.t.b.")</f>
        <v>n.t.b.</v>
      </c>
      <c r="H227" s="2">
        <f ca="1">SUMIFS('bedragen KIM (budgettering &amp; pl'!S:S,'bedragen KIM (budgettering &amp; pl'!B:B,A227,'bedragen KIM (budgettering &amp; pl'!F:F,D227)</f>
        <v>1227</v>
      </c>
      <c r="I227" s="2" t="e">
        <f ca="1">SUMIFS(#REF!,#REF!,A227,#REF!,D227)</f>
        <v>#REF!</v>
      </c>
      <c r="J227" s="2" t="e">
        <f ca="1">SUMIFS(#REF!,#REF!,A227,#REF!,D227)</f>
        <v>#REF!</v>
      </c>
    </row>
    <row r="228" spans="1:10" ht="12.5" x14ac:dyDescent="0.25">
      <c r="A228" s="2" t="str">
        <f ca="1">IFERROR(__xludf.DUMMYFUNCTION("""COMPUTED_VALUE"""),"KP/001125")</f>
        <v>KP/001125</v>
      </c>
      <c r="B228" s="2" t="str">
        <f ca="1">IFERROR(__xludf.DUMMYFUNCTION("""COMPUTED_VALUE"""),"Verkeersveiligheid")</f>
        <v>Verkeersveiligheid</v>
      </c>
      <c r="C228" s="2" t="str">
        <f ca="1">IFERROR(__xludf.DUMMYFUNCTION("""COMPUTED_VALUE"""),"Schoolroute")</f>
        <v>Schoolroute</v>
      </c>
      <c r="D228" s="2" t="str">
        <f ca="1">IFERROR(__xludf.DUMMYFUNCTION("""COMPUTED_VALUE"""),"IN/000926")</f>
        <v>IN/000926</v>
      </c>
      <c r="E228" s="2" t="str">
        <f ca="1">IFERROR(__xludf.DUMMYFUNCTION("UNIQUE(FILTER('export kabinetdashboard 1210202'!N:P,'export kabinetdashboard 1210202'!M:M=D228))"),"")</f>
        <v/>
      </c>
      <c r="F228" s="2" t="str">
        <f ca="1">IFERROR(__xludf.DUMMYFUNCTION("""COMPUTED_VALUE"""),"2022 - Q1")</f>
        <v>2022 - Q1</v>
      </c>
      <c r="G228" s="2" t="str">
        <f ca="1">IFERROR(__xludf.DUMMYFUNCTION("""COMPUTED_VALUE"""),"n.t.b.")</f>
        <v>n.t.b.</v>
      </c>
      <c r="H228" s="2">
        <f ca="1">SUMIFS('bedragen KIM (budgettering &amp; pl'!S:S,'bedragen KIM (budgettering &amp; pl'!B:B,A228,'bedragen KIM (budgettering &amp; pl'!F:F,D228)</f>
        <v>1500</v>
      </c>
      <c r="I228" s="2" t="e">
        <f ca="1">SUMIFS(#REF!,#REF!,A228,#REF!,D228)</f>
        <v>#REF!</v>
      </c>
      <c r="J228" s="2" t="e">
        <f ca="1">SUMIFS(#REF!,#REF!,A228,#REF!,D228)</f>
        <v>#REF!</v>
      </c>
    </row>
    <row r="229" spans="1:10" ht="12.5" x14ac:dyDescent="0.25">
      <c r="A229" s="2" t="str">
        <f ca="1">IFERROR(__xludf.DUMMYFUNCTION("""COMPUTED_VALUE"""),"KP/001127")</f>
        <v>KP/001127</v>
      </c>
      <c r="B229" s="2" t="str">
        <f ca="1">IFERROR(__xludf.DUMMYFUNCTION("""COMPUTED_VALUE"""),"Verkeersveiligheid")</f>
        <v>Verkeersveiligheid</v>
      </c>
      <c r="C229" s="2" t="str">
        <f ca="1">IFERROR(__xludf.DUMMYFUNCTION("""COMPUTED_VALUE"""),"Schoolroute")</f>
        <v>Schoolroute</v>
      </c>
      <c r="D229" s="2" t="str">
        <f ca="1">IFERROR(__xludf.DUMMYFUNCTION("""COMPUTED_VALUE"""),"IN/000927")</f>
        <v>IN/000927</v>
      </c>
      <c r="E229" s="2" t="str">
        <f ca="1">IFERROR(__xludf.DUMMYFUNCTION("UNIQUE(FILTER('export kabinetdashboard 1210202'!N:P,'export kabinetdashboard 1210202'!M:M=D229))"),"#N/A")</f>
        <v>#N/A</v>
      </c>
      <c r="H229" s="2">
        <f ca="1">SUMIFS('bedragen KIM (budgettering &amp; pl'!S:S,'bedragen KIM (budgettering &amp; pl'!B:B,A229,'bedragen KIM (budgettering &amp; pl'!F:F,D229)</f>
        <v>0</v>
      </c>
      <c r="I229" s="2" t="e">
        <f ca="1">SUMIFS(#REF!,#REF!,A229,#REF!,D229)</f>
        <v>#REF!</v>
      </c>
      <c r="J229" s="2" t="e">
        <f ca="1">SUMIFS(#REF!,#REF!,A229,#REF!,D229)</f>
        <v>#REF!</v>
      </c>
    </row>
    <row r="230" spans="1:10" ht="12.5" x14ac:dyDescent="0.25">
      <c r="A230" s="2" t="str">
        <f ca="1">IFERROR(__xludf.DUMMYFUNCTION("""COMPUTED_VALUE"""),"KP/001128")</f>
        <v>KP/001128</v>
      </c>
      <c r="B230" s="2" t="str">
        <f ca="1">IFERROR(__xludf.DUMMYFUNCTION("""COMPUTED_VALUE"""),"Verkeersveiligheid")</f>
        <v>Verkeersveiligheid</v>
      </c>
      <c r="C230" s="2" t="str">
        <f ca="1">IFERROR(__xludf.DUMMYFUNCTION("""COMPUTED_VALUE"""),"Schoolroute")</f>
        <v>Schoolroute</v>
      </c>
      <c r="D230" s="2" t="str">
        <f ca="1">IFERROR(__xludf.DUMMYFUNCTION("""COMPUTED_VALUE"""),"IN/000928")</f>
        <v>IN/000928</v>
      </c>
      <c r="E230" s="2" t="str">
        <f ca="1">IFERROR(__xludf.DUMMYFUNCTION("UNIQUE(FILTER('export kabinetdashboard 1210202'!N:P,'export kabinetdashboard 1210202'!M:M=D230))"),"")</f>
        <v/>
      </c>
      <c r="F230" s="2" t="str">
        <f ca="1">IFERROR(__xludf.DUMMYFUNCTION("""COMPUTED_VALUE"""),"n.t.b.")</f>
        <v>n.t.b.</v>
      </c>
      <c r="G230" s="2" t="str">
        <f ca="1">IFERROR(__xludf.DUMMYFUNCTION("""COMPUTED_VALUE"""),"n.t.b.")</f>
        <v>n.t.b.</v>
      </c>
      <c r="H230" s="2">
        <f ca="1">SUMIFS('bedragen KIM (budgettering &amp; pl'!S:S,'bedragen KIM (budgettering &amp; pl'!B:B,A230,'bedragen KIM (budgettering &amp; pl'!F:F,D230)</f>
        <v>1000</v>
      </c>
      <c r="I230" s="2" t="e">
        <f ca="1">SUMIFS(#REF!,#REF!,A230,#REF!,D230)</f>
        <v>#REF!</v>
      </c>
      <c r="J230" s="2" t="e">
        <f ca="1">SUMIFS(#REF!,#REF!,A230,#REF!,D230)</f>
        <v>#REF!</v>
      </c>
    </row>
    <row r="231" spans="1:10" ht="12.5" x14ac:dyDescent="0.25">
      <c r="A231" s="2" t="str">
        <f ca="1">IFERROR(__xludf.DUMMYFUNCTION("""COMPUTED_VALUE"""),"KP/001133")</f>
        <v>KP/001133</v>
      </c>
      <c r="B231" s="2" t="str">
        <f ca="1">IFERROR(__xludf.DUMMYFUNCTION("""COMPUTED_VALUE"""),"Verkeersveiligheid")</f>
        <v>Verkeersveiligheid</v>
      </c>
      <c r="C231" s="2" t="str">
        <f ca="1">IFERROR(__xludf.DUMMYFUNCTION("""COMPUTED_VALUE"""),"Schoolroute")</f>
        <v>Schoolroute</v>
      </c>
      <c r="D231" s="2" t="str">
        <f ca="1">IFERROR(__xludf.DUMMYFUNCTION("""COMPUTED_VALUE"""),"IN/000929")</f>
        <v>IN/000929</v>
      </c>
      <c r="E231" s="2" t="str">
        <f ca="1">IFERROR(__xludf.DUMMYFUNCTION("UNIQUE(FILTER('export kabinetdashboard 1210202'!N:P,'export kabinetdashboard 1210202'!M:M=D231))"),"")</f>
        <v/>
      </c>
      <c r="F231" s="2" t="str">
        <f ca="1">IFERROR(__xludf.DUMMYFUNCTION("""COMPUTED_VALUE"""),"n.t.b.")</f>
        <v>n.t.b.</v>
      </c>
      <c r="G231" s="2" t="str">
        <f ca="1">IFERROR(__xludf.DUMMYFUNCTION("""COMPUTED_VALUE"""),"n.t.b.")</f>
        <v>n.t.b.</v>
      </c>
      <c r="H231" s="2">
        <f ca="1">SUMIFS('bedragen KIM (budgettering &amp; pl'!S:S,'bedragen KIM (budgettering &amp; pl'!B:B,A231,'bedragen KIM (budgettering &amp; pl'!F:F,D231)</f>
        <v>2500</v>
      </c>
      <c r="I231" s="2" t="e">
        <f ca="1">SUMIFS(#REF!,#REF!,A231,#REF!,D231)</f>
        <v>#REF!</v>
      </c>
      <c r="J231" s="2" t="e">
        <f ca="1">SUMIFS(#REF!,#REF!,A231,#REF!,D231)</f>
        <v>#REF!</v>
      </c>
    </row>
    <row r="232" spans="1:10" ht="12.5" x14ac:dyDescent="0.25">
      <c r="A232" s="2" t="str">
        <f ca="1">IFERROR(__xludf.DUMMYFUNCTION("""COMPUTED_VALUE"""),"KP/001134")</f>
        <v>KP/001134</v>
      </c>
      <c r="B232" s="2" t="str">
        <f ca="1">IFERROR(__xludf.DUMMYFUNCTION("""COMPUTED_VALUE"""),"Verkeersveiligheid")</f>
        <v>Verkeersveiligheid</v>
      </c>
      <c r="C232" s="2" t="str">
        <f ca="1">IFERROR(__xludf.DUMMYFUNCTION("""COMPUTED_VALUE"""),"Schoolroute")</f>
        <v>Schoolroute</v>
      </c>
      <c r="D232" s="2" t="str">
        <f ca="1">IFERROR(__xludf.DUMMYFUNCTION("""COMPUTED_VALUE"""),"IN/000930")</f>
        <v>IN/000930</v>
      </c>
      <c r="E232" s="2" t="str">
        <f ca="1">IFERROR(__xludf.DUMMYFUNCTION("UNIQUE(FILTER('export kabinetdashboard 1210202'!N:P,'export kabinetdashboard 1210202'!M:M=D232))"),"")</f>
        <v/>
      </c>
      <c r="F232" s="2" t="str">
        <f ca="1">IFERROR(__xludf.DUMMYFUNCTION("""COMPUTED_VALUE"""),"2021 - Q2")</f>
        <v>2021 - Q2</v>
      </c>
      <c r="G232" s="2" t="str">
        <f ca="1">IFERROR(__xludf.DUMMYFUNCTION("""COMPUTED_VALUE"""),"2021 - Q3")</f>
        <v>2021 - Q3</v>
      </c>
      <c r="H232" s="2">
        <f ca="1">SUMIFS('bedragen KIM (budgettering &amp; pl'!S:S,'bedragen KIM (budgettering &amp; pl'!B:B,A232,'bedragen KIM (budgettering &amp; pl'!F:F,D232)</f>
        <v>1000</v>
      </c>
      <c r="I232" s="2" t="e">
        <f ca="1">SUMIFS(#REF!,#REF!,A232,#REF!,D232)</f>
        <v>#REF!</v>
      </c>
      <c r="J232" s="2" t="e">
        <f ca="1">SUMIFS(#REF!,#REF!,A232,#REF!,D232)</f>
        <v>#REF!</v>
      </c>
    </row>
    <row r="233" spans="1:10" ht="12.5" x14ac:dyDescent="0.25">
      <c r="A233" s="2" t="str">
        <f ca="1">IFERROR(__xludf.DUMMYFUNCTION("""COMPUTED_VALUE"""),"KP/001135")</f>
        <v>KP/001135</v>
      </c>
      <c r="B233" s="2" t="str">
        <f ca="1">IFERROR(__xludf.DUMMYFUNCTION("""COMPUTED_VALUE"""),"Verkeersveiligheid")</f>
        <v>Verkeersveiligheid</v>
      </c>
      <c r="C233" s="2" t="str">
        <f ca="1">IFERROR(__xludf.DUMMYFUNCTION("""COMPUTED_VALUE"""),"Schoolroute")</f>
        <v>Schoolroute</v>
      </c>
      <c r="D233" s="2" t="str">
        <f ca="1">IFERROR(__xludf.DUMMYFUNCTION("""COMPUTED_VALUE"""),"IN/000931")</f>
        <v>IN/000931</v>
      </c>
      <c r="E233" s="2" t="str">
        <f ca="1">IFERROR(__xludf.DUMMYFUNCTION("UNIQUE(FILTER('export kabinetdashboard 1210202'!N:P,'export kabinetdashboard 1210202'!M:M=D233))"),"")</f>
        <v/>
      </c>
      <c r="F233" s="2" t="str">
        <f ca="1">IFERROR(__xludf.DUMMYFUNCTION("""COMPUTED_VALUE"""),"n.t.b.")</f>
        <v>n.t.b.</v>
      </c>
      <c r="G233" s="2" t="str">
        <f ca="1">IFERROR(__xludf.DUMMYFUNCTION("""COMPUTED_VALUE"""),"n.t.b.")</f>
        <v>n.t.b.</v>
      </c>
      <c r="H233" s="2">
        <f ca="1">SUMIFS('bedragen KIM (budgettering &amp; pl'!S:S,'bedragen KIM (budgettering &amp; pl'!B:B,A233,'bedragen KIM (budgettering &amp; pl'!F:F,D233)</f>
        <v>50000</v>
      </c>
      <c r="I233" s="2" t="e">
        <f ca="1">SUMIFS(#REF!,#REF!,A233,#REF!,D233)</f>
        <v>#REF!</v>
      </c>
      <c r="J233" s="2" t="e">
        <f ca="1">SUMIFS(#REF!,#REF!,A233,#REF!,D233)</f>
        <v>#REF!</v>
      </c>
    </row>
    <row r="234" spans="1:10" ht="12.5" x14ac:dyDescent="0.25">
      <c r="A234" s="2" t="str">
        <f ca="1">IFERROR(__xludf.DUMMYFUNCTION("""COMPUTED_VALUE"""),"KP/001136")</f>
        <v>KP/001136</v>
      </c>
      <c r="B234" s="2" t="str">
        <f ca="1">IFERROR(__xludf.DUMMYFUNCTION("""COMPUTED_VALUE"""),"Verkeersveiligheid")</f>
        <v>Verkeersveiligheid</v>
      </c>
      <c r="C234" s="2" t="str">
        <f ca="1">IFERROR(__xludf.DUMMYFUNCTION("""COMPUTED_VALUE"""),"Schoolroute")</f>
        <v>Schoolroute</v>
      </c>
      <c r="D234" s="2" t="str">
        <f ca="1">IFERROR(__xludf.DUMMYFUNCTION("""COMPUTED_VALUE"""),"IN/000932")</f>
        <v>IN/000932</v>
      </c>
      <c r="E234" s="2" t="str">
        <f ca="1">IFERROR(__xludf.DUMMYFUNCTION("UNIQUE(FILTER('export kabinetdashboard 1210202'!N:P,'export kabinetdashboard 1210202'!M:M=D234))"),"")</f>
        <v/>
      </c>
      <c r="F234" s="2" t="str">
        <f ca="1">IFERROR(__xludf.DUMMYFUNCTION("""COMPUTED_VALUE"""),"n.t.b.")</f>
        <v>n.t.b.</v>
      </c>
      <c r="G234" s="2" t="str">
        <f ca="1">IFERROR(__xludf.DUMMYFUNCTION("""COMPUTED_VALUE"""),"n.t.b.")</f>
        <v>n.t.b.</v>
      </c>
      <c r="H234" s="2">
        <f ca="1">SUMIFS('bedragen KIM (budgettering &amp; pl'!S:S,'bedragen KIM (budgettering &amp; pl'!B:B,A234,'bedragen KIM (budgettering &amp; pl'!F:F,D234)</f>
        <v>10000</v>
      </c>
      <c r="I234" s="2" t="e">
        <f ca="1">SUMIFS(#REF!,#REF!,A234,#REF!,D234)</f>
        <v>#REF!</v>
      </c>
      <c r="J234" s="2" t="e">
        <f ca="1">SUMIFS(#REF!,#REF!,A234,#REF!,D234)</f>
        <v>#REF!</v>
      </c>
    </row>
    <row r="235" spans="1:10" ht="12.5" x14ac:dyDescent="0.25">
      <c r="A235" s="2" t="str">
        <f ca="1">IFERROR(__xludf.DUMMYFUNCTION("""COMPUTED_VALUE"""),"KP/001137")</f>
        <v>KP/001137</v>
      </c>
      <c r="B235" s="2" t="str">
        <f ca="1">IFERROR(__xludf.DUMMYFUNCTION("""COMPUTED_VALUE"""),"Verkeersveiligheid")</f>
        <v>Verkeersveiligheid</v>
      </c>
      <c r="C235" s="2" t="str">
        <f ca="1">IFERROR(__xludf.DUMMYFUNCTION("""COMPUTED_VALUE"""),"Schoolroute")</f>
        <v>Schoolroute</v>
      </c>
      <c r="D235" s="2" t="str">
        <f ca="1">IFERROR(__xludf.DUMMYFUNCTION("""COMPUTED_VALUE"""),"IN/000933")</f>
        <v>IN/000933</v>
      </c>
      <c r="E235" s="2" t="str">
        <f ca="1">IFERROR(__xludf.DUMMYFUNCTION("UNIQUE(FILTER('export kabinetdashboard 1210202'!N:P,'export kabinetdashboard 1210202'!M:M=D235))"),"")</f>
        <v/>
      </c>
      <c r="F235" s="2" t="str">
        <f ca="1">IFERROR(__xludf.DUMMYFUNCTION("""COMPUTED_VALUE"""),"n.t.b.")</f>
        <v>n.t.b.</v>
      </c>
      <c r="G235" s="2" t="str">
        <f ca="1">IFERROR(__xludf.DUMMYFUNCTION("""COMPUTED_VALUE"""),"n.t.b.")</f>
        <v>n.t.b.</v>
      </c>
      <c r="H235" s="2">
        <f ca="1">SUMIFS('bedragen KIM (budgettering &amp; pl'!S:S,'bedragen KIM (budgettering &amp; pl'!B:B,A235,'bedragen KIM (budgettering &amp; pl'!F:F,D235)</f>
        <v>0</v>
      </c>
      <c r="I235" s="2" t="e">
        <f ca="1">SUMIFS(#REF!,#REF!,A235,#REF!,D235)</f>
        <v>#REF!</v>
      </c>
      <c r="J235" s="2" t="e">
        <f ca="1">SUMIFS(#REF!,#REF!,A235,#REF!,D235)</f>
        <v>#REF!</v>
      </c>
    </row>
    <row r="236" spans="1:10" ht="12.5" x14ac:dyDescent="0.25">
      <c r="A236" s="2" t="str">
        <f ca="1">IFERROR(__xludf.DUMMYFUNCTION("""COMPUTED_VALUE"""),"KP/001138")</f>
        <v>KP/001138</v>
      </c>
      <c r="B236" s="2" t="str">
        <f ca="1">IFERROR(__xludf.DUMMYFUNCTION("""COMPUTED_VALUE"""),"Verkeersveiligheid")</f>
        <v>Verkeersveiligheid</v>
      </c>
      <c r="C236" s="2" t="str">
        <f ca="1">IFERROR(__xludf.DUMMYFUNCTION("""COMPUTED_VALUE"""),"Schoolroute")</f>
        <v>Schoolroute</v>
      </c>
      <c r="D236" s="2" t="str">
        <f ca="1">IFERROR(__xludf.DUMMYFUNCTION("""COMPUTED_VALUE"""),"IN/000934")</f>
        <v>IN/000934</v>
      </c>
      <c r="E236" s="2" t="str">
        <f ca="1">IFERROR(__xludf.DUMMYFUNCTION("UNIQUE(FILTER('export kabinetdashboard 1210202'!N:P,'export kabinetdashboard 1210202'!M:M=D236))"),"#N/A")</f>
        <v>#N/A</v>
      </c>
      <c r="H236" s="2">
        <f ca="1">SUMIFS('bedragen KIM (budgettering &amp; pl'!S:S,'bedragen KIM (budgettering &amp; pl'!B:B,A236,'bedragen KIM (budgettering &amp; pl'!F:F,D236)</f>
        <v>300000</v>
      </c>
      <c r="I236" s="2" t="e">
        <f ca="1">SUMIFS(#REF!,#REF!,A236,#REF!,D236)</f>
        <v>#REF!</v>
      </c>
      <c r="J236" s="2" t="e">
        <f ca="1">SUMIFS(#REF!,#REF!,A236,#REF!,D236)</f>
        <v>#REF!</v>
      </c>
    </row>
    <row r="237" spans="1:10" ht="12.5" x14ac:dyDescent="0.25">
      <c r="A237" s="2" t="str">
        <f ca="1">IFERROR(__xludf.DUMMYFUNCTION("""COMPUTED_VALUE"""),"KP/001140")</f>
        <v>KP/001140</v>
      </c>
      <c r="B237" s="2" t="str">
        <f ca="1">IFERROR(__xludf.DUMMYFUNCTION("""COMPUTED_VALUE"""),"Verkeersveiligheid")</f>
        <v>Verkeersveiligheid</v>
      </c>
      <c r="C237" s="2" t="str">
        <f ca="1">IFERROR(__xludf.DUMMYFUNCTION("""COMPUTED_VALUE"""),"Schoolroute")</f>
        <v>Schoolroute</v>
      </c>
      <c r="D237" s="2" t="str">
        <f ca="1">IFERROR(__xludf.DUMMYFUNCTION("""COMPUTED_VALUE"""),"IN/000935")</f>
        <v>IN/000935</v>
      </c>
      <c r="E237" s="2" t="str">
        <f ca="1">IFERROR(__xludf.DUMMYFUNCTION("UNIQUE(FILTER('export kabinetdashboard 1210202'!N:P,'export kabinetdashboard 1210202'!M:M=D237))"),"knip zijstraat van N76")</f>
        <v>knip zijstraat van N76</v>
      </c>
      <c r="F237" s="2" t="str">
        <f ca="1">IFERROR(__xludf.DUMMYFUNCTION("""COMPUTED_VALUE"""),"2022 - Q3")</f>
        <v>2022 - Q3</v>
      </c>
      <c r="G237" s="2" t="str">
        <f ca="1">IFERROR(__xludf.DUMMYFUNCTION("""COMPUTED_VALUE"""),"n.t.b.")</f>
        <v>n.t.b.</v>
      </c>
      <c r="H237" s="2">
        <f ca="1">SUMIFS('bedragen KIM (budgettering &amp; pl'!S:S,'bedragen KIM (budgettering &amp; pl'!B:B,A237,'bedragen KIM (budgettering &amp; pl'!F:F,D237)</f>
        <v>100000</v>
      </c>
      <c r="I237" s="2" t="e">
        <f ca="1">SUMIFS(#REF!,#REF!,A237,#REF!,D237)</f>
        <v>#REF!</v>
      </c>
      <c r="J237" s="2" t="e">
        <f ca="1">SUMIFS(#REF!,#REF!,A237,#REF!,D237)</f>
        <v>#REF!</v>
      </c>
    </row>
    <row r="238" spans="1:10" ht="12.5" x14ac:dyDescent="0.25">
      <c r="A238" s="2" t="str">
        <f ca="1">IFERROR(__xludf.DUMMYFUNCTION("""COMPUTED_VALUE"""),"KP/001141")</f>
        <v>KP/001141</v>
      </c>
      <c r="B238" s="2" t="str">
        <f ca="1">IFERROR(__xludf.DUMMYFUNCTION("""COMPUTED_VALUE"""),"Verkeersveiligheid")</f>
        <v>Verkeersveiligheid</v>
      </c>
      <c r="C238" s="2" t="str">
        <f ca="1">IFERROR(__xludf.DUMMYFUNCTION("""COMPUTED_VALUE"""),"Schoolroute")</f>
        <v>Schoolroute</v>
      </c>
      <c r="D238" s="2" t="str">
        <f ca="1">IFERROR(__xludf.DUMMYFUNCTION("""COMPUTED_VALUE"""),"IN/000936")</f>
        <v>IN/000936</v>
      </c>
      <c r="E238" s="2" t="str">
        <f ca="1">IFERROR(__xludf.DUMMYFUNCTION("UNIQUE(FILTER('export kabinetdashboard 1210202'!N:P,'export kabinetdashboard 1210202'!M:M=D238))"),"")</f>
        <v/>
      </c>
      <c r="F238" s="2" t="str">
        <f ca="1">IFERROR(__xludf.DUMMYFUNCTION("""COMPUTED_VALUE"""),"2022 - Q4")</f>
        <v>2022 - Q4</v>
      </c>
      <c r="G238" s="2" t="str">
        <f ca="1">IFERROR(__xludf.DUMMYFUNCTION("""COMPUTED_VALUE"""),"n.t.b.")</f>
        <v>n.t.b.</v>
      </c>
      <c r="H238" s="2">
        <f ca="1">SUMIFS('bedragen KIM (budgettering &amp; pl'!S:S,'bedragen KIM (budgettering &amp; pl'!B:B,A238,'bedragen KIM (budgettering &amp; pl'!F:F,D238)</f>
        <v>7000</v>
      </c>
      <c r="I238" s="2" t="e">
        <f ca="1">SUMIFS(#REF!,#REF!,A238,#REF!,D238)</f>
        <v>#REF!</v>
      </c>
      <c r="J238" s="2" t="e">
        <f ca="1">SUMIFS(#REF!,#REF!,A238,#REF!,D238)</f>
        <v>#REF!</v>
      </c>
    </row>
    <row r="239" spans="1:10" ht="12.5" x14ac:dyDescent="0.25">
      <c r="A239" s="2" t="str">
        <f ca="1">IFERROR(__xludf.DUMMYFUNCTION("""COMPUTED_VALUE"""),"KP/001142")</f>
        <v>KP/001142</v>
      </c>
      <c r="B239" s="2" t="str">
        <f ca="1">IFERROR(__xludf.DUMMYFUNCTION("""COMPUTED_VALUE"""),"Verkeersveiligheid")</f>
        <v>Verkeersveiligheid</v>
      </c>
      <c r="C239" s="2" t="str">
        <f ca="1">IFERROR(__xludf.DUMMYFUNCTION("""COMPUTED_VALUE"""),"Schoolroute")</f>
        <v>Schoolroute</v>
      </c>
      <c r="D239" s="2" t="str">
        <f ca="1">IFERROR(__xludf.DUMMYFUNCTION("""COMPUTED_VALUE"""),"IN/000937")</f>
        <v>IN/000937</v>
      </c>
      <c r="E239" s="2" t="str">
        <f ca="1">IFERROR(__xludf.DUMMYFUNCTION("UNIQUE(FILTER('export kabinetdashboard 1210202'!N:P,'export kabinetdashboard 1210202'!M:M=D239))"),"")</f>
        <v/>
      </c>
      <c r="F239" s="2" t="str">
        <f ca="1">IFERROR(__xludf.DUMMYFUNCTION("""COMPUTED_VALUE"""),"2022 - Q4")</f>
        <v>2022 - Q4</v>
      </c>
      <c r="G239" s="2" t="str">
        <f ca="1">IFERROR(__xludf.DUMMYFUNCTION("""COMPUTED_VALUE"""),"n.t.b.")</f>
        <v>n.t.b.</v>
      </c>
      <c r="H239" s="2">
        <f ca="1">SUMIFS('bedragen KIM (budgettering &amp; pl'!S:S,'bedragen KIM (budgettering &amp; pl'!B:B,A239,'bedragen KIM (budgettering &amp; pl'!F:F,D239)</f>
        <v>26235.96</v>
      </c>
      <c r="I239" s="2" t="e">
        <f ca="1">SUMIFS(#REF!,#REF!,A239,#REF!,D239)</f>
        <v>#REF!</v>
      </c>
      <c r="J239" s="2" t="e">
        <f ca="1">SUMIFS(#REF!,#REF!,A239,#REF!,D239)</f>
        <v>#REF!</v>
      </c>
    </row>
    <row r="240" spans="1:10" ht="12.5" x14ac:dyDescent="0.25">
      <c r="A240" s="2" t="str">
        <f ca="1">IFERROR(__xludf.DUMMYFUNCTION("""COMPUTED_VALUE"""),"KP/001147")</f>
        <v>KP/001147</v>
      </c>
      <c r="B240" s="2" t="str">
        <f ca="1">IFERROR(__xludf.DUMMYFUNCTION("""COMPUTED_VALUE"""),"Verkeersveiligheid")</f>
        <v>Verkeersveiligheid</v>
      </c>
      <c r="C240" s="2" t="str">
        <f ca="1">IFERROR(__xludf.DUMMYFUNCTION("""COMPUTED_VALUE"""),"Schoolroute")</f>
        <v>Schoolroute</v>
      </c>
      <c r="D240" s="2" t="str">
        <f ca="1">IFERROR(__xludf.DUMMYFUNCTION("""COMPUTED_VALUE"""),"IN/000938")</f>
        <v>IN/000938</v>
      </c>
      <c r="E240" s="2" t="str">
        <f ca="1">IFERROR(__xludf.DUMMYFUNCTION("UNIQUE(FILTER('export kabinetdashboard 1210202'!N:P,'export kabinetdashboard 1210202'!M:M=D240))"),"")</f>
        <v/>
      </c>
      <c r="F240" s="2" t="str">
        <f ca="1">IFERROR(__xludf.DUMMYFUNCTION("""COMPUTED_VALUE"""),"2022 - Q2")</f>
        <v>2022 - Q2</v>
      </c>
      <c r="G240" s="2" t="str">
        <f ca="1">IFERROR(__xludf.DUMMYFUNCTION("""COMPUTED_VALUE"""),"2022 - Q2")</f>
        <v>2022 - Q2</v>
      </c>
      <c r="H240" s="2">
        <f ca="1">SUMIFS('bedragen KIM (budgettering &amp; pl'!S:S,'bedragen KIM (budgettering &amp; pl'!B:B,A240,'bedragen KIM (budgettering &amp; pl'!F:F,D240)</f>
        <v>2000</v>
      </c>
      <c r="I240" s="2" t="e">
        <f ca="1">SUMIFS(#REF!,#REF!,A240,#REF!,D240)</f>
        <v>#REF!</v>
      </c>
      <c r="J240" s="2" t="e">
        <f ca="1">SUMIFS(#REF!,#REF!,A240,#REF!,D240)</f>
        <v>#REF!</v>
      </c>
    </row>
    <row r="241" spans="1:10" ht="12.5" x14ac:dyDescent="0.25">
      <c r="A241" s="2" t="str">
        <f ca="1">IFERROR(__xludf.DUMMYFUNCTION("""COMPUTED_VALUE"""),"KP/001148")</f>
        <v>KP/001148</v>
      </c>
      <c r="B241" s="2" t="str">
        <f ca="1">IFERROR(__xludf.DUMMYFUNCTION("""COMPUTED_VALUE"""),"Verkeersveiligheid")</f>
        <v>Verkeersveiligheid</v>
      </c>
      <c r="C241" s="2" t="str">
        <f ca="1">IFERROR(__xludf.DUMMYFUNCTION("""COMPUTED_VALUE"""),"Schoolroute")</f>
        <v>Schoolroute</v>
      </c>
      <c r="D241" s="2" t="str">
        <f ca="1">IFERROR(__xludf.DUMMYFUNCTION("""COMPUTED_VALUE"""),"IN/000939")</f>
        <v>IN/000939</v>
      </c>
      <c r="E241" s="2" t="str">
        <f ca="1">IFERROR(__xludf.DUMMYFUNCTION("UNIQUE(FILTER('export kabinetdashboard 1210202'!N:P,'export kabinetdashboard 1210202'!M:M=D241))"),"")</f>
        <v/>
      </c>
      <c r="F241" s="2" t="str">
        <f ca="1">IFERROR(__xludf.DUMMYFUNCTION("""COMPUTED_VALUE"""),"2021 - Q3")</f>
        <v>2021 - Q3</v>
      </c>
      <c r="G241" s="2" t="str">
        <f ca="1">IFERROR(__xludf.DUMMYFUNCTION("""COMPUTED_VALUE"""),"n.t.b.")</f>
        <v>n.t.b.</v>
      </c>
      <c r="H241" s="2">
        <f ca="1">SUMIFS('bedragen KIM (budgettering &amp; pl'!S:S,'bedragen KIM (budgettering &amp; pl'!B:B,A241,'bedragen KIM (budgettering &amp; pl'!F:F,D241)</f>
        <v>27226</v>
      </c>
      <c r="I241" s="2" t="e">
        <f ca="1">SUMIFS(#REF!,#REF!,A241,#REF!,D241)</f>
        <v>#REF!</v>
      </c>
      <c r="J241" s="2" t="e">
        <f ca="1">SUMIFS(#REF!,#REF!,A241,#REF!,D241)</f>
        <v>#REF!</v>
      </c>
    </row>
    <row r="242" spans="1:10" ht="12.5" x14ac:dyDescent="0.25">
      <c r="A242" s="2" t="str">
        <f ca="1">IFERROR(__xludf.DUMMYFUNCTION("""COMPUTED_VALUE"""),"KP/001153")</f>
        <v>KP/001153</v>
      </c>
      <c r="B242" s="2" t="str">
        <f ca="1">IFERROR(__xludf.DUMMYFUNCTION("""COMPUTED_VALUE"""),"Verkeersveiligheid")</f>
        <v>Verkeersveiligheid</v>
      </c>
      <c r="C242" s="2" t="str">
        <f ca="1">IFERROR(__xludf.DUMMYFUNCTION("""COMPUTED_VALUE"""),"Schoolroute")</f>
        <v>Schoolroute</v>
      </c>
      <c r="D242" s="2" t="str">
        <f ca="1">IFERROR(__xludf.DUMMYFUNCTION("""COMPUTED_VALUE"""),"IN/000940")</f>
        <v>IN/000940</v>
      </c>
      <c r="E242" s="2" t="str">
        <f ca="1">IFERROR(__xludf.DUMMYFUNCTION("UNIQUE(FILTER('export kabinetdashboard 1210202'!N:P,'export kabinetdashboard 1210202'!M:M=D242))"),"")</f>
        <v/>
      </c>
      <c r="F242" s="2" t="str">
        <f ca="1">IFERROR(__xludf.DUMMYFUNCTION("""COMPUTED_VALUE"""),"2022 - Q3")</f>
        <v>2022 - Q3</v>
      </c>
      <c r="G242" s="2" t="str">
        <f ca="1">IFERROR(__xludf.DUMMYFUNCTION("""COMPUTED_VALUE"""),"n.t.b.")</f>
        <v>n.t.b.</v>
      </c>
      <c r="H242" s="2">
        <f ca="1">SUMIFS('bedragen KIM (budgettering &amp; pl'!S:S,'bedragen KIM (budgettering &amp; pl'!B:B,A242,'bedragen KIM (budgettering &amp; pl'!F:F,D242)</f>
        <v>34000</v>
      </c>
      <c r="I242" s="2" t="e">
        <f ca="1">SUMIFS(#REF!,#REF!,A242,#REF!,D242)</f>
        <v>#REF!</v>
      </c>
      <c r="J242" s="2" t="e">
        <f ca="1">SUMIFS(#REF!,#REF!,A242,#REF!,D242)</f>
        <v>#REF!</v>
      </c>
    </row>
    <row r="243" spans="1:10" ht="12.5" x14ac:dyDescent="0.25">
      <c r="A243" s="2" t="str">
        <f ca="1">IFERROR(__xludf.DUMMYFUNCTION("""COMPUTED_VALUE"""),"KP/001158")</f>
        <v>KP/001158</v>
      </c>
      <c r="B243" s="2" t="str">
        <f ca="1">IFERROR(__xludf.DUMMYFUNCTION("""COMPUTED_VALUE"""),"Verkeersveiligheid")</f>
        <v>Verkeersveiligheid</v>
      </c>
      <c r="C243" s="2" t="str">
        <f ca="1">IFERROR(__xludf.DUMMYFUNCTION("""COMPUTED_VALUE"""),"Schoolroute")</f>
        <v>Schoolroute</v>
      </c>
      <c r="D243" s="2" t="str">
        <f ca="1">IFERROR(__xludf.DUMMYFUNCTION("""COMPUTED_VALUE"""),"IN/000941")</f>
        <v>IN/000941</v>
      </c>
      <c r="E243" s="2" t="str">
        <f ca="1">IFERROR(__xludf.DUMMYFUNCTION("UNIQUE(FILTER('export kabinetdashboard 1210202'!N:P,'export kabinetdashboard 1210202'!M:M=D243))"),"")</f>
        <v/>
      </c>
      <c r="F243" s="2" t="str">
        <f ca="1">IFERROR(__xludf.DUMMYFUNCTION("""COMPUTED_VALUE"""),"2022 - Q2")</f>
        <v>2022 - Q2</v>
      </c>
      <c r="G243" s="2" t="str">
        <f ca="1">IFERROR(__xludf.DUMMYFUNCTION("""COMPUTED_VALUE"""),"2022 - Q2")</f>
        <v>2022 - Q2</v>
      </c>
      <c r="H243" s="2">
        <f ca="1">SUMIFS('bedragen KIM (budgettering &amp; pl'!S:S,'bedragen KIM (budgettering &amp; pl'!B:B,A243,'bedragen KIM (budgettering &amp; pl'!F:F,D243)</f>
        <v>1000</v>
      </c>
      <c r="I243" s="2" t="e">
        <f ca="1">SUMIFS(#REF!,#REF!,A243,#REF!,D243)</f>
        <v>#REF!</v>
      </c>
      <c r="J243" s="2" t="e">
        <f ca="1">SUMIFS(#REF!,#REF!,A243,#REF!,D243)</f>
        <v>#REF!</v>
      </c>
    </row>
    <row r="244" spans="1:10" ht="12.5" x14ac:dyDescent="0.25">
      <c r="A244" s="2" t="str">
        <f ca="1">IFERROR(__xludf.DUMMYFUNCTION("""COMPUTED_VALUE"""),"KP/001161")</f>
        <v>KP/001161</v>
      </c>
      <c r="B244" s="2" t="str">
        <f ca="1">IFERROR(__xludf.DUMMYFUNCTION("""COMPUTED_VALUE"""),"Verkeersveiligheid")</f>
        <v>Verkeersveiligheid</v>
      </c>
      <c r="C244" s="2" t="str">
        <f ca="1">IFERROR(__xludf.DUMMYFUNCTION("""COMPUTED_VALUE"""),"Schoolroute")</f>
        <v>Schoolroute</v>
      </c>
      <c r="D244" s="2" t="str">
        <f ca="1">IFERROR(__xludf.DUMMYFUNCTION("""COMPUTED_VALUE"""),"IN/000942")</f>
        <v>IN/000942</v>
      </c>
      <c r="E244" s="2" t="str">
        <f ca="1">IFERROR(__xludf.DUMMYFUNCTION("UNIQUE(FILTER('export kabinetdashboard 1210202'!N:P,'export kabinetdashboard 1210202'!M:M=D244))"),"")</f>
        <v/>
      </c>
      <c r="F244" s="2" t="str">
        <f ca="1">IFERROR(__xludf.DUMMYFUNCTION("""COMPUTED_VALUE"""),"n.t.b.")</f>
        <v>n.t.b.</v>
      </c>
      <c r="G244" s="2" t="str">
        <f ca="1">IFERROR(__xludf.DUMMYFUNCTION("""COMPUTED_VALUE"""),"n.t.b.")</f>
        <v>n.t.b.</v>
      </c>
      <c r="H244" s="2">
        <f ca="1">SUMIFS('bedragen KIM (budgettering &amp; pl'!S:S,'bedragen KIM (budgettering &amp; pl'!B:B,A244,'bedragen KIM (budgettering &amp; pl'!F:F,D244)</f>
        <v>0</v>
      </c>
      <c r="I244" s="2" t="e">
        <f ca="1">SUMIFS(#REF!,#REF!,A244,#REF!,D244)</f>
        <v>#REF!</v>
      </c>
      <c r="J244" s="2" t="e">
        <f ca="1">SUMIFS(#REF!,#REF!,A244,#REF!,D244)</f>
        <v>#REF!</v>
      </c>
    </row>
    <row r="245" spans="1:10" ht="12.5" x14ac:dyDescent="0.25">
      <c r="A245" s="2" t="str">
        <f ca="1">IFERROR(__xludf.DUMMYFUNCTION("""COMPUTED_VALUE"""),"KP/001165")</f>
        <v>KP/001165</v>
      </c>
      <c r="B245" s="2" t="str">
        <f ca="1">IFERROR(__xludf.DUMMYFUNCTION("""COMPUTED_VALUE"""),"Verkeersveiligheid")</f>
        <v>Verkeersveiligheid</v>
      </c>
      <c r="C245" s="2" t="str">
        <f ca="1">IFERROR(__xludf.DUMMYFUNCTION("""COMPUTED_VALUE"""),"Schoolroute")</f>
        <v>Schoolroute</v>
      </c>
      <c r="D245" s="2" t="str">
        <f ca="1">IFERROR(__xludf.DUMMYFUNCTION("""COMPUTED_VALUE"""),"IN/000943")</f>
        <v>IN/000943</v>
      </c>
      <c r="E245" s="2" t="str">
        <f ca="1">IFERROR(__xludf.DUMMYFUNCTION("UNIQUE(FILTER('export kabinetdashboard 1210202'!N:P,'export kabinetdashboard 1210202'!M:M=D245))"),"")</f>
        <v/>
      </c>
      <c r="F245" s="2" t="str">
        <f ca="1">IFERROR(__xludf.DUMMYFUNCTION("""COMPUTED_VALUE"""),"2022 - Q4")</f>
        <v>2022 - Q4</v>
      </c>
      <c r="G245" s="2" t="str">
        <f ca="1">IFERROR(__xludf.DUMMYFUNCTION("""COMPUTED_VALUE"""),"n.t.b.")</f>
        <v>n.t.b.</v>
      </c>
      <c r="H245" s="2">
        <f ca="1">SUMIFS('bedragen KIM (budgettering &amp; pl'!S:S,'bedragen KIM (budgettering &amp; pl'!B:B,A245,'bedragen KIM (budgettering &amp; pl'!F:F,D245)</f>
        <v>40000</v>
      </c>
      <c r="I245" s="2" t="e">
        <f ca="1">SUMIFS(#REF!,#REF!,A245,#REF!,D245)</f>
        <v>#REF!</v>
      </c>
      <c r="J245" s="2" t="e">
        <f ca="1">SUMIFS(#REF!,#REF!,A245,#REF!,D245)</f>
        <v>#REF!</v>
      </c>
    </row>
    <row r="246" spans="1:10" ht="12.5" x14ac:dyDescent="0.25">
      <c r="A246" s="2" t="str">
        <f ca="1">IFERROR(__xludf.DUMMYFUNCTION("""COMPUTED_VALUE"""),"KP/001166")</f>
        <v>KP/001166</v>
      </c>
      <c r="B246" s="2" t="str">
        <f ca="1">IFERROR(__xludf.DUMMYFUNCTION("""COMPUTED_VALUE"""),"Verkeersveiligheid")</f>
        <v>Verkeersveiligheid</v>
      </c>
      <c r="C246" s="2" t="str">
        <f ca="1">IFERROR(__xludf.DUMMYFUNCTION("""COMPUTED_VALUE"""),"Schoolroute")</f>
        <v>Schoolroute</v>
      </c>
      <c r="D246" s="2" t="str">
        <f ca="1">IFERROR(__xludf.DUMMYFUNCTION("""COMPUTED_VALUE"""),"IN/000944")</f>
        <v>IN/000944</v>
      </c>
      <c r="E246" s="2" t="str">
        <f ca="1">IFERROR(__xludf.DUMMYFUNCTION("UNIQUE(FILTER('export kabinetdashboard 1210202'!N:P,'export kabinetdashboard 1210202'!M:M=D246))"),"plaatsen fietslogo's")</f>
        <v>plaatsen fietslogo's</v>
      </c>
      <c r="F246" s="2" t="str">
        <f ca="1">IFERROR(__xludf.DUMMYFUNCTION("""COMPUTED_VALUE"""),"2022 - Q2")</f>
        <v>2022 - Q2</v>
      </c>
      <c r="G246" s="2" t="str">
        <f ca="1">IFERROR(__xludf.DUMMYFUNCTION("""COMPUTED_VALUE"""),"2022 - Q2")</f>
        <v>2022 - Q2</v>
      </c>
      <c r="H246" s="2">
        <f ca="1">SUMIFS('bedragen KIM (budgettering &amp; pl'!S:S,'bedragen KIM (budgettering &amp; pl'!B:B,A246,'bedragen KIM (budgettering &amp; pl'!F:F,D246)</f>
        <v>10000</v>
      </c>
      <c r="I246" s="2" t="e">
        <f ca="1">SUMIFS(#REF!,#REF!,A246,#REF!,D246)</f>
        <v>#REF!</v>
      </c>
      <c r="J246" s="2" t="e">
        <f ca="1">SUMIFS(#REF!,#REF!,A246,#REF!,D246)</f>
        <v>#REF!</v>
      </c>
    </row>
    <row r="247" spans="1:10" ht="12.5" x14ac:dyDescent="0.25">
      <c r="A247" s="2" t="str">
        <f ca="1">IFERROR(__xludf.DUMMYFUNCTION("""COMPUTED_VALUE"""),"KP/001168")</f>
        <v>KP/001168</v>
      </c>
      <c r="B247" s="2" t="str">
        <f ca="1">IFERROR(__xludf.DUMMYFUNCTION("""COMPUTED_VALUE"""),"Verkeersveiligheid")</f>
        <v>Verkeersveiligheid</v>
      </c>
      <c r="C247" s="2" t="str">
        <f ca="1">IFERROR(__xludf.DUMMYFUNCTION("""COMPUTED_VALUE"""),"Schoolroute")</f>
        <v>Schoolroute</v>
      </c>
      <c r="D247" s="2" t="str">
        <f ca="1">IFERROR(__xludf.DUMMYFUNCTION("""COMPUTED_VALUE"""),"IN/000945")</f>
        <v>IN/000945</v>
      </c>
      <c r="E247" s="2" t="str">
        <f ca="1">IFERROR(__xludf.DUMMYFUNCTION("UNIQUE(FILTER('export kabinetdashboard 1210202'!N:P,'export kabinetdashboard 1210202'!M:M=D247))"),"3D-VOP vervangen door gewone VOP + enkele meters verplaatst")</f>
        <v>3D-VOP vervangen door gewone VOP + enkele meters verplaatst</v>
      </c>
      <c r="F247" s="2" t="str">
        <f ca="1">IFERROR(__xludf.DUMMYFUNCTION("""COMPUTED_VALUE"""),"2021 - Q3")</f>
        <v>2021 - Q3</v>
      </c>
      <c r="G247" s="2" t="str">
        <f ca="1">IFERROR(__xludf.DUMMYFUNCTION("""COMPUTED_VALUE"""),"n.t.b.")</f>
        <v>n.t.b.</v>
      </c>
      <c r="H247" s="2">
        <f ca="1">SUMIFS('bedragen KIM (budgettering &amp; pl'!S:S,'bedragen KIM (budgettering &amp; pl'!B:B,A247,'bedragen KIM (budgettering &amp; pl'!F:F,D247)</f>
        <v>5594</v>
      </c>
      <c r="I247" s="2" t="e">
        <f ca="1">SUMIFS(#REF!,#REF!,A247,#REF!,D247)</f>
        <v>#REF!</v>
      </c>
      <c r="J247" s="2" t="e">
        <f ca="1">SUMIFS(#REF!,#REF!,A247,#REF!,D247)</f>
        <v>#REF!</v>
      </c>
    </row>
    <row r="248" spans="1:10" ht="12.5" x14ac:dyDescent="0.25">
      <c r="A248" s="2" t="str">
        <f ca="1">IFERROR(__xludf.DUMMYFUNCTION("""COMPUTED_VALUE"""),"KP/001169")</f>
        <v>KP/001169</v>
      </c>
      <c r="B248" s="2" t="str">
        <f ca="1">IFERROR(__xludf.DUMMYFUNCTION("""COMPUTED_VALUE"""),"Verkeersveiligheid")</f>
        <v>Verkeersveiligheid</v>
      </c>
      <c r="C248" s="2" t="str">
        <f ca="1">IFERROR(__xludf.DUMMYFUNCTION("""COMPUTED_VALUE"""),"Schoolroute")</f>
        <v>Schoolroute</v>
      </c>
      <c r="D248" s="2" t="str">
        <f ca="1">IFERROR(__xludf.DUMMYFUNCTION("""COMPUTED_VALUE"""),"IN/000946")</f>
        <v>IN/000946</v>
      </c>
      <c r="E248" s="2" t="str">
        <f ca="1">IFERROR(__xludf.DUMMYFUNCTION("UNIQUE(FILTER('export kabinetdashboard 1210202'!N:P,'export kabinetdashboard 1210202'!M:M=D248))"),"")</f>
        <v/>
      </c>
      <c r="F248" s="2" t="str">
        <f ca="1">IFERROR(__xludf.DUMMYFUNCTION("""COMPUTED_VALUE"""),"2022 - Q2")</f>
        <v>2022 - Q2</v>
      </c>
      <c r="G248" s="2" t="str">
        <f ca="1">IFERROR(__xludf.DUMMYFUNCTION("""COMPUTED_VALUE"""),"2022 - Q2")</f>
        <v>2022 - Q2</v>
      </c>
      <c r="H248" s="2">
        <f ca="1">SUMIFS('bedragen KIM (budgettering &amp; pl'!S:S,'bedragen KIM (budgettering &amp; pl'!B:B,A248,'bedragen KIM (budgettering &amp; pl'!F:F,D248)</f>
        <v>1000</v>
      </c>
      <c r="I248" s="2" t="e">
        <f ca="1">SUMIFS(#REF!,#REF!,A248,#REF!,D248)</f>
        <v>#REF!</v>
      </c>
      <c r="J248" s="2" t="e">
        <f ca="1">SUMIFS(#REF!,#REF!,A248,#REF!,D248)</f>
        <v>#REF!</v>
      </c>
    </row>
    <row r="249" spans="1:10" ht="12.5" x14ac:dyDescent="0.25">
      <c r="A249" s="2" t="str">
        <f ca="1">IFERROR(__xludf.DUMMYFUNCTION("""COMPUTED_VALUE"""),"KP/001170")</f>
        <v>KP/001170</v>
      </c>
      <c r="B249" s="2" t="str">
        <f ca="1">IFERROR(__xludf.DUMMYFUNCTION("""COMPUTED_VALUE"""),"Verkeersveiligheid")</f>
        <v>Verkeersveiligheid</v>
      </c>
      <c r="C249" s="2" t="str">
        <f ca="1">IFERROR(__xludf.DUMMYFUNCTION("""COMPUTED_VALUE"""),"Schoolroute")</f>
        <v>Schoolroute</v>
      </c>
      <c r="D249" s="2" t="str">
        <f ca="1">IFERROR(__xludf.DUMMYFUNCTION("""COMPUTED_VALUE"""),"IN/000947")</f>
        <v>IN/000947</v>
      </c>
      <c r="E249" s="2" t="str">
        <f ca="1">IFERROR(__xludf.DUMMYFUNCTION("UNIQUE(FILTER('export kabinetdashboard 1210202'!N:P,'export kabinetdashboard 1210202'!M:M=D249))"),"")</f>
        <v/>
      </c>
      <c r="F249" s="2" t="str">
        <f ca="1">IFERROR(__xludf.DUMMYFUNCTION("""COMPUTED_VALUE"""),"2022 - Q2")</f>
        <v>2022 - Q2</v>
      </c>
      <c r="G249" s="2" t="str">
        <f ca="1">IFERROR(__xludf.DUMMYFUNCTION("""COMPUTED_VALUE"""),"2022 - Q3")</f>
        <v>2022 - Q3</v>
      </c>
      <c r="H249" s="2">
        <f ca="1">SUMIFS('bedragen KIM (budgettering &amp; pl'!S:S,'bedragen KIM (budgettering &amp; pl'!B:B,A249,'bedragen KIM (budgettering &amp; pl'!F:F,D249)</f>
        <v>65000</v>
      </c>
      <c r="I249" s="2" t="e">
        <f ca="1">SUMIFS(#REF!,#REF!,A249,#REF!,D249)</f>
        <v>#REF!</v>
      </c>
      <c r="J249" s="2" t="e">
        <f ca="1">SUMIFS(#REF!,#REF!,A249,#REF!,D249)</f>
        <v>#REF!</v>
      </c>
    </row>
    <row r="250" spans="1:10" ht="12.5" x14ac:dyDescent="0.25">
      <c r="A250" s="2" t="str">
        <f ca="1">IFERROR(__xludf.DUMMYFUNCTION("""COMPUTED_VALUE"""),"KP/001171")</f>
        <v>KP/001171</v>
      </c>
      <c r="B250" s="2" t="str">
        <f ca="1">IFERROR(__xludf.DUMMYFUNCTION("""COMPUTED_VALUE"""),"Verkeersveiligheid")</f>
        <v>Verkeersveiligheid</v>
      </c>
      <c r="C250" s="2" t="str">
        <f ca="1">IFERROR(__xludf.DUMMYFUNCTION("""COMPUTED_VALUE"""),"Schoolroute")</f>
        <v>Schoolroute</v>
      </c>
      <c r="D250" s="2" t="str">
        <f ca="1">IFERROR(__xludf.DUMMYFUNCTION("""COMPUTED_VALUE"""),"IN/000948")</f>
        <v>IN/000948</v>
      </c>
      <c r="E250" s="2" t="str">
        <f ca="1">IFERROR(__xludf.DUMMYFUNCTION("UNIQUE(FILTER('export kabinetdashboard 1210202'!N:P,'export kabinetdashboard 1210202'!M:M=D250))"),"")</f>
        <v/>
      </c>
      <c r="F250" s="2" t="str">
        <f ca="1">IFERROR(__xludf.DUMMYFUNCTION("""COMPUTED_VALUE"""),"2022 - Q3")</f>
        <v>2022 - Q3</v>
      </c>
      <c r="G250" s="2" t="str">
        <f ca="1">IFERROR(__xludf.DUMMYFUNCTION("""COMPUTED_VALUE"""),"n.t.b.")</f>
        <v>n.t.b.</v>
      </c>
      <c r="H250" s="2">
        <f ca="1">SUMIFS('bedragen KIM (budgettering &amp; pl'!S:S,'bedragen KIM (budgettering &amp; pl'!B:B,A250,'bedragen KIM (budgettering &amp; pl'!F:F,D250)</f>
        <v>15000</v>
      </c>
      <c r="I250" s="2" t="e">
        <f ca="1">SUMIFS(#REF!,#REF!,A250,#REF!,D250)</f>
        <v>#REF!</v>
      </c>
      <c r="J250" s="2" t="e">
        <f ca="1">SUMIFS(#REF!,#REF!,A250,#REF!,D250)</f>
        <v>#REF!</v>
      </c>
    </row>
    <row r="251" spans="1:10" ht="12.5" x14ac:dyDescent="0.25">
      <c r="A251" s="2" t="str">
        <f ca="1">IFERROR(__xludf.DUMMYFUNCTION("""COMPUTED_VALUE"""),"KP/001172")</f>
        <v>KP/001172</v>
      </c>
      <c r="B251" s="2" t="str">
        <f ca="1">IFERROR(__xludf.DUMMYFUNCTION("""COMPUTED_VALUE"""),"Verkeersveiligheid")</f>
        <v>Verkeersveiligheid</v>
      </c>
      <c r="C251" s="2" t="str">
        <f ca="1">IFERROR(__xludf.DUMMYFUNCTION("""COMPUTED_VALUE"""),"Schoolroute")</f>
        <v>Schoolroute</v>
      </c>
      <c r="D251" s="2" t="str">
        <f ca="1">IFERROR(__xludf.DUMMYFUNCTION("""COMPUTED_VALUE"""),"IN/000949")</f>
        <v>IN/000949</v>
      </c>
      <c r="E251" s="2" t="str">
        <f ca="1">IFERROR(__xludf.DUMMYFUNCTION("UNIQUE(FILTER('export kabinetdashboard 1210202'!N:P,'export kabinetdashboard 1210202'!M:M=D251))"),"")</f>
        <v/>
      </c>
      <c r="F251" s="2" t="str">
        <f ca="1">IFERROR(__xludf.DUMMYFUNCTION("""COMPUTED_VALUE"""),"2022 - Q3")</f>
        <v>2022 - Q3</v>
      </c>
      <c r="G251" s="2" t="str">
        <f ca="1">IFERROR(__xludf.DUMMYFUNCTION("""COMPUTED_VALUE"""),"n.t.b.")</f>
        <v>n.t.b.</v>
      </c>
      <c r="H251" s="2">
        <f ca="1">SUMIFS('bedragen KIM (budgettering &amp; pl'!S:S,'bedragen KIM (budgettering &amp; pl'!B:B,A251,'bedragen KIM (budgettering &amp; pl'!F:F,D251)</f>
        <v>20000</v>
      </c>
      <c r="I251" s="2" t="e">
        <f ca="1">SUMIFS(#REF!,#REF!,A251,#REF!,D251)</f>
        <v>#REF!</v>
      </c>
      <c r="J251" s="2" t="e">
        <f ca="1">SUMIFS(#REF!,#REF!,A251,#REF!,D251)</f>
        <v>#REF!</v>
      </c>
    </row>
    <row r="252" spans="1:10" ht="12.5" x14ac:dyDescent="0.25">
      <c r="A252" s="2" t="str">
        <f ca="1">IFERROR(__xludf.DUMMYFUNCTION("""COMPUTED_VALUE"""),"KP/001173")</f>
        <v>KP/001173</v>
      </c>
      <c r="B252" s="2" t="str">
        <f ca="1">IFERROR(__xludf.DUMMYFUNCTION("""COMPUTED_VALUE"""),"Verkeersveiligheid")</f>
        <v>Verkeersveiligheid</v>
      </c>
      <c r="C252" s="2" t="str">
        <f ca="1">IFERROR(__xludf.DUMMYFUNCTION("""COMPUTED_VALUE"""),"Schoolroute")</f>
        <v>Schoolroute</v>
      </c>
      <c r="D252" s="2" t="str">
        <f ca="1">IFERROR(__xludf.DUMMYFUNCTION("""COMPUTED_VALUE"""),"IN/000950")</f>
        <v>IN/000950</v>
      </c>
      <c r="E252" s="2" t="str">
        <f ca="1">IFERROR(__xludf.DUMMYFUNCTION("UNIQUE(FILTER('export kabinetdashboard 1210202'!N:P,'export kabinetdashboard 1210202'!M:M=D252))"),"- conflictvrij regelen linksaf N78 &gt; Looheuvelstraat
- wegnemen herhalingslicht linkerzijde N78 in zuidelijke richting + toevoegen herhalingslicht op ooghoogte
- optimaliseren groentijd vanuit Looheuvelstraat obv tellingen ")</f>
        <v xml:space="preserve">- conflictvrij regelen linksaf N78 &gt; Looheuvelstraat
- wegnemen herhalingslicht linkerzijde N78 in zuidelijke richting + toevoegen herhalingslicht op ooghoogte
- optimaliseren groentijd vanuit Looheuvelstraat obv tellingen </v>
      </c>
      <c r="F252" s="2" t="str">
        <f ca="1">IFERROR(__xludf.DUMMYFUNCTION("""COMPUTED_VALUE"""),"2022 - Q2")</f>
        <v>2022 - Q2</v>
      </c>
      <c r="G252" s="2" t="str">
        <f ca="1">IFERROR(__xludf.DUMMYFUNCTION("""COMPUTED_VALUE"""),"n.t.b.")</f>
        <v>n.t.b.</v>
      </c>
      <c r="H252" s="2">
        <f ca="1">SUMIFS('bedragen KIM (budgettering &amp; pl'!S:S,'bedragen KIM (budgettering &amp; pl'!B:B,A252,'bedragen KIM (budgettering &amp; pl'!F:F,D252)</f>
        <v>100000</v>
      </c>
      <c r="I252" s="2" t="e">
        <f ca="1">SUMIFS(#REF!,#REF!,A252,#REF!,D252)</f>
        <v>#REF!</v>
      </c>
      <c r="J252" s="2" t="e">
        <f ca="1">SUMIFS(#REF!,#REF!,A252,#REF!,D252)</f>
        <v>#REF!</v>
      </c>
    </row>
    <row r="253" spans="1:10" ht="12.5" x14ac:dyDescent="0.25">
      <c r="A253" s="2" t="str">
        <f ca="1">IFERROR(__xludf.DUMMYFUNCTION("""COMPUTED_VALUE"""),"KP/001175")</f>
        <v>KP/001175</v>
      </c>
      <c r="B253" s="2" t="str">
        <f ca="1">IFERROR(__xludf.DUMMYFUNCTION("""COMPUTED_VALUE"""),"Verkeersveiligheid")</f>
        <v>Verkeersveiligheid</v>
      </c>
      <c r="C253" s="2" t="str">
        <f ca="1">IFERROR(__xludf.DUMMYFUNCTION("""COMPUTED_VALUE"""),"Schoolroute")</f>
        <v>Schoolroute</v>
      </c>
      <c r="D253" s="2" t="str">
        <f ca="1">IFERROR(__xludf.DUMMYFUNCTION("""COMPUTED_VALUE"""),"IN/000952")</f>
        <v>IN/000952</v>
      </c>
      <c r="E253" s="2" t="str">
        <f ca="1">IFERROR(__xludf.DUMMYFUNCTION("UNIQUE(FILTER('export kabinetdashboard 1210202'!N:P,'export kabinetdashboard 1210202'!M:M=D253))"),"parkeerverbod")</f>
        <v>parkeerverbod</v>
      </c>
      <c r="F253" s="2" t="str">
        <f ca="1">IFERROR(__xludf.DUMMYFUNCTION("""COMPUTED_VALUE"""),"2021 - Q3")</f>
        <v>2021 - Q3</v>
      </c>
      <c r="G253" s="2" t="str">
        <f ca="1">IFERROR(__xludf.DUMMYFUNCTION("""COMPUTED_VALUE"""),"2021 - Q4")</f>
        <v>2021 - Q4</v>
      </c>
      <c r="H253" s="2">
        <f ca="1">SUMIFS('bedragen KIM (budgettering &amp; pl'!S:S,'bedragen KIM (budgettering &amp; pl'!B:B,A253,'bedragen KIM (budgettering &amp; pl'!F:F,D253)</f>
        <v>383</v>
      </c>
      <c r="I253" s="2" t="e">
        <f ca="1">SUMIFS(#REF!,#REF!,A253,#REF!,D253)</f>
        <v>#REF!</v>
      </c>
      <c r="J253" s="2" t="e">
        <f ca="1">SUMIFS(#REF!,#REF!,A253,#REF!,D253)</f>
        <v>#REF!</v>
      </c>
    </row>
    <row r="254" spans="1:10" ht="12.5" x14ac:dyDescent="0.25">
      <c r="A254" s="2" t="str">
        <f ca="1">IFERROR(__xludf.DUMMYFUNCTION("""COMPUTED_VALUE"""),"KP/001176")</f>
        <v>KP/001176</v>
      </c>
      <c r="B254" s="2" t="str">
        <f ca="1">IFERROR(__xludf.DUMMYFUNCTION("""COMPUTED_VALUE"""),"Verkeersveiligheid")</f>
        <v>Verkeersveiligheid</v>
      </c>
      <c r="C254" s="2" t="str">
        <f ca="1">IFERROR(__xludf.DUMMYFUNCTION("""COMPUTED_VALUE"""),"Schoolroute")</f>
        <v>Schoolroute</v>
      </c>
      <c r="D254" s="2" t="str">
        <f ca="1">IFERROR(__xludf.DUMMYFUNCTION("""COMPUTED_VALUE"""),"IN/000953")</f>
        <v>IN/000953</v>
      </c>
      <c r="E254" s="2" t="str">
        <f ca="1">IFERROR(__xludf.DUMMYFUNCTION("UNIQUE(FILTER('export kabinetdashboard 1210202'!N:P,'export kabinetdashboard 1210202'!M:M=D254))"),"")</f>
        <v/>
      </c>
      <c r="F254" s="2" t="str">
        <f ca="1">IFERROR(__xludf.DUMMYFUNCTION("""COMPUTED_VALUE"""),"2022 - Q1")</f>
        <v>2022 - Q1</v>
      </c>
      <c r="G254" s="2" t="str">
        <f ca="1">IFERROR(__xludf.DUMMYFUNCTION("""COMPUTED_VALUE"""),"n.t.b.")</f>
        <v>n.t.b.</v>
      </c>
      <c r="H254" s="2">
        <f ca="1">SUMIFS('bedragen KIM (budgettering &amp; pl'!S:S,'bedragen KIM (budgettering &amp; pl'!B:B,A254,'bedragen KIM (budgettering &amp; pl'!F:F,D254)</f>
        <v>33771.300000000003</v>
      </c>
      <c r="I254" s="2" t="e">
        <f ca="1">SUMIFS(#REF!,#REF!,A254,#REF!,D254)</f>
        <v>#REF!</v>
      </c>
      <c r="J254" s="2" t="e">
        <f ca="1">SUMIFS(#REF!,#REF!,A254,#REF!,D254)</f>
        <v>#REF!</v>
      </c>
    </row>
    <row r="255" spans="1:10" ht="12.5" x14ac:dyDescent="0.25">
      <c r="A255" s="2" t="str">
        <f ca="1">IFERROR(__xludf.DUMMYFUNCTION("""COMPUTED_VALUE"""),"KP/001185")</f>
        <v>KP/001185</v>
      </c>
      <c r="B255" s="2" t="str">
        <f ca="1">IFERROR(__xludf.DUMMYFUNCTION("""COMPUTED_VALUE"""),"Verkeersveiligheid")</f>
        <v>Verkeersveiligheid</v>
      </c>
      <c r="C255" s="2" t="str">
        <f ca="1">IFERROR(__xludf.DUMMYFUNCTION("""COMPUTED_VALUE"""),"Schoolroute")</f>
        <v>Schoolroute</v>
      </c>
      <c r="D255" s="2" t="str">
        <f ca="1">IFERROR(__xludf.DUMMYFUNCTION("""COMPUTED_VALUE"""),"IN/000956")</f>
        <v>IN/000956</v>
      </c>
      <c r="E255" s="2" t="str">
        <f ca="1">IFERROR(__xludf.DUMMYFUNCTION("UNIQUE(FILTER('export kabinetdashboard 1210202'!N:P,'export kabinetdashboard 1210202'!M:M=D255))"),"")</f>
        <v/>
      </c>
      <c r="F255" s="2" t="str">
        <f ca="1">IFERROR(__xludf.DUMMYFUNCTION("""COMPUTED_VALUE"""),"2021 - Q2")</f>
        <v>2021 - Q2</v>
      </c>
      <c r="G255" s="2" t="str">
        <f ca="1">IFERROR(__xludf.DUMMYFUNCTION("""COMPUTED_VALUE"""),"n.t.b.")</f>
        <v>n.t.b.</v>
      </c>
      <c r="H255" s="2">
        <f ca="1">SUMIFS('bedragen KIM (budgettering &amp; pl'!S:S,'bedragen KIM (budgettering &amp; pl'!B:B,A255,'bedragen KIM (budgettering &amp; pl'!F:F,D255)</f>
        <v>4000</v>
      </c>
      <c r="I255" s="2" t="e">
        <f ca="1">SUMIFS(#REF!,#REF!,A255,#REF!,D255)</f>
        <v>#REF!</v>
      </c>
      <c r="J255" s="2" t="e">
        <f ca="1">SUMIFS(#REF!,#REF!,A255,#REF!,D255)</f>
        <v>#REF!</v>
      </c>
    </row>
    <row r="256" spans="1:10" ht="12.5" x14ac:dyDescent="0.25">
      <c r="A256" s="2" t="str">
        <f ca="1">IFERROR(__xludf.DUMMYFUNCTION("""COMPUTED_VALUE"""),"KP/001188")</f>
        <v>KP/001188</v>
      </c>
      <c r="B256" s="2" t="str">
        <f ca="1">IFERROR(__xludf.DUMMYFUNCTION("""COMPUTED_VALUE"""),"Verkeersveiligheid")</f>
        <v>Verkeersveiligheid</v>
      </c>
      <c r="C256" s="2" t="str">
        <f ca="1">IFERROR(__xludf.DUMMYFUNCTION("""COMPUTED_VALUE"""),"Schoolroute")</f>
        <v>Schoolroute</v>
      </c>
      <c r="D256" s="2" t="str">
        <f ca="1">IFERROR(__xludf.DUMMYFUNCTION("""COMPUTED_VALUE"""),"IN/000957")</f>
        <v>IN/000957</v>
      </c>
      <c r="E256" s="2" t="str">
        <f ca="1">IFERROR(__xludf.DUMMYFUNCTION("UNIQUE(FILTER('export kabinetdashboard 1210202'!N:P,'export kabinetdashboard 1210202'!M:M=D256))"),"")</f>
        <v/>
      </c>
      <c r="F256" s="2" t="str">
        <f ca="1">IFERROR(__xludf.DUMMYFUNCTION("""COMPUTED_VALUE"""),"2022 - Q1")</f>
        <v>2022 - Q1</v>
      </c>
      <c r="G256" s="2" t="str">
        <f ca="1">IFERROR(__xludf.DUMMYFUNCTION("""COMPUTED_VALUE"""),"n.t.b.")</f>
        <v>n.t.b.</v>
      </c>
      <c r="H256" s="2">
        <f ca="1">SUMIFS('bedragen KIM (budgettering &amp; pl'!S:S,'bedragen KIM (budgettering &amp; pl'!B:B,A256,'bedragen KIM (budgettering &amp; pl'!F:F,D256)</f>
        <v>28000</v>
      </c>
      <c r="I256" s="2" t="e">
        <f ca="1">SUMIFS(#REF!,#REF!,A256,#REF!,D256)</f>
        <v>#REF!</v>
      </c>
      <c r="J256" s="2" t="e">
        <f ca="1">SUMIFS(#REF!,#REF!,A256,#REF!,D256)</f>
        <v>#REF!</v>
      </c>
    </row>
    <row r="257" spans="1:10" ht="12.5" x14ac:dyDescent="0.25">
      <c r="A257" s="2" t="str">
        <f ca="1">IFERROR(__xludf.DUMMYFUNCTION("""COMPUTED_VALUE"""),"KP/001189")</f>
        <v>KP/001189</v>
      </c>
      <c r="B257" s="2" t="str">
        <f ca="1">IFERROR(__xludf.DUMMYFUNCTION("""COMPUTED_VALUE"""),"Verkeersveiligheid")</f>
        <v>Verkeersveiligheid</v>
      </c>
      <c r="C257" s="2" t="str">
        <f ca="1">IFERROR(__xludf.DUMMYFUNCTION("""COMPUTED_VALUE"""),"Schoolroute")</f>
        <v>Schoolroute</v>
      </c>
      <c r="D257" s="2" t="str">
        <f ca="1">IFERROR(__xludf.DUMMYFUNCTION("""COMPUTED_VALUE"""),"IN/000958")</f>
        <v>IN/000958</v>
      </c>
      <c r="E257" s="2" t="str">
        <f ca="1">IFERROR(__xludf.DUMMYFUNCTION("UNIQUE(FILTER('export kabinetdashboard 1210202'!N:P,'export kabinetdashboard 1210202'!M:M=D257))"),"Ontwikkelaar van de IZ voert uit en betaalt de werken")</f>
        <v>Ontwikkelaar van de IZ voert uit en betaalt de werken</v>
      </c>
      <c r="F257" s="2" t="str">
        <f ca="1">IFERROR(__xludf.DUMMYFUNCTION("""COMPUTED_VALUE"""),"2023 - Q3")</f>
        <v>2023 - Q3</v>
      </c>
      <c r="G257" s="2" t="str">
        <f ca="1">IFERROR(__xludf.DUMMYFUNCTION("""COMPUTED_VALUE"""),"n.t.b.")</f>
        <v>n.t.b.</v>
      </c>
      <c r="H257" s="2">
        <f ca="1">SUMIFS('bedragen KIM (budgettering &amp; pl'!S:S,'bedragen KIM (budgettering &amp; pl'!B:B,A257,'bedragen KIM (budgettering &amp; pl'!F:F,D257)</f>
        <v>30000</v>
      </c>
      <c r="I257" s="2" t="e">
        <f ca="1">SUMIFS(#REF!,#REF!,A257,#REF!,D257)</f>
        <v>#REF!</v>
      </c>
      <c r="J257" s="2" t="e">
        <f ca="1">SUMIFS(#REF!,#REF!,A257,#REF!,D257)</f>
        <v>#REF!</v>
      </c>
    </row>
    <row r="258" spans="1:10" ht="12.5" x14ac:dyDescent="0.25">
      <c r="A258" s="2" t="str">
        <f ca="1">IFERROR(__xludf.DUMMYFUNCTION("""COMPUTED_VALUE"""),"KP/001190")</f>
        <v>KP/001190</v>
      </c>
      <c r="B258" s="2" t="str">
        <f ca="1">IFERROR(__xludf.DUMMYFUNCTION("""COMPUTED_VALUE"""),"Verkeersveiligheid")</f>
        <v>Verkeersveiligheid</v>
      </c>
      <c r="C258" s="2" t="str">
        <f ca="1">IFERROR(__xludf.DUMMYFUNCTION("""COMPUTED_VALUE"""),"Schoolroute")</f>
        <v>Schoolroute</v>
      </c>
      <c r="D258" s="2" t="str">
        <f ca="1">IFERROR(__xludf.DUMMYFUNCTION("""COMPUTED_VALUE"""),"IN/000959")</f>
        <v>IN/000959</v>
      </c>
      <c r="E258" s="2" t="str">
        <f ca="1">IFERROR(__xludf.DUMMYFUNCTION("UNIQUE(FILTER('export kabinetdashboard 1210202'!N:P,'export kabinetdashboard 1210202'!M:M=D258))"),"")</f>
        <v/>
      </c>
      <c r="F258" s="2" t="str">
        <f ca="1">IFERROR(__xludf.DUMMYFUNCTION("""COMPUTED_VALUE"""),"2022 - Q4")</f>
        <v>2022 - Q4</v>
      </c>
      <c r="G258" s="2" t="str">
        <f ca="1">IFERROR(__xludf.DUMMYFUNCTION("""COMPUTED_VALUE"""),"2022 - Q4")</f>
        <v>2022 - Q4</v>
      </c>
      <c r="H258" s="2">
        <f ca="1">SUMIFS('bedragen KIM (budgettering &amp; pl'!S:S,'bedragen KIM (budgettering &amp; pl'!B:B,A258,'bedragen KIM (budgettering &amp; pl'!F:F,D258)</f>
        <v>7500</v>
      </c>
      <c r="I258" s="2" t="e">
        <f ca="1">SUMIFS(#REF!,#REF!,A258,#REF!,D258)</f>
        <v>#REF!</v>
      </c>
      <c r="J258" s="2" t="e">
        <f ca="1">SUMIFS(#REF!,#REF!,A258,#REF!,D258)</f>
        <v>#REF!</v>
      </c>
    </row>
    <row r="259" spans="1:10" ht="12.5" x14ac:dyDescent="0.25">
      <c r="A259" s="2" t="str">
        <f ca="1">IFERROR(__xludf.DUMMYFUNCTION("""COMPUTED_VALUE"""),"KP/001191")</f>
        <v>KP/001191</v>
      </c>
      <c r="B259" s="2" t="str">
        <f ca="1">IFERROR(__xludf.DUMMYFUNCTION("""COMPUTED_VALUE"""),"Verkeersveiligheid")</f>
        <v>Verkeersveiligheid</v>
      </c>
      <c r="C259" s="2" t="str">
        <f ca="1">IFERROR(__xludf.DUMMYFUNCTION("""COMPUTED_VALUE"""),"Schoolroute")</f>
        <v>Schoolroute</v>
      </c>
      <c r="D259" s="2" t="str">
        <f ca="1">IFERROR(__xludf.DUMMYFUNCTION("""COMPUTED_VALUE"""),"IN/000960")</f>
        <v>IN/000960</v>
      </c>
      <c r="E259" s="2" t="str">
        <f ca="1">IFERROR(__xludf.DUMMYFUNCTION("UNIQUE(FILTER('export kabinetdashboard 1210202'!N:P,'export kabinetdashboard 1210202'!M:M=D259))"),"")</f>
        <v/>
      </c>
      <c r="F259" s="2" t="str">
        <f ca="1">IFERROR(__xludf.DUMMYFUNCTION("""COMPUTED_VALUE"""),"2023 - Q4")</f>
        <v>2023 - Q4</v>
      </c>
      <c r="G259" s="2" t="str">
        <f ca="1">IFERROR(__xludf.DUMMYFUNCTION("""COMPUTED_VALUE"""),"n.t.b.")</f>
        <v>n.t.b.</v>
      </c>
      <c r="H259" s="2">
        <f ca="1">SUMIFS('bedragen KIM (budgettering &amp; pl'!S:S,'bedragen KIM (budgettering &amp; pl'!B:B,A259,'bedragen KIM (budgettering &amp; pl'!F:F,D259)</f>
        <v>150000</v>
      </c>
      <c r="I259" s="2" t="e">
        <f ca="1">SUMIFS(#REF!,#REF!,A259,#REF!,D259)</f>
        <v>#REF!</v>
      </c>
      <c r="J259" s="2" t="e">
        <f ca="1">SUMIFS(#REF!,#REF!,A259,#REF!,D259)</f>
        <v>#REF!</v>
      </c>
    </row>
    <row r="260" spans="1:10" ht="12.5" x14ac:dyDescent="0.25">
      <c r="A260" s="2" t="str">
        <f ca="1">IFERROR(__xludf.DUMMYFUNCTION("""COMPUTED_VALUE"""),"KP/001193")</f>
        <v>KP/001193</v>
      </c>
      <c r="B260" s="2" t="str">
        <f ca="1">IFERROR(__xludf.DUMMYFUNCTION("""COMPUTED_VALUE"""),"Verkeersveiligheid")</f>
        <v>Verkeersveiligheid</v>
      </c>
      <c r="C260" s="2" t="str">
        <f ca="1">IFERROR(__xludf.DUMMYFUNCTION("""COMPUTED_VALUE"""),"Schoolroute")</f>
        <v>Schoolroute</v>
      </c>
      <c r="D260" s="2" t="str">
        <f ca="1">IFERROR(__xludf.DUMMYFUNCTION("""COMPUTED_VALUE"""),"IN/000961")</f>
        <v>IN/000961</v>
      </c>
      <c r="E260" s="2" t="str">
        <f ca="1">IFERROR(__xludf.DUMMYFUNCTION("UNIQUE(FILTER('export kabinetdashboard 1210202'!N:P,'export kabinetdashboard 1210202'!M:M=D260))"),"")</f>
        <v/>
      </c>
      <c r="F260" s="2" t="str">
        <f ca="1">IFERROR(__xludf.DUMMYFUNCTION("""COMPUTED_VALUE"""),"2022 - Q1")</f>
        <v>2022 - Q1</v>
      </c>
      <c r="G260" s="2" t="str">
        <f ca="1">IFERROR(__xludf.DUMMYFUNCTION("""COMPUTED_VALUE"""),"n.t.b.")</f>
        <v>n.t.b.</v>
      </c>
      <c r="H260" s="2">
        <f ca="1">SUMIFS('bedragen KIM (budgettering &amp; pl'!S:S,'bedragen KIM (budgettering &amp; pl'!B:B,A260,'bedragen KIM (budgettering &amp; pl'!F:F,D260)</f>
        <v>30000</v>
      </c>
      <c r="I260" s="2" t="e">
        <f ca="1">SUMIFS(#REF!,#REF!,A260,#REF!,D260)</f>
        <v>#REF!</v>
      </c>
      <c r="J260" s="2" t="e">
        <f ca="1">SUMIFS(#REF!,#REF!,A260,#REF!,D260)</f>
        <v>#REF!</v>
      </c>
    </row>
    <row r="261" spans="1:10" ht="12.5" x14ac:dyDescent="0.25">
      <c r="A261" s="2" t="str">
        <f ca="1">IFERROR(__xludf.DUMMYFUNCTION("""COMPUTED_VALUE"""),"KP/001194")</f>
        <v>KP/001194</v>
      </c>
      <c r="B261" s="2" t="str">
        <f ca="1">IFERROR(__xludf.DUMMYFUNCTION("""COMPUTED_VALUE"""),"Verkeersveiligheid")</f>
        <v>Verkeersveiligheid</v>
      </c>
      <c r="C261" s="2" t="str">
        <f ca="1">IFERROR(__xludf.DUMMYFUNCTION("""COMPUTED_VALUE"""),"Schoolroute")</f>
        <v>Schoolroute</v>
      </c>
      <c r="D261" s="2" t="str">
        <f ca="1">IFERROR(__xludf.DUMMYFUNCTION("""COMPUTED_VALUE"""),"IN/000962")</f>
        <v>IN/000962</v>
      </c>
      <c r="E261" s="2" t="str">
        <f ca="1">IFERROR(__xludf.DUMMYFUNCTION("UNIQUE(FILTER('export kabinetdashboard 1210202'!N:P,'export kabinetdashboard 1210202'!M:M=D261))"),"")</f>
        <v/>
      </c>
      <c r="F261" s="2" t="str">
        <f ca="1">IFERROR(__xludf.DUMMYFUNCTION("""COMPUTED_VALUE"""),"2021 - Q4")</f>
        <v>2021 - Q4</v>
      </c>
      <c r="G261" s="2" t="str">
        <f ca="1">IFERROR(__xludf.DUMMYFUNCTION("""COMPUTED_VALUE"""),"n.t.b.")</f>
        <v>n.t.b.</v>
      </c>
      <c r="H261" s="2">
        <f ca="1">SUMIFS('bedragen KIM (budgettering &amp; pl'!S:S,'bedragen KIM (budgettering &amp; pl'!B:B,A261,'bedragen KIM (budgettering &amp; pl'!F:F,D261)</f>
        <v>28000</v>
      </c>
      <c r="I261" s="2" t="e">
        <f ca="1">SUMIFS(#REF!,#REF!,A261,#REF!,D261)</f>
        <v>#REF!</v>
      </c>
      <c r="J261" s="2" t="e">
        <f ca="1">SUMIFS(#REF!,#REF!,A261,#REF!,D261)</f>
        <v>#REF!</v>
      </c>
    </row>
    <row r="262" spans="1:10" ht="12.5" x14ac:dyDescent="0.25">
      <c r="A262" s="2" t="str">
        <f ca="1">IFERROR(__xludf.DUMMYFUNCTION("""COMPUTED_VALUE"""),"KP/001195")</f>
        <v>KP/001195</v>
      </c>
      <c r="B262" s="2" t="str">
        <f ca="1">IFERROR(__xludf.DUMMYFUNCTION("""COMPUTED_VALUE"""),"Verkeersveiligheid")</f>
        <v>Verkeersveiligheid</v>
      </c>
      <c r="C262" s="2" t="str">
        <f ca="1">IFERROR(__xludf.DUMMYFUNCTION("""COMPUTED_VALUE"""),"Schoolroute")</f>
        <v>Schoolroute</v>
      </c>
      <c r="D262" s="2" t="str">
        <f ca="1">IFERROR(__xludf.DUMMYFUNCTION("""COMPUTED_VALUE"""),"IN/000963")</f>
        <v>IN/000963</v>
      </c>
      <c r="E262" s="2" t="str">
        <f ca="1">IFERROR(__xludf.DUMMYFUNCTION("UNIQUE(FILTER('export kabinetdashboard 1210202'!N:P,'export kabinetdashboard 1210202'!M:M=D262))"),"")</f>
        <v/>
      </c>
      <c r="F262" s="2" t="str">
        <f ca="1">IFERROR(__xludf.DUMMYFUNCTION("""COMPUTED_VALUE"""),"2022 - Q3")</f>
        <v>2022 - Q3</v>
      </c>
      <c r="G262" s="2" t="str">
        <f ca="1">IFERROR(__xludf.DUMMYFUNCTION("""COMPUTED_VALUE"""),"n.t.b.")</f>
        <v>n.t.b.</v>
      </c>
      <c r="H262" s="2">
        <f ca="1">SUMIFS('bedragen KIM (budgettering &amp; pl'!S:S,'bedragen KIM (budgettering &amp; pl'!B:B,A262,'bedragen KIM (budgettering &amp; pl'!F:F,D262)</f>
        <v>60000</v>
      </c>
      <c r="I262" s="2" t="e">
        <f ca="1">SUMIFS(#REF!,#REF!,A262,#REF!,D262)</f>
        <v>#REF!</v>
      </c>
      <c r="J262" s="2" t="e">
        <f ca="1">SUMIFS(#REF!,#REF!,A262,#REF!,D262)</f>
        <v>#REF!</v>
      </c>
    </row>
    <row r="263" spans="1:10" ht="12.5" x14ac:dyDescent="0.25">
      <c r="A263" s="2" t="str">
        <f ca="1">IFERROR(__xludf.DUMMYFUNCTION("""COMPUTED_VALUE"""),"KP/001197")</f>
        <v>KP/001197</v>
      </c>
      <c r="B263" s="2" t="str">
        <f ca="1">IFERROR(__xludf.DUMMYFUNCTION("""COMPUTED_VALUE"""),"Verkeersveiligheid")</f>
        <v>Verkeersveiligheid</v>
      </c>
      <c r="C263" s="2" t="str">
        <f ca="1">IFERROR(__xludf.DUMMYFUNCTION("""COMPUTED_VALUE"""),"Schoolroute")</f>
        <v>Schoolroute</v>
      </c>
      <c r="D263" s="2" t="str">
        <f ca="1">IFERROR(__xludf.DUMMYFUNCTION("""COMPUTED_VALUE"""),"IN/000964")</f>
        <v>IN/000964</v>
      </c>
      <c r="E263" s="2" t="str">
        <f ca="1">IFERROR(__xludf.DUMMYFUNCTION("UNIQUE(FILTER('export kabinetdashboard 1210202'!N:P,'export kabinetdashboard 1210202'!M:M=D263))"),"")</f>
        <v/>
      </c>
      <c r="F263" s="2" t="str">
        <f ca="1">IFERROR(__xludf.DUMMYFUNCTION("""COMPUTED_VALUE"""),"2022 - Q2")</f>
        <v>2022 - Q2</v>
      </c>
      <c r="G263" s="2" t="str">
        <f ca="1">IFERROR(__xludf.DUMMYFUNCTION("""COMPUTED_VALUE"""),"2022 - Q3")</f>
        <v>2022 - Q3</v>
      </c>
      <c r="H263" s="2">
        <f ca="1">SUMIFS('bedragen KIM (budgettering &amp; pl'!S:S,'bedragen KIM (budgettering &amp; pl'!B:B,A263,'bedragen KIM (budgettering &amp; pl'!F:F,D263)</f>
        <v>765000</v>
      </c>
      <c r="I263" s="2" t="e">
        <f ca="1">SUMIFS(#REF!,#REF!,A263,#REF!,D263)</f>
        <v>#REF!</v>
      </c>
      <c r="J263" s="2" t="e">
        <f ca="1">SUMIFS(#REF!,#REF!,A263,#REF!,D263)</f>
        <v>#REF!</v>
      </c>
    </row>
    <row r="264" spans="1:10" ht="12.5" x14ac:dyDescent="0.25">
      <c r="A264" s="2" t="str">
        <f ca="1">IFERROR(__xludf.DUMMYFUNCTION("""COMPUTED_VALUE"""),"KP/001199")</f>
        <v>KP/001199</v>
      </c>
      <c r="B264" s="2" t="str">
        <f ca="1">IFERROR(__xludf.DUMMYFUNCTION("""COMPUTED_VALUE"""),"Verkeersveiligheid")</f>
        <v>Verkeersveiligheid</v>
      </c>
      <c r="C264" s="2" t="str">
        <f ca="1">IFERROR(__xludf.DUMMYFUNCTION("""COMPUTED_VALUE"""),"Schoolroute")</f>
        <v>Schoolroute</v>
      </c>
      <c r="D264" s="2" t="str">
        <f ca="1">IFERROR(__xludf.DUMMYFUNCTION("""COMPUTED_VALUE"""),"IN/000965")</f>
        <v>IN/000965</v>
      </c>
      <c r="E264" s="2" t="str">
        <f ca="1">IFERROR(__xludf.DUMMYFUNCTION("UNIQUE(FILTER('export kabinetdashboard 1210202'!N:P,'export kabinetdashboard 1210202'!M:M=D264))"),"")</f>
        <v/>
      </c>
      <c r="F264" s="2" t="str">
        <f ca="1">IFERROR(__xludf.DUMMYFUNCTION("""COMPUTED_VALUE"""),"2023 - Q2")</f>
        <v>2023 - Q2</v>
      </c>
      <c r="G264" s="2" t="str">
        <f ca="1">IFERROR(__xludf.DUMMYFUNCTION("""COMPUTED_VALUE"""),"n.t.b.")</f>
        <v>n.t.b.</v>
      </c>
      <c r="H264" s="2">
        <f ca="1">SUMIFS('bedragen KIM (budgettering &amp; pl'!S:S,'bedragen KIM (budgettering &amp; pl'!B:B,A264,'bedragen KIM (budgettering &amp; pl'!F:F,D264)</f>
        <v>600000</v>
      </c>
      <c r="I264" s="2" t="e">
        <f ca="1">SUMIFS(#REF!,#REF!,A264,#REF!,D264)</f>
        <v>#REF!</v>
      </c>
      <c r="J264" s="2" t="e">
        <f ca="1">SUMIFS(#REF!,#REF!,A264,#REF!,D264)</f>
        <v>#REF!</v>
      </c>
    </row>
    <row r="265" spans="1:10" ht="12.5" x14ac:dyDescent="0.25">
      <c r="A265" s="2" t="str">
        <f ca="1">IFERROR(__xludf.DUMMYFUNCTION("""COMPUTED_VALUE"""),"KP/001200")</f>
        <v>KP/001200</v>
      </c>
      <c r="B265" s="2" t="str">
        <f ca="1">IFERROR(__xludf.DUMMYFUNCTION("""COMPUTED_VALUE"""),"Verkeersveiligheid")</f>
        <v>Verkeersveiligheid</v>
      </c>
      <c r="C265" s="2" t="str">
        <f ca="1">IFERROR(__xludf.DUMMYFUNCTION("""COMPUTED_VALUE"""),"Schoolroute")</f>
        <v>Schoolroute</v>
      </c>
      <c r="D265" s="2" t="str">
        <f ca="1">IFERROR(__xludf.DUMMYFUNCTION("""COMPUTED_VALUE"""),"IN/000966")</f>
        <v>IN/000966</v>
      </c>
      <c r="E265" s="2" t="str">
        <f ca="1">IFERROR(__xludf.DUMMYFUNCTION("UNIQUE(FILTER('export kabinetdashboard 1210202'!N:P,'export kabinetdashboard 1210202'!M:M=D265))"),"")</f>
        <v/>
      </c>
      <c r="F265" s="2" t="str">
        <f ca="1">IFERROR(__xludf.DUMMYFUNCTION("""COMPUTED_VALUE"""),"2023 - Q3")</f>
        <v>2023 - Q3</v>
      </c>
      <c r="G265" s="2" t="str">
        <f ca="1">IFERROR(__xludf.DUMMYFUNCTION("""COMPUTED_VALUE"""),"n.t.b.")</f>
        <v>n.t.b.</v>
      </c>
      <c r="H265" s="2">
        <f ca="1">SUMIFS('bedragen KIM (budgettering &amp; pl'!S:S,'bedragen KIM (budgettering &amp; pl'!B:B,A265,'bedragen KIM (budgettering &amp; pl'!F:F,D265)</f>
        <v>600</v>
      </c>
      <c r="I265" s="2" t="e">
        <f ca="1">SUMIFS(#REF!,#REF!,A265,#REF!,D265)</f>
        <v>#REF!</v>
      </c>
      <c r="J265" s="2" t="e">
        <f ca="1">SUMIFS(#REF!,#REF!,A265,#REF!,D265)</f>
        <v>#REF!</v>
      </c>
    </row>
    <row r="266" spans="1:10" ht="12.5" x14ac:dyDescent="0.25">
      <c r="A266" s="2" t="str">
        <f ca="1">IFERROR(__xludf.DUMMYFUNCTION("""COMPUTED_VALUE"""),"KP/001201")</f>
        <v>KP/001201</v>
      </c>
      <c r="B266" s="2" t="str">
        <f ca="1">IFERROR(__xludf.DUMMYFUNCTION("""COMPUTED_VALUE"""),"Verkeersveiligheid")</f>
        <v>Verkeersveiligheid</v>
      </c>
      <c r="C266" s="2" t="str">
        <f ca="1">IFERROR(__xludf.DUMMYFUNCTION("""COMPUTED_VALUE"""),"Schoolroute")</f>
        <v>Schoolroute</v>
      </c>
      <c r="D266" s="2" t="str">
        <f ca="1">IFERROR(__xludf.DUMMYFUNCTION("""COMPUTED_VALUE"""),"IN/000967")</f>
        <v>IN/000967</v>
      </c>
      <c r="E266" s="2" t="str">
        <f ca="1">IFERROR(__xludf.DUMMYFUNCTION("UNIQUE(FILTER('export kabinetdashboard 1210202'!N:P,'export kabinetdashboard 1210202'!M:M=D266))"),"Aanbrengen van fietslogo's op vraag van de gemeente ikv schoolroutes")</f>
        <v>Aanbrengen van fietslogo's op vraag van de gemeente ikv schoolroutes</v>
      </c>
      <c r="F266" s="2" t="str">
        <f ca="1">IFERROR(__xludf.DUMMYFUNCTION("""COMPUTED_VALUE"""),"2021 - Q3")</f>
        <v>2021 - Q3</v>
      </c>
      <c r="G266" s="2" t="str">
        <f ca="1">IFERROR(__xludf.DUMMYFUNCTION("""COMPUTED_VALUE"""),"2021 - Q3")</f>
        <v>2021 - Q3</v>
      </c>
      <c r="H266" s="2">
        <f ca="1">SUMIFS('bedragen KIM (budgettering &amp; pl'!S:S,'bedragen KIM (budgettering &amp; pl'!B:B,A266,'bedragen KIM (budgettering &amp; pl'!F:F,D266)</f>
        <v>431</v>
      </c>
      <c r="I266" s="2" t="e">
        <f ca="1">SUMIFS(#REF!,#REF!,A266,#REF!,D266)</f>
        <v>#REF!</v>
      </c>
      <c r="J266" s="2" t="e">
        <f ca="1">SUMIFS(#REF!,#REF!,A266,#REF!,D266)</f>
        <v>#REF!</v>
      </c>
    </row>
    <row r="267" spans="1:10" ht="12.5" x14ac:dyDescent="0.25">
      <c r="A267" s="2" t="str">
        <f ca="1">IFERROR(__xludf.DUMMYFUNCTION("""COMPUTED_VALUE"""),"KP/001202")</f>
        <v>KP/001202</v>
      </c>
      <c r="B267" s="2" t="str">
        <f ca="1">IFERROR(__xludf.DUMMYFUNCTION("""COMPUTED_VALUE"""),"Verkeersveiligheid")</f>
        <v>Verkeersveiligheid</v>
      </c>
      <c r="C267" s="2" t="str">
        <f ca="1">IFERROR(__xludf.DUMMYFUNCTION("""COMPUTED_VALUE"""),"Schoolroute")</f>
        <v>Schoolroute</v>
      </c>
      <c r="D267" s="2" t="str">
        <f ca="1">IFERROR(__xludf.DUMMYFUNCTION("""COMPUTED_VALUE"""),"IN/000968")</f>
        <v>IN/000968</v>
      </c>
      <c r="E267" s="2" t="str">
        <f ca="1">IFERROR(__xludf.DUMMYFUNCTION("UNIQUE(FILTER('export kabinetdashboard 1210202'!N:P,'export kabinetdashboard 1210202'!M:M=D267))"),"")</f>
        <v/>
      </c>
      <c r="F267" s="2" t="str">
        <f ca="1">IFERROR(__xludf.DUMMYFUNCTION("""COMPUTED_VALUE"""),"n.t.b.")</f>
        <v>n.t.b.</v>
      </c>
      <c r="G267" s="2" t="str">
        <f ca="1">IFERROR(__xludf.DUMMYFUNCTION("""COMPUTED_VALUE"""),"n.t.b.")</f>
        <v>n.t.b.</v>
      </c>
      <c r="H267" s="2">
        <f ca="1">SUMIFS('bedragen KIM (budgettering &amp; pl'!S:S,'bedragen KIM (budgettering &amp; pl'!B:B,A267,'bedragen KIM (budgettering &amp; pl'!F:F,D267)</f>
        <v>0</v>
      </c>
      <c r="I267" s="2" t="e">
        <f ca="1">SUMIFS(#REF!,#REF!,A267,#REF!,D267)</f>
        <v>#REF!</v>
      </c>
      <c r="J267" s="2" t="e">
        <f ca="1">SUMIFS(#REF!,#REF!,A267,#REF!,D267)</f>
        <v>#REF!</v>
      </c>
    </row>
    <row r="268" spans="1:10" ht="12.5" x14ac:dyDescent="0.25">
      <c r="A268" s="2" t="str">
        <f ca="1">IFERROR(__xludf.DUMMYFUNCTION("""COMPUTED_VALUE"""),"KP/001203")</f>
        <v>KP/001203</v>
      </c>
      <c r="B268" s="2" t="str">
        <f ca="1">IFERROR(__xludf.DUMMYFUNCTION("""COMPUTED_VALUE"""),"Verkeersveiligheid")</f>
        <v>Verkeersveiligheid</v>
      </c>
      <c r="C268" s="2" t="str">
        <f ca="1">IFERROR(__xludf.DUMMYFUNCTION("""COMPUTED_VALUE"""),"Schoolroute")</f>
        <v>Schoolroute</v>
      </c>
      <c r="D268" s="2" t="str">
        <f ca="1">IFERROR(__xludf.DUMMYFUNCTION("""COMPUTED_VALUE"""),"IN/000969")</f>
        <v>IN/000969</v>
      </c>
      <c r="E268" s="2" t="str">
        <f ca="1">IFERROR(__xludf.DUMMYFUNCTION("UNIQUE(FILTER('export kabinetdashboard 1210202'!N:P,'export kabinetdashboard 1210202'!M:M=D268))"),"")</f>
        <v/>
      </c>
      <c r="F268" s="2" t="str">
        <f ca="1">IFERROR(__xludf.DUMMYFUNCTION("""COMPUTED_VALUE"""),"2022 - Q4")</f>
        <v>2022 - Q4</v>
      </c>
      <c r="G268" s="2" t="str">
        <f ca="1">IFERROR(__xludf.DUMMYFUNCTION("""COMPUTED_VALUE"""),"n.t.b.")</f>
        <v>n.t.b.</v>
      </c>
      <c r="H268" s="2">
        <f ca="1">SUMIFS('bedragen KIM (budgettering &amp; pl'!S:S,'bedragen KIM (budgettering &amp; pl'!B:B,A268,'bedragen KIM (budgettering &amp; pl'!F:F,D268)</f>
        <v>45000</v>
      </c>
      <c r="I268" s="2" t="e">
        <f ca="1">SUMIFS(#REF!,#REF!,A268,#REF!,D268)</f>
        <v>#REF!</v>
      </c>
      <c r="J268" s="2" t="e">
        <f ca="1">SUMIFS(#REF!,#REF!,A268,#REF!,D268)</f>
        <v>#REF!</v>
      </c>
    </row>
    <row r="269" spans="1:10" ht="12.5" x14ac:dyDescent="0.25">
      <c r="A269" s="2" t="str">
        <f ca="1">IFERROR(__xludf.DUMMYFUNCTION("""COMPUTED_VALUE"""),"KP/001204")</f>
        <v>KP/001204</v>
      </c>
      <c r="B269" s="2" t="str">
        <f ca="1">IFERROR(__xludf.DUMMYFUNCTION("""COMPUTED_VALUE"""),"Verkeersveiligheid")</f>
        <v>Verkeersveiligheid</v>
      </c>
      <c r="C269" s="2" t="str">
        <f ca="1">IFERROR(__xludf.DUMMYFUNCTION("""COMPUTED_VALUE"""),"Schoolroute")</f>
        <v>Schoolroute</v>
      </c>
      <c r="D269" s="2" t="str">
        <f ca="1">IFERROR(__xludf.DUMMYFUNCTION("""COMPUTED_VALUE"""),"IN/000970")</f>
        <v>IN/000970</v>
      </c>
      <c r="E269" s="2" t="str">
        <f ca="1">IFERROR(__xludf.DUMMYFUNCTION("UNIQUE(FILTER('export kabinetdashboard 1210202'!N:P,'export kabinetdashboard 1210202'!M:M=D269))"),"")</f>
        <v/>
      </c>
      <c r="F269" s="2" t="str">
        <f ca="1">IFERROR(__xludf.DUMMYFUNCTION("""COMPUTED_VALUE"""),"2021 - Q4")</f>
        <v>2021 - Q4</v>
      </c>
      <c r="G269" s="2" t="str">
        <f ca="1">IFERROR(__xludf.DUMMYFUNCTION("""COMPUTED_VALUE"""),"n.t.b.")</f>
        <v>n.t.b.</v>
      </c>
      <c r="H269" s="2">
        <f ca="1">SUMIFS('bedragen KIM (budgettering &amp; pl'!S:S,'bedragen KIM (budgettering &amp; pl'!B:B,A269,'bedragen KIM (budgettering &amp; pl'!F:F,D269)</f>
        <v>35000</v>
      </c>
      <c r="I269" s="2" t="e">
        <f ca="1">SUMIFS(#REF!,#REF!,A269,#REF!,D269)</f>
        <v>#REF!</v>
      </c>
      <c r="J269" s="2" t="e">
        <f ca="1">SUMIFS(#REF!,#REF!,A269,#REF!,D269)</f>
        <v>#REF!</v>
      </c>
    </row>
    <row r="270" spans="1:10" ht="12.5" x14ac:dyDescent="0.25">
      <c r="A270" s="2" t="str">
        <f ca="1">IFERROR(__xludf.DUMMYFUNCTION("""COMPUTED_VALUE"""),"KP/001206")</f>
        <v>KP/001206</v>
      </c>
      <c r="B270" s="2" t="str">
        <f ca="1">IFERROR(__xludf.DUMMYFUNCTION("""COMPUTED_VALUE"""),"Verkeersveiligheid")</f>
        <v>Verkeersveiligheid</v>
      </c>
      <c r="C270" s="2" t="str">
        <f ca="1">IFERROR(__xludf.DUMMYFUNCTION("""COMPUTED_VALUE"""),"Schoolroute")</f>
        <v>Schoolroute</v>
      </c>
      <c r="D270" s="2" t="str">
        <f ca="1">IFERROR(__xludf.DUMMYFUNCTION("""COMPUTED_VALUE"""),"IN/000971")</f>
        <v>IN/000971</v>
      </c>
      <c r="E270" s="2" t="str">
        <f ca="1">IFERROR(__xludf.DUMMYFUNCTION("UNIQUE(FILTER('export kabinetdashboard 1210202'!N:P,'export kabinetdashboard 1210202'!M:M=D270))"),"")</f>
        <v/>
      </c>
      <c r="F270" s="2" t="str">
        <f ca="1">IFERROR(__xludf.DUMMYFUNCTION("""COMPUTED_VALUE"""),"2022 - Q2")</f>
        <v>2022 - Q2</v>
      </c>
      <c r="G270" s="2" t="str">
        <f ca="1">IFERROR(__xludf.DUMMYFUNCTION("""COMPUTED_VALUE"""),"n.t.b.")</f>
        <v>n.t.b.</v>
      </c>
      <c r="H270" s="2">
        <f ca="1">SUMIFS('bedragen KIM (budgettering &amp; pl'!S:S,'bedragen KIM (budgettering &amp; pl'!B:B,A270,'bedragen KIM (budgettering &amp; pl'!F:F,D270)</f>
        <v>100000</v>
      </c>
      <c r="I270" s="2" t="e">
        <f ca="1">SUMIFS(#REF!,#REF!,A270,#REF!,D270)</f>
        <v>#REF!</v>
      </c>
      <c r="J270" s="2" t="e">
        <f ca="1">SUMIFS(#REF!,#REF!,A270,#REF!,D270)</f>
        <v>#REF!</v>
      </c>
    </row>
    <row r="271" spans="1:10" ht="12.5" x14ac:dyDescent="0.25">
      <c r="A271" s="2" t="str">
        <f ca="1">IFERROR(__xludf.DUMMYFUNCTION("""COMPUTED_VALUE"""),"KP/001207")</f>
        <v>KP/001207</v>
      </c>
      <c r="B271" s="2" t="str">
        <f ca="1">IFERROR(__xludf.DUMMYFUNCTION("""COMPUTED_VALUE"""),"Verkeersveiligheid")</f>
        <v>Verkeersveiligheid</v>
      </c>
      <c r="C271" s="2" t="str">
        <f ca="1">IFERROR(__xludf.DUMMYFUNCTION("""COMPUTED_VALUE"""),"Schoolroute")</f>
        <v>Schoolroute</v>
      </c>
      <c r="D271" s="2" t="str">
        <f ca="1">IFERROR(__xludf.DUMMYFUNCTION("""COMPUTED_VALUE"""),"IN/000972")</f>
        <v>IN/000972</v>
      </c>
      <c r="E271" s="2" t="str">
        <f ca="1">IFERROR(__xludf.DUMMYFUNCTION("UNIQUE(FILTER('export kabinetdashboard 1210202'!N:P,'export kabinetdashboard 1210202'!M:M=D271))"),"- VVOP 2de oversteekplaats (deze zonder VRI)
- markering ""School"" plaatsen")</f>
        <v>- VVOP 2de oversteekplaats (deze zonder VRI)
- markering "School" plaatsen</v>
      </c>
      <c r="F271" s="2" t="str">
        <f ca="1">IFERROR(__xludf.DUMMYFUNCTION("""COMPUTED_VALUE"""),"2022 - Q3")</f>
        <v>2022 - Q3</v>
      </c>
      <c r="G271" s="2" t="str">
        <f ca="1">IFERROR(__xludf.DUMMYFUNCTION("""COMPUTED_VALUE"""),"n.t.b.")</f>
        <v>n.t.b.</v>
      </c>
      <c r="H271" s="2">
        <f ca="1">SUMIFS('bedragen KIM (budgettering &amp; pl'!S:S,'bedragen KIM (budgettering &amp; pl'!B:B,A271,'bedragen KIM (budgettering &amp; pl'!F:F,D271)</f>
        <v>0</v>
      </c>
      <c r="I271" s="2" t="e">
        <f ca="1">SUMIFS(#REF!,#REF!,A271,#REF!,D271)</f>
        <v>#REF!</v>
      </c>
      <c r="J271" s="2" t="e">
        <f ca="1">SUMIFS(#REF!,#REF!,A271,#REF!,D271)</f>
        <v>#REF!</v>
      </c>
    </row>
    <row r="272" spans="1:10" ht="12.5" x14ac:dyDescent="0.25">
      <c r="A272" s="2" t="str">
        <f ca="1">IFERROR(__xludf.DUMMYFUNCTION("""COMPUTED_VALUE"""),"KP/001208")</f>
        <v>KP/001208</v>
      </c>
      <c r="B272" s="2" t="str">
        <f ca="1">IFERROR(__xludf.DUMMYFUNCTION("""COMPUTED_VALUE"""),"Verkeersveiligheid")</f>
        <v>Verkeersveiligheid</v>
      </c>
      <c r="C272" s="2" t="str">
        <f ca="1">IFERROR(__xludf.DUMMYFUNCTION("""COMPUTED_VALUE"""),"Schoolroute")</f>
        <v>Schoolroute</v>
      </c>
      <c r="D272" s="2" t="str">
        <f ca="1">IFERROR(__xludf.DUMMYFUNCTION("""COMPUTED_VALUE"""),"IN/000973")</f>
        <v>IN/000973</v>
      </c>
      <c r="E272" s="2" t="str">
        <f ca="1">IFERROR(__xludf.DUMMYFUNCTION("UNIQUE(FILTER('export kabinetdashboard 1210202'!N:P,'export kabinetdashboard 1210202'!M:M=D272))"),"#N/A")</f>
        <v>#N/A</v>
      </c>
      <c r="H272" s="2">
        <f ca="1">SUMIFS('bedragen KIM (budgettering &amp; pl'!S:S,'bedragen KIM (budgettering &amp; pl'!B:B,A272,'bedragen KIM (budgettering &amp; pl'!F:F,D272)</f>
        <v>0</v>
      </c>
      <c r="I272" s="2" t="e">
        <f ca="1">SUMIFS(#REF!,#REF!,A272,#REF!,D272)</f>
        <v>#REF!</v>
      </c>
      <c r="J272" s="2" t="e">
        <f ca="1">SUMIFS(#REF!,#REF!,A272,#REF!,D272)</f>
        <v>#REF!</v>
      </c>
    </row>
    <row r="273" spans="1:10" ht="12.5" x14ac:dyDescent="0.25">
      <c r="A273" s="2" t="str">
        <f ca="1">IFERROR(__xludf.DUMMYFUNCTION("""COMPUTED_VALUE"""),"KP/001209")</f>
        <v>KP/001209</v>
      </c>
      <c r="B273" s="2" t="str">
        <f ca="1">IFERROR(__xludf.DUMMYFUNCTION("""COMPUTED_VALUE"""),"Verkeersveiligheid")</f>
        <v>Verkeersveiligheid</v>
      </c>
      <c r="C273" s="2" t="str">
        <f ca="1">IFERROR(__xludf.DUMMYFUNCTION("""COMPUTED_VALUE"""),"Schoolroute")</f>
        <v>Schoolroute</v>
      </c>
      <c r="D273" s="2" t="str">
        <f ca="1">IFERROR(__xludf.DUMMYFUNCTION("""COMPUTED_VALUE"""),"IN/000974")</f>
        <v>IN/000974</v>
      </c>
      <c r="E273" s="2" t="str">
        <f ca="1">IFERROR(__xludf.DUMMYFUNCTION("UNIQUE(FILTER('export kabinetdashboard 1210202'!N:P,'export kabinetdashboard 1210202'!M:M=D273))"),"#N/A")</f>
        <v>#N/A</v>
      </c>
      <c r="H273" s="2">
        <f ca="1">SUMIFS('bedragen KIM (budgettering &amp; pl'!S:S,'bedragen KIM (budgettering &amp; pl'!B:B,A273,'bedragen KIM (budgettering &amp; pl'!F:F,D273)</f>
        <v>35000</v>
      </c>
      <c r="I273" s="2" t="e">
        <f ca="1">SUMIFS(#REF!,#REF!,A273,#REF!,D273)</f>
        <v>#REF!</v>
      </c>
      <c r="J273" s="2" t="e">
        <f ca="1">SUMIFS(#REF!,#REF!,A273,#REF!,D273)</f>
        <v>#REF!</v>
      </c>
    </row>
    <row r="274" spans="1:10" ht="12.5" x14ac:dyDescent="0.25">
      <c r="A274" s="2" t="str">
        <f ca="1">IFERROR(__xludf.DUMMYFUNCTION("""COMPUTED_VALUE"""),"KP/001211")</f>
        <v>KP/001211</v>
      </c>
      <c r="B274" s="2" t="str">
        <f ca="1">IFERROR(__xludf.DUMMYFUNCTION("""COMPUTED_VALUE"""),"Verkeersveiligheid")</f>
        <v>Verkeersveiligheid</v>
      </c>
      <c r="C274" s="2" t="str">
        <f ca="1">IFERROR(__xludf.DUMMYFUNCTION("""COMPUTED_VALUE"""),"Schoolroute")</f>
        <v>Schoolroute</v>
      </c>
      <c r="D274" s="2" t="str">
        <f ca="1">IFERROR(__xludf.DUMMYFUNCTION("""COMPUTED_VALUE"""),"IN/000975")</f>
        <v>IN/000975</v>
      </c>
      <c r="E274" s="2" t="str">
        <f ca="1">IFERROR(__xludf.DUMMYFUNCTION("UNIQUE(FILTER('export kabinetdashboard 1210202'!N:P,'export kabinetdashboard 1210202'!M:M=D274))"),"Aanleg van het dubbelrichtingsfietspad aan de zijde van de doorsteek naar de
Ballingweg.")</f>
        <v>Aanleg van het dubbelrichtingsfietspad aan de zijde van de doorsteek naar de
Ballingweg.</v>
      </c>
      <c r="F274" s="2" t="str">
        <f ca="1">IFERROR(__xludf.DUMMYFUNCTION("""COMPUTED_VALUE"""),"2023 - Q1")</f>
        <v>2023 - Q1</v>
      </c>
      <c r="G274" s="2" t="str">
        <f ca="1">IFERROR(__xludf.DUMMYFUNCTION("""COMPUTED_VALUE"""),"n.t.b.")</f>
        <v>n.t.b.</v>
      </c>
      <c r="H274" s="2">
        <f ca="1">SUMIFS('bedragen KIM (budgettering &amp; pl'!S:S,'bedragen KIM (budgettering &amp; pl'!B:B,A274,'bedragen KIM (budgettering &amp; pl'!F:F,D274)</f>
        <v>15000</v>
      </c>
      <c r="I274" s="2" t="e">
        <f ca="1">SUMIFS(#REF!,#REF!,A274,#REF!,D274)</f>
        <v>#REF!</v>
      </c>
      <c r="J274" s="2" t="e">
        <f ca="1">SUMIFS(#REF!,#REF!,A274,#REF!,D274)</f>
        <v>#REF!</v>
      </c>
    </row>
    <row r="275" spans="1:10" ht="12.5" x14ac:dyDescent="0.25">
      <c r="A275" s="2" t="str">
        <f ca="1">IFERROR(__xludf.DUMMYFUNCTION("""COMPUTED_VALUE"""),"KP/001212")</f>
        <v>KP/001212</v>
      </c>
      <c r="B275" s="2" t="str">
        <f ca="1">IFERROR(__xludf.DUMMYFUNCTION("""COMPUTED_VALUE"""),"Verkeersveiligheid")</f>
        <v>Verkeersveiligheid</v>
      </c>
      <c r="C275" s="2" t="str">
        <f ca="1">IFERROR(__xludf.DUMMYFUNCTION("""COMPUTED_VALUE"""),"Schoolroute")</f>
        <v>Schoolroute</v>
      </c>
      <c r="D275" s="2" t="str">
        <f ca="1">IFERROR(__xludf.DUMMYFUNCTION("""COMPUTED_VALUE"""),"IN/000976")</f>
        <v>IN/000976</v>
      </c>
      <c r="E275" s="2" t="str">
        <f ca="1">IFERROR(__xludf.DUMMYFUNCTION("UNIQUE(FILTER('export kabinetdashboard 1210202'!N:P,'export kabinetdashboard 1210202'!M:M=D275))"),"")</f>
        <v/>
      </c>
      <c r="F275" s="2" t="str">
        <f ca="1">IFERROR(__xludf.DUMMYFUNCTION("""COMPUTED_VALUE"""),"2021 - Q4")</f>
        <v>2021 - Q4</v>
      </c>
      <c r="G275" s="2" t="str">
        <f ca="1">IFERROR(__xludf.DUMMYFUNCTION("""COMPUTED_VALUE"""),"2021 - Q4")</f>
        <v>2021 - Q4</v>
      </c>
      <c r="H275" s="2">
        <f ca="1">SUMIFS('bedragen KIM (budgettering &amp; pl'!S:S,'bedragen KIM (budgettering &amp; pl'!B:B,A275,'bedragen KIM (budgettering &amp; pl'!F:F,D275)</f>
        <v>106788.32</v>
      </c>
      <c r="I275" s="2" t="e">
        <f ca="1">SUMIFS(#REF!,#REF!,A275,#REF!,D275)</f>
        <v>#REF!</v>
      </c>
      <c r="J275" s="2" t="e">
        <f ca="1">SUMIFS(#REF!,#REF!,A275,#REF!,D275)</f>
        <v>#REF!</v>
      </c>
    </row>
    <row r="276" spans="1:10" ht="12.5" x14ac:dyDescent="0.25">
      <c r="A276" s="2" t="str">
        <f ca="1">IFERROR(__xludf.DUMMYFUNCTION("""COMPUTED_VALUE"""),"KP/001213")</f>
        <v>KP/001213</v>
      </c>
      <c r="B276" s="2" t="str">
        <f ca="1">IFERROR(__xludf.DUMMYFUNCTION("""COMPUTED_VALUE"""),"Verkeersveiligheid")</f>
        <v>Verkeersveiligheid</v>
      </c>
      <c r="C276" s="2" t="str">
        <f ca="1">IFERROR(__xludf.DUMMYFUNCTION("""COMPUTED_VALUE"""),"Schoolroute")</f>
        <v>Schoolroute</v>
      </c>
      <c r="D276" s="2" t="str">
        <f ca="1">IFERROR(__xludf.DUMMYFUNCTION("""COMPUTED_VALUE"""),"IN/000977")</f>
        <v>IN/000977</v>
      </c>
      <c r="E276" s="2" t="str">
        <f ca="1">IFERROR(__xludf.DUMMYFUNCTION("UNIQUE(FILTER('export kabinetdashboard 1210202'!N:P,'export kabinetdashboard 1210202'!M:M=D276))"),"Voorzien van fietsoversteek thv de bestaande voetgangersoversteek. Aanpassen middengeleider en aanbrengen markeringen.
Alsook het aanpassen van de signlisatie en de bewegwijzering naar de verschillende fietsroute.")</f>
        <v>Voorzien van fietsoversteek thv de bestaande voetgangersoversteek. Aanpassen middengeleider en aanbrengen markeringen.
Alsook het aanpassen van de signlisatie en de bewegwijzering naar de verschillende fietsroute.</v>
      </c>
      <c r="F276" s="2" t="str">
        <f ca="1">IFERROR(__xludf.DUMMYFUNCTION("""COMPUTED_VALUE"""),"2023 - Q1")</f>
        <v>2023 - Q1</v>
      </c>
      <c r="G276" s="2" t="str">
        <f ca="1">IFERROR(__xludf.DUMMYFUNCTION("""COMPUTED_VALUE"""),"n.t.b.")</f>
        <v>n.t.b.</v>
      </c>
      <c r="H276" s="2">
        <f ca="1">SUMIFS('bedragen KIM (budgettering &amp; pl'!S:S,'bedragen KIM (budgettering &amp; pl'!B:B,A276,'bedragen KIM (budgettering &amp; pl'!F:F,D276)</f>
        <v>25000</v>
      </c>
      <c r="I276" s="2" t="e">
        <f ca="1">SUMIFS(#REF!,#REF!,A276,#REF!,D276)</f>
        <v>#REF!</v>
      </c>
      <c r="J276" s="2" t="e">
        <f ca="1">SUMIFS(#REF!,#REF!,A276,#REF!,D276)</f>
        <v>#REF!</v>
      </c>
    </row>
    <row r="277" spans="1:10" ht="12.5" x14ac:dyDescent="0.25">
      <c r="A277" s="2" t="str">
        <f ca="1">IFERROR(__xludf.DUMMYFUNCTION("""COMPUTED_VALUE"""),"KP/001216")</f>
        <v>KP/001216</v>
      </c>
      <c r="B277" s="2" t="str">
        <f ca="1">IFERROR(__xludf.DUMMYFUNCTION("""COMPUTED_VALUE"""),"Verkeersveiligheid")</f>
        <v>Verkeersveiligheid</v>
      </c>
      <c r="C277" s="2" t="str">
        <f ca="1">IFERROR(__xludf.DUMMYFUNCTION("""COMPUTED_VALUE"""),"Schoolroute")</f>
        <v>Schoolroute</v>
      </c>
      <c r="D277" s="2" t="str">
        <f ca="1">IFERROR(__xludf.DUMMYFUNCTION("""COMPUTED_VALUE"""),"IN/000978")</f>
        <v>IN/000978</v>
      </c>
      <c r="E277" s="2" t="str">
        <f ca="1">IFERROR(__xludf.DUMMYFUNCTION("UNIQUE(FILTER('export kabinetdashboard 1210202'!N:P,'export kabinetdashboard 1210202'!M:M=D277))"),"")</f>
        <v/>
      </c>
      <c r="F277" s="2" t="str">
        <f ca="1">IFERROR(__xludf.DUMMYFUNCTION("""COMPUTED_VALUE"""),"n.t.b.")</f>
        <v>n.t.b.</v>
      </c>
      <c r="G277" s="2" t="str">
        <f ca="1">IFERROR(__xludf.DUMMYFUNCTION("""COMPUTED_VALUE"""),"n.t.b.")</f>
        <v>n.t.b.</v>
      </c>
      <c r="H277" s="2">
        <f ca="1">SUMIFS('bedragen KIM (budgettering &amp; pl'!S:S,'bedragen KIM (budgettering &amp; pl'!B:B,A277,'bedragen KIM (budgettering &amp; pl'!F:F,D277)</f>
        <v>100000</v>
      </c>
      <c r="I277" s="2" t="e">
        <f ca="1">SUMIFS(#REF!,#REF!,A277,#REF!,D277)</f>
        <v>#REF!</v>
      </c>
      <c r="J277" s="2" t="e">
        <f ca="1">SUMIFS(#REF!,#REF!,A277,#REF!,D277)</f>
        <v>#REF!</v>
      </c>
    </row>
    <row r="278" spans="1:10" ht="12.5" x14ac:dyDescent="0.25">
      <c r="A278" s="2" t="str">
        <f ca="1">IFERROR(__xludf.DUMMYFUNCTION("""COMPUTED_VALUE"""),"KP/001217")</f>
        <v>KP/001217</v>
      </c>
      <c r="B278" s="2" t="str">
        <f ca="1">IFERROR(__xludf.DUMMYFUNCTION("""COMPUTED_VALUE"""),"Verkeersveiligheid")</f>
        <v>Verkeersveiligheid</v>
      </c>
      <c r="C278" s="2" t="str">
        <f ca="1">IFERROR(__xludf.DUMMYFUNCTION("""COMPUTED_VALUE"""),"Schoolroute")</f>
        <v>Schoolroute</v>
      </c>
      <c r="D278" s="2" t="str">
        <f ca="1">IFERROR(__xludf.DUMMYFUNCTION("""COMPUTED_VALUE"""),"IN/000979")</f>
        <v>IN/000979</v>
      </c>
      <c r="E278" s="2" t="str">
        <f ca="1">IFERROR(__xludf.DUMMYFUNCTION("UNIQUE(FILTER('export kabinetdashboard 1210202'!N:P,'export kabinetdashboard 1210202'!M:M=D278))"),"")</f>
        <v/>
      </c>
      <c r="F278" s="2" t="str">
        <f ca="1">IFERROR(__xludf.DUMMYFUNCTION("""COMPUTED_VALUE"""),"n.t.b.")</f>
        <v>n.t.b.</v>
      </c>
      <c r="G278" s="2" t="str">
        <f ca="1">IFERROR(__xludf.DUMMYFUNCTION("""COMPUTED_VALUE"""),"2021 - Q3")</f>
        <v>2021 - Q3</v>
      </c>
      <c r="H278" s="2">
        <f ca="1">SUMIFS('bedragen KIM (budgettering &amp; pl'!S:S,'bedragen KIM (budgettering &amp; pl'!B:B,A278,'bedragen KIM (budgettering &amp; pl'!F:F,D278)</f>
        <v>200000</v>
      </c>
      <c r="I278" s="2" t="e">
        <f ca="1">SUMIFS(#REF!,#REF!,A278,#REF!,D278)</f>
        <v>#REF!</v>
      </c>
      <c r="J278" s="2" t="e">
        <f ca="1">SUMIFS(#REF!,#REF!,A278,#REF!,D278)</f>
        <v>#REF!</v>
      </c>
    </row>
    <row r="279" spans="1:10" ht="12.5" x14ac:dyDescent="0.25">
      <c r="A279" s="2" t="str">
        <f ca="1">IFERROR(__xludf.DUMMYFUNCTION("""COMPUTED_VALUE"""),"KP/001218")</f>
        <v>KP/001218</v>
      </c>
      <c r="B279" s="2" t="str">
        <f ca="1">IFERROR(__xludf.DUMMYFUNCTION("""COMPUTED_VALUE"""),"Verkeersveiligheid")</f>
        <v>Verkeersveiligheid</v>
      </c>
      <c r="C279" s="2" t="str">
        <f ca="1">IFERROR(__xludf.DUMMYFUNCTION("""COMPUTED_VALUE"""),"Schoolroute")</f>
        <v>Schoolroute</v>
      </c>
      <c r="D279" s="2" t="str">
        <f ca="1">IFERROR(__xludf.DUMMYFUNCTION("""COMPUTED_VALUE"""),"IN/000980")</f>
        <v>IN/000980</v>
      </c>
      <c r="E279" s="2" t="str">
        <f ca="1">IFERROR(__xludf.DUMMYFUNCTION("UNIQUE(FILTER('export kabinetdashboard 1210202'!N:P,'export kabinetdashboard 1210202'!M:M=D279))"),"QW2: aanleg middeneilanden
QW3: aanleg toeleidende fietspaden op Hertstraat
+ verschuiven bushalte 30 m naar zuiden
Andere ingrepen is:
QW1: verplaatsen bebouwde kom, verlagen snelheidslimiet naar 50 km/u
")</f>
        <v xml:space="preserve">QW2: aanleg middeneilanden
QW3: aanleg toeleidende fietspaden op Hertstraat
+ verschuiven bushalte 30 m naar zuiden
Andere ingrepen is:
QW1: verplaatsen bebouwde kom, verlagen snelheidslimiet naar 50 km/u
</v>
      </c>
      <c r="F279" s="2" t="str">
        <f ca="1">IFERROR(__xludf.DUMMYFUNCTION("""COMPUTED_VALUE"""),"2022 - Q4")</f>
        <v>2022 - Q4</v>
      </c>
      <c r="G279" s="2" t="str">
        <f ca="1">IFERROR(__xludf.DUMMYFUNCTION("""COMPUTED_VALUE"""),"n.t.b.")</f>
        <v>n.t.b.</v>
      </c>
      <c r="H279" s="2">
        <f ca="1">SUMIFS('bedragen KIM (budgettering &amp; pl'!S:S,'bedragen KIM (budgettering &amp; pl'!B:B,A279,'bedragen KIM (budgettering &amp; pl'!F:F,D279)</f>
        <v>254925</v>
      </c>
      <c r="I279" s="2" t="e">
        <f ca="1">SUMIFS(#REF!,#REF!,A279,#REF!,D279)</f>
        <v>#REF!</v>
      </c>
      <c r="J279" s="2" t="e">
        <f ca="1">SUMIFS(#REF!,#REF!,A279,#REF!,D279)</f>
        <v>#REF!</v>
      </c>
    </row>
    <row r="280" spans="1:10" ht="12.5" x14ac:dyDescent="0.25">
      <c r="A280" s="2" t="str">
        <f ca="1">IFERROR(__xludf.DUMMYFUNCTION("""COMPUTED_VALUE"""),"KP/001219")</f>
        <v>KP/001219</v>
      </c>
      <c r="B280" s="2" t="str">
        <f ca="1">IFERROR(__xludf.DUMMYFUNCTION("""COMPUTED_VALUE"""),"Verkeersveiligheid")</f>
        <v>Verkeersveiligheid</v>
      </c>
      <c r="C280" s="2" t="str">
        <f ca="1">IFERROR(__xludf.DUMMYFUNCTION("""COMPUTED_VALUE"""),"Schoolroute")</f>
        <v>Schoolroute</v>
      </c>
      <c r="D280" s="2" t="str">
        <f ca="1">IFERROR(__xludf.DUMMYFUNCTION("""COMPUTED_VALUE"""),"IN/000981")</f>
        <v>IN/000981</v>
      </c>
      <c r="E280" s="2" t="str">
        <f ca="1">IFERROR(__xludf.DUMMYFUNCTION("UNIQUE(FILTER('export kabinetdashboard 1210202'!N:P,'export kabinetdashboard 1210202'!M:M=D280))"),"Oversteekplaats fietsers met middeneiland, aanpassen van het fietspad, aanbrengen van overrijdbare rammelstrook")</f>
        <v>Oversteekplaats fietsers met middeneiland, aanpassen van het fietspad, aanbrengen van overrijdbare rammelstrook</v>
      </c>
      <c r="F280" s="2" t="str">
        <f ca="1">IFERROR(__xludf.DUMMYFUNCTION("""COMPUTED_VALUE"""),"2023 - Q1")</f>
        <v>2023 - Q1</v>
      </c>
      <c r="G280" s="2" t="str">
        <f ca="1">IFERROR(__xludf.DUMMYFUNCTION("""COMPUTED_VALUE"""),"n.t.b.")</f>
        <v>n.t.b.</v>
      </c>
      <c r="H280" s="2">
        <f ca="1">SUMIFS('bedragen KIM (budgettering &amp; pl'!S:S,'bedragen KIM (budgettering &amp; pl'!B:B,A280,'bedragen KIM (budgettering &amp; pl'!F:F,D280)</f>
        <v>285985</v>
      </c>
      <c r="I280" s="2" t="e">
        <f ca="1">SUMIFS(#REF!,#REF!,A280,#REF!,D280)</f>
        <v>#REF!</v>
      </c>
      <c r="J280" s="2" t="e">
        <f ca="1">SUMIFS(#REF!,#REF!,A280,#REF!,D280)</f>
        <v>#REF!</v>
      </c>
    </row>
    <row r="281" spans="1:10" ht="12.5" x14ac:dyDescent="0.25">
      <c r="A281" s="2" t="str">
        <f ca="1">IFERROR(__xludf.DUMMYFUNCTION("""COMPUTED_VALUE"""),"KP/001220")</f>
        <v>KP/001220</v>
      </c>
      <c r="B281" s="2" t="str">
        <f ca="1">IFERROR(__xludf.DUMMYFUNCTION("""COMPUTED_VALUE"""),"Verkeersveiligheid")</f>
        <v>Verkeersveiligheid</v>
      </c>
      <c r="C281" s="2" t="str">
        <f ca="1">IFERROR(__xludf.DUMMYFUNCTION("""COMPUTED_VALUE"""),"Schoolroute")</f>
        <v>Schoolroute</v>
      </c>
      <c r="D281" s="2" t="str">
        <f ca="1">IFERROR(__xludf.DUMMYFUNCTION("""COMPUTED_VALUE"""),"IN/000982")</f>
        <v>IN/000982</v>
      </c>
      <c r="E281" s="2" t="str">
        <f ca="1">IFERROR(__xludf.DUMMYFUNCTION("UNIQUE(FILTER('export kabinetdashboard 1210202'!N:P,'export kabinetdashboard 1210202'!M:M=D281))"),"")</f>
        <v/>
      </c>
      <c r="F281" s="2" t="str">
        <f ca="1">IFERROR(__xludf.DUMMYFUNCTION("""COMPUTED_VALUE"""),"2024 - Q3")</f>
        <v>2024 - Q3</v>
      </c>
      <c r="G281" s="2" t="str">
        <f ca="1">IFERROR(__xludf.DUMMYFUNCTION("""COMPUTED_VALUE"""),"n.t.b.")</f>
        <v>n.t.b.</v>
      </c>
      <c r="H281" s="2">
        <f ca="1">SUMIFS('bedragen KIM (budgettering &amp; pl'!S:S,'bedragen KIM (budgettering &amp; pl'!B:B,A281,'bedragen KIM (budgettering &amp; pl'!F:F,D281)</f>
        <v>200000</v>
      </c>
      <c r="I281" s="2" t="e">
        <f ca="1">SUMIFS(#REF!,#REF!,A281,#REF!,D281)</f>
        <v>#REF!</v>
      </c>
      <c r="J281" s="2" t="e">
        <f ca="1">SUMIFS(#REF!,#REF!,A281,#REF!,D281)</f>
        <v>#REF!</v>
      </c>
    </row>
    <row r="282" spans="1:10" ht="12.5" x14ac:dyDescent="0.25">
      <c r="A282" s="2" t="str">
        <f ca="1">IFERROR(__xludf.DUMMYFUNCTION("""COMPUTED_VALUE"""),"KP/001221")</f>
        <v>KP/001221</v>
      </c>
      <c r="B282" s="2" t="str">
        <f ca="1">IFERROR(__xludf.DUMMYFUNCTION("""COMPUTED_VALUE"""),"Verkeersveiligheid")</f>
        <v>Verkeersveiligheid</v>
      </c>
      <c r="C282" s="2" t="str">
        <f ca="1">IFERROR(__xludf.DUMMYFUNCTION("""COMPUTED_VALUE"""),"Schoolroute")</f>
        <v>Schoolroute</v>
      </c>
      <c r="D282" s="2" t="str">
        <f ca="1">IFERROR(__xludf.DUMMYFUNCTION("""COMPUTED_VALUE"""),"IN/000983")</f>
        <v>IN/000983</v>
      </c>
      <c r="E282" s="2" t="str">
        <f ca="1">IFERROR(__xludf.DUMMYFUNCTION("UNIQUE(FILTER('export kabinetdashboard 1210202'!N:P,'export kabinetdashboard 1210202'!M:M=D282))"),"Voetpad aanpassen tot gedeeld fiets en voetpad")</f>
        <v>Voetpad aanpassen tot gedeeld fiets en voetpad</v>
      </c>
      <c r="F282" s="2" t="str">
        <f ca="1">IFERROR(__xludf.DUMMYFUNCTION("""COMPUTED_VALUE"""),"2022 - Q3")</f>
        <v>2022 - Q3</v>
      </c>
      <c r="G282" s="2" t="str">
        <f ca="1">IFERROR(__xludf.DUMMYFUNCTION("""COMPUTED_VALUE"""),"n.t.b.")</f>
        <v>n.t.b.</v>
      </c>
      <c r="H282" s="2">
        <f ca="1">SUMIFS('bedragen KIM (budgettering &amp; pl'!S:S,'bedragen KIM (budgettering &amp; pl'!B:B,A282,'bedragen KIM (budgettering &amp; pl'!F:F,D282)</f>
        <v>20000</v>
      </c>
      <c r="I282" s="2" t="e">
        <f ca="1">SUMIFS(#REF!,#REF!,A282,#REF!,D282)</f>
        <v>#REF!</v>
      </c>
      <c r="J282" s="2" t="e">
        <f ca="1">SUMIFS(#REF!,#REF!,A282,#REF!,D282)</f>
        <v>#REF!</v>
      </c>
    </row>
    <row r="283" spans="1:10" ht="12.5" x14ac:dyDescent="0.25">
      <c r="A283" s="2" t="str">
        <f ca="1">IFERROR(__xludf.DUMMYFUNCTION("""COMPUTED_VALUE"""),"KP/001222")</f>
        <v>KP/001222</v>
      </c>
      <c r="B283" s="2" t="str">
        <f ca="1">IFERROR(__xludf.DUMMYFUNCTION("""COMPUTED_VALUE"""),"Verkeersveiligheid")</f>
        <v>Verkeersveiligheid</v>
      </c>
      <c r="C283" s="2" t="str">
        <f ca="1">IFERROR(__xludf.DUMMYFUNCTION("""COMPUTED_VALUE"""),"Schoolroute")</f>
        <v>Schoolroute</v>
      </c>
      <c r="D283" s="2" t="str">
        <f ca="1">IFERROR(__xludf.DUMMYFUNCTION("""COMPUTED_VALUE"""),"IN/000984")</f>
        <v>IN/000984</v>
      </c>
      <c r="E283" s="2" t="str">
        <f ca="1">IFERROR(__xludf.DUMMYFUNCTION("UNIQUE(FILTER('export kabinetdashboard 1210202'!N:P,'export kabinetdashboard 1210202'!M:M=D283))"),"Markering haaientanden")</f>
        <v>Markering haaientanden</v>
      </c>
      <c r="F283" s="2" t="str">
        <f ca="1">IFERROR(__xludf.DUMMYFUNCTION("""COMPUTED_VALUE"""),"2022 - Q2")</f>
        <v>2022 - Q2</v>
      </c>
      <c r="G283" s="2" t="str">
        <f ca="1">IFERROR(__xludf.DUMMYFUNCTION("""COMPUTED_VALUE"""),"n.t.b.")</f>
        <v>n.t.b.</v>
      </c>
      <c r="H283" s="2">
        <f ca="1">SUMIFS('bedragen KIM (budgettering &amp; pl'!S:S,'bedragen KIM (budgettering &amp; pl'!B:B,A283,'bedragen KIM (budgettering &amp; pl'!F:F,D283)</f>
        <v>2500</v>
      </c>
      <c r="I283" s="2" t="e">
        <f ca="1">SUMIFS(#REF!,#REF!,A283,#REF!,D283)</f>
        <v>#REF!</v>
      </c>
      <c r="J283" s="2" t="e">
        <f ca="1">SUMIFS(#REF!,#REF!,A283,#REF!,D283)</f>
        <v>#REF!</v>
      </c>
    </row>
    <row r="284" spans="1:10" ht="12.5" x14ac:dyDescent="0.25">
      <c r="A284" s="2" t="str">
        <f ca="1">IFERROR(__xludf.DUMMYFUNCTION("""COMPUTED_VALUE"""),"KP/001223")</f>
        <v>KP/001223</v>
      </c>
      <c r="B284" s="2" t="str">
        <f ca="1">IFERROR(__xludf.DUMMYFUNCTION("""COMPUTED_VALUE"""),"Verkeersveiligheid")</f>
        <v>Verkeersveiligheid</v>
      </c>
      <c r="C284" s="2" t="str">
        <f ca="1">IFERROR(__xludf.DUMMYFUNCTION("""COMPUTED_VALUE"""),"Schoolroute")</f>
        <v>Schoolroute</v>
      </c>
      <c r="D284" s="2" t="str">
        <f ca="1">IFERROR(__xludf.DUMMYFUNCTION("""COMPUTED_VALUE"""),"IN/000985")</f>
        <v>IN/000985</v>
      </c>
      <c r="E284" s="2" t="str">
        <f ca="1">IFERROR(__xludf.DUMMYFUNCTION("UNIQUE(FILTER('export kabinetdashboard 1210202'!N:P,'export kabinetdashboard 1210202'!M:M=D284))"),"Plaatsen van fietslogo's (na vernieuwing asfalt)")</f>
        <v>Plaatsen van fietslogo's (na vernieuwing asfalt)</v>
      </c>
      <c r="F284" s="2" t="str">
        <f ca="1">IFERROR(__xludf.DUMMYFUNCTION("""COMPUTED_VALUE"""),"2023 - Q3")</f>
        <v>2023 - Q3</v>
      </c>
      <c r="G284" s="2" t="str">
        <f ca="1">IFERROR(__xludf.DUMMYFUNCTION("""COMPUTED_VALUE"""),"n.t.b.")</f>
        <v>n.t.b.</v>
      </c>
      <c r="H284" s="2">
        <f ca="1">SUMIFS('bedragen KIM (budgettering &amp; pl'!S:S,'bedragen KIM (budgettering &amp; pl'!B:B,A284,'bedragen KIM (budgettering &amp; pl'!F:F,D284)</f>
        <v>7500</v>
      </c>
      <c r="I284" s="2" t="e">
        <f ca="1">SUMIFS(#REF!,#REF!,A284,#REF!,D284)</f>
        <v>#REF!</v>
      </c>
      <c r="J284" s="2" t="e">
        <f ca="1">SUMIFS(#REF!,#REF!,A284,#REF!,D284)</f>
        <v>#REF!</v>
      </c>
    </row>
    <row r="285" spans="1:10" ht="12.5" x14ac:dyDescent="0.25">
      <c r="A285" s="2" t="str">
        <f ca="1">IFERROR(__xludf.DUMMYFUNCTION("""COMPUTED_VALUE"""),"KP/001226")</f>
        <v>KP/001226</v>
      </c>
      <c r="B285" s="2" t="str">
        <f ca="1">IFERROR(__xludf.DUMMYFUNCTION("""COMPUTED_VALUE"""),"Verkeersveiligheid")</f>
        <v>Verkeersveiligheid</v>
      </c>
      <c r="C285" s="2" t="str">
        <f ca="1">IFERROR(__xludf.DUMMYFUNCTION("""COMPUTED_VALUE"""),"Schoolroute")</f>
        <v>Schoolroute</v>
      </c>
      <c r="D285" s="2" t="str">
        <f ca="1">IFERROR(__xludf.DUMMYFUNCTION("""COMPUTED_VALUE"""),"IN/000986")</f>
        <v>IN/000986</v>
      </c>
      <c r="E285" s="2" t="str">
        <f ca="1">IFERROR(__xludf.DUMMYFUNCTION("UNIQUE(FILTER('export kabinetdashboard 1210202'!N:P,'export kabinetdashboard 1210202'!M:M=D285))"),"Aansluiting met de heraangelegde Kloosterstraat (herinrichting kruispunt)")</f>
        <v>Aansluiting met de heraangelegde Kloosterstraat (herinrichting kruispunt)</v>
      </c>
      <c r="F285" s="2" t="str">
        <f ca="1">IFERROR(__xludf.DUMMYFUNCTION("""COMPUTED_VALUE"""),"2023 - Q2")</f>
        <v>2023 - Q2</v>
      </c>
      <c r="G285" s="2" t="str">
        <f ca="1">IFERROR(__xludf.DUMMYFUNCTION("""COMPUTED_VALUE"""),"n.t.b.")</f>
        <v>n.t.b.</v>
      </c>
      <c r="H285" s="2">
        <f ca="1">SUMIFS('bedragen KIM (budgettering &amp; pl'!S:S,'bedragen KIM (budgettering &amp; pl'!B:B,A285,'bedragen KIM (budgettering &amp; pl'!F:F,D285)</f>
        <v>0</v>
      </c>
      <c r="I285" s="2" t="e">
        <f ca="1">SUMIFS(#REF!,#REF!,A285,#REF!,D285)</f>
        <v>#REF!</v>
      </c>
      <c r="J285" s="2" t="e">
        <f ca="1">SUMIFS(#REF!,#REF!,A285,#REF!,D285)</f>
        <v>#REF!</v>
      </c>
    </row>
    <row r="286" spans="1:10" ht="12.5" x14ac:dyDescent="0.25">
      <c r="A286" s="2" t="str">
        <f ca="1">IFERROR(__xludf.DUMMYFUNCTION("""COMPUTED_VALUE"""),"KP/001228")</f>
        <v>KP/001228</v>
      </c>
      <c r="B286" s="2" t="str">
        <f ca="1">IFERROR(__xludf.DUMMYFUNCTION("""COMPUTED_VALUE"""),"Verkeersveiligheid")</f>
        <v>Verkeersveiligheid</v>
      </c>
      <c r="C286" s="2" t="str">
        <f ca="1">IFERROR(__xludf.DUMMYFUNCTION("""COMPUTED_VALUE"""),"Schoolroute")</f>
        <v>Schoolroute</v>
      </c>
      <c r="D286" s="2" t="str">
        <f ca="1">IFERROR(__xludf.DUMMYFUNCTION("""COMPUTED_VALUE"""),"IN/000987")</f>
        <v>IN/000987</v>
      </c>
      <c r="E286" s="2" t="str">
        <f ca="1">IFERROR(__xludf.DUMMYFUNCTION("UNIQUE(FILTER('export kabinetdashboard 1210202'!N:P,'export kabinetdashboard 1210202'!M:M=D286))"),"")</f>
        <v/>
      </c>
      <c r="F286" s="2" t="str">
        <f ca="1">IFERROR(__xludf.DUMMYFUNCTION("""COMPUTED_VALUE"""),"n.t.b.")</f>
        <v>n.t.b.</v>
      </c>
      <c r="G286" s="2" t="str">
        <f ca="1">IFERROR(__xludf.DUMMYFUNCTION("""COMPUTED_VALUE"""),"n.t.b.")</f>
        <v>n.t.b.</v>
      </c>
      <c r="H286" s="2">
        <f ca="1">SUMIFS('bedragen KIM (budgettering &amp; pl'!S:S,'bedragen KIM (budgettering &amp; pl'!B:B,A286,'bedragen KIM (budgettering &amp; pl'!F:F,D286)</f>
        <v>0</v>
      </c>
      <c r="I286" s="2" t="e">
        <f ca="1">SUMIFS(#REF!,#REF!,A286,#REF!,D286)</f>
        <v>#REF!</v>
      </c>
      <c r="J286" s="2" t="e">
        <f ca="1">SUMIFS(#REF!,#REF!,A286,#REF!,D286)</f>
        <v>#REF!</v>
      </c>
    </row>
    <row r="287" spans="1:10" ht="12.5" x14ac:dyDescent="0.25">
      <c r="A287" s="2" t="str">
        <f ca="1">IFERROR(__xludf.DUMMYFUNCTION("""COMPUTED_VALUE"""),"KP/001229")</f>
        <v>KP/001229</v>
      </c>
      <c r="B287" s="2" t="str">
        <f ca="1">IFERROR(__xludf.DUMMYFUNCTION("""COMPUTED_VALUE"""),"Verkeersveiligheid")</f>
        <v>Verkeersveiligheid</v>
      </c>
      <c r="C287" s="2" t="str">
        <f ca="1">IFERROR(__xludf.DUMMYFUNCTION("""COMPUTED_VALUE"""),"Schoolroute")</f>
        <v>Schoolroute</v>
      </c>
      <c r="D287" s="2" t="str">
        <f ca="1">IFERROR(__xludf.DUMMYFUNCTION("""COMPUTED_VALUE"""),"IN/000988")</f>
        <v>IN/000988</v>
      </c>
      <c r="E287" s="2" t="str">
        <f ca="1">IFERROR(__xludf.DUMMYFUNCTION("UNIQUE(FILTER('export kabinetdashboard 1210202'!N:P,'export kabinetdashboard 1210202'!M:M=D287))"),"")</f>
        <v/>
      </c>
      <c r="F287" s="2" t="str">
        <f ca="1">IFERROR(__xludf.DUMMYFUNCTION("""COMPUTED_VALUE"""),"2023 - Q4")</f>
        <v>2023 - Q4</v>
      </c>
      <c r="G287" s="2" t="str">
        <f ca="1">IFERROR(__xludf.DUMMYFUNCTION("""COMPUTED_VALUE"""),"n.t.b.")</f>
        <v>n.t.b.</v>
      </c>
      <c r="H287" s="2">
        <f ca="1">SUMIFS('bedragen KIM (budgettering &amp; pl'!S:S,'bedragen KIM (budgettering &amp; pl'!B:B,A287,'bedragen KIM (budgettering &amp; pl'!F:F,D287)</f>
        <v>47841.84</v>
      </c>
      <c r="I287" s="2" t="e">
        <f ca="1">SUMIFS(#REF!,#REF!,A287,#REF!,D287)</f>
        <v>#REF!</v>
      </c>
      <c r="J287" s="2" t="e">
        <f ca="1">SUMIFS(#REF!,#REF!,A287,#REF!,D287)</f>
        <v>#REF!</v>
      </c>
    </row>
    <row r="288" spans="1:10" ht="12.5" x14ac:dyDescent="0.25">
      <c r="A288" s="2" t="str">
        <f ca="1">IFERROR(__xludf.DUMMYFUNCTION("""COMPUTED_VALUE"""),"KP/001230")</f>
        <v>KP/001230</v>
      </c>
      <c r="B288" s="2" t="str">
        <f ca="1">IFERROR(__xludf.DUMMYFUNCTION("""COMPUTED_VALUE"""),"Verkeersveiligheid")</f>
        <v>Verkeersveiligheid</v>
      </c>
      <c r="C288" s="2" t="str">
        <f ca="1">IFERROR(__xludf.DUMMYFUNCTION("""COMPUTED_VALUE"""),"Schoolroute")</f>
        <v>Schoolroute</v>
      </c>
      <c r="D288" s="2" t="str">
        <f ca="1">IFERROR(__xludf.DUMMYFUNCTION("""COMPUTED_VALUE"""),"IN/000989")</f>
        <v>IN/000989</v>
      </c>
      <c r="E288" s="2" t="str">
        <f ca="1">IFERROR(__xludf.DUMMYFUNCTION("UNIQUE(FILTER('export kabinetdashboard 1210202'!N:P,'export kabinetdashboard 1210202'!M:M=D288))"),"QW1: Extra signalisatie plaatsen bij de oversteek
QW2: Beide oversteekplaatsen éénrichting maken")</f>
        <v>QW1: Extra signalisatie plaatsen bij de oversteek
QW2: Beide oversteekplaatsen éénrichting maken</v>
      </c>
      <c r="F288" s="2" t="str">
        <f ca="1">IFERROR(__xludf.DUMMYFUNCTION("""COMPUTED_VALUE"""),"2022 - Q3")</f>
        <v>2022 - Q3</v>
      </c>
      <c r="G288" s="2" t="str">
        <f ca="1">IFERROR(__xludf.DUMMYFUNCTION("""COMPUTED_VALUE"""),"2022 - Q3")</f>
        <v>2022 - Q3</v>
      </c>
      <c r="H288" s="2">
        <f ca="1">SUMIFS('bedragen KIM (budgettering &amp; pl'!S:S,'bedragen KIM (budgettering &amp; pl'!B:B,A288,'bedragen KIM (budgettering &amp; pl'!F:F,D288)</f>
        <v>3333</v>
      </c>
      <c r="I288" s="2" t="e">
        <f ca="1">SUMIFS(#REF!,#REF!,A288,#REF!,D288)</f>
        <v>#REF!</v>
      </c>
      <c r="J288" s="2" t="e">
        <f ca="1">SUMIFS(#REF!,#REF!,A288,#REF!,D288)</f>
        <v>#REF!</v>
      </c>
    </row>
    <row r="289" spans="1:10" ht="12.5" x14ac:dyDescent="0.25">
      <c r="A289" s="2" t="str">
        <f ca="1">IFERROR(__xludf.DUMMYFUNCTION("""COMPUTED_VALUE"""),"KP/001231")</f>
        <v>KP/001231</v>
      </c>
      <c r="B289" s="2" t="str">
        <f ca="1">IFERROR(__xludf.DUMMYFUNCTION("""COMPUTED_VALUE"""),"Verkeersveiligheid")</f>
        <v>Verkeersveiligheid</v>
      </c>
      <c r="C289" s="2" t="str">
        <f ca="1">IFERROR(__xludf.DUMMYFUNCTION("""COMPUTED_VALUE"""),"Schoolroute")</f>
        <v>Schoolroute</v>
      </c>
      <c r="D289" s="2" t="str">
        <f ca="1">IFERROR(__xludf.DUMMYFUNCTION("""COMPUTED_VALUE"""),"IN/000990")</f>
        <v>IN/000990</v>
      </c>
      <c r="E289" s="2" t="str">
        <f ca="1">IFERROR(__xludf.DUMMYFUNCTION("UNIQUE(FILTER('export kabinetdashboard 1210202'!N:P,'export kabinetdashboard 1210202'!M:M=D289))"),"")</f>
        <v/>
      </c>
      <c r="F289" s="2" t="str">
        <f ca="1">IFERROR(__xludf.DUMMYFUNCTION("""COMPUTED_VALUE"""),"n.t.b.")</f>
        <v>n.t.b.</v>
      </c>
      <c r="G289" s="2" t="str">
        <f ca="1">IFERROR(__xludf.DUMMYFUNCTION("""COMPUTED_VALUE"""),"n.t.b.")</f>
        <v>n.t.b.</v>
      </c>
      <c r="H289" s="2">
        <f ca="1">SUMIFS('bedragen KIM (budgettering &amp; pl'!S:S,'bedragen KIM (budgettering &amp; pl'!B:B,A289,'bedragen KIM (budgettering &amp; pl'!F:F,D289)</f>
        <v>300000</v>
      </c>
      <c r="I289" s="2" t="e">
        <f ca="1">SUMIFS(#REF!,#REF!,A289,#REF!,D289)</f>
        <v>#REF!</v>
      </c>
      <c r="J289" s="2" t="e">
        <f ca="1">SUMIFS(#REF!,#REF!,A289,#REF!,D289)</f>
        <v>#REF!</v>
      </c>
    </row>
    <row r="290" spans="1:10" ht="12.5" x14ac:dyDescent="0.25">
      <c r="A290" s="2" t="str">
        <f ca="1">IFERROR(__xludf.DUMMYFUNCTION("""COMPUTED_VALUE"""),"KP/001232")</f>
        <v>KP/001232</v>
      </c>
      <c r="B290" s="2" t="str">
        <f ca="1">IFERROR(__xludf.DUMMYFUNCTION("""COMPUTED_VALUE"""),"Verkeersveiligheid")</f>
        <v>Verkeersveiligheid</v>
      </c>
      <c r="C290" s="2" t="str">
        <f ca="1">IFERROR(__xludf.DUMMYFUNCTION("""COMPUTED_VALUE"""),"Schoolroute")</f>
        <v>Schoolroute</v>
      </c>
      <c r="D290" s="2" t="str">
        <f ca="1">IFERROR(__xludf.DUMMYFUNCTION("""COMPUTED_VALUE"""),"IN/000991")</f>
        <v>IN/000991</v>
      </c>
      <c r="E290" s="2" t="str">
        <f ca="1">IFERROR(__xludf.DUMMYFUNCTION("UNIQUE(FILTER('export kabinetdashboard 1210202'!N:P,'export kabinetdashboard 1210202'!M:M=D290))"),"")</f>
        <v/>
      </c>
      <c r="F290" s="2" t="str">
        <f ca="1">IFERROR(__xludf.DUMMYFUNCTION("""COMPUTED_VALUE"""),"2022 - Q4")</f>
        <v>2022 - Q4</v>
      </c>
      <c r="G290" s="2" t="str">
        <f ca="1">IFERROR(__xludf.DUMMYFUNCTION("""COMPUTED_VALUE"""),"n.t.b.")</f>
        <v>n.t.b.</v>
      </c>
      <c r="H290" s="2">
        <f ca="1">SUMIFS('bedragen KIM (budgettering &amp; pl'!S:S,'bedragen KIM (budgettering &amp; pl'!B:B,A290,'bedragen KIM (budgettering &amp; pl'!F:F,D290)</f>
        <v>15000</v>
      </c>
      <c r="I290" s="2" t="e">
        <f ca="1">SUMIFS(#REF!,#REF!,A290,#REF!,D290)</f>
        <v>#REF!</v>
      </c>
      <c r="J290" s="2" t="e">
        <f ca="1">SUMIFS(#REF!,#REF!,A290,#REF!,D290)</f>
        <v>#REF!</v>
      </c>
    </row>
    <row r="291" spans="1:10" ht="12.5" x14ac:dyDescent="0.25">
      <c r="A291" s="2" t="str">
        <f ca="1">IFERROR(__xludf.DUMMYFUNCTION("""COMPUTED_VALUE"""),"KP/001236")</f>
        <v>KP/001236</v>
      </c>
      <c r="B291" s="2" t="str">
        <f ca="1">IFERROR(__xludf.DUMMYFUNCTION("""COMPUTED_VALUE"""),"Verkeersveiligheid")</f>
        <v>Verkeersveiligheid</v>
      </c>
      <c r="C291" s="2" t="str">
        <f ca="1">IFERROR(__xludf.DUMMYFUNCTION("""COMPUTED_VALUE"""),"Schoolroute")</f>
        <v>Schoolroute</v>
      </c>
      <c r="D291" s="2" t="str">
        <f ca="1">IFERROR(__xludf.DUMMYFUNCTION("""COMPUTED_VALUE"""),"IN/000992")</f>
        <v>IN/000992</v>
      </c>
      <c r="E291" s="2" t="str">
        <f ca="1">IFERROR(__xludf.DUMMYFUNCTION("UNIQUE(FILTER('export kabinetdashboard 1210202'!N:P,'export kabinetdashboard 1210202'!M:M=D291))"),"")</f>
        <v/>
      </c>
      <c r="F291" s="2" t="str">
        <f ca="1">IFERROR(__xludf.DUMMYFUNCTION("""COMPUTED_VALUE"""),"2022 - Q3")</f>
        <v>2022 - Q3</v>
      </c>
      <c r="G291" s="2" t="str">
        <f ca="1">IFERROR(__xludf.DUMMYFUNCTION("""COMPUTED_VALUE"""),"n.t.b.")</f>
        <v>n.t.b.</v>
      </c>
      <c r="H291" s="2">
        <f ca="1">SUMIFS('bedragen KIM (budgettering &amp; pl'!S:S,'bedragen KIM (budgettering &amp; pl'!B:B,A291,'bedragen KIM (budgettering &amp; pl'!F:F,D291)</f>
        <v>85000</v>
      </c>
      <c r="I291" s="2" t="e">
        <f ca="1">SUMIFS(#REF!,#REF!,A291,#REF!,D291)</f>
        <v>#REF!</v>
      </c>
      <c r="J291" s="2" t="e">
        <f ca="1">SUMIFS(#REF!,#REF!,A291,#REF!,D291)</f>
        <v>#REF!</v>
      </c>
    </row>
    <row r="292" spans="1:10" ht="12.5" x14ac:dyDescent="0.25">
      <c r="A292" s="2" t="str">
        <f ca="1">IFERROR(__xludf.DUMMYFUNCTION("""COMPUTED_VALUE"""),"KP/001237")</f>
        <v>KP/001237</v>
      </c>
      <c r="B292" s="2" t="str">
        <f ca="1">IFERROR(__xludf.DUMMYFUNCTION("""COMPUTED_VALUE"""),"Verkeersveiligheid")</f>
        <v>Verkeersveiligheid</v>
      </c>
      <c r="C292" s="2" t="str">
        <f ca="1">IFERROR(__xludf.DUMMYFUNCTION("""COMPUTED_VALUE"""),"Schoolroute")</f>
        <v>Schoolroute</v>
      </c>
      <c r="D292" s="2" t="str">
        <f ca="1">IFERROR(__xludf.DUMMYFUNCTION("""COMPUTED_VALUE"""),"IN/000993")</f>
        <v>IN/000993</v>
      </c>
      <c r="E292" s="2" t="str">
        <f ca="1">IFERROR(__xludf.DUMMYFUNCTION("UNIQUE(FILTER('export kabinetdashboard 1210202'!N:P,'export kabinetdashboard 1210202'!M:M=D292))"),"")</f>
        <v/>
      </c>
      <c r="F292" s="2" t="str">
        <f ca="1">IFERROR(__xludf.DUMMYFUNCTION("""COMPUTED_VALUE"""),"2022 - Q1")</f>
        <v>2022 - Q1</v>
      </c>
      <c r="G292" s="2" t="str">
        <f ca="1">IFERROR(__xludf.DUMMYFUNCTION("""COMPUTED_VALUE"""),"n.t.b.")</f>
        <v>n.t.b.</v>
      </c>
      <c r="H292" s="2">
        <f ca="1">SUMIFS('bedragen KIM (budgettering &amp; pl'!S:S,'bedragen KIM (budgettering &amp; pl'!B:B,A292,'bedragen KIM (budgettering &amp; pl'!F:F,D292)</f>
        <v>35000</v>
      </c>
      <c r="I292" s="2" t="e">
        <f ca="1">SUMIFS(#REF!,#REF!,A292,#REF!,D292)</f>
        <v>#REF!</v>
      </c>
      <c r="J292" s="2" t="e">
        <f ca="1">SUMIFS(#REF!,#REF!,A292,#REF!,D292)</f>
        <v>#REF!</v>
      </c>
    </row>
    <row r="293" spans="1:10" ht="12.5" x14ac:dyDescent="0.25">
      <c r="A293" s="2" t="str">
        <f ca="1">IFERROR(__xludf.DUMMYFUNCTION("""COMPUTED_VALUE"""),"KP/001238")</f>
        <v>KP/001238</v>
      </c>
      <c r="B293" s="2" t="str">
        <f ca="1">IFERROR(__xludf.DUMMYFUNCTION("""COMPUTED_VALUE"""),"Verkeersveiligheid")</f>
        <v>Verkeersveiligheid</v>
      </c>
      <c r="C293" s="2" t="str">
        <f ca="1">IFERROR(__xludf.DUMMYFUNCTION("""COMPUTED_VALUE"""),"Schoolroute")</f>
        <v>Schoolroute</v>
      </c>
      <c r="D293" s="2" t="str">
        <f ca="1">IFERROR(__xludf.DUMMYFUNCTION("""COMPUTED_VALUE"""),"IN/000994")</f>
        <v>IN/000994</v>
      </c>
      <c r="E293" s="2" t="str">
        <f ca="1">IFERROR(__xludf.DUMMYFUNCTION("UNIQUE(FILTER('export kabinetdashboard 1210202'!N:P,'export kabinetdashboard 1210202'!M:M=D293))"),"")</f>
        <v/>
      </c>
      <c r="F293" s="2" t="str">
        <f ca="1">IFERROR(__xludf.DUMMYFUNCTION("""COMPUTED_VALUE"""),"2022 - Q1")</f>
        <v>2022 - Q1</v>
      </c>
      <c r="G293" s="2" t="str">
        <f ca="1">IFERROR(__xludf.DUMMYFUNCTION("""COMPUTED_VALUE"""),"n.t.b.")</f>
        <v>n.t.b.</v>
      </c>
      <c r="H293" s="2">
        <f ca="1">SUMIFS('bedragen KIM (budgettering &amp; pl'!S:S,'bedragen KIM (budgettering &amp; pl'!B:B,A293,'bedragen KIM (budgettering &amp; pl'!F:F,D293)</f>
        <v>35000</v>
      </c>
      <c r="I293" s="2" t="e">
        <f ca="1">SUMIFS(#REF!,#REF!,A293,#REF!,D293)</f>
        <v>#REF!</v>
      </c>
      <c r="J293" s="2" t="e">
        <f ca="1">SUMIFS(#REF!,#REF!,A293,#REF!,D293)</f>
        <v>#REF!</v>
      </c>
    </row>
    <row r="294" spans="1:10" ht="12.5" x14ac:dyDescent="0.25">
      <c r="A294" s="2" t="str">
        <f ca="1">IFERROR(__xludf.DUMMYFUNCTION("""COMPUTED_VALUE"""),"KP/001240")</f>
        <v>KP/001240</v>
      </c>
      <c r="B294" s="2" t="str">
        <f ca="1">IFERROR(__xludf.DUMMYFUNCTION("""COMPUTED_VALUE"""),"Verkeersveiligheid")</f>
        <v>Verkeersveiligheid</v>
      </c>
      <c r="C294" s="2" t="str">
        <f ca="1">IFERROR(__xludf.DUMMYFUNCTION("""COMPUTED_VALUE"""),"Schoolroute")</f>
        <v>Schoolroute</v>
      </c>
      <c r="D294" s="2" t="str">
        <f ca="1">IFERROR(__xludf.DUMMYFUNCTION("""COMPUTED_VALUE"""),"IN/000995")</f>
        <v>IN/000995</v>
      </c>
      <c r="E294" s="2" t="str">
        <f ca="1">IFERROR(__xludf.DUMMYFUNCTION("UNIQUE(FILTER('export kabinetdashboard 1210202'!N:P,'export kabinetdashboard 1210202'!M:M=D294))"),"Fietsoversteekplaats met fietslogo verbindingsmarkering zonder VOP")</f>
        <v>Fietsoversteekplaats met fietslogo verbindingsmarkering zonder VOP</v>
      </c>
      <c r="F294" s="2" t="str">
        <f ca="1">IFERROR(__xludf.DUMMYFUNCTION("""COMPUTED_VALUE"""),"2023 - Q4")</f>
        <v>2023 - Q4</v>
      </c>
      <c r="G294" s="2" t="str">
        <f ca="1">IFERROR(__xludf.DUMMYFUNCTION("""COMPUTED_VALUE"""),"n.t.b.")</f>
        <v>n.t.b.</v>
      </c>
      <c r="H294" s="2">
        <f ca="1">SUMIFS('bedragen KIM (budgettering &amp; pl'!S:S,'bedragen KIM (budgettering &amp; pl'!B:B,A294,'bedragen KIM (budgettering &amp; pl'!F:F,D294)</f>
        <v>40403</v>
      </c>
      <c r="I294" s="2" t="e">
        <f ca="1">SUMIFS(#REF!,#REF!,A294,#REF!,D294)</f>
        <v>#REF!</v>
      </c>
      <c r="J294" s="2" t="e">
        <f ca="1">SUMIFS(#REF!,#REF!,A294,#REF!,D294)</f>
        <v>#REF!</v>
      </c>
    </row>
    <row r="295" spans="1:10" ht="12.5" x14ac:dyDescent="0.25">
      <c r="A295" s="2" t="str">
        <f ca="1">IFERROR(__xludf.DUMMYFUNCTION("""COMPUTED_VALUE"""),"KP/001241")</f>
        <v>KP/001241</v>
      </c>
      <c r="B295" s="2" t="str">
        <f ca="1">IFERROR(__xludf.DUMMYFUNCTION("""COMPUTED_VALUE"""),"Verkeersveiligheid")</f>
        <v>Verkeersveiligheid</v>
      </c>
      <c r="C295" s="2" t="str">
        <f ca="1">IFERROR(__xludf.DUMMYFUNCTION("""COMPUTED_VALUE"""),"Schoolroute")</f>
        <v>Schoolroute</v>
      </c>
      <c r="D295" s="2" t="str">
        <f ca="1">IFERROR(__xludf.DUMMYFUNCTION("""COMPUTED_VALUE"""),"IN/000996")</f>
        <v>IN/000996</v>
      </c>
      <c r="E295" s="2" t="str">
        <f ca="1">IFERROR(__xludf.DUMMYFUNCTION("UNIQUE(FILTER('export kabinetdashboard 1210202'!N:P,'export kabinetdashboard 1210202'!M:M=D295))"),"")</f>
        <v/>
      </c>
      <c r="F295" s="2" t="str">
        <f ca="1">IFERROR(__xludf.DUMMYFUNCTION("""COMPUTED_VALUE"""),"2022 - Q4")</f>
        <v>2022 - Q4</v>
      </c>
      <c r="G295" s="2" t="str">
        <f ca="1">IFERROR(__xludf.DUMMYFUNCTION("""COMPUTED_VALUE"""),"n.t.b.")</f>
        <v>n.t.b.</v>
      </c>
      <c r="H295" s="2">
        <f ca="1">SUMIFS('bedragen KIM (budgettering &amp; pl'!S:S,'bedragen KIM (budgettering &amp; pl'!B:B,A295,'bedragen KIM (budgettering &amp; pl'!F:F,D295)</f>
        <v>5000</v>
      </c>
      <c r="I295" s="2" t="e">
        <f ca="1">SUMIFS(#REF!,#REF!,A295,#REF!,D295)</f>
        <v>#REF!</v>
      </c>
      <c r="J295" s="2" t="e">
        <f ca="1">SUMIFS(#REF!,#REF!,A295,#REF!,D295)</f>
        <v>#REF!</v>
      </c>
    </row>
    <row r="296" spans="1:10" ht="12.5" x14ac:dyDescent="0.25">
      <c r="A296" s="2" t="str">
        <f ca="1">IFERROR(__xludf.DUMMYFUNCTION("""COMPUTED_VALUE"""),"KP/001243")</f>
        <v>KP/001243</v>
      </c>
      <c r="B296" s="2" t="str">
        <f ca="1">IFERROR(__xludf.DUMMYFUNCTION("""COMPUTED_VALUE"""),"Verkeersveiligheid")</f>
        <v>Verkeersveiligheid</v>
      </c>
      <c r="C296" s="2" t="str">
        <f ca="1">IFERROR(__xludf.DUMMYFUNCTION("""COMPUTED_VALUE"""),"Schoolroute")</f>
        <v>Schoolroute</v>
      </c>
      <c r="D296" s="2" t="str">
        <f ca="1">IFERROR(__xludf.DUMMYFUNCTION("""COMPUTED_VALUE"""),"IN/000997")</f>
        <v>IN/000997</v>
      </c>
      <c r="E296" s="2" t="str">
        <f ca="1">IFERROR(__xludf.DUMMYFUNCTION("UNIQUE(FILTER('export kabinetdashboard 1210202'!N:P,'export kabinetdashboard 1210202'!M:M=D296))"),"QW1 snelheidsverlaging 50km/u wordt weerhouden.
QW2 oversteekplaats voor voetgangers aan de westzijde van kruispunt")</f>
        <v>QW1 snelheidsverlaging 50km/u wordt weerhouden.
QW2 oversteekplaats voor voetgangers aan de westzijde van kruispunt</v>
      </c>
      <c r="F296" s="2" t="str">
        <f ca="1">IFERROR(__xludf.DUMMYFUNCTION("""COMPUTED_VALUE"""),"2023 - Q1")</f>
        <v>2023 - Q1</v>
      </c>
      <c r="G296" s="2" t="str">
        <f ca="1">IFERROR(__xludf.DUMMYFUNCTION("""COMPUTED_VALUE"""),"n.t.b.")</f>
        <v>n.t.b.</v>
      </c>
      <c r="H296" s="2">
        <f ca="1">SUMIFS('bedragen KIM (budgettering &amp; pl'!S:S,'bedragen KIM (budgettering &amp; pl'!B:B,A296,'bedragen KIM (budgettering &amp; pl'!F:F,D296)</f>
        <v>42027</v>
      </c>
      <c r="I296" s="2" t="e">
        <f ca="1">SUMIFS(#REF!,#REF!,A296,#REF!,D296)</f>
        <v>#REF!</v>
      </c>
      <c r="J296" s="2" t="e">
        <f ca="1">SUMIFS(#REF!,#REF!,A296,#REF!,D296)</f>
        <v>#REF!</v>
      </c>
    </row>
    <row r="297" spans="1:10" ht="12.5" x14ac:dyDescent="0.25">
      <c r="A297" s="2" t="str">
        <f ca="1">IFERROR(__xludf.DUMMYFUNCTION("""COMPUTED_VALUE"""),"KP/001246")</f>
        <v>KP/001246</v>
      </c>
      <c r="B297" s="2" t="str">
        <f ca="1">IFERROR(__xludf.DUMMYFUNCTION("""COMPUTED_VALUE"""),"Verkeersveiligheid")</f>
        <v>Verkeersveiligheid</v>
      </c>
      <c r="C297" s="2" t="str">
        <f ca="1">IFERROR(__xludf.DUMMYFUNCTION("""COMPUTED_VALUE"""),"Schoolroute")</f>
        <v>Schoolroute</v>
      </c>
      <c r="D297" s="2" t="str">
        <f ca="1">IFERROR(__xludf.DUMMYFUNCTION("""COMPUTED_VALUE"""),"IN/000998")</f>
        <v>IN/000998</v>
      </c>
      <c r="E297" s="2" t="str">
        <f ca="1">IFERROR(__xludf.DUMMYFUNCTION("UNIQUE(FILTER('export kabinetdashboard 1210202'!N:P,'export kabinetdashboard 1210202'!M:M=D297))"),"Nieuwe toplaag asfalt + slemlaag")</f>
        <v>Nieuwe toplaag asfalt + slemlaag</v>
      </c>
      <c r="F297" s="2" t="str">
        <f ca="1">IFERROR(__xludf.DUMMYFUNCTION("""COMPUTED_VALUE"""),"2023 - Q2")</f>
        <v>2023 - Q2</v>
      </c>
      <c r="G297" s="2" t="str">
        <f ca="1">IFERROR(__xludf.DUMMYFUNCTION("""COMPUTED_VALUE"""),"n.t.b.")</f>
        <v>n.t.b.</v>
      </c>
      <c r="H297" s="2">
        <f ca="1">SUMIFS('bedragen KIM (budgettering &amp; pl'!S:S,'bedragen KIM (budgettering &amp; pl'!B:B,A297,'bedragen KIM (budgettering &amp; pl'!F:F,D297)</f>
        <v>75000</v>
      </c>
      <c r="I297" s="2" t="e">
        <f ca="1">SUMIFS(#REF!,#REF!,A297,#REF!,D297)</f>
        <v>#REF!</v>
      </c>
      <c r="J297" s="2" t="e">
        <f ca="1">SUMIFS(#REF!,#REF!,A297,#REF!,D297)</f>
        <v>#REF!</v>
      </c>
    </row>
    <row r="298" spans="1:10" ht="12.5" x14ac:dyDescent="0.25">
      <c r="A298" s="2" t="str">
        <f ca="1">IFERROR(__xludf.DUMMYFUNCTION("""COMPUTED_VALUE"""),"KP/001249")</f>
        <v>KP/001249</v>
      </c>
      <c r="B298" s="2" t="str">
        <f ca="1">IFERROR(__xludf.DUMMYFUNCTION("""COMPUTED_VALUE"""),"Verkeersveiligheid")</f>
        <v>Verkeersveiligheid</v>
      </c>
      <c r="C298" s="2" t="str">
        <f ca="1">IFERROR(__xludf.DUMMYFUNCTION("""COMPUTED_VALUE"""),"Schoolroute")</f>
        <v>Schoolroute</v>
      </c>
      <c r="D298" s="2" t="str">
        <f ca="1">IFERROR(__xludf.DUMMYFUNCTION("""COMPUTED_VALUE"""),"IN/000999")</f>
        <v>IN/000999</v>
      </c>
      <c r="E298" s="2" t="str">
        <f ca="1">IFERROR(__xludf.DUMMYFUNCTION("UNIQUE(FILTER('export kabinetdashboard 1210202'!N:P,'export kabinetdashboard 1210202'!M:M=D298))"),"")</f>
        <v/>
      </c>
      <c r="F298" s="2" t="str">
        <f ca="1">IFERROR(__xludf.DUMMYFUNCTION("""COMPUTED_VALUE"""),"2021 - Q4")</f>
        <v>2021 - Q4</v>
      </c>
      <c r="G298" s="2" t="str">
        <f ca="1">IFERROR(__xludf.DUMMYFUNCTION("""COMPUTED_VALUE"""),"2021 - Q4")</f>
        <v>2021 - Q4</v>
      </c>
      <c r="H298" s="2">
        <f ca="1">SUMIFS('bedragen KIM (budgettering &amp; pl'!S:S,'bedragen KIM (budgettering &amp; pl'!B:B,A298,'bedragen KIM (budgettering &amp; pl'!F:F,D298)</f>
        <v>2500</v>
      </c>
      <c r="I298" s="2" t="e">
        <f ca="1">SUMIFS(#REF!,#REF!,A298,#REF!,D298)</f>
        <v>#REF!</v>
      </c>
      <c r="J298" s="2" t="e">
        <f ca="1">SUMIFS(#REF!,#REF!,A298,#REF!,D298)</f>
        <v>#REF!</v>
      </c>
    </row>
    <row r="299" spans="1:10" ht="12.5" x14ac:dyDescent="0.25">
      <c r="A299" s="2" t="str">
        <f ca="1">IFERROR(__xludf.DUMMYFUNCTION("""COMPUTED_VALUE"""),"KP/001250")</f>
        <v>KP/001250</v>
      </c>
      <c r="B299" s="2" t="str">
        <f ca="1">IFERROR(__xludf.DUMMYFUNCTION("""COMPUTED_VALUE"""),"Verkeersveiligheid")</f>
        <v>Verkeersveiligheid</v>
      </c>
      <c r="C299" s="2" t="str">
        <f ca="1">IFERROR(__xludf.DUMMYFUNCTION("""COMPUTED_VALUE"""),"Schoolroute")</f>
        <v>Schoolroute</v>
      </c>
      <c r="D299" s="2" t="str">
        <f ca="1">IFERROR(__xludf.DUMMYFUNCTION("""COMPUTED_VALUE"""),"IN/001000")</f>
        <v>IN/001000</v>
      </c>
      <c r="E299" s="2" t="str">
        <f ca="1">IFERROR(__xludf.DUMMYFUNCTION("UNIQUE(FILTER('export kabinetdashboard 1210202'!N:P,'export kabinetdashboard 1210202'!M:M=D299))"),"")</f>
        <v/>
      </c>
      <c r="F299" s="2" t="str">
        <f ca="1">IFERROR(__xludf.DUMMYFUNCTION("""COMPUTED_VALUE"""),"n.t.b.")</f>
        <v>n.t.b.</v>
      </c>
      <c r="G299" s="2" t="str">
        <f ca="1">IFERROR(__xludf.DUMMYFUNCTION("""COMPUTED_VALUE"""),"n.t.b.")</f>
        <v>n.t.b.</v>
      </c>
      <c r="H299" s="2">
        <f ca="1">SUMIFS('bedragen KIM (budgettering &amp; pl'!S:S,'bedragen KIM (budgettering &amp; pl'!B:B,A299,'bedragen KIM (budgettering &amp; pl'!F:F,D299)</f>
        <v>8000</v>
      </c>
      <c r="I299" s="2" t="e">
        <f ca="1">SUMIFS(#REF!,#REF!,A299,#REF!,D299)</f>
        <v>#REF!</v>
      </c>
      <c r="J299" s="2" t="e">
        <f ca="1">SUMIFS(#REF!,#REF!,A299,#REF!,D299)</f>
        <v>#REF!</v>
      </c>
    </row>
    <row r="300" spans="1:10" ht="12.5" x14ac:dyDescent="0.25">
      <c r="A300" s="2" t="str">
        <f ca="1">IFERROR(__xludf.DUMMYFUNCTION("""COMPUTED_VALUE"""),"KP/001251")</f>
        <v>KP/001251</v>
      </c>
      <c r="B300" s="2" t="str">
        <f ca="1">IFERROR(__xludf.DUMMYFUNCTION("""COMPUTED_VALUE"""),"Verkeersveiligheid")</f>
        <v>Verkeersveiligheid</v>
      </c>
      <c r="C300" s="2" t="str">
        <f ca="1">IFERROR(__xludf.DUMMYFUNCTION("""COMPUTED_VALUE"""),"Schoolroute")</f>
        <v>Schoolroute</v>
      </c>
      <c r="D300" s="2" t="str">
        <f ca="1">IFERROR(__xludf.DUMMYFUNCTION("""COMPUTED_VALUE"""),"IN/001001")</f>
        <v>IN/001001</v>
      </c>
      <c r="E300" s="2" t="str">
        <f ca="1">IFERROR(__xludf.DUMMYFUNCTION("UNIQUE(FILTER('export kabinetdashboard 1210202'!N:P,'export kabinetdashboard 1210202'!M:M=D300))"),"")</f>
        <v/>
      </c>
      <c r="F300" s="2" t="str">
        <f ca="1">IFERROR(__xludf.DUMMYFUNCTION("""COMPUTED_VALUE"""),"2021 - Q4")</f>
        <v>2021 - Q4</v>
      </c>
      <c r="G300" s="2" t="str">
        <f ca="1">IFERROR(__xludf.DUMMYFUNCTION("""COMPUTED_VALUE"""),"n.t.b.")</f>
        <v>n.t.b.</v>
      </c>
      <c r="H300" s="2">
        <f ca="1">SUMIFS('bedragen KIM (budgettering &amp; pl'!S:S,'bedragen KIM (budgettering &amp; pl'!B:B,A300,'bedragen KIM (budgettering &amp; pl'!F:F,D300)</f>
        <v>0</v>
      </c>
      <c r="I300" s="2" t="e">
        <f ca="1">SUMIFS(#REF!,#REF!,A300,#REF!,D300)</f>
        <v>#REF!</v>
      </c>
      <c r="J300" s="2" t="e">
        <f ca="1">SUMIFS(#REF!,#REF!,A300,#REF!,D300)</f>
        <v>#REF!</v>
      </c>
    </row>
    <row r="301" spans="1:10" ht="12.5" x14ac:dyDescent="0.25">
      <c r="A301" s="2" t="str">
        <f ca="1">IFERROR(__xludf.DUMMYFUNCTION("""COMPUTED_VALUE"""),"KP/001253")</f>
        <v>KP/001253</v>
      </c>
      <c r="B301" s="2" t="str">
        <f ca="1">IFERROR(__xludf.DUMMYFUNCTION("""COMPUTED_VALUE"""),"Verkeersveiligheid")</f>
        <v>Verkeersveiligheid</v>
      </c>
      <c r="C301" s="2" t="str">
        <f ca="1">IFERROR(__xludf.DUMMYFUNCTION("""COMPUTED_VALUE"""),"Schoolroute")</f>
        <v>Schoolroute</v>
      </c>
      <c r="D301" s="2" t="str">
        <f ca="1">IFERROR(__xludf.DUMMYFUNCTION("""COMPUTED_VALUE"""),"IN/001002")</f>
        <v>IN/001002</v>
      </c>
      <c r="E301" s="2" t="str">
        <f ca="1">IFERROR(__xludf.DUMMYFUNCTION("UNIQUE(FILTER('export kabinetdashboard 1210202'!N:P,'export kabinetdashboard 1210202'!M:M=D301))"),"")</f>
        <v/>
      </c>
      <c r="F301" s="2" t="str">
        <f ca="1">IFERROR(__xludf.DUMMYFUNCTION("""COMPUTED_VALUE"""),"n.t.b.")</f>
        <v>n.t.b.</v>
      </c>
      <c r="G301" s="2" t="str">
        <f ca="1">IFERROR(__xludf.DUMMYFUNCTION("""COMPUTED_VALUE"""),"n.t.b.")</f>
        <v>n.t.b.</v>
      </c>
      <c r="H301" s="2">
        <f ca="1">SUMIFS('bedragen KIM (budgettering &amp; pl'!S:S,'bedragen KIM (budgettering &amp; pl'!B:B,A301,'bedragen KIM (budgettering &amp; pl'!F:F,D301)</f>
        <v>2500</v>
      </c>
      <c r="I301" s="2" t="e">
        <f ca="1">SUMIFS(#REF!,#REF!,A301,#REF!,D301)</f>
        <v>#REF!</v>
      </c>
      <c r="J301" s="2" t="e">
        <f ca="1">SUMIFS(#REF!,#REF!,A301,#REF!,D301)</f>
        <v>#REF!</v>
      </c>
    </row>
    <row r="302" spans="1:10" ht="12.5" x14ac:dyDescent="0.25">
      <c r="A302" s="2" t="str">
        <f ca="1">IFERROR(__xludf.DUMMYFUNCTION("""COMPUTED_VALUE"""),"KP/001254")</f>
        <v>KP/001254</v>
      </c>
      <c r="B302" s="2" t="str">
        <f ca="1">IFERROR(__xludf.DUMMYFUNCTION("""COMPUTED_VALUE"""),"Verkeersveiligheid")</f>
        <v>Verkeersveiligheid</v>
      </c>
      <c r="C302" s="2" t="str">
        <f ca="1">IFERROR(__xludf.DUMMYFUNCTION("""COMPUTED_VALUE"""),"Schoolroute")</f>
        <v>Schoolroute</v>
      </c>
      <c r="D302" s="2" t="str">
        <f ca="1">IFERROR(__xludf.DUMMYFUNCTION("""COMPUTED_VALUE"""),"IN/001003")</f>
        <v>IN/001003</v>
      </c>
      <c r="E302" s="2" t="str">
        <f ca="1">IFERROR(__xludf.DUMMYFUNCTION("UNIQUE(FILTER('export kabinetdashboard 1210202'!N:P,'export kabinetdashboard 1210202'!M:M=D302))"),"")</f>
        <v/>
      </c>
      <c r="F302" s="2" t="str">
        <f ca="1">IFERROR(__xludf.DUMMYFUNCTION("""COMPUTED_VALUE"""),"2021 - Q4")</f>
        <v>2021 - Q4</v>
      </c>
      <c r="G302" s="2" t="str">
        <f ca="1">IFERROR(__xludf.DUMMYFUNCTION("""COMPUTED_VALUE"""),"2022 - Q2")</f>
        <v>2022 - Q2</v>
      </c>
      <c r="H302" s="2">
        <f ca="1">SUMIFS('bedragen KIM (budgettering &amp; pl'!S:S,'bedragen KIM (budgettering &amp; pl'!B:B,A302,'bedragen KIM (budgettering &amp; pl'!F:F,D302)</f>
        <v>2500</v>
      </c>
      <c r="I302" s="2" t="e">
        <f ca="1">SUMIFS(#REF!,#REF!,A302,#REF!,D302)</f>
        <v>#REF!</v>
      </c>
      <c r="J302" s="2" t="e">
        <f ca="1">SUMIFS(#REF!,#REF!,A302,#REF!,D302)</f>
        <v>#REF!</v>
      </c>
    </row>
    <row r="303" spans="1:10" ht="12.5" x14ac:dyDescent="0.25">
      <c r="A303" s="2" t="str">
        <f ca="1">IFERROR(__xludf.DUMMYFUNCTION("""COMPUTED_VALUE"""),"KP/001255")</f>
        <v>KP/001255</v>
      </c>
      <c r="B303" s="2" t="str">
        <f ca="1">IFERROR(__xludf.DUMMYFUNCTION("""COMPUTED_VALUE"""),"Verkeersveiligheid")</f>
        <v>Verkeersveiligheid</v>
      </c>
      <c r="C303" s="2" t="str">
        <f ca="1">IFERROR(__xludf.DUMMYFUNCTION("""COMPUTED_VALUE"""),"Schoolroute")</f>
        <v>Schoolroute</v>
      </c>
      <c r="D303" s="2" t="str">
        <f ca="1">IFERROR(__xludf.DUMMYFUNCTION("""COMPUTED_VALUE"""),"IN/001004")</f>
        <v>IN/001004</v>
      </c>
      <c r="E303" s="2" t="str">
        <f ca="1">IFERROR(__xludf.DUMMYFUNCTION("UNIQUE(FILTER('export kabinetdashboard 1210202'!N:P,'export kabinetdashboard 1210202'!M:M=D303))"),"aslijn verwijderen, aanbrengen fietslogo's en overgang van fietspad naar logo's met okerstrook.")</f>
        <v>aslijn verwijderen, aanbrengen fietslogo's en overgang van fietspad naar logo's met okerstrook.</v>
      </c>
      <c r="F303" s="2" t="str">
        <f ca="1">IFERROR(__xludf.DUMMYFUNCTION("""COMPUTED_VALUE"""),"2021 - Q4")</f>
        <v>2021 - Q4</v>
      </c>
      <c r="G303" s="2" t="str">
        <f ca="1">IFERROR(__xludf.DUMMYFUNCTION("""COMPUTED_VALUE"""),"2021 - Q2")</f>
        <v>2021 - Q2</v>
      </c>
      <c r="H303" s="2">
        <f ca="1">SUMIFS('bedragen KIM (budgettering &amp; pl'!S:S,'bedragen KIM (budgettering &amp; pl'!B:B,A303,'bedragen KIM (budgettering &amp; pl'!F:F,D303)</f>
        <v>1719.16</v>
      </c>
      <c r="I303" s="2" t="e">
        <f ca="1">SUMIFS(#REF!,#REF!,A303,#REF!,D303)</f>
        <v>#REF!</v>
      </c>
      <c r="J303" s="2" t="e">
        <f ca="1">SUMIFS(#REF!,#REF!,A303,#REF!,D303)</f>
        <v>#REF!</v>
      </c>
    </row>
    <row r="304" spans="1:10" ht="12.5" x14ac:dyDescent="0.25">
      <c r="A304" s="2" t="str">
        <f ca="1">IFERROR(__xludf.DUMMYFUNCTION("""COMPUTED_VALUE"""),"KP/001256")</f>
        <v>KP/001256</v>
      </c>
      <c r="B304" s="2" t="str">
        <f ca="1">IFERROR(__xludf.DUMMYFUNCTION("""COMPUTED_VALUE"""),"Verkeersveiligheid")</f>
        <v>Verkeersveiligheid</v>
      </c>
      <c r="C304" s="2" t="str">
        <f ca="1">IFERROR(__xludf.DUMMYFUNCTION("""COMPUTED_VALUE"""),"Schoolroute")</f>
        <v>Schoolroute</v>
      </c>
      <c r="D304" s="2" t="str">
        <f ca="1">IFERROR(__xludf.DUMMYFUNCTION("""COMPUTED_VALUE"""),"IN/001005")</f>
        <v>IN/001005</v>
      </c>
      <c r="E304" s="2" t="str">
        <f ca="1">IFERROR(__xludf.DUMMYFUNCTION("UNIQUE(FILTER('export kabinetdashboard 1210202'!N:P,'export kabinetdashboard 1210202'!M:M=D304))"),"fietsoversteekplaatsen (3 x) inclusief afschuinen boordstenen + boorden ruwer maken")</f>
        <v>fietsoversteekplaatsen (3 x) inclusief afschuinen boordstenen + boorden ruwer maken</v>
      </c>
      <c r="F304" s="2" t="str">
        <f ca="1">IFERROR(__xludf.DUMMYFUNCTION("""COMPUTED_VALUE"""),"2022 - Q3")</f>
        <v>2022 - Q3</v>
      </c>
      <c r="G304" s="2" t="str">
        <f ca="1">IFERROR(__xludf.DUMMYFUNCTION("""COMPUTED_VALUE"""),"n.t.b.")</f>
        <v>n.t.b.</v>
      </c>
      <c r="H304" s="2">
        <f ca="1">SUMIFS('bedragen KIM (budgettering &amp; pl'!S:S,'bedragen KIM (budgettering &amp; pl'!B:B,A304,'bedragen KIM (budgettering &amp; pl'!F:F,D304)</f>
        <v>200000</v>
      </c>
      <c r="I304" s="2" t="e">
        <f ca="1">SUMIFS(#REF!,#REF!,A304,#REF!,D304)</f>
        <v>#REF!</v>
      </c>
      <c r="J304" s="2" t="e">
        <f ca="1">SUMIFS(#REF!,#REF!,A304,#REF!,D304)</f>
        <v>#REF!</v>
      </c>
    </row>
    <row r="305" spans="1:10" ht="12.5" x14ac:dyDescent="0.25">
      <c r="A305" s="2" t="str">
        <f ca="1">IFERROR(__xludf.DUMMYFUNCTION("""COMPUTED_VALUE"""),"KP/001258")</f>
        <v>KP/001258</v>
      </c>
      <c r="B305" s="2" t="str">
        <f ca="1">IFERROR(__xludf.DUMMYFUNCTION("""COMPUTED_VALUE"""),"Verkeersveiligheid")</f>
        <v>Verkeersveiligheid</v>
      </c>
      <c r="C305" s="2" t="str">
        <f ca="1">IFERROR(__xludf.DUMMYFUNCTION("""COMPUTED_VALUE"""),"Schoolroute")</f>
        <v>Schoolroute</v>
      </c>
      <c r="D305" s="2" t="str">
        <f ca="1">IFERROR(__xludf.DUMMYFUNCTION("""COMPUTED_VALUE"""),"IN/001006")</f>
        <v>IN/001006</v>
      </c>
      <c r="E305" s="2" t="str">
        <f ca="1">IFERROR(__xludf.DUMMYFUNCTION("UNIQUE(FILTER('export kabinetdashboard 1210202'!N:P,'export kabinetdashboard 1210202'!M:M=D305))"),"")</f>
        <v/>
      </c>
      <c r="F305" s="2" t="str">
        <f ca="1">IFERROR(__xludf.DUMMYFUNCTION("""COMPUTED_VALUE"""),"2023 - Q4")</f>
        <v>2023 - Q4</v>
      </c>
      <c r="G305" s="2" t="str">
        <f ca="1">IFERROR(__xludf.DUMMYFUNCTION("""COMPUTED_VALUE"""),"n.t.b.")</f>
        <v>n.t.b.</v>
      </c>
      <c r="H305" s="2">
        <f ca="1">SUMIFS('bedragen KIM (budgettering &amp; pl'!S:S,'bedragen KIM (budgettering &amp; pl'!B:B,A305,'bedragen KIM (budgettering &amp; pl'!F:F,D305)</f>
        <v>7500</v>
      </c>
      <c r="I305" s="2" t="e">
        <f ca="1">SUMIFS(#REF!,#REF!,A305,#REF!,D305)</f>
        <v>#REF!</v>
      </c>
      <c r="J305" s="2" t="e">
        <f ca="1">SUMIFS(#REF!,#REF!,A305,#REF!,D305)</f>
        <v>#REF!</v>
      </c>
    </row>
    <row r="306" spans="1:10" ht="12.5" x14ac:dyDescent="0.25">
      <c r="A306" s="2" t="str">
        <f ca="1">IFERROR(__xludf.DUMMYFUNCTION("""COMPUTED_VALUE"""),"KP/001259")</f>
        <v>KP/001259</v>
      </c>
      <c r="B306" s="2" t="str">
        <f ca="1">IFERROR(__xludf.DUMMYFUNCTION("""COMPUTED_VALUE"""),"Verkeersveiligheid")</f>
        <v>Verkeersveiligheid</v>
      </c>
      <c r="C306" s="2" t="str">
        <f ca="1">IFERROR(__xludf.DUMMYFUNCTION("""COMPUTED_VALUE"""),"Schoolroute")</f>
        <v>Schoolroute</v>
      </c>
      <c r="D306" s="2" t="str">
        <f ca="1">IFERROR(__xludf.DUMMYFUNCTION("""COMPUTED_VALUE"""),"IN/001007")</f>
        <v>IN/001007</v>
      </c>
      <c r="E306" s="2" t="str">
        <f ca="1">IFERROR(__xludf.DUMMYFUNCTION("UNIQUE(FILTER('export kabinetdashboard 1210202'!N:P,'export kabinetdashboard 1210202'!M:M=D306))"),"")</f>
        <v/>
      </c>
      <c r="F306" s="2" t="str">
        <f ca="1">IFERROR(__xludf.DUMMYFUNCTION("""COMPUTED_VALUE"""),"n.t.b.")</f>
        <v>n.t.b.</v>
      </c>
      <c r="G306" s="2" t="str">
        <f ca="1">IFERROR(__xludf.DUMMYFUNCTION("""COMPUTED_VALUE"""),"n.t.b.")</f>
        <v>n.t.b.</v>
      </c>
      <c r="H306" s="2">
        <f ca="1">SUMIFS('bedragen KIM (budgettering &amp; pl'!S:S,'bedragen KIM (budgettering &amp; pl'!B:B,A306,'bedragen KIM (budgettering &amp; pl'!F:F,D306)</f>
        <v>0</v>
      </c>
      <c r="I306" s="2" t="e">
        <f ca="1">SUMIFS(#REF!,#REF!,A306,#REF!,D306)</f>
        <v>#REF!</v>
      </c>
      <c r="J306" s="2" t="e">
        <f ca="1">SUMIFS(#REF!,#REF!,A306,#REF!,D306)</f>
        <v>#REF!</v>
      </c>
    </row>
    <row r="307" spans="1:10" ht="12.5" x14ac:dyDescent="0.25">
      <c r="A307" s="2" t="str">
        <f ca="1">IFERROR(__xludf.DUMMYFUNCTION("""COMPUTED_VALUE"""),"KP/001260")</f>
        <v>KP/001260</v>
      </c>
      <c r="B307" s="2" t="str">
        <f ca="1">IFERROR(__xludf.DUMMYFUNCTION("""COMPUTED_VALUE"""),"Verkeersveiligheid")</f>
        <v>Verkeersveiligheid</v>
      </c>
      <c r="C307" s="2" t="str">
        <f ca="1">IFERROR(__xludf.DUMMYFUNCTION("""COMPUTED_VALUE"""),"Schoolroute")</f>
        <v>Schoolroute</v>
      </c>
      <c r="D307" s="2" t="str">
        <f ca="1">IFERROR(__xludf.DUMMYFUNCTION("""COMPUTED_VALUE"""),"IN/001008")</f>
        <v>IN/001008</v>
      </c>
      <c r="E307" s="2" t="str">
        <f ca="1">IFERROR(__xludf.DUMMYFUNCTION("UNIQUE(FILTER('export kabinetdashboard 1210202'!N:P,'export kabinetdashboard 1210202'!M:M=D307))"),"")</f>
        <v/>
      </c>
      <c r="F307" s="2" t="str">
        <f ca="1">IFERROR(__xludf.DUMMYFUNCTION("""COMPUTED_VALUE"""),"2023 - Q4")</f>
        <v>2023 - Q4</v>
      </c>
      <c r="G307" s="2" t="str">
        <f ca="1">IFERROR(__xludf.DUMMYFUNCTION("""COMPUTED_VALUE"""),"n.t.b.")</f>
        <v>n.t.b.</v>
      </c>
      <c r="H307" s="2">
        <f ca="1">SUMIFS('bedragen KIM (budgettering &amp; pl'!S:S,'bedragen KIM (budgettering &amp; pl'!B:B,A307,'bedragen KIM (budgettering &amp; pl'!F:F,D307)</f>
        <v>50000</v>
      </c>
      <c r="I307" s="2" t="e">
        <f ca="1">SUMIFS(#REF!,#REF!,A307,#REF!,D307)</f>
        <v>#REF!</v>
      </c>
      <c r="J307" s="2" t="e">
        <f ca="1">SUMIFS(#REF!,#REF!,A307,#REF!,D307)</f>
        <v>#REF!</v>
      </c>
    </row>
    <row r="308" spans="1:10" ht="12.5" x14ac:dyDescent="0.25">
      <c r="A308" s="2" t="str">
        <f ca="1">IFERROR(__xludf.DUMMYFUNCTION("""COMPUTED_VALUE"""),"KP/001261")</f>
        <v>KP/001261</v>
      </c>
      <c r="B308" s="2" t="str">
        <f ca="1">IFERROR(__xludf.DUMMYFUNCTION("""COMPUTED_VALUE"""),"Verkeersveiligheid")</f>
        <v>Verkeersveiligheid</v>
      </c>
      <c r="C308" s="2" t="str">
        <f ca="1">IFERROR(__xludf.DUMMYFUNCTION("""COMPUTED_VALUE"""),"Schoolroute")</f>
        <v>Schoolroute</v>
      </c>
      <c r="D308" s="2" t="str">
        <f ca="1">IFERROR(__xludf.DUMMYFUNCTION("""COMPUTED_VALUE"""),"IN/001009")</f>
        <v>IN/001009</v>
      </c>
      <c r="E308" s="2" t="str">
        <f ca="1">IFERROR(__xludf.DUMMYFUNCTION("UNIQUE(FILTER('export kabinetdashboard 1210202'!N:P,'export kabinetdashboard 1210202'!M:M=D308))"),"")</f>
        <v/>
      </c>
      <c r="F308" s="2" t="str">
        <f ca="1">IFERROR(__xludf.DUMMYFUNCTION("""COMPUTED_VALUE"""),"n.t.b.")</f>
        <v>n.t.b.</v>
      </c>
      <c r="G308" s="2" t="str">
        <f ca="1">IFERROR(__xludf.DUMMYFUNCTION("""COMPUTED_VALUE"""),"n.t.b.")</f>
        <v>n.t.b.</v>
      </c>
      <c r="H308" s="2">
        <f ca="1">SUMIFS('bedragen KIM (budgettering &amp; pl'!S:S,'bedragen KIM (budgettering &amp; pl'!B:B,A308,'bedragen KIM (budgettering &amp; pl'!F:F,D308)</f>
        <v>0</v>
      </c>
      <c r="I308" s="2" t="e">
        <f ca="1">SUMIFS(#REF!,#REF!,A308,#REF!,D308)</f>
        <v>#REF!</v>
      </c>
      <c r="J308" s="2" t="e">
        <f ca="1">SUMIFS(#REF!,#REF!,A308,#REF!,D308)</f>
        <v>#REF!</v>
      </c>
    </row>
    <row r="309" spans="1:10" ht="12.5" x14ac:dyDescent="0.25">
      <c r="A309" s="2" t="str">
        <f ca="1">IFERROR(__xludf.DUMMYFUNCTION("""COMPUTED_VALUE"""),"KP/001264")</f>
        <v>KP/001264</v>
      </c>
      <c r="B309" s="2" t="str">
        <f ca="1">IFERROR(__xludf.DUMMYFUNCTION("""COMPUTED_VALUE"""),"Verkeersveiligheid")</f>
        <v>Verkeersveiligheid</v>
      </c>
      <c r="C309" s="2" t="str">
        <f ca="1">IFERROR(__xludf.DUMMYFUNCTION("""COMPUTED_VALUE"""),"Schoolroute")</f>
        <v>Schoolroute</v>
      </c>
      <c r="D309" s="2" t="str">
        <f ca="1">IFERROR(__xludf.DUMMYFUNCTION("""COMPUTED_VALUE"""),"IN/001010")</f>
        <v>IN/001010</v>
      </c>
      <c r="E309" s="2" t="str">
        <f ca="1">IFERROR(__xludf.DUMMYFUNCTION("UNIQUE(FILTER('export kabinetdashboard 1210202'!N:P,'export kabinetdashboard 1210202'!M:M=D309))"),"- fietspad verbreden
- fietspad asfaltere
- hagen inkorten")</f>
        <v>- fietspad verbreden
- fietspad asfaltere
- hagen inkorten</v>
      </c>
      <c r="F309" s="2" t="str">
        <f ca="1">IFERROR(__xludf.DUMMYFUNCTION("""COMPUTED_VALUE"""),"2022 - Q4")</f>
        <v>2022 - Q4</v>
      </c>
      <c r="G309" s="2" t="str">
        <f ca="1">IFERROR(__xludf.DUMMYFUNCTION("""COMPUTED_VALUE"""),"n.t.b.")</f>
        <v>n.t.b.</v>
      </c>
      <c r="H309" s="2">
        <f ca="1">SUMIFS('bedragen KIM (budgettering &amp; pl'!S:S,'bedragen KIM (budgettering &amp; pl'!B:B,A309,'bedragen KIM (budgettering &amp; pl'!F:F,D309)</f>
        <v>150000</v>
      </c>
      <c r="I309" s="2" t="e">
        <f ca="1">SUMIFS(#REF!,#REF!,A309,#REF!,D309)</f>
        <v>#REF!</v>
      </c>
      <c r="J309" s="2" t="e">
        <f ca="1">SUMIFS(#REF!,#REF!,A309,#REF!,D309)</f>
        <v>#REF!</v>
      </c>
    </row>
    <row r="310" spans="1:10" ht="12.5" x14ac:dyDescent="0.25">
      <c r="A310" s="2" t="str">
        <f ca="1">IFERROR(__xludf.DUMMYFUNCTION("""COMPUTED_VALUE"""),"KP/001267")</f>
        <v>KP/001267</v>
      </c>
      <c r="B310" s="2" t="str">
        <f ca="1">IFERROR(__xludf.DUMMYFUNCTION("""COMPUTED_VALUE"""),"Verkeersveiligheid")</f>
        <v>Verkeersveiligheid</v>
      </c>
      <c r="C310" s="2" t="str">
        <f ca="1">IFERROR(__xludf.DUMMYFUNCTION("""COMPUTED_VALUE"""),"Schoolroute")</f>
        <v>Schoolroute</v>
      </c>
      <c r="D310" s="2" t="str">
        <f ca="1">IFERROR(__xludf.DUMMYFUNCTION("""COMPUTED_VALUE"""),"IN/001011")</f>
        <v>IN/001011</v>
      </c>
      <c r="E310" s="2" t="str">
        <f ca="1">IFERROR(__xludf.DUMMYFUNCTION("UNIQUE(FILTER('export kabinetdashboard 1210202'!N:P,'export kabinetdashboard 1210202'!M:M=D310))"),"")</f>
        <v/>
      </c>
      <c r="F310" s="2" t="str">
        <f ca="1">IFERROR(__xludf.DUMMYFUNCTION("""COMPUTED_VALUE"""),"n.t.b.")</f>
        <v>n.t.b.</v>
      </c>
      <c r="G310" s="2" t="str">
        <f ca="1">IFERROR(__xludf.DUMMYFUNCTION("""COMPUTED_VALUE"""),"n.t.b.")</f>
        <v>n.t.b.</v>
      </c>
      <c r="H310" s="2">
        <f ca="1">SUMIFS('bedragen KIM (budgettering &amp; pl'!S:S,'bedragen KIM (budgettering &amp; pl'!B:B,A310,'bedragen KIM (budgettering &amp; pl'!F:F,D310)</f>
        <v>1500</v>
      </c>
      <c r="I310" s="2" t="e">
        <f ca="1">SUMIFS(#REF!,#REF!,A310,#REF!,D310)</f>
        <v>#REF!</v>
      </c>
      <c r="J310" s="2" t="e">
        <f ca="1">SUMIFS(#REF!,#REF!,A310,#REF!,D310)</f>
        <v>#REF!</v>
      </c>
    </row>
    <row r="311" spans="1:10" ht="12.5" x14ac:dyDescent="0.25">
      <c r="A311" s="2" t="str">
        <f ca="1">IFERROR(__xludf.DUMMYFUNCTION("""COMPUTED_VALUE"""),"KP/001268")</f>
        <v>KP/001268</v>
      </c>
      <c r="B311" s="2" t="str">
        <f ca="1">IFERROR(__xludf.DUMMYFUNCTION("""COMPUTED_VALUE"""),"Verkeersveiligheid")</f>
        <v>Verkeersveiligheid</v>
      </c>
      <c r="C311" s="2" t="str">
        <f ca="1">IFERROR(__xludf.DUMMYFUNCTION("""COMPUTED_VALUE"""),"Schoolroute")</f>
        <v>Schoolroute</v>
      </c>
      <c r="D311" s="2" t="str">
        <f ca="1">IFERROR(__xludf.DUMMYFUNCTION("""COMPUTED_VALUE"""),"IN/001012")</f>
        <v>IN/001012</v>
      </c>
      <c r="E311" s="2" t="str">
        <f ca="1">IFERROR(__xludf.DUMMYFUNCTION("UNIQUE(FILTER('export kabinetdashboard 1210202'!N:P,'export kabinetdashboard 1210202'!M:M=D311))"),"")</f>
        <v/>
      </c>
      <c r="F311" s="2" t="str">
        <f ca="1">IFERROR(__xludf.DUMMYFUNCTION("""COMPUTED_VALUE"""),"n.t.b.")</f>
        <v>n.t.b.</v>
      </c>
      <c r="G311" s="2" t="str">
        <f ca="1">IFERROR(__xludf.DUMMYFUNCTION("""COMPUTED_VALUE"""),"n.t.b.")</f>
        <v>n.t.b.</v>
      </c>
      <c r="H311" s="2">
        <f ca="1">SUMIFS('bedragen KIM (budgettering &amp; pl'!S:S,'bedragen KIM (budgettering &amp; pl'!B:B,A311,'bedragen KIM (budgettering &amp; pl'!F:F,D311)</f>
        <v>1500</v>
      </c>
      <c r="I311" s="2" t="e">
        <f ca="1">SUMIFS(#REF!,#REF!,A311,#REF!,D311)</f>
        <v>#REF!</v>
      </c>
      <c r="J311" s="2" t="e">
        <f ca="1">SUMIFS(#REF!,#REF!,A311,#REF!,D311)</f>
        <v>#REF!</v>
      </c>
    </row>
    <row r="312" spans="1:10" ht="12.5" x14ac:dyDescent="0.25">
      <c r="A312" s="2" t="str">
        <f ca="1">IFERROR(__xludf.DUMMYFUNCTION("""COMPUTED_VALUE"""),"KP/001269")</f>
        <v>KP/001269</v>
      </c>
      <c r="B312" s="2" t="str">
        <f ca="1">IFERROR(__xludf.DUMMYFUNCTION("""COMPUTED_VALUE"""),"Verkeersveiligheid")</f>
        <v>Verkeersveiligheid</v>
      </c>
      <c r="C312" s="2" t="str">
        <f ca="1">IFERROR(__xludf.DUMMYFUNCTION("""COMPUTED_VALUE"""),"Schoolroute")</f>
        <v>Schoolroute</v>
      </c>
      <c r="D312" s="2" t="str">
        <f ca="1">IFERROR(__xludf.DUMMYFUNCTION("""COMPUTED_VALUE"""),"IN/001013")</f>
        <v>IN/001013</v>
      </c>
      <c r="E312" s="2" t="str">
        <f ca="1">IFERROR(__xludf.DUMMYFUNCTION("UNIQUE(FILTER('export kabinetdashboard 1210202'!N:P,'export kabinetdashboard 1210202'!M:M=D312))"),"")</f>
        <v/>
      </c>
      <c r="F312" s="2" t="str">
        <f ca="1">IFERROR(__xludf.DUMMYFUNCTION("""COMPUTED_VALUE"""),"n.t.b.")</f>
        <v>n.t.b.</v>
      </c>
      <c r="G312" s="2" t="str">
        <f ca="1">IFERROR(__xludf.DUMMYFUNCTION("""COMPUTED_VALUE"""),"n.t.b.")</f>
        <v>n.t.b.</v>
      </c>
      <c r="H312" s="2">
        <f ca="1">SUMIFS('bedragen KIM (budgettering &amp; pl'!S:S,'bedragen KIM (budgettering &amp; pl'!B:B,A312,'bedragen KIM (budgettering &amp; pl'!F:F,D312)</f>
        <v>1500</v>
      </c>
      <c r="I312" s="2" t="e">
        <f ca="1">SUMIFS(#REF!,#REF!,A312,#REF!,D312)</f>
        <v>#REF!</v>
      </c>
      <c r="J312" s="2" t="e">
        <f ca="1">SUMIFS(#REF!,#REF!,A312,#REF!,D312)</f>
        <v>#REF!</v>
      </c>
    </row>
    <row r="313" spans="1:10" ht="12.5" x14ac:dyDescent="0.25">
      <c r="A313" s="2" t="str">
        <f ca="1">IFERROR(__xludf.DUMMYFUNCTION("""COMPUTED_VALUE"""),"KP/001270")</f>
        <v>KP/001270</v>
      </c>
      <c r="B313" s="2" t="str">
        <f ca="1">IFERROR(__xludf.DUMMYFUNCTION("""COMPUTED_VALUE"""),"Verkeersveiligheid")</f>
        <v>Verkeersveiligheid</v>
      </c>
      <c r="C313" s="2" t="str">
        <f ca="1">IFERROR(__xludf.DUMMYFUNCTION("""COMPUTED_VALUE"""),"Schoolroute")</f>
        <v>Schoolroute</v>
      </c>
      <c r="D313" s="2" t="str">
        <f ca="1">IFERROR(__xludf.DUMMYFUNCTION("""COMPUTED_VALUE"""),"IN/001014")</f>
        <v>IN/001014</v>
      </c>
      <c r="E313" s="2" t="str">
        <f ca="1">IFERROR(__xludf.DUMMYFUNCTION("UNIQUE(FILTER('export kabinetdashboard 1210202'!N:P,'export kabinetdashboard 1210202'!M:M=D313))"),"")</f>
        <v/>
      </c>
      <c r="F313" s="2" t="str">
        <f ca="1">IFERROR(__xludf.DUMMYFUNCTION("""COMPUTED_VALUE"""),"n.t.b.")</f>
        <v>n.t.b.</v>
      </c>
      <c r="G313" s="2" t="str">
        <f ca="1">IFERROR(__xludf.DUMMYFUNCTION("""COMPUTED_VALUE"""),"n.t.b.")</f>
        <v>n.t.b.</v>
      </c>
      <c r="H313" s="2">
        <f ca="1">SUMIFS('bedragen KIM (budgettering &amp; pl'!S:S,'bedragen KIM (budgettering &amp; pl'!B:B,A313,'bedragen KIM (budgettering &amp; pl'!F:F,D313)</f>
        <v>1500</v>
      </c>
      <c r="I313" s="2" t="e">
        <f ca="1">SUMIFS(#REF!,#REF!,A313,#REF!,D313)</f>
        <v>#REF!</v>
      </c>
      <c r="J313" s="2" t="e">
        <f ca="1">SUMIFS(#REF!,#REF!,A313,#REF!,D313)</f>
        <v>#REF!</v>
      </c>
    </row>
    <row r="314" spans="1:10" ht="12.5" x14ac:dyDescent="0.25">
      <c r="A314" s="2" t="str">
        <f ca="1">IFERROR(__xludf.DUMMYFUNCTION("""COMPUTED_VALUE"""),"KP/001271")</f>
        <v>KP/001271</v>
      </c>
      <c r="B314" s="2" t="str">
        <f ca="1">IFERROR(__xludf.DUMMYFUNCTION("""COMPUTED_VALUE"""),"Verkeersveiligheid")</f>
        <v>Verkeersveiligheid</v>
      </c>
      <c r="C314" s="2" t="str">
        <f ca="1">IFERROR(__xludf.DUMMYFUNCTION("""COMPUTED_VALUE"""),"Schoolroute")</f>
        <v>Schoolroute</v>
      </c>
      <c r="D314" s="2" t="str">
        <f ca="1">IFERROR(__xludf.DUMMYFUNCTION("""COMPUTED_VALUE"""),"IN/001015")</f>
        <v>IN/001015</v>
      </c>
      <c r="E314" s="2" t="str">
        <f ca="1">IFERROR(__xludf.DUMMYFUNCTION("UNIQUE(FILTER('export kabinetdashboard 1210202'!N:P,'export kabinetdashboard 1210202'!M:M=D314))"),"")</f>
        <v/>
      </c>
      <c r="F314" s="2" t="str">
        <f ca="1">IFERROR(__xludf.DUMMYFUNCTION("""COMPUTED_VALUE"""),"n.t.b.")</f>
        <v>n.t.b.</v>
      </c>
      <c r="G314" s="2" t="str">
        <f ca="1">IFERROR(__xludf.DUMMYFUNCTION("""COMPUTED_VALUE"""),"n.t.b.")</f>
        <v>n.t.b.</v>
      </c>
      <c r="H314" s="2">
        <f ca="1">SUMIFS('bedragen KIM (budgettering &amp; pl'!S:S,'bedragen KIM (budgettering &amp; pl'!B:B,A314,'bedragen KIM (budgettering &amp; pl'!F:F,D314)</f>
        <v>1500</v>
      </c>
      <c r="I314" s="2" t="e">
        <f ca="1">SUMIFS(#REF!,#REF!,A314,#REF!,D314)</f>
        <v>#REF!</v>
      </c>
      <c r="J314" s="2" t="e">
        <f ca="1">SUMIFS(#REF!,#REF!,A314,#REF!,D314)</f>
        <v>#REF!</v>
      </c>
    </row>
    <row r="315" spans="1:10" ht="12.5" x14ac:dyDescent="0.25">
      <c r="A315" s="2" t="str">
        <f ca="1">IFERROR(__xludf.DUMMYFUNCTION("""COMPUTED_VALUE"""),"KP/001272")</f>
        <v>KP/001272</v>
      </c>
      <c r="B315" s="2" t="str">
        <f ca="1">IFERROR(__xludf.DUMMYFUNCTION("""COMPUTED_VALUE"""),"Verkeersveiligheid")</f>
        <v>Verkeersveiligheid</v>
      </c>
      <c r="C315" s="2" t="str">
        <f ca="1">IFERROR(__xludf.DUMMYFUNCTION("""COMPUTED_VALUE"""),"Schoolroute")</f>
        <v>Schoolroute</v>
      </c>
      <c r="D315" s="2" t="str">
        <f ca="1">IFERROR(__xludf.DUMMYFUNCTION("""COMPUTED_VALUE"""),"IN/001016")</f>
        <v>IN/001016</v>
      </c>
      <c r="E315" s="2" t="str">
        <f ca="1">IFERROR(__xludf.DUMMYFUNCTION("UNIQUE(FILTER('export kabinetdashboard 1210202'!N:P,'export kabinetdashboard 1210202'!M:M=D315))"),"")</f>
        <v/>
      </c>
      <c r="F315" s="2" t="str">
        <f ca="1">IFERROR(__xludf.DUMMYFUNCTION("""COMPUTED_VALUE"""),"n.t.b.")</f>
        <v>n.t.b.</v>
      </c>
      <c r="G315" s="2" t="str">
        <f ca="1">IFERROR(__xludf.DUMMYFUNCTION("""COMPUTED_VALUE"""),"n.t.b.")</f>
        <v>n.t.b.</v>
      </c>
      <c r="H315" s="2">
        <f ca="1">SUMIFS('bedragen KIM (budgettering &amp; pl'!S:S,'bedragen KIM (budgettering &amp; pl'!B:B,A315,'bedragen KIM (budgettering &amp; pl'!F:F,D315)</f>
        <v>1500</v>
      </c>
      <c r="I315" s="2" t="e">
        <f ca="1">SUMIFS(#REF!,#REF!,A315,#REF!,D315)</f>
        <v>#REF!</v>
      </c>
      <c r="J315" s="2" t="e">
        <f ca="1">SUMIFS(#REF!,#REF!,A315,#REF!,D315)</f>
        <v>#REF!</v>
      </c>
    </row>
    <row r="316" spans="1:10" ht="12.5" x14ac:dyDescent="0.25">
      <c r="A316" s="2" t="str">
        <f ca="1">IFERROR(__xludf.DUMMYFUNCTION("""COMPUTED_VALUE"""),"KP/001273")</f>
        <v>KP/001273</v>
      </c>
      <c r="B316" s="2" t="str">
        <f ca="1">IFERROR(__xludf.DUMMYFUNCTION("""COMPUTED_VALUE"""),"Verkeersveiligheid")</f>
        <v>Verkeersveiligheid</v>
      </c>
      <c r="C316" s="2" t="str">
        <f ca="1">IFERROR(__xludf.DUMMYFUNCTION("""COMPUTED_VALUE"""),"Schoolroute")</f>
        <v>Schoolroute</v>
      </c>
      <c r="D316" s="2" t="str">
        <f ca="1">IFERROR(__xludf.DUMMYFUNCTION("""COMPUTED_VALUE"""),"IN/001017")</f>
        <v>IN/001017</v>
      </c>
      <c r="E316" s="2" t="str">
        <f ca="1">IFERROR(__xludf.DUMMYFUNCTION("UNIQUE(FILTER('export kabinetdashboard 1210202'!N:P,'export kabinetdashboard 1210202'!M:M=D316))"),"")</f>
        <v/>
      </c>
      <c r="F316" s="2" t="str">
        <f ca="1">IFERROR(__xludf.DUMMYFUNCTION("""COMPUTED_VALUE"""),"n.t.b.")</f>
        <v>n.t.b.</v>
      </c>
      <c r="G316" s="2" t="str">
        <f ca="1">IFERROR(__xludf.DUMMYFUNCTION("""COMPUTED_VALUE"""),"n.t.b.")</f>
        <v>n.t.b.</v>
      </c>
      <c r="H316" s="2">
        <f ca="1">SUMIFS('bedragen KIM (budgettering &amp; pl'!S:S,'bedragen KIM (budgettering &amp; pl'!B:B,A316,'bedragen KIM (budgettering &amp; pl'!F:F,D316)</f>
        <v>7500</v>
      </c>
      <c r="I316" s="2" t="e">
        <f ca="1">SUMIFS(#REF!,#REF!,A316,#REF!,D316)</f>
        <v>#REF!</v>
      </c>
      <c r="J316" s="2" t="e">
        <f ca="1">SUMIFS(#REF!,#REF!,A316,#REF!,D316)</f>
        <v>#REF!</v>
      </c>
    </row>
    <row r="317" spans="1:10" ht="12.5" x14ac:dyDescent="0.25">
      <c r="A317" s="2" t="str">
        <f ca="1">IFERROR(__xludf.DUMMYFUNCTION("""COMPUTED_VALUE"""),"KP/001276")</f>
        <v>KP/001276</v>
      </c>
      <c r="B317" s="2" t="str">
        <f ca="1">IFERROR(__xludf.DUMMYFUNCTION("""COMPUTED_VALUE"""),"Verkeersveiligheid")</f>
        <v>Verkeersveiligheid</v>
      </c>
      <c r="C317" s="2" t="str">
        <f ca="1">IFERROR(__xludf.DUMMYFUNCTION("""COMPUTED_VALUE"""),"Schoolroute")</f>
        <v>Schoolroute</v>
      </c>
      <c r="D317" s="2" t="str">
        <f ca="1">IFERROR(__xludf.DUMMYFUNCTION("""COMPUTED_VALUE"""),"IN/001018")</f>
        <v>IN/001018</v>
      </c>
      <c r="E317" s="2" t="str">
        <f ca="1">IFERROR(__xludf.DUMMYFUNCTION("UNIQUE(FILTER('export kabinetdashboard 1210202'!N:P,'export kabinetdashboard 1210202'!M:M=D317))"),"")</f>
        <v/>
      </c>
      <c r="F317" s="2" t="str">
        <f ca="1">IFERROR(__xludf.DUMMYFUNCTION("""COMPUTED_VALUE"""),"n.t.b.")</f>
        <v>n.t.b.</v>
      </c>
      <c r="G317" s="2" t="str">
        <f ca="1">IFERROR(__xludf.DUMMYFUNCTION("""COMPUTED_VALUE"""),"n.t.b.")</f>
        <v>n.t.b.</v>
      </c>
      <c r="H317" s="2">
        <f ca="1">SUMIFS('bedragen KIM (budgettering &amp; pl'!S:S,'bedragen KIM (budgettering &amp; pl'!B:B,A317,'bedragen KIM (budgettering &amp; pl'!F:F,D317)</f>
        <v>100000</v>
      </c>
      <c r="I317" s="2" t="e">
        <f ca="1">SUMIFS(#REF!,#REF!,A317,#REF!,D317)</f>
        <v>#REF!</v>
      </c>
      <c r="J317" s="2" t="e">
        <f ca="1">SUMIFS(#REF!,#REF!,A317,#REF!,D317)</f>
        <v>#REF!</v>
      </c>
    </row>
    <row r="318" spans="1:10" ht="12.5" x14ac:dyDescent="0.25">
      <c r="A318" s="2" t="str">
        <f ca="1">IFERROR(__xludf.DUMMYFUNCTION("""COMPUTED_VALUE"""),"KP/001278")</f>
        <v>KP/001278</v>
      </c>
      <c r="B318" s="2" t="str">
        <f ca="1">IFERROR(__xludf.DUMMYFUNCTION("""COMPUTED_VALUE"""),"Verkeersveiligheid")</f>
        <v>Verkeersveiligheid</v>
      </c>
      <c r="C318" s="2" t="str">
        <f ca="1">IFERROR(__xludf.DUMMYFUNCTION("""COMPUTED_VALUE"""),"Schoolroute")</f>
        <v>Schoolroute</v>
      </c>
      <c r="D318" s="2" t="str">
        <f ca="1">IFERROR(__xludf.DUMMYFUNCTION("""COMPUTED_VALUE"""),"IN/001019")</f>
        <v>IN/001019</v>
      </c>
      <c r="E318" s="2" t="str">
        <f ca="1">IFERROR(__xludf.DUMMYFUNCTION("UNIQUE(FILTER('export kabinetdashboard 1210202'!N:P,'export kabinetdashboard 1210202'!M:M=D318))"),"")</f>
        <v/>
      </c>
      <c r="F318" s="2" t="str">
        <f ca="1">IFERROR(__xludf.DUMMYFUNCTION("""COMPUTED_VALUE"""),"n.t.b.")</f>
        <v>n.t.b.</v>
      </c>
      <c r="G318" s="2" t="str">
        <f ca="1">IFERROR(__xludf.DUMMYFUNCTION("""COMPUTED_VALUE"""),"n.t.b.")</f>
        <v>n.t.b.</v>
      </c>
      <c r="H318" s="2">
        <f ca="1">SUMIFS('bedragen KIM (budgettering &amp; pl'!S:S,'bedragen KIM (budgettering &amp; pl'!B:B,A318,'bedragen KIM (budgettering &amp; pl'!F:F,D318)</f>
        <v>2500</v>
      </c>
      <c r="I318" s="2" t="e">
        <f ca="1">SUMIFS(#REF!,#REF!,A318,#REF!,D318)</f>
        <v>#REF!</v>
      </c>
      <c r="J318" s="2" t="e">
        <f ca="1">SUMIFS(#REF!,#REF!,A318,#REF!,D318)</f>
        <v>#REF!</v>
      </c>
    </row>
    <row r="319" spans="1:10" ht="12.5" x14ac:dyDescent="0.25">
      <c r="A319" s="2" t="str">
        <f ca="1">IFERROR(__xludf.DUMMYFUNCTION("""COMPUTED_VALUE"""),"KP/001280")</f>
        <v>KP/001280</v>
      </c>
      <c r="B319" s="2" t="str">
        <f ca="1">IFERROR(__xludf.DUMMYFUNCTION("""COMPUTED_VALUE"""),"Verkeersveiligheid")</f>
        <v>Verkeersveiligheid</v>
      </c>
      <c r="C319" s="2" t="str">
        <f ca="1">IFERROR(__xludf.DUMMYFUNCTION("""COMPUTED_VALUE"""),"Schoolroute")</f>
        <v>Schoolroute</v>
      </c>
      <c r="D319" s="2" t="str">
        <f ca="1">IFERROR(__xludf.DUMMYFUNCTION("""COMPUTED_VALUE"""),"IN/001020")</f>
        <v>IN/001020</v>
      </c>
      <c r="E319" s="2" t="str">
        <f ca="1">IFERROR(__xludf.DUMMYFUNCTION("UNIQUE(FILTER('export kabinetdashboard 1210202'!N:P,'export kabinetdashboard 1210202'!M:M=D319))"),"")</f>
        <v/>
      </c>
      <c r="F319" s="2" t="str">
        <f ca="1">IFERROR(__xludf.DUMMYFUNCTION("""COMPUTED_VALUE"""),"n.t.b.")</f>
        <v>n.t.b.</v>
      </c>
      <c r="G319" s="2" t="str">
        <f ca="1">IFERROR(__xludf.DUMMYFUNCTION("""COMPUTED_VALUE"""),"n.t.b.")</f>
        <v>n.t.b.</v>
      </c>
      <c r="H319" s="2">
        <f ca="1">SUMIFS('bedragen KIM (budgettering &amp; pl'!S:S,'bedragen KIM (budgettering &amp; pl'!B:B,A319,'bedragen KIM (budgettering &amp; pl'!F:F,D319)</f>
        <v>120000</v>
      </c>
      <c r="I319" s="2" t="e">
        <f ca="1">SUMIFS(#REF!,#REF!,A319,#REF!,D319)</f>
        <v>#REF!</v>
      </c>
      <c r="J319" s="2" t="e">
        <f ca="1">SUMIFS(#REF!,#REF!,A319,#REF!,D319)</f>
        <v>#REF!</v>
      </c>
    </row>
    <row r="320" spans="1:10" ht="12.5" x14ac:dyDescent="0.25">
      <c r="A320" s="2" t="str">
        <f ca="1">IFERROR(__xludf.DUMMYFUNCTION("""COMPUTED_VALUE"""),"KP/001284")</f>
        <v>KP/001284</v>
      </c>
      <c r="B320" s="2" t="str">
        <f ca="1">IFERROR(__xludf.DUMMYFUNCTION("""COMPUTED_VALUE"""),"Verkeersveiligheid")</f>
        <v>Verkeersveiligheid</v>
      </c>
      <c r="C320" s="2" t="str">
        <f ca="1">IFERROR(__xludf.DUMMYFUNCTION("""COMPUTED_VALUE"""),"Schoolroute")</f>
        <v>Schoolroute</v>
      </c>
      <c r="D320" s="2" t="str">
        <f ca="1">IFERROR(__xludf.DUMMYFUNCTION("""COMPUTED_VALUE"""),"IN/001021")</f>
        <v>IN/001021</v>
      </c>
      <c r="E320" s="2" t="str">
        <f ca="1">IFERROR(__xludf.DUMMYFUNCTION("UNIQUE(FILTER('export kabinetdashboard 1210202'!N:P,'export kabinetdashboard 1210202'!M:M=D320))"),"Aanpassen middenberm fietsoversteek")</f>
        <v>Aanpassen middenberm fietsoversteek</v>
      </c>
      <c r="F320" s="2" t="str">
        <f ca="1">IFERROR(__xludf.DUMMYFUNCTION("""COMPUTED_VALUE"""),"2023 - Q2")</f>
        <v>2023 - Q2</v>
      </c>
      <c r="G320" s="2" t="str">
        <f ca="1">IFERROR(__xludf.DUMMYFUNCTION("""COMPUTED_VALUE"""),"n.t.b.")</f>
        <v>n.t.b.</v>
      </c>
      <c r="H320" s="2">
        <f ca="1">SUMIFS('bedragen KIM (budgettering &amp; pl'!S:S,'bedragen KIM (budgettering &amp; pl'!B:B,A320,'bedragen KIM (budgettering &amp; pl'!F:F,D320)</f>
        <v>40000</v>
      </c>
      <c r="I320" s="2" t="e">
        <f ca="1">SUMIFS(#REF!,#REF!,A320,#REF!,D320)</f>
        <v>#REF!</v>
      </c>
      <c r="J320" s="2" t="e">
        <f ca="1">SUMIFS(#REF!,#REF!,A320,#REF!,D320)</f>
        <v>#REF!</v>
      </c>
    </row>
    <row r="321" spans="1:10" ht="12.5" x14ac:dyDescent="0.25">
      <c r="A321" s="2" t="str">
        <f ca="1">IFERROR(__xludf.DUMMYFUNCTION("""COMPUTED_VALUE"""),"KP/001286")</f>
        <v>KP/001286</v>
      </c>
      <c r="B321" s="2" t="str">
        <f ca="1">IFERROR(__xludf.DUMMYFUNCTION("""COMPUTED_VALUE"""),"Verkeersveiligheid")</f>
        <v>Verkeersveiligheid</v>
      </c>
      <c r="C321" s="2" t="str">
        <f ca="1">IFERROR(__xludf.DUMMYFUNCTION("""COMPUTED_VALUE"""),"Schoolroute")</f>
        <v>Schoolroute</v>
      </c>
      <c r="D321" s="2" t="str">
        <f ca="1">IFERROR(__xludf.DUMMYFUNCTION("""COMPUTED_VALUE"""),"IN/001022")</f>
        <v>IN/001022</v>
      </c>
      <c r="E321" s="2" t="str">
        <f ca="1">IFERROR(__xludf.DUMMYFUNCTION("UNIQUE(FILTER('export kabinetdashboard 1210202'!N:P,'export kabinetdashboard 1210202'!M:M=D321))"),"QW1 en QW2 uitvoeren
QW1: Bestaande scheidingselementen tussen het fietspad en de rijbaan verbreden en zodoende de breedte van de rijbaan verkleinen tot 5.5 meter. Initieel via verdrijvingsvakken in markeringen.
QW2: asfaltlaag van het fietspad op de roto"&amp;"nde vernieuwen en een nieuwe rode slemlaag aanbrengen")</f>
        <v>QW1 en QW2 uitvoeren
QW1: Bestaande scheidingselementen tussen het fietspad en de rijbaan verbreden en zodoende de breedte van de rijbaan verkleinen tot 5.5 meter. Initieel via verdrijvingsvakken in markeringen.
QW2: asfaltlaag van het fietspad op de rotonde vernieuwen en een nieuwe rode slemlaag aanbrengen</v>
      </c>
      <c r="F321" s="2" t="str">
        <f ca="1">IFERROR(__xludf.DUMMYFUNCTION("""COMPUTED_VALUE"""),"2022 - Q2")</f>
        <v>2022 - Q2</v>
      </c>
      <c r="G321" s="2" t="str">
        <f ca="1">IFERROR(__xludf.DUMMYFUNCTION("""COMPUTED_VALUE"""),"n.t.b.")</f>
        <v>n.t.b.</v>
      </c>
      <c r="H321" s="2">
        <f ca="1">SUMIFS('bedragen KIM (budgettering &amp; pl'!S:S,'bedragen KIM (budgettering &amp; pl'!B:B,A321,'bedragen KIM (budgettering &amp; pl'!F:F,D321)</f>
        <v>28809</v>
      </c>
      <c r="I321" s="2" t="e">
        <f ca="1">SUMIFS(#REF!,#REF!,A321,#REF!,D321)</f>
        <v>#REF!</v>
      </c>
      <c r="J321" s="2" t="e">
        <f ca="1">SUMIFS(#REF!,#REF!,A321,#REF!,D321)</f>
        <v>#REF!</v>
      </c>
    </row>
    <row r="322" spans="1:10" ht="12.5" x14ac:dyDescent="0.25">
      <c r="A322" s="2" t="str">
        <f ca="1">IFERROR(__xludf.DUMMYFUNCTION("""COMPUTED_VALUE"""),"KP/001290")</f>
        <v>KP/001290</v>
      </c>
      <c r="B322" s="2" t="str">
        <f ca="1">IFERROR(__xludf.DUMMYFUNCTION("""COMPUTED_VALUE"""),"Verkeersveiligheid")</f>
        <v>Verkeersveiligheid</v>
      </c>
      <c r="C322" s="2" t="str">
        <f ca="1">IFERROR(__xludf.DUMMYFUNCTION("""COMPUTED_VALUE"""),"Schoolroute")</f>
        <v>Schoolroute</v>
      </c>
      <c r="D322" s="2" t="str">
        <f ca="1">IFERROR(__xludf.DUMMYFUNCTION("""COMPUTED_VALUE"""),"IN/001023")</f>
        <v>IN/001023</v>
      </c>
      <c r="E322" s="2" t="str">
        <f ca="1">IFERROR(__xludf.DUMMYFUNCTION("UNIQUE(FILTER('export kabinetdashboard 1210202'!N:P,'export kabinetdashboard 1210202'!M:M=D322))"),"")</f>
        <v/>
      </c>
      <c r="F322" s="2" t="str">
        <f ca="1">IFERROR(__xludf.DUMMYFUNCTION("""COMPUTED_VALUE"""),"2023 - Q3")</f>
        <v>2023 - Q3</v>
      </c>
      <c r="G322" s="2" t="str">
        <f ca="1">IFERROR(__xludf.DUMMYFUNCTION("""COMPUTED_VALUE"""),"n.t.b.")</f>
        <v>n.t.b.</v>
      </c>
      <c r="H322" s="2">
        <f ca="1">SUMIFS('bedragen KIM (budgettering &amp; pl'!S:S,'bedragen KIM (budgettering &amp; pl'!B:B,A322,'bedragen KIM (budgettering &amp; pl'!F:F,D322)</f>
        <v>20000</v>
      </c>
      <c r="I322" s="2" t="e">
        <f ca="1">SUMIFS(#REF!,#REF!,A322,#REF!,D322)</f>
        <v>#REF!</v>
      </c>
      <c r="J322" s="2" t="e">
        <f ca="1">SUMIFS(#REF!,#REF!,A322,#REF!,D322)</f>
        <v>#REF!</v>
      </c>
    </row>
    <row r="323" spans="1:10" ht="12.5" x14ac:dyDescent="0.25">
      <c r="A323" s="2" t="str">
        <f ca="1">IFERROR(__xludf.DUMMYFUNCTION("""COMPUTED_VALUE"""),"KP/001291")</f>
        <v>KP/001291</v>
      </c>
      <c r="B323" s="2" t="str">
        <f ca="1">IFERROR(__xludf.DUMMYFUNCTION("""COMPUTED_VALUE"""),"Verkeersveiligheid")</f>
        <v>Verkeersveiligheid</v>
      </c>
      <c r="C323" s="2" t="str">
        <f ca="1">IFERROR(__xludf.DUMMYFUNCTION("""COMPUTED_VALUE"""),"Schoolroute")</f>
        <v>Schoolroute</v>
      </c>
      <c r="D323" s="2" t="str">
        <f ca="1">IFERROR(__xludf.DUMMYFUNCTION("""COMPUTED_VALUE"""),"IN/001024")</f>
        <v>IN/001024</v>
      </c>
      <c r="E323" s="2" t="str">
        <f ca="1">IFERROR(__xludf.DUMMYFUNCTION("UNIQUE(FILTER('export kabinetdashboard 1210202'!N:P,'export kabinetdashboard 1210202'!M:M=D323))"),"")</f>
        <v/>
      </c>
      <c r="F323" s="2" t="str">
        <f ca="1">IFERROR(__xludf.DUMMYFUNCTION("""COMPUTED_VALUE"""),"n.t.b.")</f>
        <v>n.t.b.</v>
      </c>
      <c r="G323" s="2" t="str">
        <f ca="1">IFERROR(__xludf.DUMMYFUNCTION("""COMPUTED_VALUE"""),"n.t.b.")</f>
        <v>n.t.b.</v>
      </c>
      <c r="H323" s="2">
        <f ca="1">SUMIFS('bedragen KIM (budgettering &amp; pl'!S:S,'bedragen KIM (budgettering &amp; pl'!B:B,A323,'bedragen KIM (budgettering &amp; pl'!F:F,D323)</f>
        <v>111732</v>
      </c>
      <c r="I323" s="2" t="e">
        <f ca="1">SUMIFS(#REF!,#REF!,A323,#REF!,D323)</f>
        <v>#REF!</v>
      </c>
      <c r="J323" s="2" t="e">
        <f ca="1">SUMIFS(#REF!,#REF!,A323,#REF!,D323)</f>
        <v>#REF!</v>
      </c>
    </row>
    <row r="324" spans="1:10" ht="12.5" x14ac:dyDescent="0.25">
      <c r="A324" s="2" t="str">
        <f ca="1">IFERROR(__xludf.DUMMYFUNCTION("""COMPUTED_VALUE"""),"KP/001294")</f>
        <v>KP/001294</v>
      </c>
      <c r="B324" s="2" t="str">
        <f ca="1">IFERROR(__xludf.DUMMYFUNCTION("""COMPUTED_VALUE"""),"Verkeersveiligheid")</f>
        <v>Verkeersveiligheid</v>
      </c>
      <c r="C324" s="2" t="str">
        <f ca="1">IFERROR(__xludf.DUMMYFUNCTION("""COMPUTED_VALUE"""),"Schoolroute")</f>
        <v>Schoolroute</v>
      </c>
      <c r="D324" s="2" t="str">
        <f ca="1">IFERROR(__xludf.DUMMYFUNCTION("""COMPUTED_VALUE"""),"IN/001025")</f>
        <v>IN/001025</v>
      </c>
      <c r="E324" s="2" t="str">
        <f ca="1">IFERROR(__xludf.DUMMYFUNCTION("UNIQUE(FILTER('export kabinetdashboard 1210202'!N:P,'export kabinetdashboard 1210202'!M:M=D324))"),"Doorsteek maken in de middenberm")</f>
        <v>Doorsteek maken in de middenberm</v>
      </c>
      <c r="F324" s="2" t="str">
        <f ca="1">IFERROR(__xludf.DUMMYFUNCTION("""COMPUTED_VALUE"""),"2022 - Q2")</f>
        <v>2022 - Q2</v>
      </c>
      <c r="G324" s="2" t="str">
        <f ca="1">IFERROR(__xludf.DUMMYFUNCTION("""COMPUTED_VALUE"""),"2022 - Q2")</f>
        <v>2022 - Q2</v>
      </c>
      <c r="H324" s="2">
        <f ca="1">SUMIFS('bedragen KIM (budgettering &amp; pl'!S:S,'bedragen KIM (budgettering &amp; pl'!B:B,A324,'bedragen KIM (budgettering &amp; pl'!F:F,D324)</f>
        <v>7500</v>
      </c>
      <c r="I324" s="2" t="e">
        <f ca="1">SUMIFS(#REF!,#REF!,A324,#REF!,D324)</f>
        <v>#REF!</v>
      </c>
      <c r="J324" s="2" t="e">
        <f ca="1">SUMIFS(#REF!,#REF!,A324,#REF!,D324)</f>
        <v>#REF!</v>
      </c>
    </row>
    <row r="325" spans="1:10" ht="12.5" x14ac:dyDescent="0.25">
      <c r="A325" s="2" t="str">
        <f ca="1">IFERROR(__xludf.DUMMYFUNCTION("""COMPUTED_VALUE"""),"KP/001295")</f>
        <v>KP/001295</v>
      </c>
      <c r="B325" s="2" t="str">
        <f ca="1">IFERROR(__xludf.DUMMYFUNCTION("""COMPUTED_VALUE"""),"Verkeersveiligheid")</f>
        <v>Verkeersveiligheid</v>
      </c>
      <c r="C325" s="2" t="str">
        <f ca="1">IFERROR(__xludf.DUMMYFUNCTION("""COMPUTED_VALUE"""),"Schoolroute")</f>
        <v>Schoolroute</v>
      </c>
      <c r="D325" s="2" t="str">
        <f ca="1">IFERROR(__xludf.DUMMYFUNCTION("""COMPUTED_VALUE"""),"IN/001026")</f>
        <v>IN/001026</v>
      </c>
      <c r="E325" s="2" t="str">
        <f ca="1">IFERROR(__xludf.DUMMYFUNCTION("UNIQUE(FILTER('export kabinetdashboard 1210202'!N:P,'export kabinetdashboard 1210202'!M:M=D325))"),"")</f>
        <v/>
      </c>
      <c r="F325" s="2" t="str">
        <f ca="1">IFERROR(__xludf.DUMMYFUNCTION("""COMPUTED_VALUE"""),"2022 - Q2")</f>
        <v>2022 - Q2</v>
      </c>
      <c r="G325" s="2" t="str">
        <f ca="1">IFERROR(__xludf.DUMMYFUNCTION("""COMPUTED_VALUE"""),"2022 - Q2")</f>
        <v>2022 - Q2</v>
      </c>
      <c r="H325" s="2">
        <f ca="1">SUMIFS('bedragen KIM (budgettering &amp; pl'!S:S,'bedragen KIM (budgettering &amp; pl'!B:B,A325,'bedragen KIM (budgettering &amp; pl'!F:F,D325)</f>
        <v>120000</v>
      </c>
      <c r="I325" s="2" t="e">
        <f ca="1">SUMIFS(#REF!,#REF!,A325,#REF!,D325)</f>
        <v>#REF!</v>
      </c>
      <c r="J325" s="2" t="e">
        <f ca="1">SUMIFS(#REF!,#REF!,A325,#REF!,D325)</f>
        <v>#REF!</v>
      </c>
    </row>
    <row r="326" spans="1:10" ht="12.5" x14ac:dyDescent="0.25">
      <c r="A326" s="2" t="str">
        <f ca="1">IFERROR(__xludf.DUMMYFUNCTION("""COMPUTED_VALUE"""),"KP/001299")</f>
        <v>KP/001299</v>
      </c>
      <c r="B326" s="2" t="str">
        <f ca="1">IFERROR(__xludf.DUMMYFUNCTION("""COMPUTED_VALUE"""),"Verkeersveiligheid")</f>
        <v>Verkeersveiligheid</v>
      </c>
      <c r="C326" s="2" t="str">
        <f ca="1">IFERROR(__xludf.DUMMYFUNCTION("""COMPUTED_VALUE"""),"Schoolroute")</f>
        <v>Schoolroute</v>
      </c>
      <c r="D326" s="2" t="str">
        <f ca="1">IFERROR(__xludf.DUMMYFUNCTION("""COMPUTED_VALUE"""),"IN/001027")</f>
        <v>IN/001027</v>
      </c>
      <c r="E326" s="2" t="str">
        <f ca="1">IFERROR(__xludf.DUMMYFUNCTION("UNIQUE(FILTER('export kabinetdashboard 1210202'!N:P,'export kabinetdashboard 1210202'!M:M=D326))"),"")</f>
        <v/>
      </c>
      <c r="F326" s="2" t="str">
        <f ca="1">IFERROR(__xludf.DUMMYFUNCTION("""COMPUTED_VALUE"""),"n.t.b.")</f>
        <v>n.t.b.</v>
      </c>
      <c r="G326" s="2" t="str">
        <f ca="1">IFERROR(__xludf.DUMMYFUNCTION("""COMPUTED_VALUE"""),"n.t.b.")</f>
        <v>n.t.b.</v>
      </c>
      <c r="H326" s="2">
        <f ca="1">SUMIFS('bedragen KIM (budgettering &amp; pl'!S:S,'bedragen KIM (budgettering &amp; pl'!B:B,A326,'bedragen KIM (budgettering &amp; pl'!F:F,D326)</f>
        <v>0</v>
      </c>
      <c r="I326" s="2" t="e">
        <f ca="1">SUMIFS(#REF!,#REF!,A326,#REF!,D326)</f>
        <v>#REF!</v>
      </c>
      <c r="J326" s="2" t="e">
        <f ca="1">SUMIFS(#REF!,#REF!,A326,#REF!,D326)</f>
        <v>#REF!</v>
      </c>
    </row>
    <row r="327" spans="1:10" ht="12.5" x14ac:dyDescent="0.25">
      <c r="A327" s="2" t="str">
        <f ca="1">IFERROR(__xludf.DUMMYFUNCTION("""COMPUTED_VALUE"""),"KP/001301")</f>
        <v>KP/001301</v>
      </c>
      <c r="B327" s="2" t="str">
        <f ca="1">IFERROR(__xludf.DUMMYFUNCTION("""COMPUTED_VALUE"""),"Verkeersveiligheid")</f>
        <v>Verkeersveiligheid</v>
      </c>
      <c r="C327" s="2" t="str">
        <f ca="1">IFERROR(__xludf.DUMMYFUNCTION("""COMPUTED_VALUE"""),"Schoolroute")</f>
        <v>Schoolroute</v>
      </c>
      <c r="D327" s="2" t="str">
        <f ca="1">IFERROR(__xludf.DUMMYFUNCTION("""COMPUTED_VALUE"""),"IN/001028")</f>
        <v>IN/001028</v>
      </c>
      <c r="E327" s="2" t="str">
        <f ca="1">IFERROR(__xludf.DUMMYFUNCTION("UNIQUE(FILTER('export kabinetdashboard 1210202'!N:P,'export kabinetdashboard 1210202'!M:M=D327))"),"")</f>
        <v/>
      </c>
      <c r="F327" s="2" t="str">
        <f ca="1">IFERROR(__xludf.DUMMYFUNCTION("""COMPUTED_VALUE"""),"2021 - Q4")</f>
        <v>2021 - Q4</v>
      </c>
      <c r="G327" s="2" t="str">
        <f ca="1">IFERROR(__xludf.DUMMYFUNCTION("""COMPUTED_VALUE"""),"2022 - Q2")</f>
        <v>2022 - Q2</v>
      </c>
      <c r="H327" s="2">
        <f ca="1">SUMIFS('bedragen KIM (budgettering &amp; pl'!S:S,'bedragen KIM (budgettering &amp; pl'!B:B,A327,'bedragen KIM (budgettering &amp; pl'!F:F,D327)</f>
        <v>300000</v>
      </c>
      <c r="I327" s="2" t="e">
        <f ca="1">SUMIFS(#REF!,#REF!,A327,#REF!,D327)</f>
        <v>#REF!</v>
      </c>
      <c r="J327" s="2" t="e">
        <f ca="1">SUMIFS(#REF!,#REF!,A327,#REF!,D327)</f>
        <v>#REF!</v>
      </c>
    </row>
    <row r="328" spans="1:10" ht="12.5" x14ac:dyDescent="0.25">
      <c r="A328" s="2" t="str">
        <f ca="1">IFERROR(__xludf.DUMMYFUNCTION("""COMPUTED_VALUE"""),"KP/001302")</f>
        <v>KP/001302</v>
      </c>
      <c r="B328" s="2" t="str">
        <f ca="1">IFERROR(__xludf.DUMMYFUNCTION("""COMPUTED_VALUE"""),"Verkeersveiligheid")</f>
        <v>Verkeersveiligheid</v>
      </c>
      <c r="C328" s="2" t="str">
        <f ca="1">IFERROR(__xludf.DUMMYFUNCTION("""COMPUTED_VALUE"""),"Schoolroute")</f>
        <v>Schoolroute</v>
      </c>
      <c r="D328" s="2" t="str">
        <f ca="1">IFERROR(__xludf.DUMMYFUNCTION("""COMPUTED_VALUE"""),"IN/001029")</f>
        <v>IN/001029</v>
      </c>
      <c r="E328" s="2" t="str">
        <f ca="1">IFERROR(__xludf.DUMMYFUNCTION("UNIQUE(FILTER('export kabinetdashboard 1210202'!N:P,'export kabinetdashboard 1210202'!M:M=D328))"),"Stukje groenzone te verharden, boordstenen te verlagen + aanbrengen van markeringen")</f>
        <v>Stukje groenzone te verharden, boordstenen te verlagen + aanbrengen van markeringen</v>
      </c>
      <c r="F328" s="2" t="str">
        <f ca="1">IFERROR(__xludf.DUMMYFUNCTION("""COMPUTED_VALUE"""),"2022 - Q1")</f>
        <v>2022 - Q1</v>
      </c>
      <c r="G328" s="2" t="str">
        <f ca="1">IFERROR(__xludf.DUMMYFUNCTION("""COMPUTED_VALUE"""),"2022 - Q1")</f>
        <v>2022 - Q1</v>
      </c>
      <c r="H328" s="2">
        <f ca="1">SUMIFS('bedragen KIM (budgettering &amp; pl'!S:S,'bedragen KIM (budgettering &amp; pl'!B:B,A328,'bedragen KIM (budgettering &amp; pl'!F:F,D328)</f>
        <v>11948.74</v>
      </c>
      <c r="I328" s="2" t="e">
        <f ca="1">SUMIFS(#REF!,#REF!,A328,#REF!,D328)</f>
        <v>#REF!</v>
      </c>
      <c r="J328" s="2" t="e">
        <f ca="1">SUMIFS(#REF!,#REF!,A328,#REF!,D328)</f>
        <v>#REF!</v>
      </c>
    </row>
    <row r="329" spans="1:10" ht="12.5" x14ac:dyDescent="0.25">
      <c r="A329" s="2" t="str">
        <f ca="1">IFERROR(__xludf.DUMMYFUNCTION("""COMPUTED_VALUE"""),"KP/001304")</f>
        <v>KP/001304</v>
      </c>
      <c r="B329" s="2" t="str">
        <f ca="1">IFERROR(__xludf.DUMMYFUNCTION("""COMPUTED_VALUE"""),"Verkeersveiligheid")</f>
        <v>Verkeersveiligheid</v>
      </c>
      <c r="C329" s="2" t="str">
        <f ca="1">IFERROR(__xludf.DUMMYFUNCTION("""COMPUTED_VALUE"""),"Schoolroute")</f>
        <v>Schoolroute</v>
      </c>
      <c r="D329" s="2" t="str">
        <f ca="1">IFERROR(__xludf.DUMMYFUNCTION("""COMPUTED_VALUE"""),"IN/001030")</f>
        <v>IN/001030</v>
      </c>
      <c r="E329" s="2" t="str">
        <f ca="1">IFERROR(__xludf.DUMMYFUNCTION("UNIQUE(FILTER('export kabinetdashboard 1210202'!N:P,'export kabinetdashboard 1210202'!M:M=D329))"),"zie foto")</f>
        <v>zie foto</v>
      </c>
      <c r="F329" s="2" t="str">
        <f ca="1">IFERROR(__xludf.DUMMYFUNCTION("""COMPUTED_VALUE"""),"2022 - Q1")</f>
        <v>2022 - Q1</v>
      </c>
      <c r="G329" s="2" t="str">
        <f ca="1">IFERROR(__xludf.DUMMYFUNCTION("""COMPUTED_VALUE"""),"2022 - Q1")</f>
        <v>2022 - Q1</v>
      </c>
      <c r="H329" s="2">
        <f ca="1">SUMIFS('bedragen KIM (budgettering &amp; pl'!S:S,'bedragen KIM (budgettering &amp; pl'!B:B,A329,'bedragen KIM (budgettering &amp; pl'!F:F,D329)</f>
        <v>3454.34</v>
      </c>
      <c r="I329" s="2" t="e">
        <f ca="1">SUMIFS(#REF!,#REF!,A329,#REF!,D329)</f>
        <v>#REF!</v>
      </c>
      <c r="J329" s="2" t="e">
        <f ca="1">SUMIFS(#REF!,#REF!,A329,#REF!,D329)</f>
        <v>#REF!</v>
      </c>
    </row>
    <row r="330" spans="1:10" ht="12.5" x14ac:dyDescent="0.25">
      <c r="A330" s="2" t="str">
        <f ca="1">IFERROR(__xludf.DUMMYFUNCTION("""COMPUTED_VALUE"""),"KP/001305")</f>
        <v>KP/001305</v>
      </c>
      <c r="B330" s="2" t="str">
        <f ca="1">IFERROR(__xludf.DUMMYFUNCTION("""COMPUTED_VALUE"""),"Verkeersveiligheid")</f>
        <v>Verkeersveiligheid</v>
      </c>
      <c r="C330" s="2" t="str">
        <f ca="1">IFERROR(__xludf.DUMMYFUNCTION("""COMPUTED_VALUE"""),"Schoolroute")</f>
        <v>Schoolroute</v>
      </c>
      <c r="D330" s="2" t="str">
        <f ca="1">IFERROR(__xludf.DUMMYFUNCTION("""COMPUTED_VALUE"""),"IN/001031")</f>
        <v>IN/001031</v>
      </c>
      <c r="E330" s="2" t="str">
        <f ca="1">IFERROR(__xludf.DUMMYFUNCTION("UNIQUE(FILTER('export kabinetdashboard 1210202'!N:P,'export kabinetdashboard 1210202'!M:M=D330))"),"zie foto")</f>
        <v>zie foto</v>
      </c>
      <c r="F330" s="2" t="str">
        <f ca="1">IFERROR(__xludf.DUMMYFUNCTION("""COMPUTED_VALUE"""),"2022 - Q1")</f>
        <v>2022 - Q1</v>
      </c>
      <c r="G330" s="2" t="str">
        <f ca="1">IFERROR(__xludf.DUMMYFUNCTION("""COMPUTED_VALUE"""),"2022 - Q1")</f>
        <v>2022 - Q1</v>
      </c>
      <c r="H330" s="2">
        <f ca="1">SUMIFS('bedragen KIM (budgettering &amp; pl'!S:S,'bedragen KIM (budgettering &amp; pl'!B:B,A330,'bedragen KIM (budgettering &amp; pl'!F:F,D330)</f>
        <v>16968.3</v>
      </c>
      <c r="I330" s="2" t="e">
        <f ca="1">SUMIFS(#REF!,#REF!,A330,#REF!,D330)</f>
        <v>#REF!</v>
      </c>
      <c r="J330" s="2" t="e">
        <f ca="1">SUMIFS(#REF!,#REF!,A330,#REF!,D330)</f>
        <v>#REF!</v>
      </c>
    </row>
    <row r="331" spans="1:10" ht="12.5" x14ac:dyDescent="0.25">
      <c r="A331" s="2" t="str">
        <f ca="1">IFERROR(__xludf.DUMMYFUNCTION("""COMPUTED_VALUE"""),"KP/001308")</f>
        <v>KP/001308</v>
      </c>
      <c r="B331" s="2" t="str">
        <f ca="1">IFERROR(__xludf.DUMMYFUNCTION("""COMPUTED_VALUE"""),"Verkeersveiligheid")</f>
        <v>Verkeersveiligheid</v>
      </c>
      <c r="C331" s="2" t="str">
        <f ca="1">IFERROR(__xludf.DUMMYFUNCTION("""COMPUTED_VALUE"""),"Schoolroute")</f>
        <v>Schoolroute</v>
      </c>
      <c r="D331" s="2" t="str">
        <f ca="1">IFERROR(__xludf.DUMMYFUNCTION("""COMPUTED_VALUE"""),"IN/001032")</f>
        <v>IN/001032</v>
      </c>
      <c r="E331" s="2" t="str">
        <f ca="1">IFERROR(__xludf.DUMMYFUNCTION("UNIQUE(FILTER('export kabinetdashboard 1210202'!N:P,'export kabinetdashboard 1210202'!M:M=D331))"),"")</f>
        <v/>
      </c>
      <c r="F331" s="2" t="str">
        <f ca="1">IFERROR(__xludf.DUMMYFUNCTION("""COMPUTED_VALUE"""),"n.t.b.")</f>
        <v>n.t.b.</v>
      </c>
      <c r="G331" s="2" t="str">
        <f ca="1">IFERROR(__xludf.DUMMYFUNCTION("""COMPUTED_VALUE"""),"n.t.b.")</f>
        <v>n.t.b.</v>
      </c>
      <c r="H331" s="2">
        <f ca="1">SUMIFS('bedragen KIM (budgettering &amp; pl'!S:S,'bedragen KIM (budgettering &amp; pl'!B:B,A331,'bedragen KIM (budgettering &amp; pl'!F:F,D331)</f>
        <v>0</v>
      </c>
      <c r="I331" s="2" t="e">
        <f ca="1">SUMIFS(#REF!,#REF!,A331,#REF!,D331)</f>
        <v>#REF!</v>
      </c>
      <c r="J331" s="2" t="e">
        <f ca="1">SUMIFS(#REF!,#REF!,A331,#REF!,D331)</f>
        <v>#REF!</v>
      </c>
    </row>
    <row r="332" spans="1:10" ht="12.5" x14ac:dyDescent="0.25">
      <c r="A332" s="2" t="str">
        <f ca="1">IFERROR(__xludf.DUMMYFUNCTION("""COMPUTED_VALUE"""),"KP/001309")</f>
        <v>KP/001309</v>
      </c>
      <c r="B332" s="2" t="str">
        <f ca="1">IFERROR(__xludf.DUMMYFUNCTION("""COMPUTED_VALUE"""),"Verkeersveiligheid")</f>
        <v>Verkeersveiligheid</v>
      </c>
      <c r="C332" s="2" t="str">
        <f ca="1">IFERROR(__xludf.DUMMYFUNCTION("""COMPUTED_VALUE"""),"Schoolroute")</f>
        <v>Schoolroute</v>
      </c>
      <c r="D332" s="2" t="str">
        <f ca="1">IFERROR(__xludf.DUMMYFUNCTION("""COMPUTED_VALUE"""),"IN/001033")</f>
        <v>IN/001033</v>
      </c>
      <c r="E332" s="2" t="str">
        <f ca="1">IFERROR(__xludf.DUMMYFUNCTION("UNIQUE(FILTER('export kabinetdashboard 1210202'!N:P,'export kabinetdashboard 1210202'!M:M=D332))"),"")</f>
        <v/>
      </c>
      <c r="F332" s="2" t="str">
        <f ca="1">IFERROR(__xludf.DUMMYFUNCTION("""COMPUTED_VALUE"""),"n.t.b.")</f>
        <v>n.t.b.</v>
      </c>
      <c r="G332" s="2" t="str">
        <f ca="1">IFERROR(__xludf.DUMMYFUNCTION("""COMPUTED_VALUE"""),"n.t.b.")</f>
        <v>n.t.b.</v>
      </c>
      <c r="H332" s="2">
        <f ca="1">SUMIFS('bedragen KIM (budgettering &amp; pl'!S:S,'bedragen KIM (budgettering &amp; pl'!B:B,A332,'bedragen KIM (budgettering &amp; pl'!F:F,D332)</f>
        <v>0</v>
      </c>
      <c r="I332" s="2" t="e">
        <f ca="1">SUMIFS(#REF!,#REF!,A332,#REF!,D332)</f>
        <v>#REF!</v>
      </c>
      <c r="J332" s="2" t="e">
        <f ca="1">SUMIFS(#REF!,#REF!,A332,#REF!,D332)</f>
        <v>#REF!</v>
      </c>
    </row>
    <row r="333" spans="1:10" ht="12.5" x14ac:dyDescent="0.25">
      <c r="A333" s="2" t="str">
        <f ca="1">IFERROR(__xludf.DUMMYFUNCTION("""COMPUTED_VALUE"""),"KP/001310")</f>
        <v>KP/001310</v>
      </c>
      <c r="B333" s="2" t="str">
        <f ca="1">IFERROR(__xludf.DUMMYFUNCTION("""COMPUTED_VALUE"""),"Verkeersveiligheid")</f>
        <v>Verkeersveiligheid</v>
      </c>
      <c r="C333" s="2" t="str">
        <f ca="1">IFERROR(__xludf.DUMMYFUNCTION("""COMPUTED_VALUE"""),"Schoolroute")</f>
        <v>Schoolroute</v>
      </c>
      <c r="D333" s="2" t="str">
        <f ca="1">IFERROR(__xludf.DUMMYFUNCTION("""COMPUTED_VALUE"""),"IN/001034")</f>
        <v>IN/001034</v>
      </c>
      <c r="E333" s="2" t="str">
        <f ca="1">IFERROR(__xludf.DUMMYFUNCTION("UNIQUE(FILTER('export kabinetdashboard 1210202'!N:P,'export kabinetdashboard 1210202'!M:M=D333))"),"")</f>
        <v/>
      </c>
      <c r="F333" s="2" t="str">
        <f ca="1">IFERROR(__xludf.DUMMYFUNCTION("""COMPUTED_VALUE"""),"n.t.b.")</f>
        <v>n.t.b.</v>
      </c>
      <c r="G333" s="2" t="str">
        <f ca="1">IFERROR(__xludf.DUMMYFUNCTION("""COMPUTED_VALUE"""),"n.t.b.")</f>
        <v>n.t.b.</v>
      </c>
      <c r="H333" s="2">
        <f ca="1">SUMIFS('bedragen KIM (budgettering &amp; pl'!S:S,'bedragen KIM (budgettering &amp; pl'!B:B,A333,'bedragen KIM (budgettering &amp; pl'!F:F,D333)</f>
        <v>0</v>
      </c>
      <c r="I333" s="2" t="e">
        <f ca="1">SUMIFS(#REF!,#REF!,A333,#REF!,D333)</f>
        <v>#REF!</v>
      </c>
      <c r="J333" s="2" t="e">
        <f ca="1">SUMIFS(#REF!,#REF!,A333,#REF!,D333)</f>
        <v>#REF!</v>
      </c>
    </row>
    <row r="334" spans="1:10" ht="12.5" x14ac:dyDescent="0.25">
      <c r="A334" s="2" t="str">
        <f ca="1">IFERROR(__xludf.DUMMYFUNCTION("""COMPUTED_VALUE"""),"KP/001311")</f>
        <v>KP/001311</v>
      </c>
      <c r="B334" s="2" t="str">
        <f ca="1">IFERROR(__xludf.DUMMYFUNCTION("""COMPUTED_VALUE"""),"Verkeersveiligheid")</f>
        <v>Verkeersveiligheid</v>
      </c>
      <c r="C334" s="2" t="str">
        <f ca="1">IFERROR(__xludf.DUMMYFUNCTION("""COMPUTED_VALUE"""),"Schoolroute")</f>
        <v>Schoolroute</v>
      </c>
      <c r="D334" s="2" t="str">
        <f ca="1">IFERROR(__xludf.DUMMYFUNCTION("""COMPUTED_VALUE"""),"IN/001035")</f>
        <v>IN/001035</v>
      </c>
      <c r="E334" s="2" t="str">
        <f ca="1">IFERROR(__xludf.DUMMYFUNCTION("UNIQUE(FILTER('export kabinetdashboard 1210202'!N:P,'export kabinetdashboard 1210202'!M:M=D334))"),"")</f>
        <v/>
      </c>
      <c r="F334" s="2" t="str">
        <f ca="1">IFERROR(__xludf.DUMMYFUNCTION("""COMPUTED_VALUE"""),"2021 - Q4")</f>
        <v>2021 - Q4</v>
      </c>
      <c r="G334" s="2" t="str">
        <f ca="1">IFERROR(__xludf.DUMMYFUNCTION("""COMPUTED_VALUE"""),"2022 - Q1")</f>
        <v>2022 - Q1</v>
      </c>
      <c r="H334" s="2">
        <f ca="1">SUMIFS('bedragen KIM (budgettering &amp; pl'!S:S,'bedragen KIM (budgettering &amp; pl'!B:B,A334,'bedragen KIM (budgettering &amp; pl'!F:F,D334)</f>
        <v>36000</v>
      </c>
      <c r="I334" s="2" t="e">
        <f ca="1">SUMIFS(#REF!,#REF!,A334,#REF!,D334)</f>
        <v>#REF!</v>
      </c>
      <c r="J334" s="2" t="e">
        <f ca="1">SUMIFS(#REF!,#REF!,A334,#REF!,D334)</f>
        <v>#REF!</v>
      </c>
    </row>
    <row r="335" spans="1:10" ht="12.5" x14ac:dyDescent="0.25">
      <c r="A335" s="2" t="str">
        <f ca="1">IFERROR(__xludf.DUMMYFUNCTION("""COMPUTED_VALUE"""),"KP/001312")</f>
        <v>KP/001312</v>
      </c>
      <c r="B335" s="2" t="str">
        <f ca="1">IFERROR(__xludf.DUMMYFUNCTION("""COMPUTED_VALUE"""),"Verkeersveiligheid")</f>
        <v>Verkeersveiligheid</v>
      </c>
      <c r="C335" s="2" t="str">
        <f ca="1">IFERROR(__xludf.DUMMYFUNCTION("""COMPUTED_VALUE"""),"Schoolroute")</f>
        <v>Schoolroute</v>
      </c>
      <c r="D335" s="2" t="str">
        <f ca="1">IFERROR(__xludf.DUMMYFUNCTION("""COMPUTED_VALUE"""),"IN/001036")</f>
        <v>IN/001036</v>
      </c>
      <c r="E335" s="2" t="str">
        <f ca="1">IFERROR(__xludf.DUMMYFUNCTION("UNIQUE(FILTER('export kabinetdashboard 1210202'!N:P,'export kabinetdashboard 1210202'!M:M=D335))"),"")</f>
        <v/>
      </c>
      <c r="F335" s="2" t="str">
        <f ca="1">IFERROR(__xludf.DUMMYFUNCTION("""COMPUTED_VALUE"""),"2022 - Q2")</f>
        <v>2022 - Q2</v>
      </c>
      <c r="G335" s="2" t="str">
        <f ca="1">IFERROR(__xludf.DUMMYFUNCTION("""COMPUTED_VALUE"""),"n.t.b.")</f>
        <v>n.t.b.</v>
      </c>
      <c r="H335" s="2">
        <f ca="1">SUMIFS('bedragen KIM (budgettering &amp; pl'!S:S,'bedragen KIM (budgettering &amp; pl'!B:B,A335,'bedragen KIM (budgettering &amp; pl'!F:F,D335)</f>
        <v>35000</v>
      </c>
      <c r="I335" s="2" t="e">
        <f ca="1">SUMIFS(#REF!,#REF!,A335,#REF!,D335)</f>
        <v>#REF!</v>
      </c>
      <c r="J335" s="2" t="e">
        <f ca="1">SUMIFS(#REF!,#REF!,A335,#REF!,D335)</f>
        <v>#REF!</v>
      </c>
    </row>
    <row r="336" spans="1:10" ht="12.5" x14ac:dyDescent="0.25">
      <c r="A336" s="2" t="str">
        <f ca="1">IFERROR(__xludf.DUMMYFUNCTION("""COMPUTED_VALUE"""),"KP/001313")</f>
        <v>KP/001313</v>
      </c>
      <c r="B336" s="2" t="str">
        <f ca="1">IFERROR(__xludf.DUMMYFUNCTION("""COMPUTED_VALUE"""),"Verkeersveiligheid")</f>
        <v>Verkeersveiligheid</v>
      </c>
      <c r="C336" s="2" t="str">
        <f ca="1">IFERROR(__xludf.DUMMYFUNCTION("""COMPUTED_VALUE"""),"Schoolroute")</f>
        <v>Schoolroute</v>
      </c>
      <c r="D336" s="2" t="str">
        <f ca="1">IFERROR(__xludf.DUMMYFUNCTION("""COMPUTED_VALUE"""),"IN/001037")</f>
        <v>IN/001037</v>
      </c>
      <c r="E336" s="2" t="str">
        <f ca="1">IFERROR(__xludf.DUMMYFUNCTION("UNIQUE(FILTER('export kabinetdashboard 1210202'!N:P,'export kabinetdashboard 1210202'!M:M=D336))"),"")</f>
        <v/>
      </c>
      <c r="F336" s="2" t="str">
        <f ca="1">IFERROR(__xludf.DUMMYFUNCTION("""COMPUTED_VALUE"""),"n.t.b.")</f>
        <v>n.t.b.</v>
      </c>
      <c r="G336" s="2" t="str">
        <f ca="1">IFERROR(__xludf.DUMMYFUNCTION("""COMPUTED_VALUE"""),"n.t.b.")</f>
        <v>n.t.b.</v>
      </c>
      <c r="H336" s="2">
        <f ca="1">SUMIFS('bedragen KIM (budgettering &amp; pl'!S:S,'bedragen KIM (budgettering &amp; pl'!B:B,A336,'bedragen KIM (budgettering &amp; pl'!F:F,D336)</f>
        <v>0</v>
      </c>
      <c r="I336" s="2" t="e">
        <f ca="1">SUMIFS(#REF!,#REF!,A336,#REF!,D336)</f>
        <v>#REF!</v>
      </c>
      <c r="J336" s="2" t="e">
        <f ca="1">SUMIFS(#REF!,#REF!,A336,#REF!,D336)</f>
        <v>#REF!</v>
      </c>
    </row>
    <row r="337" spans="1:10" ht="12.5" x14ac:dyDescent="0.25">
      <c r="A337" s="2" t="str">
        <f ca="1">IFERROR(__xludf.DUMMYFUNCTION("""COMPUTED_VALUE"""),"KP/001314")</f>
        <v>KP/001314</v>
      </c>
      <c r="B337" s="2" t="str">
        <f ca="1">IFERROR(__xludf.DUMMYFUNCTION("""COMPUTED_VALUE"""),"Verkeersveiligheid")</f>
        <v>Verkeersveiligheid</v>
      </c>
      <c r="C337" s="2" t="str">
        <f ca="1">IFERROR(__xludf.DUMMYFUNCTION("""COMPUTED_VALUE"""),"Schoolroute")</f>
        <v>Schoolroute</v>
      </c>
      <c r="D337" s="2" t="str">
        <f ca="1">IFERROR(__xludf.DUMMYFUNCTION("""COMPUTED_VALUE"""),"IN/001038")</f>
        <v>IN/001038</v>
      </c>
      <c r="E337" s="2" t="str">
        <f ca="1">IFERROR(__xludf.DUMMYFUNCTION("UNIQUE(FILTER('export kabinetdashboard 1210202'!N:P,'export kabinetdashboard 1210202'!M:M=D337))"),"")</f>
        <v/>
      </c>
      <c r="F337" s="2" t="str">
        <f ca="1">IFERROR(__xludf.DUMMYFUNCTION("""COMPUTED_VALUE"""),"2022 - Q2")</f>
        <v>2022 - Q2</v>
      </c>
      <c r="G337" s="2" t="str">
        <f ca="1">IFERROR(__xludf.DUMMYFUNCTION("""COMPUTED_VALUE"""),"n.t.b.")</f>
        <v>n.t.b.</v>
      </c>
      <c r="H337" s="2">
        <f ca="1">SUMIFS('bedragen KIM (budgettering &amp; pl'!S:S,'bedragen KIM (budgettering &amp; pl'!B:B,A337,'bedragen KIM (budgettering &amp; pl'!F:F,D337)</f>
        <v>50000</v>
      </c>
      <c r="I337" s="2" t="e">
        <f ca="1">SUMIFS(#REF!,#REF!,A337,#REF!,D337)</f>
        <v>#REF!</v>
      </c>
      <c r="J337" s="2" t="e">
        <f ca="1">SUMIFS(#REF!,#REF!,A337,#REF!,D337)</f>
        <v>#REF!</v>
      </c>
    </row>
    <row r="338" spans="1:10" ht="12.5" x14ac:dyDescent="0.25">
      <c r="A338" s="2" t="str">
        <f ca="1">IFERROR(__xludf.DUMMYFUNCTION("""COMPUTED_VALUE"""),"KP/001315")</f>
        <v>KP/001315</v>
      </c>
      <c r="B338" s="2" t="str">
        <f ca="1">IFERROR(__xludf.DUMMYFUNCTION("""COMPUTED_VALUE"""),"Verkeersveiligheid")</f>
        <v>Verkeersveiligheid</v>
      </c>
      <c r="C338" s="2" t="str">
        <f ca="1">IFERROR(__xludf.DUMMYFUNCTION("""COMPUTED_VALUE"""),"Schoolroute")</f>
        <v>Schoolroute</v>
      </c>
      <c r="D338" s="2" t="str">
        <f ca="1">IFERROR(__xludf.DUMMYFUNCTION("""COMPUTED_VALUE"""),"IN/001039")</f>
        <v>IN/001039</v>
      </c>
      <c r="E338" s="2" t="str">
        <f ca="1">IFERROR(__xludf.DUMMYFUNCTION("UNIQUE(FILTER('export kabinetdashboard 1210202'!N:P,'export kabinetdashboard 1210202'!M:M=D338))"),"")</f>
        <v/>
      </c>
      <c r="F338" s="2" t="str">
        <f ca="1">IFERROR(__xludf.DUMMYFUNCTION("""COMPUTED_VALUE"""),"2021 - Q4")</f>
        <v>2021 - Q4</v>
      </c>
      <c r="G338" s="2" t="str">
        <f ca="1">IFERROR(__xludf.DUMMYFUNCTION("""COMPUTED_VALUE"""),"n.t.b.")</f>
        <v>n.t.b.</v>
      </c>
      <c r="H338" s="2">
        <f ca="1">SUMIFS('bedragen KIM (budgettering &amp; pl'!S:S,'bedragen KIM (budgettering &amp; pl'!B:B,A338,'bedragen KIM (budgettering &amp; pl'!F:F,D338)</f>
        <v>7500</v>
      </c>
      <c r="I338" s="2" t="e">
        <f ca="1">SUMIFS(#REF!,#REF!,A338,#REF!,D338)</f>
        <v>#REF!</v>
      </c>
      <c r="J338" s="2" t="e">
        <f ca="1">SUMIFS(#REF!,#REF!,A338,#REF!,D338)</f>
        <v>#REF!</v>
      </c>
    </row>
    <row r="339" spans="1:10" ht="12.5" x14ac:dyDescent="0.25">
      <c r="A339" s="2" t="str">
        <f ca="1">IFERROR(__xludf.DUMMYFUNCTION("""COMPUTED_VALUE"""),"KP/001316")</f>
        <v>KP/001316</v>
      </c>
      <c r="B339" s="2" t="str">
        <f ca="1">IFERROR(__xludf.DUMMYFUNCTION("""COMPUTED_VALUE"""),"Verkeersveiligheid")</f>
        <v>Verkeersveiligheid</v>
      </c>
      <c r="C339" s="2" t="str">
        <f ca="1">IFERROR(__xludf.DUMMYFUNCTION("""COMPUTED_VALUE"""),"Schoolroute")</f>
        <v>Schoolroute</v>
      </c>
      <c r="D339" s="2" t="str">
        <f ca="1">IFERROR(__xludf.DUMMYFUNCTION("""COMPUTED_VALUE"""),"IN/001040")</f>
        <v>IN/001040</v>
      </c>
      <c r="E339" s="2" t="str">
        <f ca="1">IFERROR(__xludf.DUMMYFUNCTION("UNIQUE(FILTER('export kabinetdashboard 1210202'!N:P,'export kabinetdashboard 1210202'!M:M=D339))"),"")</f>
        <v/>
      </c>
      <c r="F339" s="2" t="str">
        <f ca="1">IFERROR(__xludf.DUMMYFUNCTION("""COMPUTED_VALUE"""),"2023 - Q4")</f>
        <v>2023 - Q4</v>
      </c>
      <c r="G339" s="2" t="str">
        <f ca="1">IFERROR(__xludf.DUMMYFUNCTION("""COMPUTED_VALUE"""),"n.t.b.")</f>
        <v>n.t.b.</v>
      </c>
      <c r="H339" s="2">
        <f ca="1">SUMIFS('bedragen KIM (budgettering &amp; pl'!S:S,'bedragen KIM (budgettering &amp; pl'!B:B,A339,'bedragen KIM (budgettering &amp; pl'!F:F,D339)</f>
        <v>0</v>
      </c>
      <c r="I339" s="2" t="e">
        <f ca="1">SUMIFS(#REF!,#REF!,A339,#REF!,D339)</f>
        <v>#REF!</v>
      </c>
      <c r="J339" s="2" t="e">
        <f ca="1">SUMIFS(#REF!,#REF!,A339,#REF!,D339)</f>
        <v>#REF!</v>
      </c>
    </row>
    <row r="340" spans="1:10" ht="12.5" x14ac:dyDescent="0.25">
      <c r="A340" s="2" t="str">
        <f ca="1">IFERROR(__xludf.DUMMYFUNCTION("""COMPUTED_VALUE"""),"KP/001317")</f>
        <v>KP/001317</v>
      </c>
      <c r="B340" s="2" t="str">
        <f ca="1">IFERROR(__xludf.DUMMYFUNCTION("""COMPUTED_VALUE"""),"Verkeersveiligheid")</f>
        <v>Verkeersveiligheid</v>
      </c>
      <c r="C340" s="2" t="str">
        <f ca="1">IFERROR(__xludf.DUMMYFUNCTION("""COMPUTED_VALUE"""),"Schoolroute")</f>
        <v>Schoolroute</v>
      </c>
      <c r="D340" s="2" t="str">
        <f ca="1">IFERROR(__xludf.DUMMYFUNCTION("""COMPUTED_VALUE"""),"IN/001041")</f>
        <v>IN/001041</v>
      </c>
      <c r="E340" s="2" t="str">
        <f ca="1">IFERROR(__xludf.DUMMYFUNCTION("UNIQUE(FILTER('export kabinetdashboard 1210202'!N:P,'export kabinetdashboard 1210202'!M:M=D340))"),"")</f>
        <v/>
      </c>
      <c r="F340" s="2" t="str">
        <f ca="1">IFERROR(__xludf.DUMMYFUNCTION("""COMPUTED_VALUE"""),"n.t.b.")</f>
        <v>n.t.b.</v>
      </c>
      <c r="G340" s="2" t="str">
        <f ca="1">IFERROR(__xludf.DUMMYFUNCTION("""COMPUTED_VALUE"""),"n.t.b.")</f>
        <v>n.t.b.</v>
      </c>
      <c r="H340" s="2">
        <f ca="1">SUMIFS('bedragen KIM (budgettering &amp; pl'!S:S,'bedragen KIM (budgettering &amp; pl'!B:B,A340,'bedragen KIM (budgettering &amp; pl'!F:F,D340)</f>
        <v>35000</v>
      </c>
      <c r="I340" s="2" t="e">
        <f ca="1">SUMIFS(#REF!,#REF!,A340,#REF!,D340)</f>
        <v>#REF!</v>
      </c>
      <c r="J340" s="2" t="e">
        <f ca="1">SUMIFS(#REF!,#REF!,A340,#REF!,D340)</f>
        <v>#REF!</v>
      </c>
    </row>
    <row r="341" spans="1:10" ht="12.5" x14ac:dyDescent="0.25">
      <c r="A341" s="2" t="str">
        <f ca="1">IFERROR(__xludf.DUMMYFUNCTION("""COMPUTED_VALUE"""),"KP/001318")</f>
        <v>KP/001318</v>
      </c>
      <c r="B341" s="2" t="str">
        <f ca="1">IFERROR(__xludf.DUMMYFUNCTION("""COMPUTED_VALUE"""),"Verkeersveiligheid")</f>
        <v>Verkeersveiligheid</v>
      </c>
      <c r="C341" s="2" t="str">
        <f ca="1">IFERROR(__xludf.DUMMYFUNCTION("""COMPUTED_VALUE"""),"Schoolroute")</f>
        <v>Schoolroute</v>
      </c>
      <c r="D341" s="2" t="str">
        <f ca="1">IFERROR(__xludf.DUMMYFUNCTION("""COMPUTED_VALUE"""),"IN/001042")</f>
        <v>IN/001042</v>
      </c>
      <c r="E341" s="2" t="str">
        <f ca="1">IFERROR(__xludf.DUMMYFUNCTION("UNIQUE(FILTER('export kabinetdashboard 1210202'!N:P,'export kabinetdashboard 1210202'!M:M=D341))"),"")</f>
        <v/>
      </c>
      <c r="F341" s="2" t="str">
        <f ca="1">IFERROR(__xludf.DUMMYFUNCTION("""COMPUTED_VALUE"""),"n.t.b.")</f>
        <v>n.t.b.</v>
      </c>
      <c r="G341" s="2" t="str">
        <f ca="1">IFERROR(__xludf.DUMMYFUNCTION("""COMPUTED_VALUE"""),"n.t.b.")</f>
        <v>n.t.b.</v>
      </c>
      <c r="H341" s="2">
        <f ca="1">SUMIFS('bedragen KIM (budgettering &amp; pl'!S:S,'bedragen KIM (budgettering &amp; pl'!B:B,A341,'bedragen KIM (budgettering &amp; pl'!F:F,D341)</f>
        <v>0</v>
      </c>
      <c r="I341" s="2" t="e">
        <f ca="1">SUMIFS(#REF!,#REF!,A341,#REF!,D341)</f>
        <v>#REF!</v>
      </c>
      <c r="J341" s="2" t="e">
        <f ca="1">SUMIFS(#REF!,#REF!,A341,#REF!,D341)</f>
        <v>#REF!</v>
      </c>
    </row>
    <row r="342" spans="1:10" ht="12.5" x14ac:dyDescent="0.25">
      <c r="A342" s="2" t="str">
        <f ca="1">IFERROR(__xludf.DUMMYFUNCTION("""COMPUTED_VALUE"""),"KP/001319")</f>
        <v>KP/001319</v>
      </c>
      <c r="B342" s="2" t="str">
        <f ca="1">IFERROR(__xludf.DUMMYFUNCTION("""COMPUTED_VALUE"""),"Verkeersveiligheid")</f>
        <v>Verkeersveiligheid</v>
      </c>
      <c r="C342" s="2" t="str">
        <f ca="1">IFERROR(__xludf.DUMMYFUNCTION("""COMPUTED_VALUE"""),"Schoolroute")</f>
        <v>Schoolroute</v>
      </c>
      <c r="D342" s="2" t="str">
        <f ca="1">IFERROR(__xludf.DUMMYFUNCTION("""COMPUTED_VALUE"""),"IN/001043")</f>
        <v>IN/001043</v>
      </c>
      <c r="E342" s="2" t="str">
        <f ca="1">IFERROR(__xludf.DUMMYFUNCTION("UNIQUE(FILTER('export kabinetdashboard 1210202'!N:P,'export kabinetdashboard 1210202'!M:M=D342))"),"")</f>
        <v/>
      </c>
      <c r="F342" s="2" t="str">
        <f ca="1">IFERROR(__xludf.DUMMYFUNCTION("""COMPUTED_VALUE"""),"n.t.b.")</f>
        <v>n.t.b.</v>
      </c>
      <c r="G342" s="2" t="str">
        <f ca="1">IFERROR(__xludf.DUMMYFUNCTION("""COMPUTED_VALUE"""),"n.t.b.")</f>
        <v>n.t.b.</v>
      </c>
      <c r="H342" s="2">
        <f ca="1">SUMIFS('bedragen KIM (budgettering &amp; pl'!S:S,'bedragen KIM (budgettering &amp; pl'!B:B,A342,'bedragen KIM (budgettering &amp; pl'!F:F,D342)</f>
        <v>0</v>
      </c>
      <c r="I342" s="2" t="e">
        <f ca="1">SUMIFS(#REF!,#REF!,A342,#REF!,D342)</f>
        <v>#REF!</v>
      </c>
      <c r="J342" s="2" t="e">
        <f ca="1">SUMIFS(#REF!,#REF!,A342,#REF!,D342)</f>
        <v>#REF!</v>
      </c>
    </row>
    <row r="343" spans="1:10" ht="12.5" x14ac:dyDescent="0.25">
      <c r="A343" s="2" t="str">
        <f ca="1">IFERROR(__xludf.DUMMYFUNCTION("""COMPUTED_VALUE"""),"KP/001320")</f>
        <v>KP/001320</v>
      </c>
      <c r="B343" s="2" t="str">
        <f ca="1">IFERROR(__xludf.DUMMYFUNCTION("""COMPUTED_VALUE"""),"Verkeersveiligheid")</f>
        <v>Verkeersveiligheid</v>
      </c>
      <c r="C343" s="2" t="str">
        <f ca="1">IFERROR(__xludf.DUMMYFUNCTION("""COMPUTED_VALUE"""),"Schoolroute")</f>
        <v>Schoolroute</v>
      </c>
      <c r="D343" s="2" t="str">
        <f ca="1">IFERROR(__xludf.DUMMYFUNCTION("""COMPUTED_VALUE"""),"IN/001044")</f>
        <v>IN/001044</v>
      </c>
      <c r="E343" s="2" t="str">
        <f ca="1">IFERROR(__xludf.DUMMYFUNCTION("UNIQUE(FILTER('export kabinetdashboard 1210202'!N:P,'export kabinetdashboard 1210202'!M:M=D343))"),"")</f>
        <v/>
      </c>
      <c r="F343" s="2" t="str">
        <f ca="1">IFERROR(__xludf.DUMMYFUNCTION("""COMPUTED_VALUE"""),"2023 - Q2")</f>
        <v>2023 - Q2</v>
      </c>
      <c r="G343" s="2" t="str">
        <f ca="1">IFERROR(__xludf.DUMMYFUNCTION("""COMPUTED_VALUE"""),"n.t.b.")</f>
        <v>n.t.b.</v>
      </c>
      <c r="H343" s="2">
        <f ca="1">SUMIFS('bedragen KIM (budgettering &amp; pl'!S:S,'bedragen KIM (budgettering &amp; pl'!B:B,A343,'bedragen KIM (budgettering &amp; pl'!F:F,D343)</f>
        <v>15000</v>
      </c>
      <c r="I343" s="2" t="e">
        <f ca="1">SUMIFS(#REF!,#REF!,A343,#REF!,D343)</f>
        <v>#REF!</v>
      </c>
      <c r="J343" s="2" t="e">
        <f ca="1">SUMIFS(#REF!,#REF!,A343,#REF!,D343)</f>
        <v>#REF!</v>
      </c>
    </row>
    <row r="344" spans="1:10" ht="12.5" x14ac:dyDescent="0.25">
      <c r="A344" s="2" t="str">
        <f ca="1">IFERROR(__xludf.DUMMYFUNCTION("""COMPUTED_VALUE"""),"KP/001324")</f>
        <v>KP/001324</v>
      </c>
      <c r="B344" s="2" t="str">
        <f ca="1">IFERROR(__xludf.DUMMYFUNCTION("""COMPUTED_VALUE"""),"Verkeersveiligheid")</f>
        <v>Verkeersveiligheid</v>
      </c>
      <c r="C344" s="2" t="str">
        <f ca="1">IFERROR(__xludf.DUMMYFUNCTION("""COMPUTED_VALUE"""),"Schoolroute")</f>
        <v>Schoolroute</v>
      </c>
      <c r="D344" s="2" t="str">
        <f ca="1">IFERROR(__xludf.DUMMYFUNCTION("""COMPUTED_VALUE"""),"IN/001045")</f>
        <v>IN/001045</v>
      </c>
      <c r="E344" s="2" t="str">
        <f ca="1">IFERROR(__xludf.DUMMYFUNCTION("UNIQUE(FILTER('export kabinetdashboard 1210202'!N:P,'export kabinetdashboard 1210202'!M:M=D344))"),"#N/A")</f>
        <v>#N/A</v>
      </c>
      <c r="H344" s="2">
        <f ca="1">SUMIFS('bedragen KIM (budgettering &amp; pl'!S:S,'bedragen KIM (budgettering &amp; pl'!B:B,A344,'bedragen KIM (budgettering &amp; pl'!F:F,D344)</f>
        <v>0</v>
      </c>
      <c r="I344" s="2" t="e">
        <f ca="1">SUMIFS(#REF!,#REF!,A344,#REF!,D344)</f>
        <v>#REF!</v>
      </c>
      <c r="J344" s="2" t="e">
        <f ca="1">SUMIFS(#REF!,#REF!,A344,#REF!,D344)</f>
        <v>#REF!</v>
      </c>
    </row>
    <row r="345" spans="1:10" ht="12.5" x14ac:dyDescent="0.25">
      <c r="A345" s="2" t="str">
        <f ca="1">IFERROR(__xludf.DUMMYFUNCTION("""COMPUTED_VALUE"""),"KP/001325")</f>
        <v>KP/001325</v>
      </c>
      <c r="B345" s="2" t="str">
        <f ca="1">IFERROR(__xludf.DUMMYFUNCTION("""COMPUTED_VALUE"""),"Verkeersveiligheid")</f>
        <v>Verkeersveiligheid</v>
      </c>
      <c r="C345" s="2" t="str">
        <f ca="1">IFERROR(__xludf.DUMMYFUNCTION("""COMPUTED_VALUE"""),"Schoolroute")</f>
        <v>Schoolroute</v>
      </c>
      <c r="D345" s="2" t="str">
        <f ca="1">IFERROR(__xludf.DUMMYFUNCTION("""COMPUTED_VALUE"""),"IN/001046")</f>
        <v>IN/001046</v>
      </c>
      <c r="E345" s="2" t="str">
        <f ca="1">IFERROR(__xludf.DUMMYFUNCTION("UNIQUE(FILTER('export kabinetdashboard 1210202'!N:P,'export kabinetdashboard 1210202'!M:M=D345))"),"#N/A")</f>
        <v>#N/A</v>
      </c>
      <c r="H345" s="2">
        <f ca="1">SUMIFS('bedragen KIM (budgettering &amp; pl'!S:S,'bedragen KIM (budgettering &amp; pl'!B:B,A345,'bedragen KIM (budgettering &amp; pl'!F:F,D345)</f>
        <v>0</v>
      </c>
      <c r="I345" s="2" t="e">
        <f ca="1">SUMIFS(#REF!,#REF!,A345,#REF!,D345)</f>
        <v>#REF!</v>
      </c>
      <c r="J345" s="2" t="e">
        <f ca="1">SUMIFS(#REF!,#REF!,A345,#REF!,D345)</f>
        <v>#REF!</v>
      </c>
    </row>
    <row r="346" spans="1:10" ht="12.5" x14ac:dyDescent="0.25">
      <c r="A346" s="2" t="str">
        <f ca="1">IFERROR(__xludf.DUMMYFUNCTION("""COMPUTED_VALUE"""),"KP/001326")</f>
        <v>KP/001326</v>
      </c>
      <c r="B346" s="2" t="str">
        <f ca="1">IFERROR(__xludf.DUMMYFUNCTION("""COMPUTED_VALUE"""),"Verkeersveiligheid")</f>
        <v>Verkeersveiligheid</v>
      </c>
      <c r="C346" s="2" t="str">
        <f ca="1">IFERROR(__xludf.DUMMYFUNCTION("""COMPUTED_VALUE"""),"Schoolroute")</f>
        <v>Schoolroute</v>
      </c>
      <c r="D346" s="2" t="str">
        <f ca="1">IFERROR(__xludf.DUMMYFUNCTION("""COMPUTED_VALUE"""),"IN/001047")</f>
        <v>IN/001047</v>
      </c>
      <c r="E346" s="2" t="str">
        <f ca="1">IFERROR(__xludf.DUMMYFUNCTION("UNIQUE(FILTER('export kabinetdashboard 1210202'!N:P,'export kabinetdashboard 1210202'!M:M=D346))"),"")</f>
        <v/>
      </c>
      <c r="F346" s="2" t="str">
        <f ca="1">IFERROR(__xludf.DUMMYFUNCTION("""COMPUTED_VALUE"""),"2022 - Q4")</f>
        <v>2022 - Q4</v>
      </c>
      <c r="G346" s="2" t="str">
        <f ca="1">IFERROR(__xludf.DUMMYFUNCTION("""COMPUTED_VALUE"""),"n.t.b.")</f>
        <v>n.t.b.</v>
      </c>
      <c r="H346" s="2">
        <f ca="1">SUMIFS('bedragen KIM (budgettering &amp; pl'!S:S,'bedragen KIM (budgettering &amp; pl'!B:B,A346,'bedragen KIM (budgettering &amp; pl'!F:F,D346)</f>
        <v>75000</v>
      </c>
      <c r="I346" s="2" t="e">
        <f ca="1">SUMIFS(#REF!,#REF!,A346,#REF!,D346)</f>
        <v>#REF!</v>
      </c>
      <c r="J346" s="2" t="e">
        <f ca="1">SUMIFS(#REF!,#REF!,A346,#REF!,D346)</f>
        <v>#REF!</v>
      </c>
    </row>
    <row r="347" spans="1:10" ht="12.5" x14ac:dyDescent="0.25">
      <c r="A347" s="2" t="str">
        <f ca="1">IFERROR(__xludf.DUMMYFUNCTION("""COMPUTED_VALUE"""),"KP/001327")</f>
        <v>KP/001327</v>
      </c>
      <c r="B347" s="2" t="str">
        <f ca="1">IFERROR(__xludf.DUMMYFUNCTION("""COMPUTED_VALUE"""),"Verkeersveiligheid")</f>
        <v>Verkeersveiligheid</v>
      </c>
      <c r="C347" s="2" t="str">
        <f ca="1">IFERROR(__xludf.DUMMYFUNCTION("""COMPUTED_VALUE"""),"Schoolroute")</f>
        <v>Schoolroute</v>
      </c>
      <c r="D347" s="2" t="str">
        <f ca="1">IFERROR(__xludf.DUMMYFUNCTION("""COMPUTED_VALUE"""),"IN/001048")</f>
        <v>IN/001048</v>
      </c>
      <c r="E347" s="2" t="str">
        <f ca="1">IFERROR(__xludf.DUMMYFUNCTION("UNIQUE(FILTER('export kabinetdashboard 1210202'!N:P,'export kabinetdashboard 1210202'!M:M=D347))"),"regenboogzebrapad thv bestaand zebrapad")</f>
        <v>regenboogzebrapad thv bestaand zebrapad</v>
      </c>
      <c r="F347" s="2" t="str">
        <f ca="1">IFERROR(__xludf.DUMMYFUNCTION("""COMPUTED_VALUE"""),"2021 - Q3")</f>
        <v>2021 - Q3</v>
      </c>
      <c r="G347" s="2" t="str">
        <f ca="1">IFERROR(__xludf.DUMMYFUNCTION("""COMPUTED_VALUE"""),"n.t.b.")</f>
        <v>n.t.b.</v>
      </c>
      <c r="H347" s="2">
        <f ca="1">SUMIFS('bedragen KIM (budgettering &amp; pl'!S:S,'bedragen KIM (budgettering &amp; pl'!B:B,A347,'bedragen KIM (budgettering &amp; pl'!F:F,D347)</f>
        <v>1580</v>
      </c>
      <c r="I347" s="2" t="e">
        <f ca="1">SUMIFS(#REF!,#REF!,A347,#REF!,D347)</f>
        <v>#REF!</v>
      </c>
      <c r="J347" s="2" t="e">
        <f ca="1">SUMIFS(#REF!,#REF!,A347,#REF!,D347)</f>
        <v>#REF!</v>
      </c>
    </row>
    <row r="348" spans="1:10" ht="12.5" x14ac:dyDescent="0.25">
      <c r="A348" s="2" t="str">
        <f ca="1">IFERROR(__xludf.DUMMYFUNCTION("""COMPUTED_VALUE"""),"KP/001328")</f>
        <v>KP/001328</v>
      </c>
      <c r="B348" s="2" t="str">
        <f ca="1">IFERROR(__xludf.DUMMYFUNCTION("""COMPUTED_VALUE"""),"Verkeersveiligheid")</f>
        <v>Verkeersveiligheid</v>
      </c>
      <c r="C348" s="2" t="str">
        <f ca="1">IFERROR(__xludf.DUMMYFUNCTION("""COMPUTED_VALUE"""),"Schoolroute")</f>
        <v>Schoolroute</v>
      </c>
      <c r="D348" s="2" t="str">
        <f ca="1">IFERROR(__xludf.DUMMYFUNCTION("""COMPUTED_VALUE"""),"IN/001049")</f>
        <v>IN/001049</v>
      </c>
      <c r="E348" s="2" t="str">
        <f ca="1">IFERROR(__xludf.DUMMYFUNCTION("UNIQUE(FILTER('export kabinetdashboard 1210202'!N:P,'export kabinetdashboard 1210202'!M:M=D348))"),"")</f>
        <v/>
      </c>
      <c r="F348" s="2" t="str">
        <f ca="1">IFERROR(__xludf.DUMMYFUNCTION("""COMPUTED_VALUE"""),"2022 - Q3")</f>
        <v>2022 - Q3</v>
      </c>
      <c r="G348" s="2" t="str">
        <f ca="1">IFERROR(__xludf.DUMMYFUNCTION("""COMPUTED_VALUE"""),"n.t.b.")</f>
        <v>n.t.b.</v>
      </c>
      <c r="H348" s="2">
        <f ca="1">SUMIFS('bedragen KIM (budgettering &amp; pl'!S:S,'bedragen KIM (budgettering &amp; pl'!B:B,A348,'bedragen KIM (budgettering &amp; pl'!F:F,D348)</f>
        <v>50000</v>
      </c>
      <c r="I348" s="2" t="e">
        <f ca="1">SUMIFS(#REF!,#REF!,A348,#REF!,D348)</f>
        <v>#REF!</v>
      </c>
      <c r="J348" s="2" t="e">
        <f ca="1">SUMIFS(#REF!,#REF!,A348,#REF!,D348)</f>
        <v>#REF!</v>
      </c>
    </row>
    <row r="349" spans="1:10" ht="12.5" x14ac:dyDescent="0.25">
      <c r="A349" s="2" t="str">
        <f ca="1">IFERROR(__xludf.DUMMYFUNCTION("""COMPUTED_VALUE"""),"KP/001329")</f>
        <v>KP/001329</v>
      </c>
      <c r="B349" s="2" t="str">
        <f ca="1">IFERROR(__xludf.DUMMYFUNCTION("""COMPUTED_VALUE"""),"Verkeersveiligheid")</f>
        <v>Verkeersveiligheid</v>
      </c>
      <c r="C349" s="2" t="str">
        <f ca="1">IFERROR(__xludf.DUMMYFUNCTION("""COMPUTED_VALUE"""),"Schoolroute")</f>
        <v>Schoolroute</v>
      </c>
      <c r="D349" s="2" t="str">
        <f ca="1">IFERROR(__xludf.DUMMYFUNCTION("""COMPUTED_VALUE"""),"IN/001050")</f>
        <v>IN/001050</v>
      </c>
      <c r="E349" s="2" t="str">
        <f ca="1">IFERROR(__xludf.DUMMYFUNCTION("UNIQUE(FILTER('export kabinetdashboard 1210202'!N:P,'export kabinetdashboard 1210202'!M:M=D349))"),"")</f>
        <v/>
      </c>
      <c r="F349" s="2" t="str">
        <f ca="1">IFERROR(__xludf.DUMMYFUNCTION("""COMPUTED_VALUE"""),"2021 - Q3")</f>
        <v>2021 - Q3</v>
      </c>
      <c r="G349" s="2" t="str">
        <f ca="1">IFERROR(__xludf.DUMMYFUNCTION("""COMPUTED_VALUE"""),"n.t.b.")</f>
        <v>n.t.b.</v>
      </c>
      <c r="H349" s="2">
        <f ca="1">SUMIFS('bedragen KIM (budgettering &amp; pl'!S:S,'bedragen KIM (budgettering &amp; pl'!B:B,A349,'bedragen KIM (budgettering &amp; pl'!F:F,D349)</f>
        <v>458</v>
      </c>
      <c r="I349" s="2" t="e">
        <f ca="1">SUMIFS(#REF!,#REF!,A349,#REF!,D349)</f>
        <v>#REF!</v>
      </c>
      <c r="J349" s="2" t="e">
        <f ca="1">SUMIFS(#REF!,#REF!,A349,#REF!,D349)</f>
        <v>#REF!</v>
      </c>
    </row>
    <row r="350" spans="1:10" ht="12.5" x14ac:dyDescent="0.25">
      <c r="A350" s="2" t="str">
        <f ca="1">IFERROR(__xludf.DUMMYFUNCTION("""COMPUTED_VALUE"""),"KP/001331")</f>
        <v>KP/001331</v>
      </c>
      <c r="B350" s="2" t="str">
        <f ca="1">IFERROR(__xludf.DUMMYFUNCTION("""COMPUTED_VALUE"""),"Verkeersveiligheid")</f>
        <v>Verkeersveiligheid</v>
      </c>
      <c r="C350" s="2" t="str">
        <f ca="1">IFERROR(__xludf.DUMMYFUNCTION("""COMPUTED_VALUE"""),"Schoolroute")</f>
        <v>Schoolroute</v>
      </c>
      <c r="D350" s="2" t="str">
        <f ca="1">IFERROR(__xludf.DUMMYFUNCTION("""COMPUTED_VALUE"""),"IN/001051")</f>
        <v>IN/001051</v>
      </c>
      <c r="E350" s="2" t="str">
        <f ca="1">IFERROR(__xludf.DUMMYFUNCTION("UNIQUE(FILTER('export kabinetdashboard 1210202'!N:P,'export kabinetdashboard 1210202'!M:M=D350))"),"")</f>
        <v/>
      </c>
      <c r="F350" s="2" t="str">
        <f ca="1">IFERROR(__xludf.DUMMYFUNCTION("""COMPUTED_VALUE"""),"n.t.b.")</f>
        <v>n.t.b.</v>
      </c>
      <c r="G350" s="2" t="str">
        <f ca="1">IFERROR(__xludf.DUMMYFUNCTION("""COMPUTED_VALUE"""),"n.t.b.")</f>
        <v>n.t.b.</v>
      </c>
      <c r="H350" s="2">
        <f ca="1">SUMIFS('bedragen KIM (budgettering &amp; pl'!S:S,'bedragen KIM (budgettering &amp; pl'!B:B,A350,'bedragen KIM (budgettering &amp; pl'!F:F,D350)</f>
        <v>0</v>
      </c>
      <c r="I350" s="2" t="e">
        <f ca="1">SUMIFS(#REF!,#REF!,A350,#REF!,D350)</f>
        <v>#REF!</v>
      </c>
      <c r="J350" s="2" t="e">
        <f ca="1">SUMIFS(#REF!,#REF!,A350,#REF!,D350)</f>
        <v>#REF!</v>
      </c>
    </row>
    <row r="351" spans="1:10" ht="12.5" x14ac:dyDescent="0.25">
      <c r="A351" s="2" t="str">
        <f ca="1">IFERROR(__xludf.DUMMYFUNCTION("""COMPUTED_VALUE"""),"KP/001332")</f>
        <v>KP/001332</v>
      </c>
      <c r="B351" s="2" t="str">
        <f ca="1">IFERROR(__xludf.DUMMYFUNCTION("""COMPUTED_VALUE"""),"Verkeersveiligheid")</f>
        <v>Verkeersveiligheid</v>
      </c>
      <c r="C351" s="2" t="str">
        <f ca="1">IFERROR(__xludf.DUMMYFUNCTION("""COMPUTED_VALUE"""),"Schoolroute")</f>
        <v>Schoolroute</v>
      </c>
      <c r="D351" s="2" t="str">
        <f ca="1">IFERROR(__xludf.DUMMYFUNCTION("""COMPUTED_VALUE"""),"IN/001052")</f>
        <v>IN/001052</v>
      </c>
      <c r="E351" s="2" t="str">
        <f ca="1">IFERROR(__xludf.DUMMYFUNCTION("UNIQUE(FILTER('export kabinetdashboard 1210202'!N:P,'export kabinetdashboard 1210202'!M:M=D351))"),"optimaliseren fietsgeleiding op kruispunt.")</f>
        <v>optimaliseren fietsgeleiding op kruispunt.</v>
      </c>
      <c r="F351" s="2" t="str">
        <f ca="1">IFERROR(__xludf.DUMMYFUNCTION("""COMPUTED_VALUE"""),"2022 - Q4")</f>
        <v>2022 - Q4</v>
      </c>
      <c r="G351" s="2" t="str">
        <f ca="1">IFERROR(__xludf.DUMMYFUNCTION("""COMPUTED_VALUE"""),"n.t.b.")</f>
        <v>n.t.b.</v>
      </c>
      <c r="H351" s="2">
        <f ca="1">SUMIFS('bedragen KIM (budgettering &amp; pl'!S:S,'bedragen KIM (budgettering &amp; pl'!B:B,A351,'bedragen KIM (budgettering &amp; pl'!F:F,D351)</f>
        <v>6000</v>
      </c>
      <c r="I351" s="2" t="e">
        <f ca="1">SUMIFS(#REF!,#REF!,A351,#REF!,D351)</f>
        <v>#REF!</v>
      </c>
      <c r="J351" s="2" t="e">
        <f ca="1">SUMIFS(#REF!,#REF!,A351,#REF!,D351)</f>
        <v>#REF!</v>
      </c>
    </row>
    <row r="352" spans="1:10" ht="12.5" x14ac:dyDescent="0.25">
      <c r="A352" s="2" t="str">
        <f ca="1">IFERROR(__xludf.DUMMYFUNCTION("""COMPUTED_VALUE"""),"KP/001335")</f>
        <v>KP/001335</v>
      </c>
      <c r="B352" s="2" t="str">
        <f ca="1">IFERROR(__xludf.DUMMYFUNCTION("""COMPUTED_VALUE"""),"Verkeersveiligheid")</f>
        <v>Verkeersveiligheid</v>
      </c>
      <c r="C352" s="2" t="str">
        <f ca="1">IFERROR(__xludf.DUMMYFUNCTION("""COMPUTED_VALUE"""),"Schoolroute")</f>
        <v>Schoolroute</v>
      </c>
      <c r="D352" s="2" t="str">
        <f ca="1">IFERROR(__xludf.DUMMYFUNCTION("""COMPUTED_VALUE"""),"IN/001053")</f>
        <v>IN/001053</v>
      </c>
      <c r="E352" s="2" t="str">
        <f ca="1">IFERROR(__xludf.DUMMYFUNCTION("UNIQUE(FILTER('export kabinetdashboard 1210202'!N:P,'export kabinetdashboard 1210202'!M:M=D352))"),"")</f>
        <v/>
      </c>
      <c r="F352" s="2" t="str">
        <f ca="1">IFERROR(__xludf.DUMMYFUNCTION("""COMPUTED_VALUE"""),"n.t.b.")</f>
        <v>n.t.b.</v>
      </c>
      <c r="G352" s="2" t="str">
        <f ca="1">IFERROR(__xludf.DUMMYFUNCTION("""COMPUTED_VALUE"""),"n.t.b.")</f>
        <v>n.t.b.</v>
      </c>
      <c r="H352" s="2">
        <f ca="1">SUMIFS('bedragen KIM (budgettering &amp; pl'!S:S,'bedragen KIM (budgettering &amp; pl'!B:B,A352,'bedragen KIM (budgettering &amp; pl'!F:F,D352)</f>
        <v>300000</v>
      </c>
      <c r="I352" s="2" t="e">
        <f ca="1">SUMIFS(#REF!,#REF!,A352,#REF!,D352)</f>
        <v>#REF!</v>
      </c>
      <c r="J352" s="2" t="e">
        <f ca="1">SUMIFS(#REF!,#REF!,A352,#REF!,D352)</f>
        <v>#REF!</v>
      </c>
    </row>
    <row r="353" spans="1:10" ht="12.5" x14ac:dyDescent="0.25">
      <c r="A353" s="2" t="str">
        <f ca="1">IFERROR(__xludf.DUMMYFUNCTION("""COMPUTED_VALUE"""),"KP/001336")</f>
        <v>KP/001336</v>
      </c>
      <c r="B353" s="2" t="str">
        <f ca="1">IFERROR(__xludf.DUMMYFUNCTION("""COMPUTED_VALUE"""),"Verkeersveiligheid")</f>
        <v>Verkeersveiligheid</v>
      </c>
      <c r="C353" s="2" t="str">
        <f ca="1">IFERROR(__xludf.DUMMYFUNCTION("""COMPUTED_VALUE"""),"Schoolroute")</f>
        <v>Schoolroute</v>
      </c>
      <c r="D353" s="2" t="str">
        <f ca="1">IFERROR(__xludf.DUMMYFUNCTION("""COMPUTED_VALUE"""),"IN/001054")</f>
        <v>IN/001054</v>
      </c>
      <c r="E353" s="2" t="str">
        <f ca="1">IFERROR(__xludf.DUMMYFUNCTION("UNIQUE(FILTER('export kabinetdashboard 1210202'!N:P,'export kabinetdashboard 1210202'!M:M=D353))"),"")</f>
        <v/>
      </c>
      <c r="F353" s="2" t="str">
        <f ca="1">IFERROR(__xludf.DUMMYFUNCTION("""COMPUTED_VALUE"""),"n.t.b.")</f>
        <v>n.t.b.</v>
      </c>
      <c r="G353" s="2" t="str">
        <f ca="1">IFERROR(__xludf.DUMMYFUNCTION("""COMPUTED_VALUE"""),"n.t.b.")</f>
        <v>n.t.b.</v>
      </c>
      <c r="H353" s="2">
        <f ca="1">SUMIFS('bedragen KIM (budgettering &amp; pl'!S:S,'bedragen KIM (budgettering &amp; pl'!B:B,A353,'bedragen KIM (budgettering &amp; pl'!F:F,D353)</f>
        <v>0</v>
      </c>
      <c r="I353" s="2" t="e">
        <f ca="1">SUMIFS(#REF!,#REF!,A353,#REF!,D353)</f>
        <v>#REF!</v>
      </c>
      <c r="J353" s="2" t="e">
        <f ca="1">SUMIFS(#REF!,#REF!,A353,#REF!,D353)</f>
        <v>#REF!</v>
      </c>
    </row>
    <row r="354" spans="1:10" ht="12.5" x14ac:dyDescent="0.25">
      <c r="A354" s="2" t="str">
        <f ca="1">IFERROR(__xludf.DUMMYFUNCTION("""COMPUTED_VALUE"""),"KP/001337")</f>
        <v>KP/001337</v>
      </c>
      <c r="B354" s="2" t="str">
        <f ca="1">IFERROR(__xludf.DUMMYFUNCTION("""COMPUTED_VALUE"""),"Verkeersveiligheid")</f>
        <v>Verkeersveiligheid</v>
      </c>
      <c r="C354" s="2" t="str">
        <f ca="1">IFERROR(__xludf.DUMMYFUNCTION("""COMPUTED_VALUE"""),"Schoolroute")</f>
        <v>Schoolroute</v>
      </c>
      <c r="D354" s="2" t="str">
        <f ca="1">IFERROR(__xludf.DUMMYFUNCTION("""COMPUTED_VALUE"""),"IN/001055")</f>
        <v>IN/001055</v>
      </c>
      <c r="E354" s="2" t="str">
        <f ca="1">IFERROR(__xludf.DUMMYFUNCTION("UNIQUE(FILTER('export kabinetdashboard 1210202'!N:P,'export kabinetdashboard 1210202'!M:M=D354))"),"Rodeslemlaag wegnemen.")</f>
        <v>Rodeslemlaag wegnemen.</v>
      </c>
      <c r="F354" s="2" t="str">
        <f ca="1">IFERROR(__xludf.DUMMYFUNCTION("""COMPUTED_VALUE"""),"2022 - Q2")</f>
        <v>2022 - Q2</v>
      </c>
      <c r="G354" s="2" t="str">
        <f ca="1">IFERROR(__xludf.DUMMYFUNCTION("""COMPUTED_VALUE"""),"n.t.b.")</f>
        <v>n.t.b.</v>
      </c>
      <c r="H354" s="2">
        <f ca="1">SUMIFS('bedragen KIM (budgettering &amp; pl'!S:S,'bedragen KIM (budgettering &amp; pl'!B:B,A354,'bedragen KIM (budgettering &amp; pl'!F:F,D354)</f>
        <v>4430</v>
      </c>
      <c r="I354" s="2" t="e">
        <f ca="1">SUMIFS(#REF!,#REF!,A354,#REF!,D354)</f>
        <v>#REF!</v>
      </c>
      <c r="J354" s="2" t="e">
        <f ca="1">SUMIFS(#REF!,#REF!,A354,#REF!,D354)</f>
        <v>#REF!</v>
      </c>
    </row>
    <row r="355" spans="1:10" ht="12.5" x14ac:dyDescent="0.25">
      <c r="A355" s="2" t="str">
        <f ca="1">IFERROR(__xludf.DUMMYFUNCTION("""COMPUTED_VALUE"""),"KP/001338")</f>
        <v>KP/001338</v>
      </c>
      <c r="B355" s="2" t="str">
        <f ca="1">IFERROR(__xludf.DUMMYFUNCTION("""COMPUTED_VALUE"""),"Verkeersveiligheid")</f>
        <v>Verkeersveiligheid</v>
      </c>
      <c r="C355" s="2" t="str">
        <f ca="1">IFERROR(__xludf.DUMMYFUNCTION("""COMPUTED_VALUE"""),"Schoolroute")</f>
        <v>Schoolroute</v>
      </c>
      <c r="D355" s="2" t="str">
        <f ca="1">IFERROR(__xludf.DUMMYFUNCTION("""COMPUTED_VALUE"""),"IN/001056")</f>
        <v>IN/001056</v>
      </c>
      <c r="E355" s="2" t="str">
        <f ca="1">IFERROR(__xludf.DUMMYFUNCTION("UNIQUE(FILTER('export kabinetdashboard 1210202'!N:P,'export kabinetdashboard 1210202'!M:M=D355))"),"")</f>
        <v/>
      </c>
      <c r="F355" s="2" t="str">
        <f ca="1">IFERROR(__xludf.DUMMYFUNCTION("""COMPUTED_VALUE"""),"2022 - Q4")</f>
        <v>2022 - Q4</v>
      </c>
      <c r="G355" s="2" t="str">
        <f ca="1">IFERROR(__xludf.DUMMYFUNCTION("""COMPUTED_VALUE"""),"n.t.b.")</f>
        <v>n.t.b.</v>
      </c>
      <c r="H355" s="2">
        <f ca="1">SUMIFS('bedragen KIM (budgettering &amp; pl'!S:S,'bedragen KIM (budgettering &amp; pl'!B:B,A355,'bedragen KIM (budgettering &amp; pl'!F:F,D355)</f>
        <v>9130</v>
      </c>
      <c r="I355" s="2" t="e">
        <f ca="1">SUMIFS(#REF!,#REF!,A355,#REF!,D355)</f>
        <v>#REF!</v>
      </c>
      <c r="J355" s="2" t="e">
        <f ca="1">SUMIFS(#REF!,#REF!,A355,#REF!,D355)</f>
        <v>#REF!</v>
      </c>
    </row>
    <row r="356" spans="1:10" ht="12.5" x14ac:dyDescent="0.25">
      <c r="A356" s="2" t="str">
        <f ca="1">IFERROR(__xludf.DUMMYFUNCTION("""COMPUTED_VALUE"""),"KP/001339")</f>
        <v>KP/001339</v>
      </c>
      <c r="B356" s="2" t="str">
        <f ca="1">IFERROR(__xludf.DUMMYFUNCTION("""COMPUTED_VALUE"""),"Verkeersveiligheid")</f>
        <v>Verkeersveiligheid</v>
      </c>
      <c r="C356" s="2" t="str">
        <f ca="1">IFERROR(__xludf.DUMMYFUNCTION("""COMPUTED_VALUE"""),"Schoolroute")</f>
        <v>Schoolroute</v>
      </c>
      <c r="D356" s="2" t="str">
        <f ca="1">IFERROR(__xludf.DUMMYFUNCTION("""COMPUTED_VALUE"""),"IN/001057")</f>
        <v>IN/001057</v>
      </c>
      <c r="E356" s="2" t="str">
        <f ca="1">IFERROR(__xludf.DUMMYFUNCTION("UNIQUE(FILTER('export kabinetdashboard 1210202'!N:P,'export kabinetdashboard 1210202'!M:M=D356))"),"")</f>
        <v/>
      </c>
      <c r="F356" s="2" t="str">
        <f ca="1">IFERROR(__xludf.DUMMYFUNCTION("""COMPUTED_VALUE"""),"2022 - Q3")</f>
        <v>2022 - Q3</v>
      </c>
      <c r="G356" s="2" t="str">
        <f ca="1">IFERROR(__xludf.DUMMYFUNCTION("""COMPUTED_VALUE"""),"n.t.b.")</f>
        <v>n.t.b.</v>
      </c>
      <c r="H356" s="2">
        <f ca="1">SUMIFS('bedragen KIM (budgettering &amp; pl'!S:S,'bedragen KIM (budgettering &amp; pl'!B:B,A356,'bedragen KIM (budgettering &amp; pl'!F:F,D356)</f>
        <v>2220</v>
      </c>
      <c r="I356" s="2" t="e">
        <f ca="1">SUMIFS(#REF!,#REF!,A356,#REF!,D356)</f>
        <v>#REF!</v>
      </c>
      <c r="J356" s="2" t="e">
        <f ca="1">SUMIFS(#REF!,#REF!,A356,#REF!,D356)</f>
        <v>#REF!</v>
      </c>
    </row>
    <row r="357" spans="1:10" ht="12.5" x14ac:dyDescent="0.25">
      <c r="A357" s="2" t="str">
        <f ca="1">IFERROR(__xludf.DUMMYFUNCTION("""COMPUTED_VALUE"""),"KP/001340")</f>
        <v>KP/001340</v>
      </c>
      <c r="B357" s="2" t="str">
        <f ca="1">IFERROR(__xludf.DUMMYFUNCTION("""COMPUTED_VALUE"""),"Verkeersveiligheid")</f>
        <v>Verkeersveiligheid</v>
      </c>
      <c r="C357" s="2" t="str">
        <f ca="1">IFERROR(__xludf.DUMMYFUNCTION("""COMPUTED_VALUE"""),"Schoolroute")</f>
        <v>Schoolroute</v>
      </c>
      <c r="D357" s="2" t="str">
        <f ca="1">IFERROR(__xludf.DUMMYFUNCTION("""COMPUTED_VALUE"""),"IN/001058")</f>
        <v>IN/001058</v>
      </c>
      <c r="E357" s="2" t="str">
        <f ca="1">IFERROR(__xludf.DUMMYFUNCTION("UNIQUE(FILTER('export kabinetdashboard 1210202'!N:P,'export kabinetdashboard 1210202'!M:M=D357))"),"Arcering plaatsen conform overleg")</f>
        <v>Arcering plaatsen conform overleg</v>
      </c>
      <c r="F357" s="2" t="str">
        <f ca="1">IFERROR(__xludf.DUMMYFUNCTION("""COMPUTED_VALUE"""),"2022 - Q3")</f>
        <v>2022 - Q3</v>
      </c>
      <c r="G357" s="2" t="str">
        <f ca="1">IFERROR(__xludf.DUMMYFUNCTION("""COMPUTED_VALUE"""),"n.t.b.")</f>
        <v>n.t.b.</v>
      </c>
      <c r="H357" s="2">
        <f ca="1">SUMIFS('bedragen KIM (budgettering &amp; pl'!S:S,'bedragen KIM (budgettering &amp; pl'!B:B,A357,'bedragen KIM (budgettering &amp; pl'!F:F,D357)</f>
        <v>2000</v>
      </c>
      <c r="I357" s="2" t="e">
        <f ca="1">SUMIFS(#REF!,#REF!,A357,#REF!,D357)</f>
        <v>#REF!</v>
      </c>
      <c r="J357" s="2" t="e">
        <f ca="1">SUMIFS(#REF!,#REF!,A357,#REF!,D357)</f>
        <v>#REF!</v>
      </c>
    </row>
    <row r="358" spans="1:10" ht="12.5" x14ac:dyDescent="0.25">
      <c r="A358" s="2" t="str">
        <f ca="1">IFERROR(__xludf.DUMMYFUNCTION("""COMPUTED_VALUE"""),"KP/001343")</f>
        <v>KP/001343</v>
      </c>
      <c r="B358" s="2" t="str">
        <f ca="1">IFERROR(__xludf.DUMMYFUNCTION("""COMPUTED_VALUE"""),"Verkeersveiligheid")</f>
        <v>Verkeersveiligheid</v>
      </c>
      <c r="C358" s="2" t="str">
        <f ca="1">IFERROR(__xludf.DUMMYFUNCTION("""COMPUTED_VALUE"""),"Schoolroute")</f>
        <v>Schoolroute</v>
      </c>
      <c r="D358" s="2" t="str">
        <f ca="1">IFERROR(__xludf.DUMMYFUNCTION("""COMPUTED_VALUE"""),"IN/001059")</f>
        <v>IN/001059</v>
      </c>
      <c r="E358" s="2" t="str">
        <f ca="1">IFERROR(__xludf.DUMMYFUNCTION("UNIQUE(FILTER('export kabinetdashboard 1210202'!N:P,'export kabinetdashboard 1210202'!M:M=D358))"),"Markeringen ""school""")</f>
        <v>Markeringen "school"</v>
      </c>
      <c r="F358" s="2" t="str">
        <f ca="1">IFERROR(__xludf.DUMMYFUNCTION("""COMPUTED_VALUE"""),"n.t.b.")</f>
        <v>n.t.b.</v>
      </c>
      <c r="G358" s="2" t="str">
        <f ca="1">IFERROR(__xludf.DUMMYFUNCTION("""COMPUTED_VALUE"""),"n.t.b.")</f>
        <v>n.t.b.</v>
      </c>
      <c r="H358" s="2">
        <f ca="1">SUMIFS('bedragen KIM (budgettering &amp; pl'!S:S,'bedragen KIM (budgettering &amp; pl'!B:B,A358,'bedragen KIM (budgettering &amp; pl'!F:F,D358)</f>
        <v>0</v>
      </c>
      <c r="I358" s="2" t="e">
        <f ca="1">SUMIFS(#REF!,#REF!,A358,#REF!,D358)</f>
        <v>#REF!</v>
      </c>
      <c r="J358" s="2" t="e">
        <f ca="1">SUMIFS(#REF!,#REF!,A358,#REF!,D358)</f>
        <v>#REF!</v>
      </c>
    </row>
    <row r="359" spans="1:10" ht="12.5" x14ac:dyDescent="0.25">
      <c r="A359" s="2" t="str">
        <f ca="1">IFERROR(__xludf.DUMMYFUNCTION("""COMPUTED_VALUE"""),"KP/001344")</f>
        <v>KP/001344</v>
      </c>
      <c r="B359" s="2" t="str">
        <f ca="1">IFERROR(__xludf.DUMMYFUNCTION("""COMPUTED_VALUE"""),"Verkeersveiligheid")</f>
        <v>Verkeersveiligheid</v>
      </c>
      <c r="C359" s="2" t="str">
        <f ca="1">IFERROR(__xludf.DUMMYFUNCTION("""COMPUTED_VALUE"""),"Schoolroute")</f>
        <v>Schoolroute</v>
      </c>
      <c r="D359" s="2" t="str">
        <f ca="1">IFERROR(__xludf.DUMMYFUNCTION("""COMPUTED_VALUE"""),"IN/001060")</f>
        <v>IN/001060</v>
      </c>
      <c r="E359" s="2" t="str">
        <f ca="1">IFERROR(__xludf.DUMMYFUNCTION("UNIQUE(FILTER('export kabinetdashboard 1210202'!N:P,'export kabinetdashboard 1210202'!M:M=D359))"),"fietslogo's")</f>
        <v>fietslogo's</v>
      </c>
      <c r="F359" s="2" t="str">
        <f ca="1">IFERROR(__xludf.DUMMYFUNCTION("""COMPUTED_VALUE"""),"2022 - Q2")</f>
        <v>2022 - Q2</v>
      </c>
      <c r="G359" s="2" t="str">
        <f ca="1">IFERROR(__xludf.DUMMYFUNCTION("""COMPUTED_VALUE"""),"n.t.b.")</f>
        <v>n.t.b.</v>
      </c>
      <c r="H359" s="2">
        <f ca="1">SUMIFS('bedragen KIM (budgettering &amp; pl'!S:S,'bedragen KIM (budgettering &amp; pl'!B:B,A359,'bedragen KIM (budgettering &amp; pl'!F:F,D359)</f>
        <v>2000</v>
      </c>
      <c r="I359" s="2" t="e">
        <f ca="1">SUMIFS(#REF!,#REF!,A359,#REF!,D359)</f>
        <v>#REF!</v>
      </c>
      <c r="J359" s="2" t="e">
        <f ca="1">SUMIFS(#REF!,#REF!,A359,#REF!,D359)</f>
        <v>#REF!</v>
      </c>
    </row>
    <row r="360" spans="1:10" ht="12.5" x14ac:dyDescent="0.25">
      <c r="A360" s="2" t="str">
        <f ca="1">IFERROR(__xludf.DUMMYFUNCTION("""COMPUTED_VALUE"""),"KP/001345")</f>
        <v>KP/001345</v>
      </c>
      <c r="B360" s="2" t="str">
        <f ca="1">IFERROR(__xludf.DUMMYFUNCTION("""COMPUTED_VALUE"""),"Verkeersveiligheid")</f>
        <v>Verkeersveiligheid</v>
      </c>
      <c r="C360" s="2" t="str">
        <f ca="1">IFERROR(__xludf.DUMMYFUNCTION("""COMPUTED_VALUE"""),"Schoolroute")</f>
        <v>Schoolroute</v>
      </c>
      <c r="D360" s="2" t="str">
        <f ca="1">IFERROR(__xludf.DUMMYFUNCTION("""COMPUTED_VALUE"""),"IN/001061")</f>
        <v>IN/001061</v>
      </c>
      <c r="E360" s="2" t="str">
        <f ca="1">IFERROR(__xludf.DUMMYFUNCTION("UNIQUE(FILTER('export kabinetdashboard 1210202'!N:P,'export kabinetdashboard 1210202'!M:M=D360))"),"")</f>
        <v/>
      </c>
      <c r="F360" s="2" t="str">
        <f ca="1">IFERROR(__xludf.DUMMYFUNCTION("""COMPUTED_VALUE"""),"2022 - Q4")</f>
        <v>2022 - Q4</v>
      </c>
      <c r="G360" s="2" t="str">
        <f ca="1">IFERROR(__xludf.DUMMYFUNCTION("""COMPUTED_VALUE"""),"n.t.b.")</f>
        <v>n.t.b.</v>
      </c>
      <c r="H360" s="2">
        <f ca="1">SUMIFS('bedragen KIM (budgettering &amp; pl'!S:S,'bedragen KIM (budgettering &amp; pl'!B:B,A360,'bedragen KIM (budgettering &amp; pl'!F:F,D360)</f>
        <v>71011</v>
      </c>
      <c r="I360" s="2" t="e">
        <f ca="1">SUMIFS(#REF!,#REF!,A360,#REF!,D360)</f>
        <v>#REF!</v>
      </c>
      <c r="J360" s="2" t="e">
        <f ca="1">SUMIFS(#REF!,#REF!,A360,#REF!,D360)</f>
        <v>#REF!</v>
      </c>
    </row>
    <row r="361" spans="1:10" ht="12.5" x14ac:dyDescent="0.25">
      <c r="A361" s="2" t="str">
        <f ca="1">IFERROR(__xludf.DUMMYFUNCTION("""COMPUTED_VALUE"""),"KP/001348")</f>
        <v>KP/001348</v>
      </c>
      <c r="B361" s="2" t="str">
        <f ca="1">IFERROR(__xludf.DUMMYFUNCTION("""COMPUTED_VALUE"""),"Verkeersveiligheid")</f>
        <v>Verkeersveiligheid</v>
      </c>
      <c r="C361" s="2" t="str">
        <f ca="1">IFERROR(__xludf.DUMMYFUNCTION("""COMPUTED_VALUE"""),"Schoolroute")</f>
        <v>Schoolroute</v>
      </c>
      <c r="D361" s="2" t="str">
        <f ca="1">IFERROR(__xludf.DUMMYFUNCTION("""COMPUTED_VALUE"""),"IN/001062")</f>
        <v>IN/001062</v>
      </c>
      <c r="E361" s="2" t="str">
        <f ca="1">IFERROR(__xludf.DUMMYFUNCTION("UNIQUE(FILTER('export kabinetdashboard 1210202'!N:P,'export kabinetdashboard 1210202'!M:M=D361))"),"")</f>
        <v/>
      </c>
      <c r="F361" s="2" t="str">
        <f ca="1">IFERROR(__xludf.DUMMYFUNCTION("""COMPUTED_VALUE"""),"n.t.b.")</f>
        <v>n.t.b.</v>
      </c>
      <c r="G361" s="2" t="str">
        <f ca="1">IFERROR(__xludf.DUMMYFUNCTION("""COMPUTED_VALUE"""),"n.t.b.")</f>
        <v>n.t.b.</v>
      </c>
      <c r="H361" s="2">
        <f ca="1">SUMIFS('bedragen KIM (budgettering &amp; pl'!S:S,'bedragen KIM (budgettering &amp; pl'!B:B,A361,'bedragen KIM (budgettering &amp; pl'!F:F,D361)</f>
        <v>0</v>
      </c>
      <c r="I361" s="2" t="e">
        <f ca="1">SUMIFS(#REF!,#REF!,A361,#REF!,D361)</f>
        <v>#REF!</v>
      </c>
      <c r="J361" s="2" t="e">
        <f ca="1">SUMIFS(#REF!,#REF!,A361,#REF!,D361)</f>
        <v>#REF!</v>
      </c>
    </row>
    <row r="362" spans="1:10" ht="12.5" x14ac:dyDescent="0.25">
      <c r="A362" s="2" t="str">
        <f ca="1">IFERROR(__xludf.DUMMYFUNCTION("""COMPUTED_VALUE"""),"KP/001352")</f>
        <v>KP/001352</v>
      </c>
      <c r="B362" s="2" t="str">
        <f ca="1">IFERROR(__xludf.DUMMYFUNCTION("""COMPUTED_VALUE"""),"Verkeersveiligheid")</f>
        <v>Verkeersveiligheid</v>
      </c>
      <c r="C362" s="2" t="str">
        <f ca="1">IFERROR(__xludf.DUMMYFUNCTION("""COMPUTED_VALUE"""),"Schoolroute")</f>
        <v>Schoolroute</v>
      </c>
      <c r="D362" s="2" t="str">
        <f ca="1">IFERROR(__xludf.DUMMYFUNCTION("""COMPUTED_VALUE"""),"IN/001063")</f>
        <v>IN/001063</v>
      </c>
      <c r="E362" s="2" t="str">
        <f ca="1">IFERROR(__xludf.DUMMYFUNCTION("UNIQUE(FILTER('export kabinetdashboard 1210202'!N:P,'export kabinetdashboard 1210202'!M:M=D362))"),"")</f>
        <v/>
      </c>
      <c r="F362" s="2" t="str">
        <f ca="1">IFERROR(__xludf.DUMMYFUNCTION("""COMPUTED_VALUE"""),"n.t.b.")</f>
        <v>n.t.b.</v>
      </c>
      <c r="G362" s="2" t="str">
        <f ca="1">IFERROR(__xludf.DUMMYFUNCTION("""COMPUTED_VALUE"""),"n.t.b.")</f>
        <v>n.t.b.</v>
      </c>
      <c r="H362" s="2">
        <f ca="1">SUMIFS('bedragen KIM (budgettering &amp; pl'!S:S,'bedragen KIM (budgettering &amp; pl'!B:B,A362,'bedragen KIM (budgettering &amp; pl'!F:F,D362)</f>
        <v>200000</v>
      </c>
      <c r="I362" s="2" t="e">
        <f ca="1">SUMIFS(#REF!,#REF!,A362,#REF!,D362)</f>
        <v>#REF!</v>
      </c>
      <c r="J362" s="2" t="e">
        <f ca="1">SUMIFS(#REF!,#REF!,A362,#REF!,D362)</f>
        <v>#REF!</v>
      </c>
    </row>
    <row r="363" spans="1:10" ht="12.5" x14ac:dyDescent="0.25">
      <c r="A363" s="2" t="str">
        <f ca="1">IFERROR(__xludf.DUMMYFUNCTION("""COMPUTED_VALUE"""),"KP/001353")</f>
        <v>KP/001353</v>
      </c>
      <c r="B363" s="2" t="str">
        <f ca="1">IFERROR(__xludf.DUMMYFUNCTION("""COMPUTED_VALUE"""),"Verkeersveiligheid")</f>
        <v>Verkeersveiligheid</v>
      </c>
      <c r="C363" s="2" t="str">
        <f ca="1">IFERROR(__xludf.DUMMYFUNCTION("""COMPUTED_VALUE"""),"Schoolroute")</f>
        <v>Schoolroute</v>
      </c>
      <c r="D363" s="2" t="str">
        <f ca="1">IFERROR(__xludf.DUMMYFUNCTION("""COMPUTED_VALUE"""),"IN/001064")</f>
        <v>IN/001064</v>
      </c>
      <c r="E363" s="2" t="str">
        <f ca="1">IFERROR(__xludf.DUMMYFUNCTION("UNIQUE(FILTER('export kabinetdashboard 1210202'!N:P,'export kabinetdashboard 1210202'!M:M=D363))"),"
")</f>
        <v xml:space="preserve">
</v>
      </c>
      <c r="F363" s="2" t="str">
        <f ca="1">IFERROR(__xludf.DUMMYFUNCTION("""COMPUTED_VALUE"""),"2021 - Q3")</f>
        <v>2021 - Q3</v>
      </c>
      <c r="G363" s="2" t="str">
        <f ca="1">IFERROR(__xludf.DUMMYFUNCTION("""COMPUTED_VALUE"""),"2021 - Q4")</f>
        <v>2021 - Q4</v>
      </c>
      <c r="H363" s="2">
        <f ca="1">SUMIFS('bedragen KIM (budgettering &amp; pl'!S:S,'bedragen KIM (budgettering &amp; pl'!B:B,A363,'bedragen KIM (budgettering &amp; pl'!F:F,D363)</f>
        <v>75000</v>
      </c>
      <c r="I363" s="2" t="e">
        <f ca="1">SUMIFS(#REF!,#REF!,A363,#REF!,D363)</f>
        <v>#REF!</v>
      </c>
      <c r="J363" s="2" t="e">
        <f ca="1">SUMIFS(#REF!,#REF!,A363,#REF!,D363)</f>
        <v>#REF!</v>
      </c>
    </row>
    <row r="364" spans="1:10" ht="12.5" x14ac:dyDescent="0.25">
      <c r="A364" s="2" t="str">
        <f ca="1">IFERROR(__xludf.DUMMYFUNCTION("""COMPUTED_VALUE"""),"KP/001355")</f>
        <v>KP/001355</v>
      </c>
      <c r="B364" s="2" t="str">
        <f ca="1">IFERROR(__xludf.DUMMYFUNCTION("""COMPUTED_VALUE"""),"Verkeersveiligheid")</f>
        <v>Verkeersveiligheid</v>
      </c>
      <c r="C364" s="2" t="str">
        <f ca="1">IFERROR(__xludf.DUMMYFUNCTION("""COMPUTED_VALUE"""),"Schoolroute")</f>
        <v>Schoolroute</v>
      </c>
      <c r="D364" s="2" t="str">
        <f ca="1">IFERROR(__xludf.DUMMYFUNCTION("""COMPUTED_VALUE"""),"IN/001065")</f>
        <v>IN/001065</v>
      </c>
      <c r="E364" s="2" t="str">
        <f ca="1">IFERROR(__xludf.DUMMYFUNCTION("UNIQUE(FILTER('export kabinetdashboard 1210202'!N:P,'export kabinetdashboard 1210202'!M:M=D364))"),"")</f>
        <v/>
      </c>
      <c r="F364" s="2" t="str">
        <f ca="1">IFERROR(__xludf.DUMMYFUNCTION("""COMPUTED_VALUE"""),"n.t.b.")</f>
        <v>n.t.b.</v>
      </c>
      <c r="G364" s="2" t="str">
        <f ca="1">IFERROR(__xludf.DUMMYFUNCTION("""COMPUTED_VALUE"""),"n.t.b.")</f>
        <v>n.t.b.</v>
      </c>
      <c r="H364" s="2">
        <f ca="1">SUMIFS('bedragen KIM (budgettering &amp; pl'!S:S,'bedragen KIM (budgettering &amp; pl'!B:B,A364,'bedragen KIM (budgettering &amp; pl'!F:F,D364)</f>
        <v>465500</v>
      </c>
      <c r="I364" s="2" t="e">
        <f ca="1">SUMIFS(#REF!,#REF!,A364,#REF!,D364)</f>
        <v>#REF!</v>
      </c>
      <c r="J364" s="2" t="e">
        <f ca="1">SUMIFS(#REF!,#REF!,A364,#REF!,D364)</f>
        <v>#REF!</v>
      </c>
    </row>
    <row r="365" spans="1:10" ht="12.5" x14ac:dyDescent="0.25">
      <c r="A365" s="2" t="str">
        <f ca="1">IFERROR(__xludf.DUMMYFUNCTION("""COMPUTED_VALUE"""),"KP/001356")</f>
        <v>KP/001356</v>
      </c>
      <c r="B365" s="2" t="str">
        <f ca="1">IFERROR(__xludf.DUMMYFUNCTION("""COMPUTED_VALUE"""),"Verkeersveiligheid")</f>
        <v>Verkeersveiligheid</v>
      </c>
      <c r="C365" s="2" t="str">
        <f ca="1">IFERROR(__xludf.DUMMYFUNCTION("""COMPUTED_VALUE"""),"Schoolroute")</f>
        <v>Schoolroute</v>
      </c>
      <c r="D365" s="2" t="str">
        <f ca="1">IFERROR(__xludf.DUMMYFUNCTION("""COMPUTED_VALUE"""),"IN/001066")</f>
        <v>IN/001066</v>
      </c>
      <c r="E365" s="2" t="str">
        <f ca="1">IFERROR(__xludf.DUMMYFUNCTION("UNIQUE(FILTER('export kabinetdashboard 1210202'!N:P,'export kabinetdashboard 1210202'!M:M=D365))"),"")</f>
        <v/>
      </c>
      <c r="F365" s="2" t="str">
        <f ca="1">IFERROR(__xludf.DUMMYFUNCTION("""COMPUTED_VALUE"""),"2022 - Q4")</f>
        <v>2022 - Q4</v>
      </c>
      <c r="G365" s="2" t="str">
        <f ca="1">IFERROR(__xludf.DUMMYFUNCTION("""COMPUTED_VALUE"""),"n.t.b.")</f>
        <v>n.t.b.</v>
      </c>
      <c r="H365" s="2">
        <f ca="1">SUMIFS('bedragen KIM (budgettering &amp; pl'!S:S,'bedragen KIM (budgettering &amp; pl'!B:B,A365,'bedragen KIM (budgettering &amp; pl'!F:F,D365)</f>
        <v>25000</v>
      </c>
      <c r="I365" s="2" t="e">
        <f ca="1">SUMIFS(#REF!,#REF!,A365,#REF!,D365)</f>
        <v>#REF!</v>
      </c>
      <c r="J365" s="2" t="e">
        <f ca="1">SUMIFS(#REF!,#REF!,A365,#REF!,D365)</f>
        <v>#REF!</v>
      </c>
    </row>
    <row r="366" spans="1:10" ht="12.5" x14ac:dyDescent="0.25">
      <c r="A366" s="2" t="str">
        <f ca="1">IFERROR(__xludf.DUMMYFUNCTION("""COMPUTED_VALUE"""),"KP/001357")</f>
        <v>KP/001357</v>
      </c>
      <c r="B366" s="2" t="str">
        <f ca="1">IFERROR(__xludf.DUMMYFUNCTION("""COMPUTED_VALUE"""),"Verkeersveiligheid")</f>
        <v>Verkeersveiligheid</v>
      </c>
      <c r="C366" s="2" t="str">
        <f ca="1">IFERROR(__xludf.DUMMYFUNCTION("""COMPUTED_VALUE"""),"Schoolroute")</f>
        <v>Schoolroute</v>
      </c>
      <c r="D366" s="2" t="str">
        <f ca="1">IFERROR(__xludf.DUMMYFUNCTION("""COMPUTED_VALUE"""),"IN/001067")</f>
        <v>IN/001067</v>
      </c>
      <c r="E366" s="2" t="str">
        <f ca="1">IFERROR(__xludf.DUMMYFUNCTION("UNIQUE(FILTER('export kabinetdashboard 1210202'!N:P,'export kabinetdashboard 1210202'!M:M=D366))"),"")</f>
        <v/>
      </c>
      <c r="F366" s="2" t="str">
        <f ca="1">IFERROR(__xludf.DUMMYFUNCTION("""COMPUTED_VALUE"""),"2023 - Q2")</f>
        <v>2023 - Q2</v>
      </c>
      <c r="G366" s="2" t="str">
        <f ca="1">IFERROR(__xludf.DUMMYFUNCTION("""COMPUTED_VALUE"""),"n.t.b.")</f>
        <v>n.t.b.</v>
      </c>
      <c r="H366" s="2">
        <f ca="1">SUMIFS('bedragen KIM (budgettering &amp; pl'!S:S,'bedragen KIM (budgettering &amp; pl'!B:B,A366,'bedragen KIM (budgettering &amp; pl'!F:F,D366)</f>
        <v>20000</v>
      </c>
      <c r="I366" s="2" t="e">
        <f ca="1">SUMIFS(#REF!,#REF!,A366,#REF!,D366)</f>
        <v>#REF!</v>
      </c>
      <c r="J366" s="2" t="e">
        <f ca="1">SUMIFS(#REF!,#REF!,A366,#REF!,D366)</f>
        <v>#REF!</v>
      </c>
    </row>
    <row r="367" spans="1:10" ht="12.5" x14ac:dyDescent="0.25">
      <c r="A367" s="2" t="str">
        <f ca="1">IFERROR(__xludf.DUMMYFUNCTION("""COMPUTED_VALUE"""),"KP/001360")</f>
        <v>KP/001360</v>
      </c>
      <c r="B367" s="2" t="str">
        <f ca="1">IFERROR(__xludf.DUMMYFUNCTION("""COMPUTED_VALUE"""),"Verkeersveiligheid")</f>
        <v>Verkeersveiligheid</v>
      </c>
      <c r="C367" s="2" t="str">
        <f ca="1">IFERROR(__xludf.DUMMYFUNCTION("""COMPUTED_VALUE"""),"Schoolroute")</f>
        <v>Schoolroute</v>
      </c>
      <c r="D367" s="2" t="str">
        <f ca="1">IFERROR(__xludf.DUMMYFUNCTION("""COMPUTED_VALUE"""),"IN/001068")</f>
        <v>IN/001068</v>
      </c>
      <c r="E367" s="2" t="str">
        <f ca="1">IFERROR(__xludf.DUMMYFUNCTION("UNIQUE(FILTER('export kabinetdashboard 1210202'!N:P,'export kabinetdashboard 1210202'!M:M=D367))"),"Verlagen boordstenen")</f>
        <v>Verlagen boordstenen</v>
      </c>
      <c r="F367" s="2" t="str">
        <f ca="1">IFERROR(__xludf.DUMMYFUNCTION("""COMPUTED_VALUE"""),"2022 - Q2")</f>
        <v>2022 - Q2</v>
      </c>
      <c r="G367" s="2" t="str">
        <f ca="1">IFERROR(__xludf.DUMMYFUNCTION("""COMPUTED_VALUE"""),"n.t.b.")</f>
        <v>n.t.b.</v>
      </c>
      <c r="H367" s="2">
        <f ca="1">SUMIFS('bedragen KIM (budgettering &amp; pl'!S:S,'bedragen KIM (budgettering &amp; pl'!B:B,A367,'bedragen KIM (budgettering &amp; pl'!F:F,D367)</f>
        <v>5000</v>
      </c>
      <c r="I367" s="2" t="e">
        <f ca="1">SUMIFS(#REF!,#REF!,A367,#REF!,D367)</f>
        <v>#REF!</v>
      </c>
      <c r="J367" s="2" t="e">
        <f ca="1">SUMIFS(#REF!,#REF!,A367,#REF!,D367)</f>
        <v>#REF!</v>
      </c>
    </row>
    <row r="368" spans="1:10" ht="12.5" x14ac:dyDescent="0.25">
      <c r="A368" s="2" t="str">
        <f ca="1">IFERROR(__xludf.DUMMYFUNCTION("""COMPUTED_VALUE"""),"KP/001361")</f>
        <v>KP/001361</v>
      </c>
      <c r="B368" s="2" t="str">
        <f ca="1">IFERROR(__xludf.DUMMYFUNCTION("""COMPUTED_VALUE"""),"Verkeersveiligheid")</f>
        <v>Verkeersveiligheid</v>
      </c>
      <c r="C368" s="2" t="str">
        <f ca="1">IFERROR(__xludf.DUMMYFUNCTION("""COMPUTED_VALUE"""),"Schoolroute")</f>
        <v>Schoolroute</v>
      </c>
      <c r="D368" s="2" t="str">
        <f ca="1">IFERROR(__xludf.DUMMYFUNCTION("""COMPUTED_VALUE"""),"IN/001069")</f>
        <v>IN/001069</v>
      </c>
      <c r="E368" s="2" t="str">
        <f ca="1">IFERROR(__xludf.DUMMYFUNCTION("UNIQUE(FILTER('export kabinetdashboard 1210202'!N:P,'export kabinetdashboard 1210202'!M:M=D368))"),"")</f>
        <v/>
      </c>
      <c r="F368" s="2" t="str">
        <f ca="1">IFERROR(__xludf.DUMMYFUNCTION("""COMPUTED_VALUE"""),"n.t.b.")</f>
        <v>n.t.b.</v>
      </c>
      <c r="G368" s="2" t="str">
        <f ca="1">IFERROR(__xludf.DUMMYFUNCTION("""COMPUTED_VALUE"""),"n.t.b.")</f>
        <v>n.t.b.</v>
      </c>
      <c r="H368" s="2">
        <f ca="1">SUMIFS('bedragen KIM (budgettering &amp; pl'!S:S,'bedragen KIM (budgettering &amp; pl'!B:B,A368,'bedragen KIM (budgettering &amp; pl'!F:F,D368)</f>
        <v>1000</v>
      </c>
      <c r="I368" s="2" t="e">
        <f ca="1">SUMIFS(#REF!,#REF!,A368,#REF!,D368)</f>
        <v>#REF!</v>
      </c>
      <c r="J368" s="2" t="e">
        <f ca="1">SUMIFS(#REF!,#REF!,A368,#REF!,D368)</f>
        <v>#REF!</v>
      </c>
    </row>
    <row r="369" spans="1:10" ht="12.5" x14ac:dyDescent="0.25">
      <c r="A369" s="2" t="str">
        <f ca="1">IFERROR(__xludf.DUMMYFUNCTION("""COMPUTED_VALUE"""),"KP/001363")</f>
        <v>KP/001363</v>
      </c>
      <c r="B369" s="2" t="str">
        <f ca="1">IFERROR(__xludf.DUMMYFUNCTION("""COMPUTED_VALUE"""),"Verkeersveiligheid")</f>
        <v>Verkeersveiligheid</v>
      </c>
      <c r="C369" s="2" t="str">
        <f ca="1">IFERROR(__xludf.DUMMYFUNCTION("""COMPUTED_VALUE"""),"Schoolroute")</f>
        <v>Schoolroute</v>
      </c>
      <c r="D369" s="2" t="str">
        <f ca="1">IFERROR(__xludf.DUMMYFUNCTION("""COMPUTED_VALUE"""),"IN/001070")</f>
        <v>IN/001070</v>
      </c>
      <c r="E369" s="2" t="str">
        <f ca="1">IFERROR(__xludf.DUMMYFUNCTION("UNIQUE(FILTER('export kabinetdashboard 1210202'!N:P,'export kabinetdashboard 1210202'!M:M=D369))"),"")</f>
        <v/>
      </c>
      <c r="F369" s="2" t="str">
        <f ca="1">IFERROR(__xludf.DUMMYFUNCTION("""COMPUTED_VALUE"""),"n.t.b.")</f>
        <v>n.t.b.</v>
      </c>
      <c r="G369" s="2" t="str">
        <f ca="1">IFERROR(__xludf.DUMMYFUNCTION("""COMPUTED_VALUE"""),"n.t.b.")</f>
        <v>n.t.b.</v>
      </c>
      <c r="H369" s="2">
        <f ca="1">SUMIFS('bedragen KIM (budgettering &amp; pl'!S:S,'bedragen KIM (budgettering &amp; pl'!B:B,A369,'bedragen KIM (budgettering &amp; pl'!F:F,D369)</f>
        <v>5000</v>
      </c>
      <c r="I369" s="2" t="e">
        <f ca="1">SUMIFS(#REF!,#REF!,A369,#REF!,D369)</f>
        <v>#REF!</v>
      </c>
      <c r="J369" s="2" t="e">
        <f ca="1">SUMIFS(#REF!,#REF!,A369,#REF!,D369)</f>
        <v>#REF!</v>
      </c>
    </row>
    <row r="370" spans="1:10" ht="12.5" x14ac:dyDescent="0.25">
      <c r="A370" s="2" t="str">
        <f ca="1">IFERROR(__xludf.DUMMYFUNCTION("""COMPUTED_VALUE"""),"KP/001364")</f>
        <v>KP/001364</v>
      </c>
      <c r="B370" s="2" t="str">
        <f ca="1">IFERROR(__xludf.DUMMYFUNCTION("""COMPUTED_VALUE"""),"Verkeersveiligheid")</f>
        <v>Verkeersveiligheid</v>
      </c>
      <c r="C370" s="2" t="str">
        <f ca="1">IFERROR(__xludf.DUMMYFUNCTION("""COMPUTED_VALUE"""),"Schoolroute")</f>
        <v>Schoolroute</v>
      </c>
      <c r="D370" s="2" t="str">
        <f ca="1">IFERROR(__xludf.DUMMYFUNCTION("""COMPUTED_VALUE"""),"IN/001071")</f>
        <v>IN/001071</v>
      </c>
      <c r="E370" s="2" t="str">
        <f ca="1">IFERROR(__xludf.DUMMYFUNCTION("UNIQUE(FILTER('export kabinetdashboard 1210202'!N:P,'export kabinetdashboard 1210202'!M:M=D370))"),"Hermarkeren")</f>
        <v>Hermarkeren</v>
      </c>
      <c r="F370" s="2" t="str">
        <f ca="1">IFERROR(__xludf.DUMMYFUNCTION("""COMPUTED_VALUE"""),"2022 - Q2")</f>
        <v>2022 - Q2</v>
      </c>
      <c r="G370" s="2" t="str">
        <f ca="1">IFERROR(__xludf.DUMMYFUNCTION("""COMPUTED_VALUE"""),"2022 - Q3")</f>
        <v>2022 - Q3</v>
      </c>
      <c r="H370" s="2">
        <f ca="1">SUMIFS('bedragen KIM (budgettering &amp; pl'!S:S,'bedragen KIM (budgettering &amp; pl'!B:B,A370,'bedragen KIM (budgettering &amp; pl'!F:F,D370)</f>
        <v>7500</v>
      </c>
      <c r="I370" s="2" t="e">
        <f ca="1">SUMIFS(#REF!,#REF!,A370,#REF!,D370)</f>
        <v>#REF!</v>
      </c>
      <c r="J370" s="2" t="e">
        <f ca="1">SUMIFS(#REF!,#REF!,A370,#REF!,D370)</f>
        <v>#REF!</v>
      </c>
    </row>
    <row r="371" spans="1:10" ht="12.5" x14ac:dyDescent="0.25">
      <c r="A371" s="2" t="str">
        <f ca="1">IFERROR(__xludf.DUMMYFUNCTION("""COMPUTED_VALUE"""),"KP/001368")</f>
        <v>KP/001368</v>
      </c>
      <c r="B371" s="2" t="str">
        <f ca="1">IFERROR(__xludf.DUMMYFUNCTION("""COMPUTED_VALUE"""),"Verkeersveiligheid")</f>
        <v>Verkeersveiligheid</v>
      </c>
      <c r="C371" s="2" t="str">
        <f ca="1">IFERROR(__xludf.DUMMYFUNCTION("""COMPUTED_VALUE"""),"Schoolroute")</f>
        <v>Schoolroute</v>
      </c>
      <c r="D371" s="2" t="str">
        <f ca="1">IFERROR(__xludf.DUMMYFUNCTION("""COMPUTED_VALUE"""),"IN/001072")</f>
        <v>IN/001072</v>
      </c>
      <c r="E371" s="2" t="str">
        <f ca="1">IFERROR(__xludf.DUMMYFUNCTION("UNIQUE(FILTER('export kabinetdashboard 1210202'!N:P,'export kabinetdashboard 1210202'!M:M=D371))"),"#N/A")</f>
        <v>#N/A</v>
      </c>
      <c r="H371" s="2">
        <f ca="1">SUMIFS('bedragen KIM (budgettering &amp; pl'!S:S,'bedragen KIM (budgettering &amp; pl'!B:B,A371,'bedragen KIM (budgettering &amp; pl'!F:F,D371)</f>
        <v>431250</v>
      </c>
      <c r="I371" s="2" t="e">
        <f ca="1">SUMIFS(#REF!,#REF!,A371,#REF!,D371)</f>
        <v>#REF!</v>
      </c>
      <c r="J371" s="2" t="e">
        <f ca="1">SUMIFS(#REF!,#REF!,A371,#REF!,D371)</f>
        <v>#REF!</v>
      </c>
    </row>
    <row r="372" spans="1:10" ht="12.5" x14ac:dyDescent="0.25">
      <c r="A372" s="2" t="str">
        <f ca="1">IFERROR(__xludf.DUMMYFUNCTION("""COMPUTED_VALUE"""),"KP/001369")</f>
        <v>KP/001369</v>
      </c>
      <c r="B372" s="2" t="str">
        <f ca="1">IFERROR(__xludf.DUMMYFUNCTION("""COMPUTED_VALUE"""),"Verkeersveiligheid")</f>
        <v>Verkeersveiligheid</v>
      </c>
      <c r="C372" s="2" t="str">
        <f ca="1">IFERROR(__xludf.DUMMYFUNCTION("""COMPUTED_VALUE"""),"Schoolroute")</f>
        <v>Schoolroute</v>
      </c>
      <c r="D372" s="2" t="str">
        <f ca="1">IFERROR(__xludf.DUMMYFUNCTION("""COMPUTED_VALUE"""),"IN/001073")</f>
        <v>IN/001073</v>
      </c>
      <c r="E372" s="2" t="str">
        <f ca="1">IFERROR(__xludf.DUMMYFUNCTION("UNIQUE(FILTER('export kabinetdashboard 1210202'!N:P,'export kabinetdashboard 1210202'!M:M=D372))"),"#N/A")</f>
        <v>#N/A</v>
      </c>
      <c r="H372" s="2">
        <f ca="1">SUMIFS('bedragen KIM (budgettering &amp; pl'!S:S,'bedragen KIM (budgettering &amp; pl'!B:B,A372,'bedragen KIM (budgettering &amp; pl'!F:F,D372)</f>
        <v>0</v>
      </c>
      <c r="I372" s="2" t="e">
        <f ca="1">SUMIFS(#REF!,#REF!,A372,#REF!,D372)</f>
        <v>#REF!</v>
      </c>
      <c r="J372" s="2" t="e">
        <f ca="1">SUMIFS(#REF!,#REF!,A372,#REF!,D372)</f>
        <v>#REF!</v>
      </c>
    </row>
    <row r="373" spans="1:10" ht="12.5" x14ac:dyDescent="0.25">
      <c r="A373" s="2" t="str">
        <f ca="1">IFERROR(__xludf.DUMMYFUNCTION("""COMPUTED_VALUE"""),"KP/001370")</f>
        <v>KP/001370</v>
      </c>
      <c r="B373" s="2" t="str">
        <f ca="1">IFERROR(__xludf.DUMMYFUNCTION("""COMPUTED_VALUE"""),"Verkeersveiligheid")</f>
        <v>Verkeersveiligheid</v>
      </c>
      <c r="C373" s="2" t="str">
        <f ca="1">IFERROR(__xludf.DUMMYFUNCTION("""COMPUTED_VALUE"""),"Schoolroute")</f>
        <v>Schoolroute</v>
      </c>
      <c r="D373" s="2" t="str">
        <f ca="1">IFERROR(__xludf.DUMMYFUNCTION("""COMPUTED_VALUE"""),"IN/001074")</f>
        <v>IN/001074</v>
      </c>
      <c r="E373" s="2" t="str">
        <f ca="1">IFERROR(__xludf.DUMMYFUNCTION("UNIQUE(FILTER('export kabinetdashboard 1210202'!N:P,'export kabinetdashboard 1210202'!M:M=D373))"),"")</f>
        <v/>
      </c>
      <c r="F373" s="2" t="str">
        <f ca="1">IFERROR(__xludf.DUMMYFUNCTION("""COMPUTED_VALUE"""),"2022 - Q3")</f>
        <v>2022 - Q3</v>
      </c>
      <c r="G373" s="2" t="str">
        <f ca="1">IFERROR(__xludf.DUMMYFUNCTION("""COMPUTED_VALUE"""),"n.t.b.")</f>
        <v>n.t.b.</v>
      </c>
      <c r="H373" s="2">
        <f ca="1">SUMIFS('bedragen KIM (budgettering &amp; pl'!S:S,'bedragen KIM (budgettering &amp; pl'!B:B,A373,'bedragen KIM (budgettering &amp; pl'!F:F,D373)</f>
        <v>76000</v>
      </c>
      <c r="I373" s="2" t="e">
        <f ca="1">SUMIFS(#REF!,#REF!,A373,#REF!,D373)</f>
        <v>#REF!</v>
      </c>
      <c r="J373" s="2" t="e">
        <f ca="1">SUMIFS(#REF!,#REF!,A373,#REF!,D373)</f>
        <v>#REF!</v>
      </c>
    </row>
    <row r="374" spans="1:10" ht="12.5" x14ac:dyDescent="0.25">
      <c r="A374" s="2" t="str">
        <f ca="1">IFERROR(__xludf.DUMMYFUNCTION("""COMPUTED_VALUE"""),"KP/001371")</f>
        <v>KP/001371</v>
      </c>
      <c r="B374" s="2" t="str">
        <f ca="1">IFERROR(__xludf.DUMMYFUNCTION("""COMPUTED_VALUE"""),"Verkeersveiligheid")</f>
        <v>Verkeersveiligheid</v>
      </c>
      <c r="C374" s="2" t="str">
        <f ca="1">IFERROR(__xludf.DUMMYFUNCTION("""COMPUTED_VALUE"""),"Schoolroute")</f>
        <v>Schoolroute</v>
      </c>
      <c r="D374" s="2" t="str">
        <f ca="1">IFERROR(__xludf.DUMMYFUNCTION("""COMPUTED_VALUE"""),"IN/001075")</f>
        <v>IN/001075</v>
      </c>
      <c r="E374" s="2" t="str">
        <f ca="1">IFERROR(__xludf.DUMMYFUNCTION("UNIQUE(FILTER('export kabinetdashboard 1210202'!N:P,'export kabinetdashboard 1210202'!M:M=D374))"),"")</f>
        <v/>
      </c>
      <c r="F374" s="2" t="str">
        <f ca="1">IFERROR(__xludf.DUMMYFUNCTION("""COMPUTED_VALUE"""),"n.t.b.")</f>
        <v>n.t.b.</v>
      </c>
      <c r="G374" s="2" t="str">
        <f ca="1">IFERROR(__xludf.DUMMYFUNCTION("""COMPUTED_VALUE"""),"n.t.b.")</f>
        <v>n.t.b.</v>
      </c>
      <c r="H374" s="2">
        <f ca="1">SUMIFS('bedragen KIM (budgettering &amp; pl'!S:S,'bedragen KIM (budgettering &amp; pl'!B:B,A374,'bedragen KIM (budgettering &amp; pl'!F:F,D374)</f>
        <v>0</v>
      </c>
      <c r="I374" s="2" t="e">
        <f ca="1">SUMIFS(#REF!,#REF!,A374,#REF!,D374)</f>
        <v>#REF!</v>
      </c>
      <c r="J374" s="2" t="e">
        <f ca="1">SUMIFS(#REF!,#REF!,A374,#REF!,D374)</f>
        <v>#REF!</v>
      </c>
    </row>
    <row r="375" spans="1:10" ht="12.5" x14ac:dyDescent="0.25">
      <c r="A375" s="2" t="str">
        <f ca="1">IFERROR(__xludf.DUMMYFUNCTION("""COMPUTED_VALUE"""),"KP/001372")</f>
        <v>KP/001372</v>
      </c>
      <c r="B375" s="2" t="str">
        <f ca="1">IFERROR(__xludf.DUMMYFUNCTION("""COMPUTED_VALUE"""),"Verkeersveiligheid")</f>
        <v>Verkeersveiligheid</v>
      </c>
      <c r="C375" s="2" t="str">
        <f ca="1">IFERROR(__xludf.DUMMYFUNCTION("""COMPUTED_VALUE"""),"Schoolroute")</f>
        <v>Schoolroute</v>
      </c>
      <c r="D375" s="2" t="str">
        <f ca="1">IFERROR(__xludf.DUMMYFUNCTION("""COMPUTED_VALUE"""),"IN/001076")</f>
        <v>IN/001076</v>
      </c>
      <c r="E375" s="2" t="str">
        <f ca="1">IFERROR(__xludf.DUMMYFUNCTION("UNIQUE(FILTER('export kabinetdashboard 1210202'!N:P,'export kabinetdashboard 1210202'!M:M=D375))"),"")</f>
        <v/>
      </c>
      <c r="F375" s="2" t="str">
        <f ca="1">IFERROR(__xludf.DUMMYFUNCTION("""COMPUTED_VALUE"""),"n.t.b.")</f>
        <v>n.t.b.</v>
      </c>
      <c r="G375" s="2" t="str">
        <f ca="1">IFERROR(__xludf.DUMMYFUNCTION("""COMPUTED_VALUE"""),"n.t.b.")</f>
        <v>n.t.b.</v>
      </c>
      <c r="H375" s="2">
        <f ca="1">SUMIFS('bedragen KIM (budgettering &amp; pl'!S:S,'bedragen KIM (budgettering &amp; pl'!B:B,A375,'bedragen KIM (budgettering &amp; pl'!F:F,D375)</f>
        <v>5000</v>
      </c>
      <c r="I375" s="2" t="e">
        <f ca="1">SUMIFS(#REF!,#REF!,A375,#REF!,D375)</f>
        <v>#REF!</v>
      </c>
      <c r="J375" s="2" t="e">
        <f ca="1">SUMIFS(#REF!,#REF!,A375,#REF!,D375)</f>
        <v>#REF!</v>
      </c>
    </row>
    <row r="376" spans="1:10" ht="12.5" x14ac:dyDescent="0.25">
      <c r="A376" s="2" t="str">
        <f ca="1">IFERROR(__xludf.DUMMYFUNCTION("""COMPUTED_VALUE"""),"KP/001373")</f>
        <v>KP/001373</v>
      </c>
      <c r="B376" s="2" t="str">
        <f ca="1">IFERROR(__xludf.DUMMYFUNCTION("""COMPUTED_VALUE"""),"Verkeersveiligheid")</f>
        <v>Verkeersveiligheid</v>
      </c>
      <c r="C376" s="2" t="str">
        <f ca="1">IFERROR(__xludf.DUMMYFUNCTION("""COMPUTED_VALUE"""),"Schoolroute")</f>
        <v>Schoolroute</v>
      </c>
      <c r="D376" s="2" t="str">
        <f ca="1">IFERROR(__xludf.DUMMYFUNCTION("""COMPUTED_VALUE"""),"IN/001077")</f>
        <v>IN/001077</v>
      </c>
      <c r="E376" s="2" t="str">
        <f ca="1">IFERROR(__xludf.DUMMYFUNCTION("UNIQUE(FILTER('export kabinetdashboard 1210202'!N:P,'export kabinetdashboard 1210202'!M:M=D376))"),"")</f>
        <v/>
      </c>
      <c r="F376" s="2" t="str">
        <f ca="1">IFERROR(__xludf.DUMMYFUNCTION("""COMPUTED_VALUE"""),"n.t.b.")</f>
        <v>n.t.b.</v>
      </c>
      <c r="G376" s="2" t="str">
        <f ca="1">IFERROR(__xludf.DUMMYFUNCTION("""COMPUTED_VALUE"""),"n.t.b.")</f>
        <v>n.t.b.</v>
      </c>
      <c r="H376" s="2">
        <f ca="1">SUMIFS('bedragen KIM (budgettering &amp; pl'!S:S,'bedragen KIM (budgettering &amp; pl'!B:B,A376,'bedragen KIM (budgettering &amp; pl'!F:F,D376)</f>
        <v>0</v>
      </c>
      <c r="I376" s="2" t="e">
        <f ca="1">SUMIFS(#REF!,#REF!,A376,#REF!,D376)</f>
        <v>#REF!</v>
      </c>
      <c r="J376" s="2" t="e">
        <f ca="1">SUMIFS(#REF!,#REF!,A376,#REF!,D376)</f>
        <v>#REF!</v>
      </c>
    </row>
    <row r="377" spans="1:10" ht="12.5" x14ac:dyDescent="0.25">
      <c r="A377" s="2" t="str">
        <f ca="1">IFERROR(__xludf.DUMMYFUNCTION("""COMPUTED_VALUE"""),"KP/001374")</f>
        <v>KP/001374</v>
      </c>
      <c r="B377" s="2" t="str">
        <f ca="1">IFERROR(__xludf.DUMMYFUNCTION("""COMPUTED_VALUE"""),"Verkeersveiligheid")</f>
        <v>Verkeersveiligheid</v>
      </c>
      <c r="C377" s="2" t="str">
        <f ca="1">IFERROR(__xludf.DUMMYFUNCTION("""COMPUTED_VALUE"""),"Schoolroute")</f>
        <v>Schoolroute</v>
      </c>
      <c r="D377" s="2" t="str">
        <f ca="1">IFERROR(__xludf.DUMMYFUNCTION("""COMPUTED_VALUE"""),"IN/001078")</f>
        <v>IN/001078</v>
      </c>
      <c r="E377" s="2" t="str">
        <f ca="1">IFERROR(__xludf.DUMMYFUNCTION("UNIQUE(FILTER('export kabinetdashboard 1210202'!N:P,'export kabinetdashboard 1210202'!M:M=D377))"),"Oversteekplaats voor fietsers en vernieuwen fietspad thv kruispunt")</f>
        <v>Oversteekplaats voor fietsers en vernieuwen fietspad thv kruispunt</v>
      </c>
      <c r="F377" s="2" t="str">
        <f ca="1">IFERROR(__xludf.DUMMYFUNCTION("""COMPUTED_VALUE"""),"2023 - Q3")</f>
        <v>2023 - Q3</v>
      </c>
      <c r="G377" s="2" t="str">
        <f ca="1">IFERROR(__xludf.DUMMYFUNCTION("""COMPUTED_VALUE"""),"n.t.b.")</f>
        <v>n.t.b.</v>
      </c>
      <c r="H377" s="2">
        <f ca="1">SUMIFS('bedragen KIM (budgettering &amp; pl'!S:S,'bedragen KIM (budgettering &amp; pl'!B:B,A377,'bedragen KIM (budgettering &amp; pl'!F:F,D377)</f>
        <v>38453</v>
      </c>
      <c r="I377" s="2" t="e">
        <f ca="1">SUMIFS(#REF!,#REF!,A377,#REF!,D377)</f>
        <v>#REF!</v>
      </c>
      <c r="J377" s="2" t="e">
        <f ca="1">SUMIFS(#REF!,#REF!,A377,#REF!,D377)</f>
        <v>#REF!</v>
      </c>
    </row>
    <row r="378" spans="1:10" ht="12.5" x14ac:dyDescent="0.25">
      <c r="A378" s="2" t="str">
        <f ca="1">IFERROR(__xludf.DUMMYFUNCTION("""COMPUTED_VALUE"""),"KP/001376")</f>
        <v>KP/001376</v>
      </c>
      <c r="B378" s="2" t="str">
        <f ca="1">IFERROR(__xludf.DUMMYFUNCTION("""COMPUTED_VALUE"""),"Verkeersveiligheid")</f>
        <v>Verkeersveiligheid</v>
      </c>
      <c r="C378" s="2" t="str">
        <f ca="1">IFERROR(__xludf.DUMMYFUNCTION("""COMPUTED_VALUE"""),"Schoolroute")</f>
        <v>Schoolroute</v>
      </c>
      <c r="D378" s="2" t="str">
        <f ca="1">IFERROR(__xludf.DUMMYFUNCTION("""COMPUTED_VALUE"""),"IN/001079")</f>
        <v>IN/001079</v>
      </c>
      <c r="E378" s="2" t="str">
        <f ca="1">IFERROR(__xludf.DUMMYFUNCTION("UNIQUE(FILTER('export kabinetdashboard 1210202'!N:P,'export kabinetdashboard 1210202'!M:M=D378))"),"twee enkelrichtingsfietspaden met FOP's")</f>
        <v>twee enkelrichtingsfietspaden met FOP's</v>
      </c>
      <c r="F378" s="2" t="str">
        <f ca="1">IFERROR(__xludf.DUMMYFUNCTION("""COMPUTED_VALUE"""),"2022 - Q3")</f>
        <v>2022 - Q3</v>
      </c>
      <c r="G378" s="2" t="str">
        <f ca="1">IFERROR(__xludf.DUMMYFUNCTION("""COMPUTED_VALUE"""),"n.t.b.")</f>
        <v>n.t.b.</v>
      </c>
      <c r="H378" s="2">
        <f ca="1">SUMIFS('bedragen KIM (budgettering &amp; pl'!S:S,'bedragen KIM (budgettering &amp; pl'!B:B,A378,'bedragen KIM (budgettering &amp; pl'!F:F,D378)</f>
        <v>32860</v>
      </c>
      <c r="I378" s="2" t="e">
        <f ca="1">SUMIFS(#REF!,#REF!,A378,#REF!,D378)</f>
        <v>#REF!</v>
      </c>
      <c r="J378" s="2" t="e">
        <f ca="1">SUMIFS(#REF!,#REF!,A378,#REF!,D378)</f>
        <v>#REF!</v>
      </c>
    </row>
    <row r="379" spans="1:10" ht="12.5" x14ac:dyDescent="0.25">
      <c r="A379" s="2" t="str">
        <f ca="1">IFERROR(__xludf.DUMMYFUNCTION("""COMPUTED_VALUE"""),"KP/001377")</f>
        <v>KP/001377</v>
      </c>
      <c r="B379" s="2" t="str">
        <f ca="1">IFERROR(__xludf.DUMMYFUNCTION("""COMPUTED_VALUE"""),"Verkeersveiligheid")</f>
        <v>Verkeersveiligheid</v>
      </c>
      <c r="C379" s="2" t="str">
        <f ca="1">IFERROR(__xludf.DUMMYFUNCTION("""COMPUTED_VALUE"""),"Schoolroute")</f>
        <v>Schoolroute</v>
      </c>
      <c r="D379" s="2" t="str">
        <f ca="1">IFERROR(__xludf.DUMMYFUNCTION("""COMPUTED_VALUE"""),"IN/001080")</f>
        <v>IN/001080</v>
      </c>
      <c r="E379" s="2" t="str">
        <f ca="1">IFERROR(__xludf.DUMMYFUNCTION("UNIQUE(FILTER('export kabinetdashboard 1210202'!N:P,'export kabinetdashboard 1210202'!M:M=D379))"),"fietsers uit de voorrang op rotonde")</f>
        <v>fietsers uit de voorrang op rotonde</v>
      </c>
      <c r="F379" s="2" t="str">
        <f ca="1">IFERROR(__xludf.DUMMYFUNCTION("""COMPUTED_VALUE"""),"2023 - Q4")</f>
        <v>2023 - Q4</v>
      </c>
      <c r="G379" s="2" t="str">
        <f ca="1">IFERROR(__xludf.DUMMYFUNCTION("""COMPUTED_VALUE"""),"n.t.b.")</f>
        <v>n.t.b.</v>
      </c>
      <c r="H379" s="2">
        <f ca="1">SUMIFS('bedragen KIM (budgettering &amp; pl'!S:S,'bedragen KIM (budgettering &amp; pl'!B:B,A379,'bedragen KIM (budgettering &amp; pl'!F:F,D379)</f>
        <v>42620</v>
      </c>
      <c r="I379" s="2" t="e">
        <f ca="1">SUMIFS(#REF!,#REF!,A379,#REF!,D379)</f>
        <v>#REF!</v>
      </c>
      <c r="J379" s="2" t="e">
        <f ca="1">SUMIFS(#REF!,#REF!,A379,#REF!,D379)</f>
        <v>#REF!</v>
      </c>
    </row>
    <row r="380" spans="1:10" ht="12.5" x14ac:dyDescent="0.25">
      <c r="A380" s="2" t="str">
        <f ca="1">IFERROR(__xludf.DUMMYFUNCTION("""COMPUTED_VALUE"""),"KP/001378")</f>
        <v>KP/001378</v>
      </c>
      <c r="B380" s="2" t="str">
        <f ca="1">IFERROR(__xludf.DUMMYFUNCTION("""COMPUTED_VALUE"""),"Verkeersveiligheid")</f>
        <v>Verkeersveiligheid</v>
      </c>
      <c r="C380" s="2" t="str">
        <f ca="1">IFERROR(__xludf.DUMMYFUNCTION("""COMPUTED_VALUE"""),"Schoolroute")</f>
        <v>Schoolroute</v>
      </c>
      <c r="D380" s="2" t="str">
        <f ca="1">IFERROR(__xludf.DUMMYFUNCTION("""COMPUTED_VALUE"""),"IN/001081")</f>
        <v>IN/001081</v>
      </c>
      <c r="E380" s="2" t="str">
        <f ca="1">IFERROR(__xludf.DUMMYFUNCTION("UNIQUE(FILTER('export kabinetdashboard 1210202'!N:P,'export kabinetdashboard 1210202'!M:M=D380))"),"VVOP
")</f>
        <v xml:space="preserve">VVOP
</v>
      </c>
      <c r="F380" s="2" t="str">
        <f ca="1">IFERROR(__xludf.DUMMYFUNCTION("""COMPUTED_VALUE"""),"2022 - Q2")</f>
        <v>2022 - Q2</v>
      </c>
      <c r="G380" s="2" t="str">
        <f ca="1">IFERROR(__xludf.DUMMYFUNCTION("""COMPUTED_VALUE"""),"2022 - Q3")</f>
        <v>2022 - Q3</v>
      </c>
      <c r="H380" s="2">
        <f ca="1">SUMIFS('bedragen KIM (budgettering &amp; pl'!S:S,'bedragen KIM (budgettering &amp; pl'!B:B,A380,'bedragen KIM (budgettering &amp; pl'!F:F,D380)</f>
        <v>90000</v>
      </c>
      <c r="I380" s="2" t="e">
        <f ca="1">SUMIFS(#REF!,#REF!,A380,#REF!,D380)</f>
        <v>#REF!</v>
      </c>
      <c r="J380" s="2" t="e">
        <f ca="1">SUMIFS(#REF!,#REF!,A380,#REF!,D380)</f>
        <v>#REF!</v>
      </c>
    </row>
    <row r="381" spans="1:10" ht="12.5" x14ac:dyDescent="0.25">
      <c r="A381" s="2" t="str">
        <f ca="1">IFERROR(__xludf.DUMMYFUNCTION("""COMPUTED_VALUE"""),"KP/001383")</f>
        <v>KP/001383</v>
      </c>
      <c r="B381" s="2" t="str">
        <f ca="1">IFERROR(__xludf.DUMMYFUNCTION("""COMPUTED_VALUE"""),"Verkeersveiligheid")</f>
        <v>Verkeersveiligheid</v>
      </c>
      <c r="C381" s="2" t="str">
        <f ca="1">IFERROR(__xludf.DUMMYFUNCTION("""COMPUTED_VALUE"""),"Schoolroute")</f>
        <v>Schoolroute</v>
      </c>
      <c r="D381" s="2" t="str">
        <f ca="1">IFERROR(__xludf.DUMMYFUNCTION("""COMPUTED_VALUE"""),"IN/001082")</f>
        <v>IN/001082</v>
      </c>
      <c r="E381" s="2" t="str">
        <f ca="1">IFERROR(__xludf.DUMMYFUNCTION("UNIQUE(FILTER('export kabinetdashboard 1210202'!N:P,'export kabinetdashboard 1210202'!M:M=D381))"),"")</f>
        <v/>
      </c>
      <c r="F381" s="2" t="str">
        <f ca="1">IFERROR(__xludf.DUMMYFUNCTION("""COMPUTED_VALUE"""),"2022 - Q3")</f>
        <v>2022 - Q3</v>
      </c>
      <c r="G381" s="2" t="str">
        <f ca="1">IFERROR(__xludf.DUMMYFUNCTION("""COMPUTED_VALUE"""),"2022 - Q3")</f>
        <v>2022 - Q3</v>
      </c>
      <c r="H381" s="2">
        <f ca="1">SUMIFS('bedragen KIM (budgettering &amp; pl'!S:S,'bedragen KIM (budgettering &amp; pl'!B:B,A381,'bedragen KIM (budgettering &amp; pl'!F:F,D381)</f>
        <v>40000</v>
      </c>
      <c r="I381" s="2" t="e">
        <f ca="1">SUMIFS(#REF!,#REF!,A381,#REF!,D381)</f>
        <v>#REF!</v>
      </c>
      <c r="J381" s="2" t="e">
        <f ca="1">SUMIFS(#REF!,#REF!,A381,#REF!,D381)</f>
        <v>#REF!</v>
      </c>
    </row>
    <row r="382" spans="1:10" ht="12.5" x14ac:dyDescent="0.25">
      <c r="A382" s="2" t="str">
        <f ca="1">IFERROR(__xludf.DUMMYFUNCTION("""COMPUTED_VALUE"""),"KP/001384")</f>
        <v>KP/001384</v>
      </c>
      <c r="B382" s="2" t="str">
        <f ca="1">IFERROR(__xludf.DUMMYFUNCTION("""COMPUTED_VALUE"""),"Verkeersveiligheid")</f>
        <v>Verkeersveiligheid</v>
      </c>
      <c r="C382" s="2" t="str">
        <f ca="1">IFERROR(__xludf.DUMMYFUNCTION("""COMPUTED_VALUE"""),"Schoolroute")</f>
        <v>Schoolroute</v>
      </c>
      <c r="D382" s="2" t="str">
        <f ca="1">IFERROR(__xludf.DUMMYFUNCTION("""COMPUTED_VALUE"""),"IN/001083")</f>
        <v>IN/001083</v>
      </c>
      <c r="E382" s="2" t="str">
        <f ca="1">IFERROR(__xludf.DUMMYFUNCTION("UNIQUE(FILTER('export kabinetdashboard 1210202'!N:P,'export kabinetdashboard 1210202'!M:M=D382))"),"oplossing beslist in PCV")</f>
        <v>oplossing beslist in PCV</v>
      </c>
      <c r="F382" s="2" t="str">
        <f ca="1">IFERROR(__xludf.DUMMYFUNCTION("""COMPUTED_VALUE"""),"2022 - Q3")</f>
        <v>2022 - Q3</v>
      </c>
      <c r="G382" s="2" t="str">
        <f ca="1">IFERROR(__xludf.DUMMYFUNCTION("""COMPUTED_VALUE"""),"n.t.b.")</f>
        <v>n.t.b.</v>
      </c>
      <c r="H382" s="2">
        <f ca="1">SUMIFS('bedragen KIM (budgettering &amp; pl'!S:S,'bedragen KIM (budgettering &amp; pl'!B:B,A382,'bedragen KIM (budgettering &amp; pl'!F:F,D382)</f>
        <v>135000</v>
      </c>
      <c r="I382" s="2" t="e">
        <f ca="1">SUMIFS(#REF!,#REF!,A382,#REF!,D382)</f>
        <v>#REF!</v>
      </c>
      <c r="J382" s="2" t="e">
        <f ca="1">SUMIFS(#REF!,#REF!,A382,#REF!,D382)</f>
        <v>#REF!</v>
      </c>
    </row>
    <row r="383" spans="1:10" ht="12.5" x14ac:dyDescent="0.25">
      <c r="A383" s="2" t="str">
        <f ca="1">IFERROR(__xludf.DUMMYFUNCTION("""COMPUTED_VALUE"""),"KP/001385")</f>
        <v>KP/001385</v>
      </c>
      <c r="B383" s="2" t="str">
        <f ca="1">IFERROR(__xludf.DUMMYFUNCTION("""COMPUTED_VALUE"""),"Verkeersveiligheid")</f>
        <v>Verkeersveiligheid</v>
      </c>
      <c r="C383" s="2" t="str">
        <f ca="1">IFERROR(__xludf.DUMMYFUNCTION("""COMPUTED_VALUE"""),"Schoolroute")</f>
        <v>Schoolroute</v>
      </c>
      <c r="D383" s="2" t="str">
        <f ca="1">IFERROR(__xludf.DUMMYFUNCTION("""COMPUTED_VALUE"""),"IN/001084")</f>
        <v>IN/001084</v>
      </c>
      <c r="E383" s="2" t="str">
        <f ca="1">IFERROR(__xludf.DUMMYFUNCTION("UNIQUE(FILTER('export kabinetdashboard 1210202'!N:P,'export kabinetdashboard 1210202'!M:M=D383))"),"Aanleg 3 middengeleiders en 7 VVOP's")</f>
        <v>Aanleg 3 middengeleiders en 7 VVOP's</v>
      </c>
      <c r="F383" s="2" t="str">
        <f ca="1">IFERROR(__xludf.DUMMYFUNCTION("""COMPUTED_VALUE"""),"2022 - Q4")</f>
        <v>2022 - Q4</v>
      </c>
      <c r="G383" s="2" t="str">
        <f ca="1">IFERROR(__xludf.DUMMYFUNCTION("""COMPUTED_VALUE"""),"n.t.b.")</f>
        <v>n.t.b.</v>
      </c>
      <c r="H383" s="2">
        <f ca="1">SUMIFS('bedragen KIM (budgettering &amp; pl'!S:S,'bedragen KIM (budgettering &amp; pl'!B:B,A383,'bedragen KIM (budgettering &amp; pl'!F:F,D383)</f>
        <v>510000</v>
      </c>
      <c r="I383" s="2" t="e">
        <f ca="1">SUMIFS(#REF!,#REF!,A383,#REF!,D383)</f>
        <v>#REF!</v>
      </c>
      <c r="J383" s="2" t="e">
        <f ca="1">SUMIFS(#REF!,#REF!,A383,#REF!,D383)</f>
        <v>#REF!</v>
      </c>
    </row>
    <row r="384" spans="1:10" ht="12.5" x14ac:dyDescent="0.25">
      <c r="A384" s="2" t="str">
        <f ca="1">IFERROR(__xludf.DUMMYFUNCTION("""COMPUTED_VALUE"""),"KP/001386")</f>
        <v>KP/001386</v>
      </c>
      <c r="B384" s="2" t="str">
        <f ca="1">IFERROR(__xludf.DUMMYFUNCTION("""COMPUTED_VALUE"""),"Verkeersveiligheid")</f>
        <v>Verkeersveiligheid</v>
      </c>
      <c r="C384" s="2" t="str">
        <f ca="1">IFERROR(__xludf.DUMMYFUNCTION("""COMPUTED_VALUE"""),"Schoolroute")</f>
        <v>Schoolroute</v>
      </c>
      <c r="D384" s="2" t="str">
        <f ca="1">IFERROR(__xludf.DUMMYFUNCTION("""COMPUTED_VALUE"""),"IN/001085")</f>
        <v>IN/001085</v>
      </c>
      <c r="E384" s="2" t="str">
        <f ca="1">IFERROR(__xludf.DUMMYFUNCTION("UNIQUE(FILTER('export kabinetdashboard 1210202'!N:P,'export kabinetdashboard 1210202'!M:M=D384))"),"")</f>
        <v/>
      </c>
      <c r="F384" s="2" t="str">
        <f ca="1">IFERROR(__xludf.DUMMYFUNCTION("""COMPUTED_VALUE"""),"2023 - Q4")</f>
        <v>2023 - Q4</v>
      </c>
      <c r="G384" s="2" t="str">
        <f ca="1">IFERROR(__xludf.DUMMYFUNCTION("""COMPUTED_VALUE"""),"n.t.b.")</f>
        <v>n.t.b.</v>
      </c>
      <c r="H384" s="2">
        <f ca="1">SUMIFS('bedragen KIM (budgettering &amp; pl'!S:S,'bedragen KIM (budgettering &amp; pl'!B:B,A384,'bedragen KIM (budgettering &amp; pl'!F:F,D384)</f>
        <v>353122</v>
      </c>
      <c r="I384" s="2" t="e">
        <f ca="1">SUMIFS(#REF!,#REF!,A384,#REF!,D384)</f>
        <v>#REF!</v>
      </c>
      <c r="J384" s="2" t="e">
        <f ca="1">SUMIFS(#REF!,#REF!,A384,#REF!,D384)</f>
        <v>#REF!</v>
      </c>
    </row>
    <row r="385" spans="1:10" ht="12.5" x14ac:dyDescent="0.25">
      <c r="A385" s="2" t="str">
        <f ca="1">IFERROR(__xludf.DUMMYFUNCTION("""COMPUTED_VALUE"""),"KP/001387")</f>
        <v>KP/001387</v>
      </c>
      <c r="B385" s="2" t="str">
        <f ca="1">IFERROR(__xludf.DUMMYFUNCTION("""COMPUTED_VALUE"""),"Verkeersveiligheid")</f>
        <v>Verkeersveiligheid</v>
      </c>
      <c r="C385" s="2" t="str">
        <f ca="1">IFERROR(__xludf.DUMMYFUNCTION("""COMPUTED_VALUE"""),"Schoolroute")</f>
        <v>Schoolroute</v>
      </c>
      <c r="D385" s="2" t="str">
        <f ca="1">IFERROR(__xludf.DUMMYFUNCTION("""COMPUTED_VALUE"""),"IN/001086")</f>
        <v>IN/001086</v>
      </c>
      <c r="E385" s="2" t="str">
        <f ca="1">IFERROR(__xludf.DUMMYFUNCTION("UNIQUE(FILTER('export kabinetdashboard 1210202'!N:P,'export kabinetdashboard 1210202'!M:M=D385))"),"")</f>
        <v/>
      </c>
      <c r="F385" s="2" t="str">
        <f ca="1">IFERROR(__xludf.DUMMYFUNCTION("""COMPUTED_VALUE"""),"n.t.b.")</f>
        <v>n.t.b.</v>
      </c>
      <c r="G385" s="2" t="str">
        <f ca="1">IFERROR(__xludf.DUMMYFUNCTION("""COMPUTED_VALUE"""),"n.t.b.")</f>
        <v>n.t.b.</v>
      </c>
      <c r="H385" s="2">
        <f ca="1">SUMIFS('bedragen KIM (budgettering &amp; pl'!S:S,'bedragen KIM (budgettering &amp; pl'!B:B,A385,'bedragen KIM (budgettering &amp; pl'!F:F,D385)</f>
        <v>0</v>
      </c>
      <c r="I385" s="2" t="e">
        <f ca="1">SUMIFS(#REF!,#REF!,A385,#REF!,D385)</f>
        <v>#REF!</v>
      </c>
      <c r="J385" s="2" t="e">
        <f ca="1">SUMIFS(#REF!,#REF!,A385,#REF!,D385)</f>
        <v>#REF!</v>
      </c>
    </row>
    <row r="386" spans="1:10" ht="12.5" x14ac:dyDescent="0.25">
      <c r="A386" s="2" t="str">
        <f ca="1">IFERROR(__xludf.DUMMYFUNCTION("""COMPUTED_VALUE"""),"KP/001388")</f>
        <v>KP/001388</v>
      </c>
      <c r="B386" s="2" t="str">
        <f ca="1">IFERROR(__xludf.DUMMYFUNCTION("""COMPUTED_VALUE"""),"Verkeersveiligheid")</f>
        <v>Verkeersveiligheid</v>
      </c>
      <c r="C386" s="2" t="str">
        <f ca="1">IFERROR(__xludf.DUMMYFUNCTION("""COMPUTED_VALUE"""),"Schoolroute")</f>
        <v>Schoolroute</v>
      </c>
      <c r="D386" s="2" t="str">
        <f ca="1">IFERROR(__xludf.DUMMYFUNCTION("""COMPUTED_VALUE"""),"IN/001087")</f>
        <v>IN/001087</v>
      </c>
      <c r="E386" s="2" t="str">
        <f ca="1">IFERROR(__xludf.DUMMYFUNCTION("UNIQUE(FILTER('export kabinetdashboard 1210202'!N:P,'export kabinetdashboard 1210202'!M:M=D386))"),"geen quick win mogelijk")</f>
        <v>geen quick win mogelijk</v>
      </c>
      <c r="F386" s="2" t="str">
        <f ca="1">IFERROR(__xludf.DUMMYFUNCTION("""COMPUTED_VALUE"""),"n.t.b.")</f>
        <v>n.t.b.</v>
      </c>
      <c r="G386" s="2" t="str">
        <f ca="1">IFERROR(__xludf.DUMMYFUNCTION("""COMPUTED_VALUE"""),"n.t.b.")</f>
        <v>n.t.b.</v>
      </c>
      <c r="H386" s="2">
        <f ca="1">SUMIFS('bedragen KIM (budgettering &amp; pl'!S:S,'bedragen KIM (budgettering &amp; pl'!B:B,A386,'bedragen KIM (budgettering &amp; pl'!F:F,D386)</f>
        <v>300000</v>
      </c>
      <c r="I386" s="2" t="e">
        <f ca="1">SUMIFS(#REF!,#REF!,A386,#REF!,D386)</f>
        <v>#REF!</v>
      </c>
      <c r="J386" s="2" t="e">
        <f ca="1">SUMIFS(#REF!,#REF!,A386,#REF!,D386)</f>
        <v>#REF!</v>
      </c>
    </row>
    <row r="387" spans="1:10" ht="12.5" x14ac:dyDescent="0.25">
      <c r="A387" s="2" t="str">
        <f ca="1">IFERROR(__xludf.DUMMYFUNCTION("""COMPUTED_VALUE"""),"KP/001391")</f>
        <v>KP/001391</v>
      </c>
      <c r="B387" s="2" t="str">
        <f ca="1">IFERROR(__xludf.DUMMYFUNCTION("""COMPUTED_VALUE"""),"Verkeersveiligheid")</f>
        <v>Verkeersveiligheid</v>
      </c>
      <c r="C387" s="2" t="str">
        <f ca="1">IFERROR(__xludf.DUMMYFUNCTION("""COMPUTED_VALUE"""),"Schoolroute")</f>
        <v>Schoolroute</v>
      </c>
      <c r="D387" s="2" t="str">
        <f ca="1">IFERROR(__xludf.DUMMYFUNCTION("""COMPUTED_VALUE"""),"IN/001088")</f>
        <v>IN/001088</v>
      </c>
      <c r="E387" s="2" t="str">
        <f ca="1">IFERROR(__xludf.DUMMYFUNCTION("UNIQUE(FILTER('export kabinetdashboard 1210202'!N:P,'export kabinetdashboard 1210202'!M:M=D387))"),"")</f>
        <v/>
      </c>
      <c r="F387" s="2" t="str">
        <f ca="1">IFERROR(__xludf.DUMMYFUNCTION("""COMPUTED_VALUE"""),"n.t.b.")</f>
        <v>n.t.b.</v>
      </c>
      <c r="G387" s="2" t="str">
        <f ca="1">IFERROR(__xludf.DUMMYFUNCTION("""COMPUTED_VALUE"""),"2021 - Q4")</f>
        <v>2021 - Q4</v>
      </c>
      <c r="H387" s="2">
        <f ca="1">SUMIFS('bedragen KIM (budgettering &amp; pl'!S:S,'bedragen KIM (budgettering &amp; pl'!B:B,A387,'bedragen KIM (budgettering &amp; pl'!F:F,D387)</f>
        <v>0</v>
      </c>
      <c r="I387" s="2" t="e">
        <f ca="1">SUMIFS(#REF!,#REF!,A387,#REF!,D387)</f>
        <v>#REF!</v>
      </c>
      <c r="J387" s="2" t="e">
        <f ca="1">SUMIFS(#REF!,#REF!,A387,#REF!,D387)</f>
        <v>#REF!</v>
      </c>
    </row>
    <row r="388" spans="1:10" ht="12.5" x14ac:dyDescent="0.25">
      <c r="A388" s="2" t="str">
        <f ca="1">IFERROR(__xludf.DUMMYFUNCTION("""COMPUTED_VALUE"""),"KP/001392")</f>
        <v>KP/001392</v>
      </c>
      <c r="B388" s="2" t="str">
        <f ca="1">IFERROR(__xludf.DUMMYFUNCTION("""COMPUTED_VALUE"""),"Verkeersveiligheid")</f>
        <v>Verkeersveiligheid</v>
      </c>
      <c r="C388" s="2" t="str">
        <f ca="1">IFERROR(__xludf.DUMMYFUNCTION("""COMPUTED_VALUE"""),"Schoolroute")</f>
        <v>Schoolroute</v>
      </c>
      <c r="D388" s="2" t="str">
        <f ca="1">IFERROR(__xludf.DUMMYFUNCTION("""COMPUTED_VALUE"""),"IN/001089")</f>
        <v>IN/001089</v>
      </c>
      <c r="E388" s="2" t="str">
        <f ca="1">IFERROR(__xludf.DUMMYFUNCTION("UNIQUE(FILTER('export kabinetdashboard 1210202'!N:P,'export kabinetdashboard 1210202'!M:M=D388))"),"")</f>
        <v/>
      </c>
      <c r="F388" s="2" t="str">
        <f ca="1">IFERROR(__xludf.DUMMYFUNCTION("""COMPUTED_VALUE"""),"n.t.b.")</f>
        <v>n.t.b.</v>
      </c>
      <c r="G388" s="2" t="str">
        <f ca="1">IFERROR(__xludf.DUMMYFUNCTION("""COMPUTED_VALUE"""),"n.t.b.")</f>
        <v>n.t.b.</v>
      </c>
      <c r="H388" s="2">
        <f ca="1">SUMIFS('bedragen KIM (budgettering &amp; pl'!S:S,'bedragen KIM (budgettering &amp; pl'!B:B,A388,'bedragen KIM (budgettering &amp; pl'!F:F,D388)</f>
        <v>0</v>
      </c>
      <c r="I388" s="2" t="e">
        <f ca="1">SUMIFS(#REF!,#REF!,A388,#REF!,D388)</f>
        <v>#REF!</v>
      </c>
      <c r="J388" s="2" t="e">
        <f ca="1">SUMIFS(#REF!,#REF!,A388,#REF!,D388)</f>
        <v>#REF!</v>
      </c>
    </row>
    <row r="389" spans="1:10" ht="12.5" x14ac:dyDescent="0.25">
      <c r="A389" s="2" t="str">
        <f ca="1">IFERROR(__xludf.DUMMYFUNCTION("""COMPUTED_VALUE"""),"KP/001393")</f>
        <v>KP/001393</v>
      </c>
      <c r="B389" s="2" t="str">
        <f ca="1">IFERROR(__xludf.DUMMYFUNCTION("""COMPUTED_VALUE"""),"Verkeersveiligheid")</f>
        <v>Verkeersveiligheid</v>
      </c>
      <c r="C389" s="2" t="str">
        <f ca="1">IFERROR(__xludf.DUMMYFUNCTION("""COMPUTED_VALUE"""),"Schoolroute")</f>
        <v>Schoolroute</v>
      </c>
      <c r="D389" s="2" t="str">
        <f ca="1">IFERROR(__xludf.DUMMYFUNCTION("""COMPUTED_VALUE"""),"IN/001090")</f>
        <v>IN/001090</v>
      </c>
      <c r="E389" s="2" t="str">
        <f ca="1">IFERROR(__xludf.DUMMYFUNCTION("UNIQUE(FILTER('export kabinetdashboard 1210202'!N:P,'export kabinetdashboard 1210202'!M:M=D389))"),"")</f>
        <v/>
      </c>
      <c r="F389" s="2" t="str">
        <f ca="1">IFERROR(__xludf.DUMMYFUNCTION("""COMPUTED_VALUE"""),"n.t.b.")</f>
        <v>n.t.b.</v>
      </c>
      <c r="G389" s="2" t="str">
        <f ca="1">IFERROR(__xludf.DUMMYFUNCTION("""COMPUTED_VALUE"""),"n.t.b.")</f>
        <v>n.t.b.</v>
      </c>
      <c r="H389" s="2">
        <f ca="1">SUMIFS('bedragen KIM (budgettering &amp; pl'!S:S,'bedragen KIM (budgettering &amp; pl'!B:B,A389,'bedragen KIM (budgettering &amp; pl'!F:F,D389)</f>
        <v>0</v>
      </c>
      <c r="I389" s="2" t="e">
        <f ca="1">SUMIFS(#REF!,#REF!,A389,#REF!,D389)</f>
        <v>#REF!</v>
      </c>
      <c r="J389" s="2" t="e">
        <f ca="1">SUMIFS(#REF!,#REF!,A389,#REF!,D389)</f>
        <v>#REF!</v>
      </c>
    </row>
    <row r="390" spans="1:10" ht="12.5" x14ac:dyDescent="0.25">
      <c r="A390" s="2" t="str">
        <f ca="1">IFERROR(__xludf.DUMMYFUNCTION("""COMPUTED_VALUE"""),"KP/001394")</f>
        <v>KP/001394</v>
      </c>
      <c r="B390" s="2" t="str">
        <f ca="1">IFERROR(__xludf.DUMMYFUNCTION("""COMPUTED_VALUE"""),"Verkeersveiligheid")</f>
        <v>Verkeersveiligheid</v>
      </c>
      <c r="C390" s="2" t="str">
        <f ca="1">IFERROR(__xludf.DUMMYFUNCTION("""COMPUTED_VALUE"""),"Schoolroute")</f>
        <v>Schoolroute</v>
      </c>
      <c r="D390" s="2" t="str">
        <f ca="1">IFERROR(__xludf.DUMMYFUNCTION("""COMPUTED_VALUE"""),"IN/001091")</f>
        <v>IN/001091</v>
      </c>
      <c r="E390" s="2" t="str">
        <f ca="1">IFERROR(__xludf.DUMMYFUNCTION("UNIQUE(FILTER('export kabinetdashboard 1210202'!N:P,'export kabinetdashboard 1210202'!M:M=D390))"),"")</f>
        <v/>
      </c>
      <c r="F390" s="2" t="str">
        <f ca="1">IFERROR(__xludf.DUMMYFUNCTION("""COMPUTED_VALUE"""),"n.t.b.")</f>
        <v>n.t.b.</v>
      </c>
      <c r="G390" s="2" t="str">
        <f ca="1">IFERROR(__xludf.DUMMYFUNCTION("""COMPUTED_VALUE"""),"n.t.b.")</f>
        <v>n.t.b.</v>
      </c>
      <c r="H390" s="2">
        <f ca="1">SUMIFS('bedragen KIM (budgettering &amp; pl'!S:S,'bedragen KIM (budgettering &amp; pl'!B:B,A390,'bedragen KIM (budgettering &amp; pl'!F:F,D390)</f>
        <v>300000</v>
      </c>
      <c r="I390" s="2" t="e">
        <f ca="1">SUMIFS(#REF!,#REF!,A390,#REF!,D390)</f>
        <v>#REF!</v>
      </c>
      <c r="J390" s="2" t="e">
        <f ca="1">SUMIFS(#REF!,#REF!,A390,#REF!,D390)</f>
        <v>#REF!</v>
      </c>
    </row>
    <row r="391" spans="1:10" ht="12.5" x14ac:dyDescent="0.25">
      <c r="A391" s="2" t="str">
        <f ca="1">IFERROR(__xludf.DUMMYFUNCTION("""COMPUTED_VALUE"""),"KP/001395")</f>
        <v>KP/001395</v>
      </c>
      <c r="B391" s="2" t="str">
        <f ca="1">IFERROR(__xludf.DUMMYFUNCTION("""COMPUTED_VALUE"""),"Verkeersveiligheid")</f>
        <v>Verkeersveiligheid</v>
      </c>
      <c r="C391" s="2" t="str">
        <f ca="1">IFERROR(__xludf.DUMMYFUNCTION("""COMPUTED_VALUE"""),"Schoolroute")</f>
        <v>Schoolroute</v>
      </c>
      <c r="D391" s="2" t="str">
        <f ca="1">IFERROR(__xludf.DUMMYFUNCTION("""COMPUTED_VALUE"""),"IN/001092")</f>
        <v>IN/001092</v>
      </c>
      <c r="E391" s="2" t="str">
        <f ca="1">IFERROR(__xludf.DUMMYFUNCTION("UNIQUE(FILTER('export kabinetdashboard 1210202'!N:P,'export kabinetdashboard 1210202'!M:M=D391))"),"#N/A")</f>
        <v>#N/A</v>
      </c>
      <c r="H391" s="2">
        <f ca="1">SUMIFS('bedragen KIM (budgettering &amp; pl'!S:S,'bedragen KIM (budgettering &amp; pl'!B:B,A391,'bedragen KIM (budgettering &amp; pl'!F:F,D391)</f>
        <v>75000</v>
      </c>
      <c r="I391" s="2" t="e">
        <f ca="1">SUMIFS(#REF!,#REF!,A391,#REF!,D391)</f>
        <v>#REF!</v>
      </c>
      <c r="J391" s="2" t="e">
        <f ca="1">SUMIFS(#REF!,#REF!,A391,#REF!,D391)</f>
        <v>#REF!</v>
      </c>
    </row>
    <row r="392" spans="1:10" ht="12.5" x14ac:dyDescent="0.25">
      <c r="A392" s="2" t="str">
        <f ca="1">IFERROR(__xludf.DUMMYFUNCTION("""COMPUTED_VALUE"""),"KP/001396")</f>
        <v>KP/001396</v>
      </c>
      <c r="B392" s="2" t="str">
        <f ca="1">IFERROR(__xludf.DUMMYFUNCTION("""COMPUTED_VALUE"""),"Verkeersveiligheid")</f>
        <v>Verkeersveiligheid</v>
      </c>
      <c r="C392" s="2" t="str">
        <f ca="1">IFERROR(__xludf.DUMMYFUNCTION("""COMPUTED_VALUE"""),"Schoolroute")</f>
        <v>Schoolroute</v>
      </c>
      <c r="D392" s="2" t="str">
        <f ca="1">IFERROR(__xludf.DUMMYFUNCTION("""COMPUTED_VALUE"""),"IN/001093")</f>
        <v>IN/001093</v>
      </c>
      <c r="E392" s="2" t="str">
        <f ca="1">IFERROR(__xludf.DUMMYFUNCTION("UNIQUE(FILTER('export kabinetdashboard 1210202'!N:P,'export kabinetdashboard 1210202'!M:M=D392))"),"")</f>
        <v/>
      </c>
      <c r="F392" s="2" t="str">
        <f ca="1">IFERROR(__xludf.DUMMYFUNCTION("""COMPUTED_VALUE"""),"2022 - Q4")</f>
        <v>2022 - Q4</v>
      </c>
      <c r="G392" s="2" t="str">
        <f ca="1">IFERROR(__xludf.DUMMYFUNCTION("""COMPUTED_VALUE"""),"2022 - Q2")</f>
        <v>2022 - Q2</v>
      </c>
      <c r="H392" s="2">
        <f ca="1">SUMIFS('bedragen KIM (budgettering &amp; pl'!S:S,'bedragen KIM (budgettering &amp; pl'!B:B,A392,'bedragen KIM (budgettering &amp; pl'!F:F,D392)</f>
        <v>10000</v>
      </c>
      <c r="I392" s="2" t="e">
        <f ca="1">SUMIFS(#REF!,#REF!,A392,#REF!,D392)</f>
        <v>#REF!</v>
      </c>
      <c r="J392" s="2" t="e">
        <f ca="1">SUMIFS(#REF!,#REF!,A392,#REF!,D392)</f>
        <v>#REF!</v>
      </c>
    </row>
    <row r="393" spans="1:10" ht="12.5" x14ac:dyDescent="0.25">
      <c r="A393" s="2" t="str">
        <f ca="1">IFERROR(__xludf.DUMMYFUNCTION("""COMPUTED_VALUE"""),"KP/001398")</f>
        <v>KP/001398</v>
      </c>
      <c r="B393" s="2" t="str">
        <f ca="1">IFERROR(__xludf.DUMMYFUNCTION("""COMPUTED_VALUE"""),"Verkeersveiligheid")</f>
        <v>Verkeersveiligheid</v>
      </c>
      <c r="C393" s="2" t="str">
        <f ca="1">IFERROR(__xludf.DUMMYFUNCTION("""COMPUTED_VALUE"""),"Schoolroute")</f>
        <v>Schoolroute</v>
      </c>
      <c r="D393" s="2" t="str">
        <f ca="1">IFERROR(__xludf.DUMMYFUNCTION("""COMPUTED_VALUE"""),"IN/001094")</f>
        <v>IN/001094</v>
      </c>
      <c r="E393" s="2" t="str">
        <f ca="1">IFERROR(__xludf.DUMMYFUNCTION("UNIQUE(FILTER('export kabinetdashboard 1210202'!N:P,'export kabinetdashboard 1210202'!M:M=D393))"),"")</f>
        <v/>
      </c>
      <c r="F393" s="2" t="str">
        <f ca="1">IFERROR(__xludf.DUMMYFUNCTION("""COMPUTED_VALUE"""),"2022 - Q2")</f>
        <v>2022 - Q2</v>
      </c>
      <c r="G393" s="2" t="str">
        <f ca="1">IFERROR(__xludf.DUMMYFUNCTION("""COMPUTED_VALUE"""),"2022 - Q2")</f>
        <v>2022 - Q2</v>
      </c>
      <c r="H393" s="2">
        <f ca="1">SUMIFS('bedragen KIM (budgettering &amp; pl'!S:S,'bedragen KIM (budgettering &amp; pl'!B:B,A393,'bedragen KIM (budgettering &amp; pl'!F:F,D393)</f>
        <v>10000</v>
      </c>
      <c r="I393" s="2" t="e">
        <f ca="1">SUMIFS(#REF!,#REF!,A393,#REF!,D393)</f>
        <v>#REF!</v>
      </c>
      <c r="J393" s="2" t="e">
        <f ca="1">SUMIFS(#REF!,#REF!,A393,#REF!,D393)</f>
        <v>#REF!</v>
      </c>
    </row>
    <row r="394" spans="1:10" ht="12.5" x14ac:dyDescent="0.25">
      <c r="A394" s="2" t="str">
        <f ca="1">IFERROR(__xludf.DUMMYFUNCTION("""COMPUTED_VALUE"""),"KP/001399")</f>
        <v>KP/001399</v>
      </c>
      <c r="B394" s="2" t="str">
        <f ca="1">IFERROR(__xludf.DUMMYFUNCTION("""COMPUTED_VALUE"""),"Verkeersveiligheid")</f>
        <v>Verkeersveiligheid</v>
      </c>
      <c r="C394" s="2" t="str">
        <f ca="1">IFERROR(__xludf.DUMMYFUNCTION("""COMPUTED_VALUE"""),"Schoolroute")</f>
        <v>Schoolroute</v>
      </c>
      <c r="D394" s="2" t="str">
        <f ca="1">IFERROR(__xludf.DUMMYFUNCTION("""COMPUTED_VALUE"""),"IN/001095")</f>
        <v>IN/001095</v>
      </c>
      <c r="E394" s="2" t="str">
        <f ca="1">IFERROR(__xludf.DUMMYFUNCTION("UNIQUE(FILTER('export kabinetdashboard 1210202'!N:P,'export kabinetdashboard 1210202'!M:M=D394))"),"")</f>
        <v/>
      </c>
      <c r="F394" s="2" t="str">
        <f ca="1">IFERROR(__xludf.DUMMYFUNCTION("""COMPUTED_VALUE"""),"2022 - Q2")</f>
        <v>2022 - Q2</v>
      </c>
      <c r="G394" s="2" t="str">
        <f ca="1">IFERROR(__xludf.DUMMYFUNCTION("""COMPUTED_VALUE"""),"n.t.b.")</f>
        <v>n.t.b.</v>
      </c>
      <c r="H394" s="2">
        <f ca="1">SUMIFS('bedragen KIM (budgettering &amp; pl'!S:S,'bedragen KIM (budgettering &amp; pl'!B:B,A394,'bedragen KIM (budgettering &amp; pl'!F:F,D394)</f>
        <v>10000</v>
      </c>
      <c r="I394" s="2" t="e">
        <f ca="1">SUMIFS(#REF!,#REF!,A394,#REF!,D394)</f>
        <v>#REF!</v>
      </c>
      <c r="J394" s="2" t="e">
        <f ca="1">SUMIFS(#REF!,#REF!,A394,#REF!,D394)</f>
        <v>#REF!</v>
      </c>
    </row>
    <row r="395" spans="1:10" ht="12.5" x14ac:dyDescent="0.25">
      <c r="A395" s="2" t="str">
        <f ca="1">IFERROR(__xludf.DUMMYFUNCTION("""COMPUTED_VALUE"""),"KP/001400")</f>
        <v>KP/001400</v>
      </c>
      <c r="B395" s="2" t="str">
        <f ca="1">IFERROR(__xludf.DUMMYFUNCTION("""COMPUTED_VALUE"""),"Verkeersveiligheid")</f>
        <v>Verkeersveiligheid</v>
      </c>
      <c r="C395" s="2" t="str">
        <f ca="1">IFERROR(__xludf.DUMMYFUNCTION("""COMPUTED_VALUE"""),"Schoolroute")</f>
        <v>Schoolroute</v>
      </c>
      <c r="D395" s="2" t="str">
        <f ca="1">IFERROR(__xludf.DUMMYFUNCTION("""COMPUTED_VALUE"""),"IN/001096")</f>
        <v>IN/001096</v>
      </c>
      <c r="E395" s="2" t="str">
        <f ca="1">IFERROR(__xludf.DUMMYFUNCTION("UNIQUE(FILTER('export kabinetdashboard 1210202'!N:P,'export kabinetdashboard 1210202'!M:M=D395))"),"")</f>
        <v/>
      </c>
      <c r="F395" s="2" t="str">
        <f ca="1">IFERROR(__xludf.DUMMYFUNCTION("""COMPUTED_VALUE"""),"2022 - Q2")</f>
        <v>2022 - Q2</v>
      </c>
      <c r="G395" s="2" t="str">
        <f ca="1">IFERROR(__xludf.DUMMYFUNCTION("""COMPUTED_VALUE"""),"2022 - Q2")</f>
        <v>2022 - Q2</v>
      </c>
      <c r="H395" s="2">
        <f ca="1">SUMIFS('bedragen KIM (budgettering &amp; pl'!S:S,'bedragen KIM (budgettering &amp; pl'!B:B,A395,'bedragen KIM (budgettering &amp; pl'!F:F,D395)</f>
        <v>10000</v>
      </c>
      <c r="I395" s="2" t="e">
        <f ca="1">SUMIFS(#REF!,#REF!,A395,#REF!,D395)</f>
        <v>#REF!</v>
      </c>
      <c r="J395" s="2" t="e">
        <f ca="1">SUMIFS(#REF!,#REF!,A395,#REF!,D395)</f>
        <v>#REF!</v>
      </c>
    </row>
    <row r="396" spans="1:10" ht="12.5" x14ac:dyDescent="0.25">
      <c r="A396" s="2" t="str">
        <f ca="1">IFERROR(__xludf.DUMMYFUNCTION("""COMPUTED_VALUE"""),"KP/001401")</f>
        <v>KP/001401</v>
      </c>
      <c r="B396" s="2" t="str">
        <f ca="1">IFERROR(__xludf.DUMMYFUNCTION("""COMPUTED_VALUE"""),"Verkeersveiligheid")</f>
        <v>Verkeersveiligheid</v>
      </c>
      <c r="C396" s="2" t="str">
        <f ca="1">IFERROR(__xludf.DUMMYFUNCTION("""COMPUTED_VALUE"""),"Schoolroute")</f>
        <v>Schoolroute</v>
      </c>
      <c r="D396" s="2" t="str">
        <f ca="1">IFERROR(__xludf.DUMMYFUNCTION("""COMPUTED_VALUE"""),"IN/001097")</f>
        <v>IN/001097</v>
      </c>
      <c r="E396" s="2" t="str">
        <f ca="1">IFERROR(__xludf.DUMMYFUNCTION("UNIQUE(FILTER('export kabinetdashboard 1210202'!N:P,'export kabinetdashboard 1210202'!M:M=D396))"),"")</f>
        <v/>
      </c>
      <c r="F396" s="2" t="str">
        <f ca="1">IFERROR(__xludf.DUMMYFUNCTION("""COMPUTED_VALUE"""),"2022 - Q2")</f>
        <v>2022 - Q2</v>
      </c>
      <c r="G396" s="2" t="str">
        <f ca="1">IFERROR(__xludf.DUMMYFUNCTION("""COMPUTED_VALUE"""),"2022 - Q2")</f>
        <v>2022 - Q2</v>
      </c>
      <c r="H396" s="2">
        <f ca="1">SUMIFS('bedragen KIM (budgettering &amp; pl'!S:S,'bedragen KIM (budgettering &amp; pl'!B:B,A396,'bedragen KIM (budgettering &amp; pl'!F:F,D396)</f>
        <v>5000</v>
      </c>
      <c r="I396" s="2" t="e">
        <f ca="1">SUMIFS(#REF!,#REF!,A396,#REF!,D396)</f>
        <v>#REF!</v>
      </c>
      <c r="J396" s="2" t="e">
        <f ca="1">SUMIFS(#REF!,#REF!,A396,#REF!,D396)</f>
        <v>#REF!</v>
      </c>
    </row>
    <row r="397" spans="1:10" ht="12.5" x14ac:dyDescent="0.25">
      <c r="A397" s="2" t="str">
        <f ca="1">IFERROR(__xludf.DUMMYFUNCTION("""COMPUTED_VALUE"""),"KP/001402")</f>
        <v>KP/001402</v>
      </c>
      <c r="B397" s="2" t="str">
        <f ca="1">IFERROR(__xludf.DUMMYFUNCTION("""COMPUTED_VALUE"""),"Verkeersveiligheid")</f>
        <v>Verkeersveiligheid</v>
      </c>
      <c r="C397" s="2" t="str">
        <f ca="1">IFERROR(__xludf.DUMMYFUNCTION("""COMPUTED_VALUE"""),"Schoolroute")</f>
        <v>Schoolroute</v>
      </c>
      <c r="D397" s="2" t="str">
        <f ca="1">IFERROR(__xludf.DUMMYFUNCTION("""COMPUTED_VALUE"""),"IN/001098")</f>
        <v>IN/001098</v>
      </c>
      <c r="E397" s="2" t="str">
        <f ca="1">IFERROR(__xludf.DUMMYFUNCTION("UNIQUE(FILTER('export kabinetdashboard 1210202'!N:P,'export kabinetdashboard 1210202'!M:M=D397))"),"")</f>
        <v/>
      </c>
      <c r="F397" s="2" t="str">
        <f ca="1">IFERROR(__xludf.DUMMYFUNCTION("""COMPUTED_VALUE"""),"n.t.b.")</f>
        <v>n.t.b.</v>
      </c>
      <c r="G397" s="2" t="str">
        <f ca="1">IFERROR(__xludf.DUMMYFUNCTION("""COMPUTED_VALUE"""),"n.t.b.")</f>
        <v>n.t.b.</v>
      </c>
      <c r="H397" s="2">
        <f ca="1">SUMIFS('bedragen KIM (budgettering &amp; pl'!S:S,'bedragen KIM (budgettering &amp; pl'!B:B,A397,'bedragen KIM (budgettering &amp; pl'!F:F,D397)</f>
        <v>0</v>
      </c>
      <c r="I397" s="2" t="e">
        <f ca="1">SUMIFS(#REF!,#REF!,A397,#REF!,D397)</f>
        <v>#REF!</v>
      </c>
      <c r="J397" s="2" t="e">
        <f ca="1">SUMIFS(#REF!,#REF!,A397,#REF!,D397)</f>
        <v>#REF!</v>
      </c>
    </row>
    <row r="398" spans="1:10" ht="12.5" x14ac:dyDescent="0.25">
      <c r="A398" s="2" t="str">
        <f ca="1">IFERROR(__xludf.DUMMYFUNCTION("""COMPUTED_VALUE"""),"KP/001403")</f>
        <v>KP/001403</v>
      </c>
      <c r="B398" s="2" t="str">
        <f ca="1">IFERROR(__xludf.DUMMYFUNCTION("""COMPUTED_VALUE"""),"Verkeersveiligheid")</f>
        <v>Verkeersveiligheid</v>
      </c>
      <c r="C398" s="2" t="str">
        <f ca="1">IFERROR(__xludf.DUMMYFUNCTION("""COMPUTED_VALUE"""),"Schoolroute")</f>
        <v>Schoolroute</v>
      </c>
      <c r="D398" s="2" t="str">
        <f ca="1">IFERROR(__xludf.DUMMYFUNCTION("""COMPUTED_VALUE"""),"IN/001099")</f>
        <v>IN/001099</v>
      </c>
      <c r="E398" s="2" t="str">
        <f ca="1">IFERROR(__xludf.DUMMYFUNCTION("UNIQUE(FILTER('export kabinetdashboard 1210202'!N:P,'export kabinetdashboard 1210202'!M:M=D398))"),"")</f>
        <v/>
      </c>
      <c r="F398" s="2" t="str">
        <f ca="1">IFERROR(__xludf.DUMMYFUNCTION("""COMPUTED_VALUE"""),"2022 - Q2")</f>
        <v>2022 - Q2</v>
      </c>
      <c r="G398" s="2" t="str">
        <f ca="1">IFERROR(__xludf.DUMMYFUNCTION("""COMPUTED_VALUE"""),"n.t.b.")</f>
        <v>n.t.b.</v>
      </c>
      <c r="H398" s="2">
        <f ca="1">SUMIFS('bedragen KIM (budgettering &amp; pl'!S:S,'bedragen KIM (budgettering &amp; pl'!B:B,A398,'bedragen KIM (budgettering &amp; pl'!F:F,D398)</f>
        <v>40000</v>
      </c>
      <c r="I398" s="2" t="e">
        <f ca="1">SUMIFS(#REF!,#REF!,A398,#REF!,D398)</f>
        <v>#REF!</v>
      </c>
      <c r="J398" s="2" t="e">
        <f ca="1">SUMIFS(#REF!,#REF!,A398,#REF!,D398)</f>
        <v>#REF!</v>
      </c>
    </row>
    <row r="399" spans="1:10" ht="12.5" x14ac:dyDescent="0.25">
      <c r="A399" s="2" t="str">
        <f ca="1">IFERROR(__xludf.DUMMYFUNCTION("""COMPUTED_VALUE"""),"KP/001404")</f>
        <v>KP/001404</v>
      </c>
      <c r="B399" s="2" t="str">
        <f ca="1">IFERROR(__xludf.DUMMYFUNCTION("""COMPUTED_VALUE"""),"Verkeersveiligheid")</f>
        <v>Verkeersveiligheid</v>
      </c>
      <c r="C399" s="2" t="str">
        <f ca="1">IFERROR(__xludf.DUMMYFUNCTION("""COMPUTED_VALUE"""),"Schoolroute")</f>
        <v>Schoolroute</v>
      </c>
      <c r="D399" s="2" t="str">
        <f ca="1">IFERROR(__xludf.DUMMYFUNCTION("""COMPUTED_VALUE"""),"IN/001100")</f>
        <v>IN/001100</v>
      </c>
      <c r="E399" s="2" t="str">
        <f ca="1">IFERROR(__xludf.DUMMYFUNCTION("UNIQUE(FILTER('export kabinetdashboard 1210202'!N:P,'export kabinetdashboard 1210202'!M:M=D399))"),"")</f>
        <v/>
      </c>
      <c r="F399" s="2" t="str">
        <f ca="1">IFERROR(__xludf.DUMMYFUNCTION("""COMPUTED_VALUE"""),"2022 - Q2")</f>
        <v>2022 - Q2</v>
      </c>
      <c r="G399" s="2" t="str">
        <f ca="1">IFERROR(__xludf.DUMMYFUNCTION("""COMPUTED_VALUE"""),"n.t.b.")</f>
        <v>n.t.b.</v>
      </c>
      <c r="H399" s="2">
        <f ca="1">SUMIFS('bedragen KIM (budgettering &amp; pl'!S:S,'bedragen KIM (budgettering &amp; pl'!B:B,A399,'bedragen KIM (budgettering &amp; pl'!F:F,D399)</f>
        <v>500</v>
      </c>
      <c r="I399" s="2" t="e">
        <f ca="1">SUMIFS(#REF!,#REF!,A399,#REF!,D399)</f>
        <v>#REF!</v>
      </c>
      <c r="J399" s="2" t="e">
        <f ca="1">SUMIFS(#REF!,#REF!,A399,#REF!,D399)</f>
        <v>#REF!</v>
      </c>
    </row>
    <row r="400" spans="1:10" ht="12.5" x14ac:dyDescent="0.25">
      <c r="A400" s="2" t="str">
        <f ca="1">IFERROR(__xludf.DUMMYFUNCTION("""COMPUTED_VALUE"""),"KP/001406")</f>
        <v>KP/001406</v>
      </c>
      <c r="B400" s="2" t="str">
        <f ca="1">IFERROR(__xludf.DUMMYFUNCTION("""COMPUTED_VALUE"""),"Verkeersveiligheid")</f>
        <v>Verkeersveiligheid</v>
      </c>
      <c r="C400" s="2" t="str">
        <f ca="1">IFERROR(__xludf.DUMMYFUNCTION("""COMPUTED_VALUE"""),"Schoolroute")</f>
        <v>Schoolroute</v>
      </c>
      <c r="D400" s="2" t="str">
        <f ca="1">IFERROR(__xludf.DUMMYFUNCTION("""COMPUTED_VALUE"""),"IN/001101")</f>
        <v>IN/001101</v>
      </c>
      <c r="E400" s="2" t="str">
        <f ca="1">IFERROR(__xludf.DUMMYFUNCTION("UNIQUE(FILTER('export kabinetdashboard 1210202'!N:P,'export kabinetdashboard 1210202'!M:M=D400))"),"")</f>
        <v/>
      </c>
      <c r="F400" s="2" t="str">
        <f ca="1">IFERROR(__xludf.DUMMYFUNCTION("""COMPUTED_VALUE"""),"2023 - Q4")</f>
        <v>2023 - Q4</v>
      </c>
      <c r="G400" s="2" t="str">
        <f ca="1">IFERROR(__xludf.DUMMYFUNCTION("""COMPUTED_VALUE"""),"n.t.b.")</f>
        <v>n.t.b.</v>
      </c>
      <c r="H400" s="2">
        <f ca="1">SUMIFS('bedragen KIM (budgettering &amp; pl'!S:S,'bedragen KIM (budgettering &amp; pl'!B:B,A400,'bedragen KIM (budgettering &amp; pl'!F:F,D400)</f>
        <v>7475</v>
      </c>
      <c r="I400" s="2" t="e">
        <f ca="1">SUMIFS(#REF!,#REF!,A400,#REF!,D400)</f>
        <v>#REF!</v>
      </c>
      <c r="J400" s="2" t="e">
        <f ca="1">SUMIFS(#REF!,#REF!,A400,#REF!,D400)</f>
        <v>#REF!</v>
      </c>
    </row>
    <row r="401" spans="1:10" ht="12.5" x14ac:dyDescent="0.25">
      <c r="A401" s="2" t="str">
        <f ca="1">IFERROR(__xludf.DUMMYFUNCTION("""COMPUTED_VALUE"""),"KP/001409")</f>
        <v>KP/001409</v>
      </c>
      <c r="B401" s="2" t="str">
        <f ca="1">IFERROR(__xludf.DUMMYFUNCTION("""COMPUTED_VALUE"""),"Verkeersveiligheid")</f>
        <v>Verkeersveiligheid</v>
      </c>
      <c r="C401" s="2" t="str">
        <f ca="1">IFERROR(__xludf.DUMMYFUNCTION("""COMPUTED_VALUE"""),"Schoolroute")</f>
        <v>Schoolroute</v>
      </c>
      <c r="D401" s="2" t="str">
        <f ca="1">IFERROR(__xludf.DUMMYFUNCTION("""COMPUTED_VALUE"""),"IN/001102")</f>
        <v>IN/001102</v>
      </c>
      <c r="E401" s="2" t="str">
        <f ca="1">IFERROR(__xludf.DUMMYFUNCTION("UNIQUE(FILTER('export kabinetdashboard 1210202'!N:P,'export kabinetdashboard 1210202'!M:M=D401))"),"")</f>
        <v/>
      </c>
      <c r="F401" s="2" t="str">
        <f ca="1">IFERROR(__xludf.DUMMYFUNCTION("""COMPUTED_VALUE"""),"2022 - Q4")</f>
        <v>2022 - Q4</v>
      </c>
      <c r="G401" s="2" t="str">
        <f ca="1">IFERROR(__xludf.DUMMYFUNCTION("""COMPUTED_VALUE"""),"n.t.b.")</f>
        <v>n.t.b.</v>
      </c>
      <c r="H401" s="2">
        <f ca="1">SUMIFS('bedragen KIM (budgettering &amp; pl'!S:S,'bedragen KIM (budgettering &amp; pl'!B:B,A401,'bedragen KIM (budgettering &amp; pl'!F:F,D401)</f>
        <v>0</v>
      </c>
      <c r="I401" s="2" t="e">
        <f ca="1">SUMIFS(#REF!,#REF!,A401,#REF!,D401)</f>
        <v>#REF!</v>
      </c>
      <c r="J401" s="2" t="e">
        <f ca="1">SUMIFS(#REF!,#REF!,A401,#REF!,D401)</f>
        <v>#REF!</v>
      </c>
    </row>
    <row r="402" spans="1:10" ht="12.5" x14ac:dyDescent="0.25">
      <c r="A402" s="2" t="str">
        <f ca="1">IFERROR(__xludf.DUMMYFUNCTION("""COMPUTED_VALUE"""),"KP/001412")</f>
        <v>KP/001412</v>
      </c>
      <c r="B402" s="2" t="str">
        <f ca="1">IFERROR(__xludf.DUMMYFUNCTION("""COMPUTED_VALUE"""),"Verkeersveiligheid")</f>
        <v>Verkeersveiligheid</v>
      </c>
      <c r="C402" s="2" t="str">
        <f ca="1">IFERROR(__xludf.DUMMYFUNCTION("""COMPUTED_VALUE"""),"Schoolroute")</f>
        <v>Schoolroute</v>
      </c>
      <c r="D402" s="2" t="str">
        <f ca="1">IFERROR(__xludf.DUMMYFUNCTION("""COMPUTED_VALUE"""),"IN/001103")</f>
        <v>IN/001103</v>
      </c>
      <c r="E402" s="2" t="str">
        <f ca="1">IFERROR(__xludf.DUMMYFUNCTION("UNIQUE(FILTER('export kabinetdashboard 1210202'!N:P,'export kabinetdashboard 1210202'!M:M=D402))"),"")</f>
        <v/>
      </c>
      <c r="F402" s="2" t="str">
        <f ca="1">IFERROR(__xludf.DUMMYFUNCTION("""COMPUTED_VALUE"""),"n.t.b.")</f>
        <v>n.t.b.</v>
      </c>
      <c r="G402" s="2" t="str">
        <f ca="1">IFERROR(__xludf.DUMMYFUNCTION("""COMPUTED_VALUE"""),"n.t.b.")</f>
        <v>n.t.b.</v>
      </c>
      <c r="H402" s="2">
        <f ca="1">SUMIFS('bedragen KIM (budgettering &amp; pl'!S:S,'bedragen KIM (budgettering &amp; pl'!B:B,A402,'bedragen KIM (budgettering &amp; pl'!F:F,D402)</f>
        <v>24000</v>
      </c>
      <c r="I402" s="2" t="e">
        <f ca="1">SUMIFS(#REF!,#REF!,A402,#REF!,D402)</f>
        <v>#REF!</v>
      </c>
      <c r="J402" s="2" t="e">
        <f ca="1">SUMIFS(#REF!,#REF!,A402,#REF!,D402)</f>
        <v>#REF!</v>
      </c>
    </row>
    <row r="403" spans="1:10" ht="12.5" x14ac:dyDescent="0.25">
      <c r="A403" s="2" t="str">
        <f ca="1">IFERROR(__xludf.DUMMYFUNCTION("""COMPUTED_VALUE"""),"KP/001413")</f>
        <v>KP/001413</v>
      </c>
      <c r="B403" s="2" t="str">
        <f ca="1">IFERROR(__xludf.DUMMYFUNCTION("""COMPUTED_VALUE"""),"Verkeersveiligheid")</f>
        <v>Verkeersveiligheid</v>
      </c>
      <c r="C403" s="2" t="str">
        <f ca="1">IFERROR(__xludf.DUMMYFUNCTION("""COMPUTED_VALUE"""),"Schoolroute")</f>
        <v>Schoolroute</v>
      </c>
      <c r="D403" s="2" t="str">
        <f ca="1">IFERROR(__xludf.DUMMYFUNCTION("""COMPUTED_VALUE"""),"IN/001104")</f>
        <v>IN/001104</v>
      </c>
      <c r="E403" s="2" t="str">
        <f ca="1">IFERROR(__xludf.DUMMYFUNCTION("UNIQUE(FILTER('export kabinetdashboard 1210202'!N:P,'export kabinetdashboard 1210202'!M:M=D403))"),"rode slem plaatsen op dwarsingen")</f>
        <v>rode slem plaatsen op dwarsingen</v>
      </c>
      <c r="F403" s="2" t="str">
        <f ca="1">IFERROR(__xludf.DUMMYFUNCTION("""COMPUTED_VALUE"""),"2022 - Q3")</f>
        <v>2022 - Q3</v>
      </c>
      <c r="G403" s="2" t="str">
        <f ca="1">IFERROR(__xludf.DUMMYFUNCTION("""COMPUTED_VALUE"""),"2022 - Q3")</f>
        <v>2022 - Q3</v>
      </c>
      <c r="H403" s="2">
        <f ca="1">SUMIFS('bedragen KIM (budgettering &amp; pl'!S:S,'bedragen KIM (budgettering &amp; pl'!B:B,A403,'bedragen KIM (budgettering &amp; pl'!F:F,D403)</f>
        <v>15000</v>
      </c>
      <c r="I403" s="2" t="e">
        <f ca="1">SUMIFS(#REF!,#REF!,A403,#REF!,D403)</f>
        <v>#REF!</v>
      </c>
      <c r="J403" s="2" t="e">
        <f ca="1">SUMIFS(#REF!,#REF!,A403,#REF!,D403)</f>
        <v>#REF!</v>
      </c>
    </row>
    <row r="404" spans="1:10" ht="12.5" x14ac:dyDescent="0.25">
      <c r="A404" s="2" t="str">
        <f ca="1">IFERROR(__xludf.DUMMYFUNCTION("""COMPUTED_VALUE"""),"KP/001414")</f>
        <v>KP/001414</v>
      </c>
      <c r="B404" s="2" t="str">
        <f ca="1">IFERROR(__xludf.DUMMYFUNCTION("""COMPUTED_VALUE"""),"Verkeersveiligheid")</f>
        <v>Verkeersveiligheid</v>
      </c>
      <c r="C404" s="2" t="str">
        <f ca="1">IFERROR(__xludf.DUMMYFUNCTION("""COMPUTED_VALUE"""),"Schoolroute")</f>
        <v>Schoolroute</v>
      </c>
      <c r="D404" s="2" t="str">
        <f ca="1">IFERROR(__xludf.DUMMYFUNCTION("""COMPUTED_VALUE"""),"IN/001105")</f>
        <v>IN/001105</v>
      </c>
      <c r="E404" s="2" t="str">
        <f ca="1">IFERROR(__xludf.DUMMYFUNCTION("UNIQUE(FILTER('export kabinetdashboard 1210202'!N:P,'export kabinetdashboard 1210202'!M:M=D404))"),"")</f>
        <v/>
      </c>
      <c r="F404" s="2" t="str">
        <f ca="1">IFERROR(__xludf.DUMMYFUNCTION("""COMPUTED_VALUE"""),"2022 - Q4")</f>
        <v>2022 - Q4</v>
      </c>
      <c r="G404" s="2" t="str">
        <f ca="1">IFERROR(__xludf.DUMMYFUNCTION("""COMPUTED_VALUE"""),"n.t.b.")</f>
        <v>n.t.b.</v>
      </c>
      <c r="H404" s="2">
        <f ca="1">SUMIFS('bedragen KIM (budgettering &amp; pl'!S:S,'bedragen KIM (budgettering &amp; pl'!B:B,A404,'bedragen KIM (budgettering &amp; pl'!F:F,D404)</f>
        <v>150000</v>
      </c>
      <c r="I404" s="2" t="e">
        <f ca="1">SUMIFS(#REF!,#REF!,A404,#REF!,D404)</f>
        <v>#REF!</v>
      </c>
      <c r="J404" s="2" t="e">
        <f ca="1">SUMIFS(#REF!,#REF!,A404,#REF!,D404)</f>
        <v>#REF!</v>
      </c>
    </row>
    <row r="405" spans="1:10" ht="12.5" x14ac:dyDescent="0.25">
      <c r="A405" s="2" t="str">
        <f ca="1">IFERROR(__xludf.DUMMYFUNCTION("""COMPUTED_VALUE"""),"KP/001419")</f>
        <v>KP/001419</v>
      </c>
      <c r="B405" s="2" t="str">
        <f ca="1">IFERROR(__xludf.DUMMYFUNCTION("""COMPUTED_VALUE"""),"Verkeersveiligheid")</f>
        <v>Verkeersveiligheid</v>
      </c>
      <c r="C405" s="2" t="str">
        <f ca="1">IFERROR(__xludf.DUMMYFUNCTION("""COMPUTED_VALUE"""),"Schoolroute")</f>
        <v>Schoolroute</v>
      </c>
      <c r="D405" s="2" t="str">
        <f ca="1">IFERROR(__xludf.DUMMYFUNCTION("""COMPUTED_VALUE"""),"IN/001106")</f>
        <v>IN/001106</v>
      </c>
      <c r="E405" s="2" t="str">
        <f ca="1">IFERROR(__xludf.DUMMYFUNCTION("UNIQUE(FILTER('export kabinetdashboard 1210202'!N:P,'export kabinetdashboard 1210202'!M:M=D405))"),"snelheidsregime van 70 verlaagd naar 50")</f>
        <v>snelheidsregime van 70 verlaagd naar 50</v>
      </c>
      <c r="F405" s="2" t="str">
        <f ca="1">IFERROR(__xludf.DUMMYFUNCTION("""COMPUTED_VALUE"""),"n.t.b.")</f>
        <v>n.t.b.</v>
      </c>
      <c r="G405" s="2" t="str">
        <f ca="1">IFERROR(__xludf.DUMMYFUNCTION("""COMPUTED_VALUE"""),"n.t.b.")</f>
        <v>n.t.b.</v>
      </c>
      <c r="H405" s="2">
        <f ca="1">SUMIFS('bedragen KIM (budgettering &amp; pl'!S:S,'bedragen KIM (budgettering &amp; pl'!B:B,A405,'bedragen KIM (budgettering &amp; pl'!F:F,D405)</f>
        <v>2000</v>
      </c>
      <c r="I405" s="2" t="e">
        <f ca="1">SUMIFS(#REF!,#REF!,A405,#REF!,D405)</f>
        <v>#REF!</v>
      </c>
      <c r="J405" s="2" t="e">
        <f ca="1">SUMIFS(#REF!,#REF!,A405,#REF!,D405)</f>
        <v>#REF!</v>
      </c>
    </row>
    <row r="406" spans="1:10" ht="12.5" x14ac:dyDescent="0.25">
      <c r="A406" s="2" t="str">
        <f ca="1">IFERROR(__xludf.DUMMYFUNCTION("""COMPUTED_VALUE"""),"KP/001420")</f>
        <v>KP/001420</v>
      </c>
      <c r="B406" s="2" t="str">
        <f ca="1">IFERROR(__xludf.DUMMYFUNCTION("""COMPUTED_VALUE"""),"Verkeersveiligheid")</f>
        <v>Verkeersveiligheid</v>
      </c>
      <c r="C406" s="2" t="str">
        <f ca="1">IFERROR(__xludf.DUMMYFUNCTION("""COMPUTED_VALUE"""),"Schoolroute")</f>
        <v>Schoolroute</v>
      </c>
      <c r="D406" s="2" t="str">
        <f ca="1">IFERROR(__xludf.DUMMYFUNCTION("""COMPUTED_VALUE"""),"IN/001107")</f>
        <v>IN/001107</v>
      </c>
      <c r="E406" s="2" t="str">
        <f ca="1">IFERROR(__xludf.DUMMYFUNCTION("UNIQUE(FILTER('export kabinetdashboard 1210202'!N:P,'export kabinetdashboard 1210202'!M:M=D406))"),"")</f>
        <v/>
      </c>
      <c r="F406" s="2" t="str">
        <f ca="1">IFERROR(__xludf.DUMMYFUNCTION("""COMPUTED_VALUE"""),"2022 - Q2")</f>
        <v>2022 - Q2</v>
      </c>
      <c r="G406" s="2" t="str">
        <f ca="1">IFERROR(__xludf.DUMMYFUNCTION("""COMPUTED_VALUE"""),"2022 - Q3")</f>
        <v>2022 - Q3</v>
      </c>
      <c r="H406" s="2">
        <f ca="1">SUMIFS('bedragen KIM (budgettering &amp; pl'!S:S,'bedragen KIM (budgettering &amp; pl'!B:B,A406,'bedragen KIM (budgettering &amp; pl'!F:F,D406)</f>
        <v>15000</v>
      </c>
      <c r="I406" s="2" t="e">
        <f ca="1">SUMIFS(#REF!,#REF!,A406,#REF!,D406)</f>
        <v>#REF!</v>
      </c>
      <c r="J406" s="2" t="e">
        <f ca="1">SUMIFS(#REF!,#REF!,A406,#REF!,D406)</f>
        <v>#REF!</v>
      </c>
    </row>
    <row r="407" spans="1:10" ht="12.5" x14ac:dyDescent="0.25">
      <c r="A407" s="2" t="str">
        <f ca="1">IFERROR(__xludf.DUMMYFUNCTION("""COMPUTED_VALUE"""),"KP/001421")</f>
        <v>KP/001421</v>
      </c>
      <c r="B407" s="2" t="str">
        <f ca="1">IFERROR(__xludf.DUMMYFUNCTION("""COMPUTED_VALUE"""),"Verkeersveiligheid")</f>
        <v>Verkeersveiligheid</v>
      </c>
      <c r="C407" s="2" t="str">
        <f ca="1">IFERROR(__xludf.DUMMYFUNCTION("""COMPUTED_VALUE"""),"Schoolroute")</f>
        <v>Schoolroute</v>
      </c>
      <c r="D407" s="2" t="str">
        <f ca="1">IFERROR(__xludf.DUMMYFUNCTION("""COMPUTED_VALUE"""),"IN/001108")</f>
        <v>IN/001108</v>
      </c>
      <c r="E407" s="2" t="str">
        <f ca="1">IFERROR(__xludf.DUMMYFUNCTION("UNIQUE(FILTER('export kabinetdashboard 1210202'!N:P,'export kabinetdashboard 1210202'!M:M=D407))"),"")</f>
        <v/>
      </c>
      <c r="F407" s="2" t="str">
        <f ca="1">IFERROR(__xludf.DUMMYFUNCTION("""COMPUTED_VALUE"""),"2023 - Q4")</f>
        <v>2023 - Q4</v>
      </c>
      <c r="G407" s="2" t="str">
        <f ca="1">IFERROR(__xludf.DUMMYFUNCTION("""COMPUTED_VALUE"""),"n.t.b.")</f>
        <v>n.t.b.</v>
      </c>
      <c r="H407" s="2">
        <f ca="1">SUMIFS('bedragen KIM (budgettering &amp; pl'!S:S,'bedragen KIM (budgettering &amp; pl'!B:B,A407,'bedragen KIM (budgettering &amp; pl'!F:F,D407)</f>
        <v>30000</v>
      </c>
      <c r="I407" s="2" t="e">
        <f ca="1">SUMIFS(#REF!,#REF!,A407,#REF!,D407)</f>
        <v>#REF!</v>
      </c>
      <c r="J407" s="2" t="e">
        <f ca="1">SUMIFS(#REF!,#REF!,A407,#REF!,D407)</f>
        <v>#REF!</v>
      </c>
    </row>
    <row r="408" spans="1:10" ht="12.5" x14ac:dyDescent="0.25">
      <c r="A408" s="2" t="str">
        <f ca="1">IFERROR(__xludf.DUMMYFUNCTION("""COMPUTED_VALUE"""),"KP/001422")</f>
        <v>KP/001422</v>
      </c>
      <c r="B408" s="2" t="str">
        <f ca="1">IFERROR(__xludf.DUMMYFUNCTION("""COMPUTED_VALUE"""),"Verkeersveiligheid")</f>
        <v>Verkeersveiligheid</v>
      </c>
      <c r="C408" s="2" t="str">
        <f ca="1">IFERROR(__xludf.DUMMYFUNCTION("""COMPUTED_VALUE"""),"Schoolroute")</f>
        <v>Schoolroute</v>
      </c>
      <c r="D408" s="2" t="str">
        <f ca="1">IFERROR(__xludf.DUMMYFUNCTION("""COMPUTED_VALUE"""),"IN/001109")</f>
        <v>IN/001109</v>
      </c>
      <c r="E408" s="2" t="str">
        <f ca="1">IFERROR(__xludf.DUMMYFUNCTION("UNIQUE(FILTER('export kabinetdashboard 1210202'!N:P,'export kabinetdashboard 1210202'!M:M=D408))"),"")</f>
        <v/>
      </c>
      <c r="F408" s="2" t="str">
        <f ca="1">IFERROR(__xludf.DUMMYFUNCTION("""COMPUTED_VALUE"""),"2023 - Q1")</f>
        <v>2023 - Q1</v>
      </c>
      <c r="G408" s="2" t="str">
        <f ca="1">IFERROR(__xludf.DUMMYFUNCTION("""COMPUTED_VALUE"""),"n.t.b.")</f>
        <v>n.t.b.</v>
      </c>
      <c r="H408" s="2">
        <f ca="1">SUMIFS('bedragen KIM (budgettering &amp; pl'!S:S,'bedragen KIM (budgettering &amp; pl'!B:B,A408,'bedragen KIM (budgettering &amp; pl'!F:F,D408)</f>
        <v>30000</v>
      </c>
      <c r="I408" s="2" t="e">
        <f ca="1">SUMIFS(#REF!,#REF!,A408,#REF!,D408)</f>
        <v>#REF!</v>
      </c>
      <c r="J408" s="2" t="e">
        <f ca="1">SUMIFS(#REF!,#REF!,A408,#REF!,D408)</f>
        <v>#REF!</v>
      </c>
    </row>
    <row r="409" spans="1:10" ht="12.5" x14ac:dyDescent="0.25">
      <c r="A409" s="2" t="str">
        <f ca="1">IFERROR(__xludf.DUMMYFUNCTION("""COMPUTED_VALUE"""),"KP/001423")</f>
        <v>KP/001423</v>
      </c>
      <c r="B409" s="2" t="str">
        <f ca="1">IFERROR(__xludf.DUMMYFUNCTION("""COMPUTED_VALUE"""),"Verkeersveiligheid")</f>
        <v>Verkeersveiligheid</v>
      </c>
      <c r="C409" s="2" t="str">
        <f ca="1">IFERROR(__xludf.DUMMYFUNCTION("""COMPUTED_VALUE"""),"Schoolroute")</f>
        <v>Schoolroute</v>
      </c>
      <c r="D409" s="2" t="str">
        <f ca="1">IFERROR(__xludf.DUMMYFUNCTION("""COMPUTED_VALUE"""),"IN/001110")</f>
        <v>IN/001110</v>
      </c>
      <c r="E409" s="2" t="str">
        <f ca="1">IFERROR(__xludf.DUMMYFUNCTION("UNIQUE(FILTER('export kabinetdashboard 1210202'!N:P,'export kabinetdashboard 1210202'!M:M=D409))"),"wordt uitgevoerd Q4-2021")</f>
        <v>wordt uitgevoerd Q4-2021</v>
      </c>
      <c r="F409" s="2" t="str">
        <f ca="1">IFERROR(__xludf.DUMMYFUNCTION("""COMPUTED_VALUE"""),"2021 - Q4")</f>
        <v>2021 - Q4</v>
      </c>
      <c r="G409" s="2" t="str">
        <f ca="1">IFERROR(__xludf.DUMMYFUNCTION("""COMPUTED_VALUE"""),"2021 - Q4")</f>
        <v>2021 - Q4</v>
      </c>
      <c r="H409" s="2">
        <f ca="1">SUMIFS('bedragen KIM (budgettering &amp; pl'!S:S,'bedragen KIM (budgettering &amp; pl'!B:B,A409,'bedragen KIM (budgettering &amp; pl'!F:F,D409)</f>
        <v>2500</v>
      </c>
      <c r="I409" s="2" t="e">
        <f ca="1">SUMIFS(#REF!,#REF!,A409,#REF!,D409)</f>
        <v>#REF!</v>
      </c>
      <c r="J409" s="2" t="e">
        <f ca="1">SUMIFS(#REF!,#REF!,A409,#REF!,D409)</f>
        <v>#REF!</v>
      </c>
    </row>
    <row r="410" spans="1:10" ht="12.5" x14ac:dyDescent="0.25">
      <c r="A410" s="2" t="str">
        <f ca="1">IFERROR(__xludf.DUMMYFUNCTION("""COMPUTED_VALUE"""),"KP/001424")</f>
        <v>KP/001424</v>
      </c>
      <c r="B410" s="2" t="str">
        <f ca="1">IFERROR(__xludf.DUMMYFUNCTION("""COMPUTED_VALUE"""),"Verkeersveiligheid")</f>
        <v>Verkeersveiligheid</v>
      </c>
      <c r="C410" s="2" t="str">
        <f ca="1">IFERROR(__xludf.DUMMYFUNCTION("""COMPUTED_VALUE"""),"Schoolroute")</f>
        <v>Schoolroute</v>
      </c>
      <c r="D410" s="2" t="str">
        <f ca="1">IFERROR(__xludf.DUMMYFUNCTION("""COMPUTED_VALUE"""),"IN/001111")</f>
        <v>IN/001111</v>
      </c>
      <c r="E410" s="2" t="str">
        <f ca="1">IFERROR(__xludf.DUMMYFUNCTION("UNIQUE(FILTER('export kabinetdashboard 1210202'!N:P,'export kabinetdashboard 1210202'!M:M=D410))"),"uitvoering voorstel Sweco")</f>
        <v>uitvoering voorstel Sweco</v>
      </c>
      <c r="F410" s="2" t="str">
        <f ca="1">IFERROR(__xludf.DUMMYFUNCTION("""COMPUTED_VALUE"""),"2022 - Q4")</f>
        <v>2022 - Q4</v>
      </c>
      <c r="G410" s="2" t="str">
        <f ca="1">IFERROR(__xludf.DUMMYFUNCTION("""COMPUTED_VALUE"""),"n.t.b.")</f>
        <v>n.t.b.</v>
      </c>
      <c r="H410" s="2">
        <f ca="1">SUMIFS('bedragen KIM (budgettering &amp; pl'!S:S,'bedragen KIM (budgettering &amp; pl'!B:B,A410,'bedragen KIM (budgettering &amp; pl'!F:F,D410)</f>
        <v>48780</v>
      </c>
      <c r="I410" s="2" t="e">
        <f ca="1">SUMIFS(#REF!,#REF!,A410,#REF!,D410)</f>
        <v>#REF!</v>
      </c>
      <c r="J410" s="2" t="e">
        <f ca="1">SUMIFS(#REF!,#REF!,A410,#REF!,D410)</f>
        <v>#REF!</v>
      </c>
    </row>
    <row r="411" spans="1:10" ht="12.5" x14ac:dyDescent="0.25">
      <c r="A411" s="2" t="str">
        <f ca="1">IFERROR(__xludf.DUMMYFUNCTION("""COMPUTED_VALUE"""),"KP/001425")</f>
        <v>KP/001425</v>
      </c>
      <c r="B411" s="2" t="str">
        <f ca="1">IFERROR(__xludf.DUMMYFUNCTION("""COMPUTED_VALUE"""),"Verkeersveiligheid")</f>
        <v>Verkeersveiligheid</v>
      </c>
      <c r="C411" s="2" t="str">
        <f ca="1">IFERROR(__xludf.DUMMYFUNCTION("""COMPUTED_VALUE"""),"Schoolroute")</f>
        <v>Schoolroute</v>
      </c>
      <c r="D411" s="2" t="str">
        <f ca="1">IFERROR(__xludf.DUMMYFUNCTION("""COMPUTED_VALUE"""),"IN/001112")</f>
        <v>IN/001112</v>
      </c>
      <c r="E411" s="2" t="str">
        <f ca="1">IFERROR(__xludf.DUMMYFUNCTION("UNIQUE(FILTER('export kabinetdashboard 1210202'!N:P,'export kabinetdashboard 1210202'!M:M=D411))"),"")</f>
        <v/>
      </c>
      <c r="F411" s="2" t="str">
        <f ca="1">IFERROR(__xludf.DUMMYFUNCTION("""COMPUTED_VALUE"""),"n.t.b.")</f>
        <v>n.t.b.</v>
      </c>
      <c r="G411" s="2" t="str">
        <f ca="1">IFERROR(__xludf.DUMMYFUNCTION("""COMPUTED_VALUE"""),"n.t.b.")</f>
        <v>n.t.b.</v>
      </c>
      <c r="H411" s="2">
        <f ca="1">SUMIFS('bedragen KIM (budgettering &amp; pl'!S:S,'bedragen KIM (budgettering &amp; pl'!B:B,A411,'bedragen KIM (budgettering &amp; pl'!F:F,D411)</f>
        <v>0</v>
      </c>
      <c r="I411" s="2" t="e">
        <f ca="1">SUMIFS(#REF!,#REF!,A411,#REF!,D411)</f>
        <v>#REF!</v>
      </c>
      <c r="J411" s="2" t="e">
        <f ca="1">SUMIFS(#REF!,#REF!,A411,#REF!,D411)</f>
        <v>#REF!</v>
      </c>
    </row>
    <row r="412" spans="1:10" ht="12.5" x14ac:dyDescent="0.25">
      <c r="A412" s="2" t="str">
        <f ca="1">IFERROR(__xludf.DUMMYFUNCTION("""COMPUTED_VALUE"""),"KP/001426")</f>
        <v>KP/001426</v>
      </c>
      <c r="B412" s="2" t="str">
        <f ca="1">IFERROR(__xludf.DUMMYFUNCTION("""COMPUTED_VALUE"""),"Verkeersveiligheid")</f>
        <v>Verkeersveiligheid</v>
      </c>
      <c r="C412" s="2" t="str">
        <f ca="1">IFERROR(__xludf.DUMMYFUNCTION("""COMPUTED_VALUE"""),"Schoolroute")</f>
        <v>Schoolroute</v>
      </c>
      <c r="D412" s="2" t="str">
        <f ca="1">IFERROR(__xludf.DUMMYFUNCTION("""COMPUTED_VALUE"""),"IN/001113")</f>
        <v>IN/001113</v>
      </c>
      <c r="E412" s="2" t="str">
        <f ca="1">IFERROR(__xludf.DUMMYFUNCTION("UNIQUE(FILTER('export kabinetdashboard 1210202'!N:P,'export kabinetdashboard 1210202'!M:M=D412))"),"")</f>
        <v/>
      </c>
      <c r="F412" s="2" t="str">
        <f ca="1">IFERROR(__xludf.DUMMYFUNCTION("""COMPUTED_VALUE"""),"n.t.b.")</f>
        <v>n.t.b.</v>
      </c>
      <c r="G412" s="2" t="str">
        <f ca="1">IFERROR(__xludf.DUMMYFUNCTION("""COMPUTED_VALUE"""),"n.t.b.")</f>
        <v>n.t.b.</v>
      </c>
      <c r="H412" s="2">
        <f ca="1">SUMIFS('bedragen KIM (budgettering &amp; pl'!S:S,'bedragen KIM (budgettering &amp; pl'!B:B,A412,'bedragen KIM (budgettering &amp; pl'!F:F,D412)</f>
        <v>0</v>
      </c>
      <c r="I412" s="2" t="e">
        <f ca="1">SUMIFS(#REF!,#REF!,A412,#REF!,D412)</f>
        <v>#REF!</v>
      </c>
      <c r="J412" s="2" t="e">
        <f ca="1">SUMIFS(#REF!,#REF!,A412,#REF!,D412)</f>
        <v>#REF!</v>
      </c>
    </row>
    <row r="413" spans="1:10" ht="12.5" x14ac:dyDescent="0.25">
      <c r="A413" s="2" t="str">
        <f ca="1">IFERROR(__xludf.DUMMYFUNCTION("""COMPUTED_VALUE"""),"KP/001427")</f>
        <v>KP/001427</v>
      </c>
      <c r="B413" s="2" t="str">
        <f ca="1">IFERROR(__xludf.DUMMYFUNCTION("""COMPUTED_VALUE"""),"Verkeersveiligheid")</f>
        <v>Verkeersveiligheid</v>
      </c>
      <c r="C413" s="2" t="str">
        <f ca="1">IFERROR(__xludf.DUMMYFUNCTION("""COMPUTED_VALUE"""),"Schoolroute")</f>
        <v>Schoolroute</v>
      </c>
      <c r="D413" s="2" t="str">
        <f ca="1">IFERROR(__xludf.DUMMYFUNCTION("""COMPUTED_VALUE"""),"IN/001114")</f>
        <v>IN/001114</v>
      </c>
      <c r="E413" s="2" t="str">
        <f ca="1">IFERROR(__xludf.DUMMYFUNCTION("UNIQUE(FILTER('export kabinetdashboard 1210202'!N:P,'export kabinetdashboard 1210202'!M:M=D413))"),"")</f>
        <v/>
      </c>
      <c r="F413" s="2" t="str">
        <f ca="1">IFERROR(__xludf.DUMMYFUNCTION("""COMPUTED_VALUE"""),"n.t.b.")</f>
        <v>n.t.b.</v>
      </c>
      <c r="G413" s="2" t="str">
        <f ca="1">IFERROR(__xludf.DUMMYFUNCTION("""COMPUTED_VALUE"""),"n.t.b.")</f>
        <v>n.t.b.</v>
      </c>
      <c r="H413" s="2">
        <f ca="1">SUMIFS('bedragen KIM (budgettering &amp; pl'!S:S,'bedragen KIM (budgettering &amp; pl'!B:B,A413,'bedragen KIM (budgettering &amp; pl'!F:F,D413)</f>
        <v>200000</v>
      </c>
      <c r="I413" s="2" t="e">
        <f ca="1">SUMIFS(#REF!,#REF!,A413,#REF!,D413)</f>
        <v>#REF!</v>
      </c>
      <c r="J413" s="2" t="e">
        <f ca="1">SUMIFS(#REF!,#REF!,A413,#REF!,D413)</f>
        <v>#REF!</v>
      </c>
    </row>
    <row r="414" spans="1:10" ht="12.5" x14ac:dyDescent="0.25">
      <c r="A414" s="2" t="str">
        <f ca="1">IFERROR(__xludf.DUMMYFUNCTION("""COMPUTED_VALUE"""),"KP/001428")</f>
        <v>KP/001428</v>
      </c>
      <c r="B414" s="2" t="str">
        <f ca="1">IFERROR(__xludf.DUMMYFUNCTION("""COMPUTED_VALUE"""),"Verkeersveiligheid")</f>
        <v>Verkeersveiligheid</v>
      </c>
      <c r="C414" s="2" t="str">
        <f ca="1">IFERROR(__xludf.DUMMYFUNCTION("""COMPUTED_VALUE"""),"Schoolroute")</f>
        <v>Schoolroute</v>
      </c>
      <c r="D414" s="2" t="str">
        <f ca="1">IFERROR(__xludf.DUMMYFUNCTION("""COMPUTED_VALUE"""),"IN/001115")</f>
        <v>IN/001115</v>
      </c>
      <c r="E414" s="2" t="str">
        <f ca="1">IFERROR(__xludf.DUMMYFUNCTION("UNIQUE(FILTER('export kabinetdashboard 1210202'!N:P,'export kabinetdashboard 1210202'!M:M=D414))"),"")</f>
        <v/>
      </c>
      <c r="F414" s="2" t="str">
        <f ca="1">IFERROR(__xludf.DUMMYFUNCTION("""COMPUTED_VALUE"""),"2022 - Q2")</f>
        <v>2022 - Q2</v>
      </c>
      <c r="G414" s="2" t="str">
        <f ca="1">IFERROR(__xludf.DUMMYFUNCTION("""COMPUTED_VALUE"""),"n.t.b.")</f>
        <v>n.t.b.</v>
      </c>
      <c r="H414" s="2">
        <f ca="1">SUMIFS('bedragen KIM (budgettering &amp; pl'!S:S,'bedragen KIM (budgettering &amp; pl'!B:B,A414,'bedragen KIM (budgettering &amp; pl'!F:F,D414)</f>
        <v>40000</v>
      </c>
      <c r="I414" s="2" t="e">
        <f ca="1">SUMIFS(#REF!,#REF!,A414,#REF!,D414)</f>
        <v>#REF!</v>
      </c>
      <c r="J414" s="2" t="e">
        <f ca="1">SUMIFS(#REF!,#REF!,A414,#REF!,D414)</f>
        <v>#REF!</v>
      </c>
    </row>
    <row r="415" spans="1:10" ht="12.5" x14ac:dyDescent="0.25">
      <c r="A415" s="2" t="str">
        <f ca="1">IFERROR(__xludf.DUMMYFUNCTION("""COMPUTED_VALUE"""),"KP/001430")</f>
        <v>KP/001430</v>
      </c>
      <c r="B415" s="2" t="str">
        <f ca="1">IFERROR(__xludf.DUMMYFUNCTION("""COMPUTED_VALUE"""),"Verkeersveiligheid")</f>
        <v>Verkeersveiligheid</v>
      </c>
      <c r="C415" s="2" t="str">
        <f ca="1">IFERROR(__xludf.DUMMYFUNCTION("""COMPUTED_VALUE"""),"Schoolroute")</f>
        <v>Schoolroute</v>
      </c>
      <c r="D415" s="2" t="str">
        <f ca="1">IFERROR(__xludf.DUMMYFUNCTION("""COMPUTED_VALUE"""),"IN/001116")</f>
        <v>IN/001116</v>
      </c>
      <c r="E415" s="2" t="str">
        <f ca="1">IFERROR(__xludf.DUMMYFUNCTION("UNIQUE(FILTER('export kabinetdashboard 1210202'!N:P,'export kabinetdashboard 1210202'!M:M=D415))"),"")</f>
        <v/>
      </c>
      <c r="F415" s="2" t="str">
        <f ca="1">IFERROR(__xludf.DUMMYFUNCTION("""COMPUTED_VALUE"""),"n.t.b.")</f>
        <v>n.t.b.</v>
      </c>
      <c r="G415" s="2" t="str">
        <f ca="1">IFERROR(__xludf.DUMMYFUNCTION("""COMPUTED_VALUE"""),"n.t.b.")</f>
        <v>n.t.b.</v>
      </c>
      <c r="H415" s="2">
        <f ca="1">SUMIFS('bedragen KIM (budgettering &amp; pl'!S:S,'bedragen KIM (budgettering &amp; pl'!B:B,A415,'bedragen KIM (budgettering &amp; pl'!F:F,D415)</f>
        <v>0</v>
      </c>
      <c r="I415" s="2" t="e">
        <f ca="1">SUMIFS(#REF!,#REF!,A415,#REF!,D415)</f>
        <v>#REF!</v>
      </c>
      <c r="J415" s="2" t="e">
        <f ca="1">SUMIFS(#REF!,#REF!,A415,#REF!,D415)</f>
        <v>#REF!</v>
      </c>
    </row>
    <row r="416" spans="1:10" ht="12.5" x14ac:dyDescent="0.25">
      <c r="A416" s="2" t="str">
        <f ca="1">IFERROR(__xludf.DUMMYFUNCTION("""COMPUTED_VALUE"""),"KP/001431")</f>
        <v>KP/001431</v>
      </c>
      <c r="B416" s="2" t="str">
        <f ca="1">IFERROR(__xludf.DUMMYFUNCTION("""COMPUTED_VALUE"""),"Verkeersveiligheid")</f>
        <v>Verkeersveiligheid</v>
      </c>
      <c r="C416" s="2" t="str">
        <f ca="1">IFERROR(__xludf.DUMMYFUNCTION("""COMPUTED_VALUE"""),"Schoolroute")</f>
        <v>Schoolroute</v>
      </c>
      <c r="D416" s="2" t="str">
        <f ca="1">IFERROR(__xludf.DUMMYFUNCTION("""COMPUTED_VALUE"""),"IN/001117")</f>
        <v>IN/001117</v>
      </c>
      <c r="E416" s="2" t="str">
        <f ca="1">IFERROR(__xludf.DUMMYFUNCTION("UNIQUE(FILTER('export kabinetdashboard 1210202'!N:P,'export kabinetdashboard 1210202'!M:M=D416))"),"Eerst op PCV
- VFOP
- fietslogoverbindingsmarkering
- uitbuigen fietspad mogelijk? (OV paal opschuiven)")</f>
        <v>Eerst op PCV
- VFOP
- fietslogoverbindingsmarkering
- uitbuigen fietspad mogelijk? (OV paal opschuiven)</v>
      </c>
      <c r="F416" s="2" t="str">
        <f ca="1">IFERROR(__xludf.DUMMYFUNCTION("""COMPUTED_VALUE"""),"n.t.b.")</f>
        <v>n.t.b.</v>
      </c>
      <c r="G416" s="2" t="str">
        <f ca="1">IFERROR(__xludf.DUMMYFUNCTION("""COMPUTED_VALUE"""),"n.t.b.")</f>
        <v>n.t.b.</v>
      </c>
      <c r="H416" s="2">
        <f ca="1">SUMIFS('bedragen KIM (budgettering &amp; pl'!S:S,'bedragen KIM (budgettering &amp; pl'!B:B,A416,'bedragen KIM (budgettering &amp; pl'!F:F,D416)</f>
        <v>0</v>
      </c>
      <c r="I416" s="2" t="e">
        <f ca="1">SUMIFS(#REF!,#REF!,A416,#REF!,D416)</f>
        <v>#REF!</v>
      </c>
      <c r="J416" s="2" t="e">
        <f ca="1">SUMIFS(#REF!,#REF!,A416,#REF!,D416)</f>
        <v>#REF!</v>
      </c>
    </row>
    <row r="417" spans="1:10" ht="12.5" x14ac:dyDescent="0.25">
      <c r="A417" s="2" t="str">
        <f ca="1">IFERROR(__xludf.DUMMYFUNCTION("""COMPUTED_VALUE"""),"KP/001435")</f>
        <v>KP/001435</v>
      </c>
      <c r="B417" s="2" t="str">
        <f ca="1">IFERROR(__xludf.DUMMYFUNCTION("""COMPUTED_VALUE"""),"Verkeersveiligheid")</f>
        <v>Verkeersveiligheid</v>
      </c>
      <c r="C417" s="2" t="str">
        <f ca="1">IFERROR(__xludf.DUMMYFUNCTION("""COMPUTED_VALUE"""),"Schoolroute")</f>
        <v>Schoolroute</v>
      </c>
      <c r="D417" s="2" t="str">
        <f ca="1">IFERROR(__xludf.DUMMYFUNCTION("""COMPUTED_VALUE"""),"IN/001118")</f>
        <v>IN/001118</v>
      </c>
      <c r="E417" s="2" t="str">
        <f ca="1">IFERROR(__xludf.DUMMYFUNCTION("UNIQUE(FILTER('export kabinetdashboard 1210202'!N:P,'export kabinetdashboard 1210202'!M:M=D417))"),"QW1 en QW3 uitvoeren in markering:
QW1: rand van de rijbaan aangeven met witte randmarkering
QW3: verwijderen van de VOP-markering t.h.v. de middenberm")</f>
        <v>QW1 en QW3 uitvoeren in markering:
QW1: rand van de rijbaan aangeven met witte randmarkering
QW3: verwijderen van de VOP-markering t.h.v. de middenberm</v>
      </c>
      <c r="F417" s="2" t="str">
        <f ca="1">IFERROR(__xludf.DUMMYFUNCTION("""COMPUTED_VALUE"""),"2022 - Q3")</f>
        <v>2022 - Q3</v>
      </c>
      <c r="G417" s="2" t="str">
        <f ca="1">IFERROR(__xludf.DUMMYFUNCTION("""COMPUTED_VALUE"""),"n.t.b.")</f>
        <v>n.t.b.</v>
      </c>
      <c r="H417" s="2">
        <f ca="1">SUMIFS('bedragen KIM (budgettering &amp; pl'!S:S,'bedragen KIM (budgettering &amp; pl'!B:B,A417,'bedragen KIM (budgettering &amp; pl'!F:F,D417)</f>
        <v>5880</v>
      </c>
      <c r="I417" s="2" t="e">
        <f ca="1">SUMIFS(#REF!,#REF!,A417,#REF!,D417)</f>
        <v>#REF!</v>
      </c>
      <c r="J417" s="2" t="e">
        <f ca="1">SUMIFS(#REF!,#REF!,A417,#REF!,D417)</f>
        <v>#REF!</v>
      </c>
    </row>
    <row r="418" spans="1:10" ht="12.5" x14ac:dyDescent="0.25">
      <c r="A418" s="2" t="str">
        <f ca="1">IFERROR(__xludf.DUMMYFUNCTION("""COMPUTED_VALUE"""),"KP/001436")</f>
        <v>KP/001436</v>
      </c>
      <c r="B418" s="2" t="str">
        <f ca="1">IFERROR(__xludf.DUMMYFUNCTION("""COMPUTED_VALUE"""),"Verkeersveiligheid")</f>
        <v>Verkeersveiligheid</v>
      </c>
      <c r="C418" s="2" t="str">
        <f ca="1">IFERROR(__xludf.DUMMYFUNCTION("""COMPUTED_VALUE"""),"Schoolroute")</f>
        <v>Schoolroute</v>
      </c>
      <c r="D418" s="2" t="str">
        <f ca="1">IFERROR(__xludf.DUMMYFUNCTION("""COMPUTED_VALUE"""),"IN/001119")</f>
        <v>IN/001119</v>
      </c>
      <c r="E418" s="2" t="str">
        <f ca="1">IFERROR(__xludf.DUMMYFUNCTION("UNIQUE(FILTER('export kabinetdashboard 1210202'!N:P,'export kabinetdashboard 1210202'!M:M=D418))"),"TC2021_322")</f>
        <v>TC2021_322</v>
      </c>
      <c r="F418" s="2" t="str">
        <f ca="1">IFERROR(__xludf.DUMMYFUNCTION("""COMPUTED_VALUE"""),"2022 - Q4")</f>
        <v>2022 - Q4</v>
      </c>
      <c r="G418" s="2" t="str">
        <f ca="1">IFERROR(__xludf.DUMMYFUNCTION("""COMPUTED_VALUE"""),"n.t.b.")</f>
        <v>n.t.b.</v>
      </c>
      <c r="H418" s="2">
        <f ca="1">SUMIFS('bedragen KIM (budgettering &amp; pl'!S:S,'bedragen KIM (budgettering &amp; pl'!B:B,A418,'bedragen KIM (budgettering &amp; pl'!F:F,D418)</f>
        <v>165000</v>
      </c>
      <c r="I418" s="2" t="e">
        <f ca="1">SUMIFS(#REF!,#REF!,A418,#REF!,D418)</f>
        <v>#REF!</v>
      </c>
      <c r="J418" s="2" t="e">
        <f ca="1">SUMIFS(#REF!,#REF!,A418,#REF!,D418)</f>
        <v>#REF!</v>
      </c>
    </row>
    <row r="419" spans="1:10" ht="12.5" x14ac:dyDescent="0.25">
      <c r="A419" s="2" t="str">
        <f ca="1">IFERROR(__xludf.DUMMYFUNCTION("""COMPUTED_VALUE"""),"KP/001437")</f>
        <v>KP/001437</v>
      </c>
      <c r="B419" s="2" t="str">
        <f ca="1">IFERROR(__xludf.DUMMYFUNCTION("""COMPUTED_VALUE"""),"Verkeersveiligheid")</f>
        <v>Verkeersveiligheid</v>
      </c>
      <c r="C419" s="2" t="str">
        <f ca="1">IFERROR(__xludf.DUMMYFUNCTION("""COMPUTED_VALUE"""),"Schoolroute")</f>
        <v>Schoolroute</v>
      </c>
      <c r="D419" s="2" t="str">
        <f ca="1">IFERROR(__xludf.DUMMYFUNCTION("""COMPUTED_VALUE"""),"IN/001120")</f>
        <v>IN/001120</v>
      </c>
      <c r="E419" s="2" t="str">
        <f ca="1">IFERROR(__xludf.DUMMYFUNCTION("UNIQUE(FILTER('export kabinetdashboard 1210202'!N:P,'export kabinetdashboard 1210202'!M:M=D419))"),"#N/A")</f>
        <v>#N/A</v>
      </c>
      <c r="H419" s="2">
        <f ca="1">SUMIFS('bedragen KIM (budgettering &amp; pl'!S:S,'bedragen KIM (budgettering &amp; pl'!B:B,A419,'bedragen KIM (budgettering &amp; pl'!F:F,D419)</f>
        <v>50000</v>
      </c>
      <c r="I419" s="2" t="e">
        <f ca="1">SUMIFS(#REF!,#REF!,A419,#REF!,D419)</f>
        <v>#REF!</v>
      </c>
      <c r="J419" s="2" t="e">
        <f ca="1">SUMIFS(#REF!,#REF!,A419,#REF!,D419)</f>
        <v>#REF!</v>
      </c>
    </row>
    <row r="420" spans="1:10" ht="12.5" x14ac:dyDescent="0.25">
      <c r="A420" s="2" t="str">
        <f ca="1">IFERROR(__xludf.DUMMYFUNCTION("""COMPUTED_VALUE"""),"KP/001438")</f>
        <v>KP/001438</v>
      </c>
      <c r="B420" s="2" t="str">
        <f ca="1">IFERROR(__xludf.DUMMYFUNCTION("""COMPUTED_VALUE"""),"Verkeersveiligheid")</f>
        <v>Verkeersveiligheid</v>
      </c>
      <c r="C420" s="2" t="str">
        <f ca="1">IFERROR(__xludf.DUMMYFUNCTION("""COMPUTED_VALUE"""),"Schoolroute")</f>
        <v>Schoolroute</v>
      </c>
      <c r="D420" s="2" t="str">
        <f ca="1">IFERROR(__xludf.DUMMYFUNCTION("""COMPUTED_VALUE"""),"IN/001121")</f>
        <v>IN/001121</v>
      </c>
      <c r="E420" s="2" t="str">
        <f ca="1">IFERROR(__xludf.DUMMYFUNCTION("UNIQUE(FILTER('export kabinetdashboard 1210202'!N:P,'export kabinetdashboard 1210202'!M:M=D420))"),"")</f>
        <v/>
      </c>
      <c r="F420" s="2" t="str">
        <f ca="1">IFERROR(__xludf.DUMMYFUNCTION("""COMPUTED_VALUE"""),"2022 - Q4")</f>
        <v>2022 - Q4</v>
      </c>
      <c r="G420" s="2" t="str">
        <f ca="1">IFERROR(__xludf.DUMMYFUNCTION("""COMPUTED_VALUE"""),"n.t.b.")</f>
        <v>n.t.b.</v>
      </c>
      <c r="H420" s="2">
        <f ca="1">SUMIFS('bedragen KIM (budgettering &amp; pl'!S:S,'bedragen KIM (budgettering &amp; pl'!B:B,A420,'bedragen KIM (budgettering &amp; pl'!F:F,D420)</f>
        <v>30000</v>
      </c>
      <c r="I420" s="2" t="e">
        <f ca="1">SUMIFS(#REF!,#REF!,A420,#REF!,D420)</f>
        <v>#REF!</v>
      </c>
      <c r="J420" s="2" t="e">
        <f ca="1">SUMIFS(#REF!,#REF!,A420,#REF!,D420)</f>
        <v>#REF!</v>
      </c>
    </row>
    <row r="421" spans="1:10" ht="12.5" x14ac:dyDescent="0.25">
      <c r="A421" s="2" t="str">
        <f ca="1">IFERROR(__xludf.DUMMYFUNCTION("""COMPUTED_VALUE"""),"KP/001439")</f>
        <v>KP/001439</v>
      </c>
      <c r="B421" s="2" t="str">
        <f ca="1">IFERROR(__xludf.DUMMYFUNCTION("""COMPUTED_VALUE"""),"Verkeersveiligheid")</f>
        <v>Verkeersveiligheid</v>
      </c>
      <c r="C421" s="2" t="str">
        <f ca="1">IFERROR(__xludf.DUMMYFUNCTION("""COMPUTED_VALUE"""),"Schoolroute")</f>
        <v>Schoolroute</v>
      </c>
      <c r="D421" s="2" t="str">
        <f ca="1">IFERROR(__xludf.DUMMYFUNCTION("""COMPUTED_VALUE"""),"IN/001122")</f>
        <v>IN/001122</v>
      </c>
      <c r="E421" s="2" t="str">
        <f ca="1">IFERROR(__xludf.DUMMYFUNCTION("UNIQUE(FILTER('export kabinetdashboard 1210202'!N:P,'export kabinetdashboard 1210202'!M:M=D421))"),"TC2021_338 in centraal register")</f>
        <v>TC2021_338 in centraal register</v>
      </c>
      <c r="F421" s="2" t="str">
        <f ca="1">IFERROR(__xludf.DUMMYFUNCTION("""COMPUTED_VALUE"""),"2022 - Q4")</f>
        <v>2022 - Q4</v>
      </c>
      <c r="G421" s="2" t="str">
        <f ca="1">IFERROR(__xludf.DUMMYFUNCTION("""COMPUTED_VALUE"""),"n.t.b.")</f>
        <v>n.t.b.</v>
      </c>
      <c r="H421" s="2">
        <f ca="1">SUMIFS('bedragen KIM (budgettering &amp; pl'!S:S,'bedragen KIM (budgettering &amp; pl'!B:B,A421,'bedragen KIM (budgettering &amp; pl'!F:F,D421)</f>
        <v>165000</v>
      </c>
      <c r="I421" s="2" t="e">
        <f ca="1">SUMIFS(#REF!,#REF!,A421,#REF!,D421)</f>
        <v>#REF!</v>
      </c>
      <c r="J421" s="2" t="e">
        <f ca="1">SUMIFS(#REF!,#REF!,A421,#REF!,D421)</f>
        <v>#REF!</v>
      </c>
    </row>
    <row r="422" spans="1:10" ht="12.5" x14ac:dyDescent="0.25">
      <c r="A422" s="2" t="str">
        <f ca="1">IFERROR(__xludf.DUMMYFUNCTION("""COMPUTED_VALUE"""),"KP/001440")</f>
        <v>KP/001440</v>
      </c>
      <c r="B422" s="2" t="str">
        <f ca="1">IFERROR(__xludf.DUMMYFUNCTION("""COMPUTED_VALUE"""),"Verkeersveiligheid")</f>
        <v>Verkeersveiligheid</v>
      </c>
      <c r="C422" s="2" t="str">
        <f ca="1">IFERROR(__xludf.DUMMYFUNCTION("""COMPUTED_VALUE"""),"Schoolroute")</f>
        <v>Schoolroute</v>
      </c>
      <c r="D422" s="2" t="str">
        <f ca="1">IFERROR(__xludf.DUMMYFUNCTION("""COMPUTED_VALUE"""),"IN/001123")</f>
        <v>IN/001123</v>
      </c>
      <c r="E422" s="2" t="str">
        <f ca="1">IFERROR(__xludf.DUMMYFUNCTION("UNIQUE(FILTER('export kabinetdashboard 1210202'!N:P,'export kabinetdashboard 1210202'!M:M=D422))"),"")</f>
        <v/>
      </c>
      <c r="F422" s="2" t="str">
        <f ca="1">IFERROR(__xludf.DUMMYFUNCTION("""COMPUTED_VALUE"""),"2022 - Q2")</f>
        <v>2022 - Q2</v>
      </c>
      <c r="G422" s="2" t="str">
        <f ca="1">IFERROR(__xludf.DUMMYFUNCTION("""COMPUTED_VALUE"""),"2022 - Q4")</f>
        <v>2022 - Q4</v>
      </c>
      <c r="H422" s="2">
        <f ca="1">SUMIFS('bedragen KIM (budgettering &amp; pl'!S:S,'bedragen KIM (budgettering &amp; pl'!B:B,A422,'bedragen KIM (budgettering &amp; pl'!F:F,D422)</f>
        <v>5000</v>
      </c>
      <c r="I422" s="2" t="e">
        <f ca="1">SUMIFS(#REF!,#REF!,A422,#REF!,D422)</f>
        <v>#REF!</v>
      </c>
      <c r="J422" s="2" t="e">
        <f ca="1">SUMIFS(#REF!,#REF!,A422,#REF!,D422)</f>
        <v>#REF!</v>
      </c>
    </row>
    <row r="423" spans="1:10" ht="12.5" x14ac:dyDescent="0.25">
      <c r="A423" s="2" t="str">
        <f ca="1">IFERROR(__xludf.DUMMYFUNCTION("""COMPUTED_VALUE"""),"KP/001441")</f>
        <v>KP/001441</v>
      </c>
      <c r="B423" s="2" t="str">
        <f ca="1">IFERROR(__xludf.DUMMYFUNCTION("""COMPUTED_VALUE"""),"Verkeersveiligheid")</f>
        <v>Verkeersveiligheid</v>
      </c>
      <c r="C423" s="2" t="str">
        <f ca="1">IFERROR(__xludf.DUMMYFUNCTION("""COMPUTED_VALUE"""),"Schoolroute")</f>
        <v>Schoolroute</v>
      </c>
      <c r="D423" s="2" t="str">
        <f ca="1">IFERROR(__xludf.DUMMYFUNCTION("""COMPUTED_VALUE"""),"IN/001124")</f>
        <v>IN/001124</v>
      </c>
      <c r="E423" s="2" t="str">
        <f ca="1">IFERROR(__xludf.DUMMYFUNCTION("UNIQUE(FILTER('export kabinetdashboard 1210202'!N:P,'export kabinetdashboard 1210202'!M:M=D423))"),"Nog geen aanvraag van het lokaal bestuur ontvangen voor deze trajectcontrole")</f>
        <v>Nog geen aanvraag van het lokaal bestuur ontvangen voor deze trajectcontrole</v>
      </c>
      <c r="F423" s="2" t="str">
        <f ca="1">IFERROR(__xludf.DUMMYFUNCTION("""COMPUTED_VALUE"""),"2022 - Q4")</f>
        <v>2022 - Q4</v>
      </c>
      <c r="G423" s="2" t="str">
        <f ca="1">IFERROR(__xludf.DUMMYFUNCTION("""COMPUTED_VALUE"""),"n.t.b.")</f>
        <v>n.t.b.</v>
      </c>
      <c r="H423" s="2">
        <f ca="1">SUMIFS('bedragen KIM (budgettering &amp; pl'!S:S,'bedragen KIM (budgettering &amp; pl'!B:B,A423,'bedragen KIM (budgettering &amp; pl'!F:F,D423)</f>
        <v>165000</v>
      </c>
      <c r="I423" s="2" t="e">
        <f ca="1">SUMIFS(#REF!,#REF!,A423,#REF!,D423)</f>
        <v>#REF!</v>
      </c>
      <c r="J423" s="2" t="e">
        <f ca="1">SUMIFS(#REF!,#REF!,A423,#REF!,D423)</f>
        <v>#REF!</v>
      </c>
    </row>
    <row r="424" spans="1:10" ht="12.5" x14ac:dyDescent="0.25">
      <c r="A424" s="2" t="str">
        <f ca="1">IFERROR(__xludf.DUMMYFUNCTION("""COMPUTED_VALUE"""),"KP/001442")</f>
        <v>KP/001442</v>
      </c>
      <c r="B424" s="2" t="str">
        <f ca="1">IFERROR(__xludf.DUMMYFUNCTION("""COMPUTED_VALUE"""),"Verkeersveiligheid")</f>
        <v>Verkeersveiligheid</v>
      </c>
      <c r="C424" s="2" t="str">
        <f ca="1">IFERROR(__xludf.DUMMYFUNCTION("""COMPUTED_VALUE"""),"Schoolroute")</f>
        <v>Schoolroute</v>
      </c>
      <c r="D424" s="2" t="str">
        <f ca="1">IFERROR(__xludf.DUMMYFUNCTION("""COMPUTED_VALUE"""),"IN/001125")</f>
        <v>IN/001125</v>
      </c>
      <c r="E424" s="2" t="str">
        <f ca="1">IFERROR(__xludf.DUMMYFUNCTION("UNIQUE(FILTER('export kabinetdashboard 1210202'!N:P,'export kabinetdashboard 1210202'!M:M=D424))"),"SNC2021_014 aanvraag was initieel omgevormd naar TC2021_337 maar lokaal bestuur wenst expliciet een flitspaal")</f>
        <v>SNC2021_014 aanvraag was initieel omgevormd naar TC2021_337 maar lokaal bestuur wenst expliciet een flitspaal</v>
      </c>
      <c r="F424" s="2" t="str">
        <f ca="1">IFERROR(__xludf.DUMMYFUNCTION("""COMPUTED_VALUE"""),"2022 - Q3")</f>
        <v>2022 - Q3</v>
      </c>
      <c r="G424" s="2" t="str">
        <f ca="1">IFERROR(__xludf.DUMMYFUNCTION("""COMPUTED_VALUE"""),"n.t.b.")</f>
        <v>n.t.b.</v>
      </c>
      <c r="H424" s="2">
        <f ca="1">SUMIFS('bedragen KIM (budgettering &amp; pl'!S:S,'bedragen KIM (budgettering &amp; pl'!B:B,A424,'bedragen KIM (budgettering &amp; pl'!F:F,D424)</f>
        <v>80000</v>
      </c>
      <c r="I424" s="2" t="e">
        <f ca="1">SUMIFS(#REF!,#REF!,A424,#REF!,D424)</f>
        <v>#REF!</v>
      </c>
      <c r="J424" s="2" t="e">
        <f ca="1">SUMIFS(#REF!,#REF!,A424,#REF!,D424)</f>
        <v>#REF!</v>
      </c>
    </row>
    <row r="425" spans="1:10" ht="12.5" x14ac:dyDescent="0.25">
      <c r="A425" s="2" t="str">
        <f ca="1">IFERROR(__xludf.DUMMYFUNCTION("""COMPUTED_VALUE"""),"KP/001443")</f>
        <v>KP/001443</v>
      </c>
      <c r="B425" s="2" t="str">
        <f ca="1">IFERROR(__xludf.DUMMYFUNCTION("""COMPUTED_VALUE"""),"Verkeersveiligheid")</f>
        <v>Verkeersveiligheid</v>
      </c>
      <c r="C425" s="2" t="str">
        <f ca="1">IFERROR(__xludf.DUMMYFUNCTION("""COMPUTED_VALUE"""),"Schoolroute")</f>
        <v>Schoolroute</v>
      </c>
      <c r="D425" s="2" t="str">
        <f ca="1">IFERROR(__xludf.DUMMYFUNCTION("""COMPUTED_VALUE"""),"IN/001126")</f>
        <v>IN/001126</v>
      </c>
      <c r="E425" s="2" t="str">
        <f ca="1">IFERROR(__xludf.DUMMYFUNCTION("UNIQUE(FILTER('export kabinetdashboard 1210202'!N:P,'export kabinetdashboard 1210202'!M:M=D425))"),"")</f>
        <v/>
      </c>
      <c r="F425" s="2" t="str">
        <f ca="1">IFERROR(__xludf.DUMMYFUNCTION("""COMPUTED_VALUE"""),"2022 - Q2")</f>
        <v>2022 - Q2</v>
      </c>
      <c r="G425" s="2" t="str">
        <f ca="1">IFERROR(__xludf.DUMMYFUNCTION("""COMPUTED_VALUE"""),"n.t.b.")</f>
        <v>n.t.b.</v>
      </c>
      <c r="H425" s="2">
        <f ca="1">SUMIFS('bedragen KIM (budgettering &amp; pl'!S:S,'bedragen KIM (budgettering &amp; pl'!B:B,A425,'bedragen KIM (budgettering &amp; pl'!F:F,D425)</f>
        <v>32000</v>
      </c>
      <c r="I425" s="2" t="e">
        <f ca="1">SUMIFS(#REF!,#REF!,A425,#REF!,D425)</f>
        <v>#REF!</v>
      </c>
      <c r="J425" s="2" t="e">
        <f ca="1">SUMIFS(#REF!,#REF!,A425,#REF!,D425)</f>
        <v>#REF!</v>
      </c>
    </row>
    <row r="426" spans="1:10" ht="12.5" x14ac:dyDescent="0.25">
      <c r="A426" s="2" t="str">
        <f ca="1">IFERROR(__xludf.DUMMYFUNCTION("""COMPUTED_VALUE"""),"KP/001444")</f>
        <v>KP/001444</v>
      </c>
      <c r="B426" s="2" t="str">
        <f ca="1">IFERROR(__xludf.DUMMYFUNCTION("""COMPUTED_VALUE"""),"Verkeersveiligheid")</f>
        <v>Verkeersveiligheid</v>
      </c>
      <c r="C426" s="2" t="str">
        <f ca="1">IFERROR(__xludf.DUMMYFUNCTION("""COMPUTED_VALUE"""),"Schoolroute")</f>
        <v>Schoolroute</v>
      </c>
      <c r="D426" s="2" t="str">
        <f ca="1">IFERROR(__xludf.DUMMYFUNCTION("""COMPUTED_VALUE"""),"IN/001127")</f>
        <v>IN/001127</v>
      </c>
      <c r="E426" s="2" t="str">
        <f ca="1">IFERROR(__xludf.DUMMYFUNCTION("UNIQUE(FILTER('export kabinetdashboard 1210202'!N:P,'export kabinetdashboard 1210202'!M:M=D426))"),"")</f>
        <v/>
      </c>
      <c r="F426" s="2" t="str">
        <f ca="1">IFERROR(__xludf.DUMMYFUNCTION("""COMPUTED_VALUE"""),"2022 - Q2")</f>
        <v>2022 - Q2</v>
      </c>
      <c r="G426" s="2" t="str">
        <f ca="1">IFERROR(__xludf.DUMMYFUNCTION("""COMPUTED_VALUE"""),"2022 - Q3")</f>
        <v>2022 - Q3</v>
      </c>
      <c r="H426" s="2">
        <f ca="1">SUMIFS('bedragen KIM (budgettering &amp; pl'!S:S,'bedragen KIM (budgettering &amp; pl'!B:B,A426,'bedragen KIM (budgettering &amp; pl'!F:F,D426)</f>
        <v>5000</v>
      </c>
      <c r="I426" s="2" t="e">
        <f ca="1">SUMIFS(#REF!,#REF!,A426,#REF!,D426)</f>
        <v>#REF!</v>
      </c>
      <c r="J426" s="2" t="e">
        <f ca="1">SUMIFS(#REF!,#REF!,A426,#REF!,D426)</f>
        <v>#REF!</v>
      </c>
    </row>
    <row r="427" spans="1:10" ht="12.5" x14ac:dyDescent="0.25">
      <c r="A427" s="2" t="str">
        <f ca="1">IFERROR(__xludf.DUMMYFUNCTION("""COMPUTED_VALUE"""),"KP/001445")</f>
        <v>KP/001445</v>
      </c>
      <c r="B427" s="2" t="str">
        <f ca="1">IFERROR(__xludf.DUMMYFUNCTION("""COMPUTED_VALUE"""),"Verkeersveiligheid")</f>
        <v>Verkeersveiligheid</v>
      </c>
      <c r="C427" s="2" t="str">
        <f ca="1">IFERROR(__xludf.DUMMYFUNCTION("""COMPUTED_VALUE"""),"Schoolroute")</f>
        <v>Schoolroute</v>
      </c>
      <c r="D427" s="2" t="str">
        <f ca="1">IFERROR(__xludf.DUMMYFUNCTION("""COMPUTED_VALUE"""),"IN/001128")</f>
        <v>IN/001128</v>
      </c>
      <c r="E427" s="2" t="str">
        <f ca="1">IFERROR(__xludf.DUMMYFUNCTION("UNIQUE(FILTER('export kabinetdashboard 1210202'!N:P,'export kabinetdashboard 1210202'!M:M=D427))"),"Trajectcontrole
aanvraag voor SNC2021_016 omgevormd naar TC2021_321. zie centraal register")</f>
        <v>Trajectcontrole
aanvraag voor SNC2021_016 omgevormd naar TC2021_321. zie centraal register</v>
      </c>
      <c r="F427" s="2" t="str">
        <f ca="1">IFERROR(__xludf.DUMMYFUNCTION("""COMPUTED_VALUE"""),"2022 - Q4")</f>
        <v>2022 - Q4</v>
      </c>
      <c r="G427" s="2" t="str">
        <f ca="1">IFERROR(__xludf.DUMMYFUNCTION("""COMPUTED_VALUE"""),"n.t.b.")</f>
        <v>n.t.b.</v>
      </c>
      <c r="H427" s="2">
        <f ca="1">SUMIFS('bedragen KIM (budgettering &amp; pl'!S:S,'bedragen KIM (budgettering &amp; pl'!B:B,A427,'bedragen KIM (budgettering &amp; pl'!F:F,D427)</f>
        <v>165000</v>
      </c>
      <c r="I427" s="2" t="e">
        <f ca="1">SUMIFS(#REF!,#REF!,A427,#REF!,D427)</f>
        <v>#REF!</v>
      </c>
      <c r="J427" s="2" t="e">
        <f ca="1">SUMIFS(#REF!,#REF!,A427,#REF!,D427)</f>
        <v>#REF!</v>
      </c>
    </row>
    <row r="428" spans="1:10" ht="12.5" x14ac:dyDescent="0.25">
      <c r="A428" s="2" t="str">
        <f ca="1">IFERROR(__xludf.DUMMYFUNCTION("""COMPUTED_VALUE"""),"KP/001446")</f>
        <v>KP/001446</v>
      </c>
      <c r="B428" s="2" t="str">
        <f ca="1">IFERROR(__xludf.DUMMYFUNCTION("""COMPUTED_VALUE"""),"Verkeersveiligheid")</f>
        <v>Verkeersveiligheid</v>
      </c>
      <c r="C428" s="2" t="str">
        <f ca="1">IFERROR(__xludf.DUMMYFUNCTION("""COMPUTED_VALUE"""),"Schoolroute")</f>
        <v>Schoolroute</v>
      </c>
      <c r="D428" s="2" t="str">
        <f ca="1">IFERROR(__xludf.DUMMYFUNCTION("""COMPUTED_VALUE"""),"IN/001129")</f>
        <v>IN/001129</v>
      </c>
      <c r="E428" s="2" t="str">
        <f ca="1">IFERROR(__xludf.DUMMYFUNCTION("UNIQUE(FILTER('export kabinetdashboard 1210202'!N:P,'export kabinetdashboard 1210202'!M:M=D428))"),"")</f>
        <v/>
      </c>
      <c r="F428" s="2" t="str">
        <f ca="1">IFERROR(__xludf.DUMMYFUNCTION("""COMPUTED_VALUE"""),"2022 - Q4")</f>
        <v>2022 - Q4</v>
      </c>
      <c r="G428" s="2" t="str">
        <f ca="1">IFERROR(__xludf.DUMMYFUNCTION("""COMPUTED_VALUE"""),"n.t.b.")</f>
        <v>n.t.b.</v>
      </c>
      <c r="H428" s="2">
        <f ca="1">SUMIFS('bedragen KIM (budgettering &amp; pl'!S:S,'bedragen KIM (budgettering &amp; pl'!B:B,A428,'bedragen KIM (budgettering &amp; pl'!F:F,D428)</f>
        <v>30000</v>
      </c>
      <c r="I428" s="2" t="e">
        <f ca="1">SUMIFS(#REF!,#REF!,A428,#REF!,D428)</f>
        <v>#REF!</v>
      </c>
      <c r="J428" s="2" t="e">
        <f ca="1">SUMIFS(#REF!,#REF!,A428,#REF!,D428)</f>
        <v>#REF!</v>
      </c>
    </row>
    <row r="429" spans="1:10" ht="12.5" x14ac:dyDescent="0.25">
      <c r="A429" s="2" t="str">
        <f ca="1">IFERROR(__xludf.DUMMYFUNCTION("""COMPUTED_VALUE"""),"KP/001447")</f>
        <v>KP/001447</v>
      </c>
      <c r="B429" s="2" t="str">
        <f ca="1">IFERROR(__xludf.DUMMYFUNCTION("""COMPUTED_VALUE"""),"Verkeersveiligheid")</f>
        <v>Verkeersveiligheid</v>
      </c>
      <c r="C429" s="2" t="str">
        <f ca="1">IFERROR(__xludf.DUMMYFUNCTION("""COMPUTED_VALUE"""),"Schoolroute")</f>
        <v>Schoolroute</v>
      </c>
      <c r="D429" s="2" t="str">
        <f ca="1">IFERROR(__xludf.DUMMYFUNCTION("""COMPUTED_VALUE"""),"IN/001130")</f>
        <v>IN/001130</v>
      </c>
      <c r="E429" s="2" t="str">
        <f ca="1">IFERROR(__xludf.DUMMYFUNCTION("UNIQUE(FILTER('export kabinetdashboard 1210202'!N:P,'export kabinetdashboard 1210202'!M:M=D429))"),"")</f>
        <v/>
      </c>
      <c r="F429" s="2" t="str">
        <f ca="1">IFERROR(__xludf.DUMMYFUNCTION("""COMPUTED_VALUE"""),"2022 - Q4")</f>
        <v>2022 - Q4</v>
      </c>
      <c r="G429" s="2" t="str">
        <f ca="1">IFERROR(__xludf.DUMMYFUNCTION("""COMPUTED_VALUE"""),"2022 - Q3")</f>
        <v>2022 - Q3</v>
      </c>
      <c r="H429" s="2">
        <f ca="1">SUMIFS('bedragen KIM (budgettering &amp; pl'!S:S,'bedragen KIM (budgettering &amp; pl'!B:B,A429,'bedragen KIM (budgettering &amp; pl'!F:F,D429)</f>
        <v>45000</v>
      </c>
      <c r="I429" s="2" t="e">
        <f ca="1">SUMIFS(#REF!,#REF!,A429,#REF!,D429)</f>
        <v>#REF!</v>
      </c>
      <c r="J429" s="2" t="e">
        <f ca="1">SUMIFS(#REF!,#REF!,A429,#REF!,D429)</f>
        <v>#REF!</v>
      </c>
    </row>
    <row r="430" spans="1:10" ht="12.5" x14ac:dyDescent="0.25">
      <c r="A430" s="2" t="str">
        <f ca="1">IFERROR(__xludf.DUMMYFUNCTION("""COMPUTED_VALUE"""),"KP/001450")</f>
        <v>KP/001450</v>
      </c>
      <c r="B430" s="2" t="str">
        <f ca="1">IFERROR(__xludf.DUMMYFUNCTION("""COMPUTED_VALUE"""),"Verkeersveiligheid")</f>
        <v>Verkeersveiligheid</v>
      </c>
      <c r="C430" s="2" t="str">
        <f ca="1">IFERROR(__xludf.DUMMYFUNCTION("""COMPUTED_VALUE"""),"Schoolroute")</f>
        <v>Schoolroute</v>
      </c>
      <c r="D430" s="2" t="str">
        <f ca="1">IFERROR(__xludf.DUMMYFUNCTION("""COMPUTED_VALUE"""),"IN/001131")</f>
        <v>IN/001131</v>
      </c>
      <c r="E430" s="2" t="str">
        <f ca="1">IFERROR(__xludf.DUMMYFUNCTION("UNIQUE(FILTER('export kabinetdashboard 1210202'!N:P,'export kabinetdashboard 1210202'!M:M=D430))"),"- dynamische zone 30 
")</f>
        <v xml:space="preserve">- dynamische zone 30 
</v>
      </c>
      <c r="F430" s="2" t="str">
        <f ca="1">IFERROR(__xludf.DUMMYFUNCTION("""COMPUTED_VALUE"""),"2021 - Q4")</f>
        <v>2021 - Q4</v>
      </c>
      <c r="G430" s="2" t="str">
        <f ca="1">IFERROR(__xludf.DUMMYFUNCTION("""COMPUTED_VALUE"""),"2021 - Q4")</f>
        <v>2021 - Q4</v>
      </c>
      <c r="H430" s="2">
        <f ca="1">SUMIFS('bedragen KIM (budgettering &amp; pl'!S:S,'bedragen KIM (budgettering &amp; pl'!B:B,A430,'bedragen KIM (budgettering &amp; pl'!F:F,D430)</f>
        <v>18000</v>
      </c>
      <c r="I430" s="2" t="e">
        <f ca="1">SUMIFS(#REF!,#REF!,A430,#REF!,D430)</f>
        <v>#REF!</v>
      </c>
      <c r="J430" s="2" t="e">
        <f ca="1">SUMIFS(#REF!,#REF!,A430,#REF!,D430)</f>
        <v>#REF!</v>
      </c>
    </row>
    <row r="431" spans="1:10" ht="12.5" x14ac:dyDescent="0.25">
      <c r="A431" s="2" t="str">
        <f ca="1">IFERROR(__xludf.DUMMYFUNCTION("""COMPUTED_VALUE"""),"KP/001451")</f>
        <v>KP/001451</v>
      </c>
      <c r="B431" s="2" t="str">
        <f ca="1">IFERROR(__xludf.DUMMYFUNCTION("""COMPUTED_VALUE"""),"Verkeersveiligheid")</f>
        <v>Verkeersveiligheid</v>
      </c>
      <c r="C431" s="2" t="str">
        <f ca="1">IFERROR(__xludf.DUMMYFUNCTION("""COMPUTED_VALUE"""),"Schoolroute")</f>
        <v>Schoolroute</v>
      </c>
      <c r="D431" s="2" t="str">
        <f ca="1">IFERROR(__xludf.DUMMYFUNCTION("""COMPUTED_VALUE"""),"IN/001132")</f>
        <v>IN/001132</v>
      </c>
      <c r="E431" s="2" t="str">
        <f ca="1">IFERROR(__xludf.DUMMYFUNCTION("UNIQUE(FILTER('export kabinetdashboard 1210202'!N:P,'export kabinetdashboard 1210202'!M:M=D431))"),"
")</f>
        <v xml:space="preserve">
</v>
      </c>
      <c r="F431" s="2" t="str">
        <f ca="1">IFERROR(__xludf.DUMMYFUNCTION("""COMPUTED_VALUE"""),"2021 - Q4")</f>
        <v>2021 - Q4</v>
      </c>
      <c r="G431" s="2" t="str">
        <f ca="1">IFERROR(__xludf.DUMMYFUNCTION("""COMPUTED_VALUE"""),"2021 - Q4")</f>
        <v>2021 - Q4</v>
      </c>
      <c r="H431" s="2">
        <f ca="1">SUMIFS('bedragen KIM (budgettering &amp; pl'!S:S,'bedragen KIM (budgettering &amp; pl'!B:B,A431,'bedragen KIM (budgettering &amp; pl'!F:F,D431)</f>
        <v>18000</v>
      </c>
      <c r="I431" s="2" t="e">
        <f ca="1">SUMIFS(#REF!,#REF!,A431,#REF!,D431)</f>
        <v>#REF!</v>
      </c>
      <c r="J431" s="2" t="e">
        <f ca="1">SUMIFS(#REF!,#REF!,A431,#REF!,D431)</f>
        <v>#REF!</v>
      </c>
    </row>
    <row r="432" spans="1:10" ht="12.5" x14ac:dyDescent="0.25">
      <c r="A432" s="2" t="str">
        <f ca="1">IFERROR(__xludf.DUMMYFUNCTION("""COMPUTED_VALUE"""),"KP/001452")</f>
        <v>KP/001452</v>
      </c>
      <c r="B432" s="2" t="str">
        <f ca="1">IFERROR(__xludf.DUMMYFUNCTION("""COMPUTED_VALUE"""),"Verkeersveiligheid")</f>
        <v>Verkeersveiligheid</v>
      </c>
      <c r="C432" s="2" t="str">
        <f ca="1">IFERROR(__xludf.DUMMYFUNCTION("""COMPUTED_VALUE"""),"Schoolroute")</f>
        <v>Schoolroute</v>
      </c>
      <c r="D432" s="2" t="str">
        <f ca="1">IFERROR(__xludf.DUMMYFUNCTION("""COMPUTED_VALUE"""),"IN/001133")</f>
        <v>IN/001133</v>
      </c>
      <c r="E432" s="2" t="str">
        <f ca="1">IFERROR(__xludf.DUMMYFUNCTION("UNIQUE(FILTER('export kabinetdashboard 1210202'!N:P,'export kabinetdashboard 1210202'!M:M=D432))"),"")</f>
        <v/>
      </c>
      <c r="F432" s="2" t="str">
        <f ca="1">IFERROR(__xludf.DUMMYFUNCTION("""COMPUTED_VALUE"""),"2021 - Q3")</f>
        <v>2021 - Q3</v>
      </c>
      <c r="G432" s="2" t="str">
        <f ca="1">IFERROR(__xludf.DUMMYFUNCTION("""COMPUTED_VALUE"""),"n.t.b.")</f>
        <v>n.t.b.</v>
      </c>
      <c r="H432" s="2">
        <f ca="1">SUMIFS('bedragen KIM (budgettering &amp; pl'!S:S,'bedragen KIM (budgettering &amp; pl'!B:B,A432,'bedragen KIM (budgettering &amp; pl'!F:F,D432)</f>
        <v>0</v>
      </c>
      <c r="I432" s="2" t="e">
        <f ca="1">SUMIFS(#REF!,#REF!,A432,#REF!,D432)</f>
        <v>#REF!</v>
      </c>
      <c r="J432" s="2" t="e">
        <f ca="1">SUMIFS(#REF!,#REF!,A432,#REF!,D432)</f>
        <v>#REF!</v>
      </c>
    </row>
    <row r="433" spans="1:10" ht="12.5" x14ac:dyDescent="0.25">
      <c r="A433" s="2" t="str">
        <f ca="1">IFERROR(__xludf.DUMMYFUNCTION("""COMPUTED_VALUE"""),"KP/001454")</f>
        <v>KP/001454</v>
      </c>
      <c r="B433" s="2" t="str">
        <f ca="1">IFERROR(__xludf.DUMMYFUNCTION("""COMPUTED_VALUE"""),"Verkeersveiligheid")</f>
        <v>Verkeersveiligheid</v>
      </c>
      <c r="C433" s="2" t="str">
        <f ca="1">IFERROR(__xludf.DUMMYFUNCTION("""COMPUTED_VALUE"""),"Schoolroute")</f>
        <v>Schoolroute</v>
      </c>
      <c r="D433" s="2" t="str">
        <f ca="1">IFERROR(__xludf.DUMMYFUNCTION("""COMPUTED_VALUE"""),"IN/001135")</f>
        <v>IN/001135</v>
      </c>
      <c r="E433" s="2" t="str">
        <f ca="1">IFERROR(__xludf.DUMMYFUNCTION("UNIQUE(FILTER('export kabinetdashboard 1210202'!N:P,'export kabinetdashboard 1210202'!M:M=D433))"),"")</f>
        <v/>
      </c>
      <c r="F433" s="2" t="str">
        <f ca="1">IFERROR(__xludf.DUMMYFUNCTION("""COMPUTED_VALUE"""),"2022 - Q4")</f>
        <v>2022 - Q4</v>
      </c>
      <c r="G433" s="2" t="str">
        <f ca="1">IFERROR(__xludf.DUMMYFUNCTION("""COMPUTED_VALUE"""),"n.t.b.")</f>
        <v>n.t.b.</v>
      </c>
      <c r="H433" s="2">
        <f ca="1">SUMIFS('bedragen KIM (budgettering &amp; pl'!S:S,'bedragen KIM (budgettering &amp; pl'!B:B,A433,'bedragen KIM (budgettering &amp; pl'!F:F,D433)</f>
        <v>140000</v>
      </c>
      <c r="I433" s="2" t="e">
        <f ca="1">SUMIFS(#REF!,#REF!,A433,#REF!,D433)</f>
        <v>#REF!</v>
      </c>
      <c r="J433" s="2" t="e">
        <f ca="1">SUMIFS(#REF!,#REF!,A433,#REF!,D433)</f>
        <v>#REF!</v>
      </c>
    </row>
    <row r="434" spans="1:10" ht="12.5" x14ac:dyDescent="0.25">
      <c r="A434" s="2" t="str">
        <f ca="1">IFERROR(__xludf.DUMMYFUNCTION("""COMPUTED_VALUE"""),"KP/001455")</f>
        <v>KP/001455</v>
      </c>
      <c r="B434" s="2" t="str">
        <f ca="1">IFERROR(__xludf.DUMMYFUNCTION("""COMPUTED_VALUE"""),"Verkeersveiligheid")</f>
        <v>Verkeersveiligheid</v>
      </c>
      <c r="C434" s="2" t="str">
        <f ca="1">IFERROR(__xludf.DUMMYFUNCTION("""COMPUTED_VALUE"""),"Schoolroute")</f>
        <v>Schoolroute</v>
      </c>
      <c r="D434" s="2" t="str">
        <f ca="1">IFERROR(__xludf.DUMMYFUNCTION("""COMPUTED_VALUE"""),"IN/001136")</f>
        <v>IN/001136</v>
      </c>
      <c r="E434" s="2" t="str">
        <f ca="1">IFERROR(__xludf.DUMMYFUNCTION("UNIQUE(FILTER('export kabinetdashboard 1210202'!N:P,'export kabinetdashboard 1210202'!M:M=D434))"),"")</f>
        <v/>
      </c>
      <c r="F434" s="2" t="str">
        <f ca="1">IFERROR(__xludf.DUMMYFUNCTION("""COMPUTED_VALUE"""),"2022 - Q4")</f>
        <v>2022 - Q4</v>
      </c>
      <c r="G434" s="2" t="str">
        <f ca="1">IFERROR(__xludf.DUMMYFUNCTION("""COMPUTED_VALUE"""),"n.t.b.")</f>
        <v>n.t.b.</v>
      </c>
      <c r="H434" s="2">
        <f ca="1">SUMIFS('bedragen KIM (budgettering &amp; pl'!S:S,'bedragen KIM (budgettering &amp; pl'!B:B,A434,'bedragen KIM (budgettering &amp; pl'!F:F,D434)</f>
        <v>260000</v>
      </c>
      <c r="I434" s="2" t="e">
        <f ca="1">SUMIFS(#REF!,#REF!,A434,#REF!,D434)</f>
        <v>#REF!</v>
      </c>
      <c r="J434" s="2" t="e">
        <f ca="1">SUMIFS(#REF!,#REF!,A434,#REF!,D434)</f>
        <v>#REF!</v>
      </c>
    </row>
    <row r="435" spans="1:10" ht="12.5" x14ac:dyDescent="0.25">
      <c r="A435" s="2" t="str">
        <f ca="1">IFERROR(__xludf.DUMMYFUNCTION("""COMPUTED_VALUE"""),"KP/001457")</f>
        <v>KP/001457</v>
      </c>
      <c r="B435" s="2" t="str">
        <f ca="1">IFERROR(__xludf.DUMMYFUNCTION("""COMPUTED_VALUE"""),"Verkeersveiligheid")</f>
        <v>Verkeersveiligheid</v>
      </c>
      <c r="C435" s="2" t="str">
        <f ca="1">IFERROR(__xludf.DUMMYFUNCTION("""COMPUTED_VALUE"""),"Schoolroute")</f>
        <v>Schoolroute</v>
      </c>
      <c r="D435" s="2" t="str">
        <f ca="1">IFERROR(__xludf.DUMMYFUNCTION("""COMPUTED_VALUE"""),"IN/001137")</f>
        <v>IN/001137</v>
      </c>
      <c r="E435" s="2" t="str">
        <f ca="1">IFERROR(__xludf.DUMMYFUNCTION("UNIQUE(FILTER('export kabinetdashboard 1210202'!N:P,'export kabinetdashboard 1210202'!M:M=D435))"),"")</f>
        <v/>
      </c>
      <c r="F435" s="2" t="str">
        <f ca="1">IFERROR(__xludf.DUMMYFUNCTION("""COMPUTED_VALUE"""),"n.t.b.")</f>
        <v>n.t.b.</v>
      </c>
      <c r="G435" s="2" t="str">
        <f ca="1">IFERROR(__xludf.DUMMYFUNCTION("""COMPUTED_VALUE"""),"n.t.b.")</f>
        <v>n.t.b.</v>
      </c>
      <c r="H435" s="2">
        <f ca="1">SUMIFS('bedragen KIM (budgettering &amp; pl'!S:S,'bedragen KIM (budgettering &amp; pl'!B:B,A435,'bedragen KIM (budgettering &amp; pl'!F:F,D435)</f>
        <v>0</v>
      </c>
      <c r="I435" s="2" t="e">
        <f ca="1">SUMIFS(#REF!,#REF!,A435,#REF!,D435)</f>
        <v>#REF!</v>
      </c>
      <c r="J435" s="2" t="e">
        <f ca="1">SUMIFS(#REF!,#REF!,A435,#REF!,D435)</f>
        <v>#REF!</v>
      </c>
    </row>
    <row r="436" spans="1:10" ht="12.5" x14ac:dyDescent="0.25">
      <c r="A436" s="2" t="str">
        <f ca="1">IFERROR(__xludf.DUMMYFUNCTION("""COMPUTED_VALUE"""),"KP/001458")</f>
        <v>KP/001458</v>
      </c>
      <c r="B436" s="2" t="str">
        <f ca="1">IFERROR(__xludf.DUMMYFUNCTION("""COMPUTED_VALUE"""),"Verkeersveiligheid")</f>
        <v>Verkeersveiligheid</v>
      </c>
      <c r="C436" s="2" t="str">
        <f ca="1">IFERROR(__xludf.DUMMYFUNCTION("""COMPUTED_VALUE"""),"Schoolroute")</f>
        <v>Schoolroute</v>
      </c>
      <c r="D436" s="2" t="str">
        <f ca="1">IFERROR(__xludf.DUMMYFUNCTION("""COMPUTED_VALUE"""),"IN/001138")</f>
        <v>IN/001138</v>
      </c>
      <c r="E436" s="2" t="str">
        <f ca="1">IFERROR(__xludf.DUMMYFUNCTION("UNIQUE(FILTER('export kabinetdashboard 1210202'!N:P,'export kabinetdashboard 1210202'!M:M=D436))"),"")</f>
        <v/>
      </c>
      <c r="F436" s="2" t="str">
        <f ca="1">IFERROR(__xludf.DUMMYFUNCTION("""COMPUTED_VALUE"""),"n.t.b.")</f>
        <v>n.t.b.</v>
      </c>
      <c r="G436" s="2" t="str">
        <f ca="1">IFERROR(__xludf.DUMMYFUNCTION("""COMPUTED_VALUE"""),"n.t.b.")</f>
        <v>n.t.b.</v>
      </c>
      <c r="H436" s="2">
        <f ca="1">SUMIFS('bedragen KIM (budgettering &amp; pl'!S:S,'bedragen KIM (budgettering &amp; pl'!B:B,A436,'bedragen KIM (budgettering &amp; pl'!F:F,D436)</f>
        <v>0</v>
      </c>
      <c r="I436" s="2" t="e">
        <f ca="1">SUMIFS(#REF!,#REF!,A436,#REF!,D436)</f>
        <v>#REF!</v>
      </c>
      <c r="J436" s="2" t="e">
        <f ca="1">SUMIFS(#REF!,#REF!,A436,#REF!,D436)</f>
        <v>#REF!</v>
      </c>
    </row>
    <row r="437" spans="1:10" ht="12.5" x14ac:dyDescent="0.25">
      <c r="A437" s="2" t="str">
        <f ca="1">IFERROR(__xludf.DUMMYFUNCTION("""COMPUTED_VALUE"""),"KP/001460")</f>
        <v>KP/001460</v>
      </c>
      <c r="B437" s="2" t="str">
        <f ca="1">IFERROR(__xludf.DUMMYFUNCTION("""COMPUTED_VALUE"""),"Verkeersveiligheid")</f>
        <v>Verkeersveiligheid</v>
      </c>
      <c r="C437" s="2" t="str">
        <f ca="1">IFERROR(__xludf.DUMMYFUNCTION("""COMPUTED_VALUE"""),"Schoolroute")</f>
        <v>Schoolroute</v>
      </c>
      <c r="D437" s="2" t="str">
        <f ca="1">IFERROR(__xludf.DUMMYFUNCTION("""COMPUTED_VALUE"""),"IN/001139")</f>
        <v>IN/001139</v>
      </c>
      <c r="E437" s="2" t="str">
        <f ca="1">IFERROR(__xludf.DUMMYFUNCTION("UNIQUE(FILTER('export kabinetdashboard 1210202'!N:P,'export kabinetdashboard 1210202'!M:M=D437))"),"")</f>
        <v/>
      </c>
      <c r="F437" s="2" t="str">
        <f ca="1">IFERROR(__xludf.DUMMYFUNCTION("""COMPUTED_VALUE"""),"2022 - Q1")</f>
        <v>2022 - Q1</v>
      </c>
      <c r="G437" s="2" t="str">
        <f ca="1">IFERROR(__xludf.DUMMYFUNCTION("""COMPUTED_VALUE"""),"2021 - Q4")</f>
        <v>2021 - Q4</v>
      </c>
      <c r="H437" s="2">
        <f ca="1">SUMIFS('bedragen KIM (budgettering &amp; pl'!S:S,'bedragen KIM (budgettering &amp; pl'!B:B,A437,'bedragen KIM (budgettering &amp; pl'!F:F,D437)</f>
        <v>4000</v>
      </c>
      <c r="I437" s="2" t="e">
        <f ca="1">SUMIFS(#REF!,#REF!,A437,#REF!,D437)</f>
        <v>#REF!</v>
      </c>
      <c r="J437" s="2" t="e">
        <f ca="1">SUMIFS(#REF!,#REF!,A437,#REF!,D437)</f>
        <v>#REF!</v>
      </c>
    </row>
    <row r="438" spans="1:10" ht="12.5" x14ac:dyDescent="0.25">
      <c r="A438" s="2" t="str">
        <f ca="1">IFERROR(__xludf.DUMMYFUNCTION("""COMPUTED_VALUE"""),"KP/001465")</f>
        <v>KP/001465</v>
      </c>
      <c r="B438" s="2" t="str">
        <f ca="1">IFERROR(__xludf.DUMMYFUNCTION("""COMPUTED_VALUE"""),"Verkeersveiligheid")</f>
        <v>Verkeersveiligheid</v>
      </c>
      <c r="C438" s="2" t="str">
        <f ca="1">IFERROR(__xludf.DUMMYFUNCTION("""COMPUTED_VALUE"""),"Schoolroute")</f>
        <v>Schoolroute</v>
      </c>
      <c r="D438" s="2" t="str">
        <f ca="1">IFERROR(__xludf.DUMMYFUNCTION("""COMPUTED_VALUE"""),"IN/001140")</f>
        <v>IN/001140</v>
      </c>
      <c r="E438" s="2" t="str">
        <f ca="1">IFERROR(__xludf.DUMMYFUNCTION("UNIQUE(FILTER('export kabinetdashboard 1210202'!N:P,'export kabinetdashboard 1210202'!M:M=D438))"),"")</f>
        <v/>
      </c>
      <c r="F438" s="2" t="str">
        <f ca="1">IFERROR(__xludf.DUMMYFUNCTION("""COMPUTED_VALUE"""),"n.t.b.")</f>
        <v>n.t.b.</v>
      </c>
      <c r="G438" s="2" t="str">
        <f ca="1">IFERROR(__xludf.DUMMYFUNCTION("""COMPUTED_VALUE"""),"n.t.b.")</f>
        <v>n.t.b.</v>
      </c>
      <c r="H438" s="2">
        <f ca="1">SUMIFS('bedragen KIM (budgettering &amp; pl'!S:S,'bedragen KIM (budgettering &amp; pl'!B:B,A438,'bedragen KIM (budgettering &amp; pl'!F:F,D438)</f>
        <v>6500</v>
      </c>
      <c r="I438" s="2" t="e">
        <f ca="1">SUMIFS(#REF!,#REF!,A438,#REF!,D438)</f>
        <v>#REF!</v>
      </c>
      <c r="J438" s="2" t="e">
        <f ca="1">SUMIFS(#REF!,#REF!,A438,#REF!,D438)</f>
        <v>#REF!</v>
      </c>
    </row>
    <row r="439" spans="1:10" ht="12.5" x14ac:dyDescent="0.25">
      <c r="A439" s="2" t="str">
        <f ca="1">IFERROR(__xludf.DUMMYFUNCTION("""COMPUTED_VALUE"""),"KP/001466")</f>
        <v>KP/001466</v>
      </c>
      <c r="B439" s="2" t="str">
        <f ca="1">IFERROR(__xludf.DUMMYFUNCTION("""COMPUTED_VALUE"""),"Verkeersveiligheid")</f>
        <v>Verkeersveiligheid</v>
      </c>
      <c r="C439" s="2" t="str">
        <f ca="1">IFERROR(__xludf.DUMMYFUNCTION("""COMPUTED_VALUE"""),"Schoolroute")</f>
        <v>Schoolroute</v>
      </c>
      <c r="D439" s="2" t="str">
        <f ca="1">IFERROR(__xludf.DUMMYFUNCTION("""COMPUTED_VALUE"""),"IN/001141")</f>
        <v>IN/001141</v>
      </c>
      <c r="E439" s="2" t="str">
        <f ca="1">IFERROR(__xludf.DUMMYFUNCTION("UNIQUE(FILTER('export kabinetdashboard 1210202'!N:P,'export kabinetdashboard 1210202'!M:M=D439))"),"")</f>
        <v/>
      </c>
      <c r="F439" s="2" t="str">
        <f ca="1">IFERROR(__xludf.DUMMYFUNCTION("""COMPUTED_VALUE"""),"n.t.b.")</f>
        <v>n.t.b.</v>
      </c>
      <c r="G439" s="2" t="str">
        <f ca="1">IFERROR(__xludf.DUMMYFUNCTION("""COMPUTED_VALUE"""),"n.t.b.")</f>
        <v>n.t.b.</v>
      </c>
      <c r="H439" s="2">
        <f ca="1">SUMIFS('bedragen KIM (budgettering &amp; pl'!S:S,'bedragen KIM (budgettering &amp; pl'!B:B,A439,'bedragen KIM (budgettering &amp; pl'!F:F,D439)</f>
        <v>2500</v>
      </c>
      <c r="I439" s="2" t="e">
        <f ca="1">SUMIFS(#REF!,#REF!,A439,#REF!,D439)</f>
        <v>#REF!</v>
      </c>
      <c r="J439" s="2" t="e">
        <f ca="1">SUMIFS(#REF!,#REF!,A439,#REF!,D439)</f>
        <v>#REF!</v>
      </c>
    </row>
    <row r="440" spans="1:10" ht="12.5" x14ac:dyDescent="0.25">
      <c r="A440" s="2" t="str">
        <f ca="1">IFERROR(__xludf.DUMMYFUNCTION("""COMPUTED_VALUE"""),"KP/001472")</f>
        <v>KP/001472</v>
      </c>
      <c r="B440" s="2" t="str">
        <f ca="1">IFERROR(__xludf.DUMMYFUNCTION("""COMPUTED_VALUE"""),"Verkeersveiligheid")</f>
        <v>Verkeersveiligheid</v>
      </c>
      <c r="C440" s="2" t="str">
        <f ca="1">IFERROR(__xludf.DUMMYFUNCTION("""COMPUTED_VALUE"""),"Schoolroute")</f>
        <v>Schoolroute</v>
      </c>
      <c r="D440" s="2" t="str">
        <f ca="1">IFERROR(__xludf.DUMMYFUNCTION("""COMPUTED_VALUE"""),"IN/001142")</f>
        <v>IN/001142</v>
      </c>
      <c r="E440" s="2" t="str">
        <f ca="1">IFERROR(__xludf.DUMMYFUNCTION("UNIQUE(FILTER('export kabinetdashboard 1210202'!N:P,'export kabinetdashboard 1210202'!M:M=D440))"),"#N/A")</f>
        <v>#N/A</v>
      </c>
      <c r="H440" s="2">
        <f ca="1">SUMIFS('bedragen KIM (budgettering &amp; pl'!S:S,'bedragen KIM (budgettering &amp; pl'!B:B,A440,'bedragen KIM (budgettering &amp; pl'!F:F,D440)</f>
        <v>0</v>
      </c>
      <c r="I440" s="2" t="e">
        <f ca="1">SUMIFS(#REF!,#REF!,A440,#REF!,D440)</f>
        <v>#REF!</v>
      </c>
      <c r="J440" s="2" t="e">
        <f ca="1">SUMIFS(#REF!,#REF!,A440,#REF!,D440)</f>
        <v>#REF!</v>
      </c>
    </row>
    <row r="441" spans="1:10" ht="12.5" x14ac:dyDescent="0.25">
      <c r="A441" s="2" t="str">
        <f ca="1">IFERROR(__xludf.DUMMYFUNCTION("""COMPUTED_VALUE"""),"KP/001472")</f>
        <v>KP/001472</v>
      </c>
      <c r="B441" s="2" t="str">
        <f ca="1">IFERROR(__xludf.DUMMYFUNCTION("""COMPUTED_VALUE"""),"Verkeersveiligheid")</f>
        <v>Verkeersveiligheid</v>
      </c>
      <c r="C441" s="2" t="str">
        <f ca="1">IFERROR(__xludf.DUMMYFUNCTION("""COMPUTED_VALUE"""),"Schoolroute")</f>
        <v>Schoolroute</v>
      </c>
      <c r="D441" s="2" t="str">
        <f ca="1">IFERROR(__xludf.DUMMYFUNCTION("""COMPUTED_VALUE"""),"IN/001143")</f>
        <v>IN/001143</v>
      </c>
      <c r="E441" s="2" t="str">
        <f ca="1">IFERROR(__xludf.DUMMYFUNCTION("UNIQUE(FILTER('export kabinetdashboard 1210202'!N:P,'export kabinetdashboard 1210202'!M:M=D441))"),"")</f>
        <v/>
      </c>
      <c r="F441" s="2" t="str">
        <f ca="1">IFERROR(__xludf.DUMMYFUNCTION("""COMPUTED_VALUE"""),"n.t.b.")</f>
        <v>n.t.b.</v>
      </c>
      <c r="G441" s="2" t="str">
        <f ca="1">IFERROR(__xludf.DUMMYFUNCTION("""COMPUTED_VALUE"""),"n.t.b.")</f>
        <v>n.t.b.</v>
      </c>
      <c r="H441" s="2">
        <f ca="1">SUMIFS('bedragen KIM (budgettering &amp; pl'!S:S,'bedragen KIM (budgettering &amp; pl'!B:B,A441,'bedragen KIM (budgettering &amp; pl'!F:F,D441)</f>
        <v>0</v>
      </c>
      <c r="I441" s="2" t="e">
        <f ca="1">SUMIFS(#REF!,#REF!,A441,#REF!,D441)</f>
        <v>#REF!</v>
      </c>
      <c r="J441" s="2" t="e">
        <f ca="1">SUMIFS(#REF!,#REF!,A441,#REF!,D441)</f>
        <v>#REF!</v>
      </c>
    </row>
    <row r="442" spans="1:10" ht="12.5" x14ac:dyDescent="0.25">
      <c r="A442" s="2" t="str">
        <f ca="1">IFERROR(__xludf.DUMMYFUNCTION("""COMPUTED_VALUE"""),"KP/001473")</f>
        <v>KP/001473</v>
      </c>
      <c r="B442" s="2" t="str">
        <f ca="1">IFERROR(__xludf.DUMMYFUNCTION("""COMPUTED_VALUE"""),"Verkeersveiligheid")</f>
        <v>Verkeersveiligheid</v>
      </c>
      <c r="C442" s="2" t="str">
        <f ca="1">IFERROR(__xludf.DUMMYFUNCTION("""COMPUTED_VALUE"""),"Schoolroute")</f>
        <v>Schoolroute</v>
      </c>
      <c r="D442" s="2" t="str">
        <f ca="1">IFERROR(__xludf.DUMMYFUNCTION("""COMPUTED_VALUE"""),"IN/001143")</f>
        <v>IN/001143</v>
      </c>
      <c r="E442" s="2" t="str">
        <f ca="1">IFERROR(__xludf.DUMMYFUNCTION("UNIQUE(FILTER('export kabinetdashboard 1210202'!N:P,'export kabinetdashboard 1210202'!M:M=D442))"),"")</f>
        <v/>
      </c>
      <c r="F442" s="2" t="str">
        <f ca="1">IFERROR(__xludf.DUMMYFUNCTION("""COMPUTED_VALUE"""),"n.t.b.")</f>
        <v>n.t.b.</v>
      </c>
      <c r="G442" s="2" t="str">
        <f ca="1">IFERROR(__xludf.DUMMYFUNCTION("""COMPUTED_VALUE"""),"n.t.b.")</f>
        <v>n.t.b.</v>
      </c>
      <c r="H442" s="2">
        <f ca="1">SUMIFS('bedragen KIM (budgettering &amp; pl'!S:S,'bedragen KIM (budgettering &amp; pl'!B:B,A442,'bedragen KIM (budgettering &amp; pl'!F:F,D442)</f>
        <v>0</v>
      </c>
      <c r="I442" s="2" t="e">
        <f ca="1">SUMIFS(#REF!,#REF!,A442,#REF!,D442)</f>
        <v>#REF!</v>
      </c>
      <c r="J442" s="2" t="e">
        <f ca="1">SUMIFS(#REF!,#REF!,A442,#REF!,D442)</f>
        <v>#REF!</v>
      </c>
    </row>
    <row r="443" spans="1:10" ht="12.5" x14ac:dyDescent="0.25">
      <c r="A443" s="2" t="str">
        <f ca="1">IFERROR(__xludf.DUMMYFUNCTION("""COMPUTED_VALUE"""),"KP/001475")</f>
        <v>KP/001475</v>
      </c>
      <c r="B443" s="2" t="str">
        <f ca="1">IFERROR(__xludf.DUMMYFUNCTION("""COMPUTED_VALUE"""),"Verkeersveiligheid")</f>
        <v>Verkeersveiligheid</v>
      </c>
      <c r="C443" s="2" t="str">
        <f ca="1">IFERROR(__xludf.DUMMYFUNCTION("""COMPUTED_VALUE"""),"Schoolroute")</f>
        <v>Schoolroute</v>
      </c>
      <c r="D443" s="2" t="str">
        <f ca="1">IFERROR(__xludf.DUMMYFUNCTION("""COMPUTED_VALUE"""),"IN/001144")</f>
        <v>IN/001144</v>
      </c>
      <c r="E443" s="2" t="str">
        <f ca="1">IFERROR(__xludf.DUMMYFUNCTION("UNIQUE(FILTER('export kabinetdashboard 1210202'!N:P,'export kabinetdashboard 1210202'!M:M=D443))"),"")</f>
        <v/>
      </c>
      <c r="F443" s="2" t="str">
        <f ca="1">IFERROR(__xludf.DUMMYFUNCTION("""COMPUTED_VALUE"""),"n.t.b.")</f>
        <v>n.t.b.</v>
      </c>
      <c r="G443" s="2" t="str">
        <f ca="1">IFERROR(__xludf.DUMMYFUNCTION("""COMPUTED_VALUE"""),"n.t.b.")</f>
        <v>n.t.b.</v>
      </c>
      <c r="H443" s="2">
        <f ca="1">SUMIFS('bedragen KIM (budgettering &amp; pl'!S:S,'bedragen KIM (budgettering &amp; pl'!B:B,A443,'bedragen KIM (budgettering &amp; pl'!F:F,D443)</f>
        <v>0</v>
      </c>
      <c r="I443" s="2" t="e">
        <f ca="1">SUMIFS(#REF!,#REF!,A443,#REF!,D443)</f>
        <v>#REF!</v>
      </c>
      <c r="J443" s="2" t="e">
        <f ca="1">SUMIFS(#REF!,#REF!,A443,#REF!,D443)</f>
        <v>#REF!</v>
      </c>
    </row>
    <row r="444" spans="1:10" ht="12.5" x14ac:dyDescent="0.25">
      <c r="A444" s="2" t="str">
        <f ca="1">IFERROR(__xludf.DUMMYFUNCTION("""COMPUTED_VALUE"""),"KP/001477")</f>
        <v>KP/001477</v>
      </c>
      <c r="B444" s="2" t="str">
        <f ca="1">IFERROR(__xludf.DUMMYFUNCTION("""COMPUTED_VALUE"""),"Verkeersveiligheid")</f>
        <v>Verkeersveiligheid</v>
      </c>
      <c r="C444" s="2" t="str">
        <f ca="1">IFERROR(__xludf.DUMMYFUNCTION("""COMPUTED_VALUE"""),"Schoolroute")</f>
        <v>Schoolroute</v>
      </c>
      <c r="D444" s="2" t="str">
        <f ca="1">IFERROR(__xludf.DUMMYFUNCTION("""COMPUTED_VALUE"""),"IN/001145")</f>
        <v>IN/001145</v>
      </c>
      <c r="E444" s="2" t="str">
        <f ca="1">IFERROR(__xludf.DUMMYFUNCTION("UNIQUE(FILTER('export kabinetdashboard 1210202'!N:P,'export kabinetdashboard 1210202'!M:M=D444))"),"")</f>
        <v/>
      </c>
      <c r="F444" s="2" t="str">
        <f ca="1">IFERROR(__xludf.DUMMYFUNCTION("""COMPUTED_VALUE"""),"n.t.b.")</f>
        <v>n.t.b.</v>
      </c>
      <c r="G444" s="2" t="str">
        <f ca="1">IFERROR(__xludf.DUMMYFUNCTION("""COMPUTED_VALUE"""),"n.t.b.")</f>
        <v>n.t.b.</v>
      </c>
      <c r="H444" s="2">
        <f ca="1">SUMIFS('bedragen KIM (budgettering &amp; pl'!S:S,'bedragen KIM (budgettering &amp; pl'!B:B,A444,'bedragen KIM (budgettering &amp; pl'!F:F,D444)</f>
        <v>0</v>
      </c>
      <c r="I444" s="2" t="e">
        <f ca="1">SUMIFS(#REF!,#REF!,A444,#REF!,D444)</f>
        <v>#REF!</v>
      </c>
      <c r="J444" s="2" t="e">
        <f ca="1">SUMIFS(#REF!,#REF!,A444,#REF!,D444)</f>
        <v>#REF!</v>
      </c>
    </row>
    <row r="445" spans="1:10" ht="12.5" x14ac:dyDescent="0.25">
      <c r="A445" s="2" t="str">
        <f ca="1">IFERROR(__xludf.DUMMYFUNCTION("""COMPUTED_VALUE"""),"KP/001479")</f>
        <v>KP/001479</v>
      </c>
      <c r="B445" s="2" t="str">
        <f ca="1">IFERROR(__xludf.DUMMYFUNCTION("""COMPUTED_VALUE"""),"Verkeersveiligheid")</f>
        <v>Verkeersveiligheid</v>
      </c>
      <c r="C445" s="2" t="str">
        <f ca="1">IFERROR(__xludf.DUMMYFUNCTION("""COMPUTED_VALUE"""),"Schoolroute")</f>
        <v>Schoolroute</v>
      </c>
      <c r="D445" s="2" t="str">
        <f ca="1">IFERROR(__xludf.DUMMYFUNCTION("""COMPUTED_VALUE"""),"IN/001146")</f>
        <v>IN/001146</v>
      </c>
      <c r="E445" s="2" t="str">
        <f ca="1">IFERROR(__xludf.DUMMYFUNCTION("UNIQUE(FILTER('export kabinetdashboard 1210202'!N:P,'export kabinetdashboard 1210202'!M:M=D445))"),"")</f>
        <v/>
      </c>
      <c r="F445" s="2" t="str">
        <f ca="1">IFERROR(__xludf.DUMMYFUNCTION("""COMPUTED_VALUE"""),"n.t.b.")</f>
        <v>n.t.b.</v>
      </c>
      <c r="G445" s="2" t="str">
        <f ca="1">IFERROR(__xludf.DUMMYFUNCTION("""COMPUTED_VALUE"""),"n.t.b.")</f>
        <v>n.t.b.</v>
      </c>
      <c r="H445" s="2">
        <f ca="1">SUMIFS('bedragen KIM (budgettering &amp; pl'!S:S,'bedragen KIM (budgettering &amp; pl'!B:B,A445,'bedragen KIM (budgettering &amp; pl'!F:F,D445)</f>
        <v>9000</v>
      </c>
      <c r="I445" s="2" t="e">
        <f ca="1">SUMIFS(#REF!,#REF!,A445,#REF!,D445)</f>
        <v>#REF!</v>
      </c>
      <c r="J445" s="2" t="e">
        <f ca="1">SUMIFS(#REF!,#REF!,A445,#REF!,D445)</f>
        <v>#REF!</v>
      </c>
    </row>
    <row r="446" spans="1:10" ht="12.5" x14ac:dyDescent="0.25">
      <c r="A446" s="2" t="str">
        <f ca="1">IFERROR(__xludf.DUMMYFUNCTION("""COMPUTED_VALUE"""),"KP/001481")</f>
        <v>KP/001481</v>
      </c>
      <c r="B446" s="2" t="str">
        <f ca="1">IFERROR(__xludf.DUMMYFUNCTION("""COMPUTED_VALUE"""),"Verkeersveiligheid")</f>
        <v>Verkeersveiligheid</v>
      </c>
      <c r="C446" s="2" t="str">
        <f ca="1">IFERROR(__xludf.DUMMYFUNCTION("""COMPUTED_VALUE"""),"Schoolroute")</f>
        <v>Schoolroute</v>
      </c>
      <c r="D446" s="2" t="str">
        <f ca="1">IFERROR(__xludf.DUMMYFUNCTION("""COMPUTED_VALUE"""),"IN/001147")</f>
        <v>IN/001147</v>
      </c>
      <c r="E446" s="2" t="str">
        <f ca="1">IFERROR(__xludf.DUMMYFUNCTION("UNIQUE(FILTER('export kabinetdashboard 1210202'!N:P,'export kabinetdashboard 1210202'!M:M=D446))"),"")</f>
        <v/>
      </c>
      <c r="F446" s="2" t="str">
        <f ca="1">IFERROR(__xludf.DUMMYFUNCTION("""COMPUTED_VALUE"""),"n.t.b.")</f>
        <v>n.t.b.</v>
      </c>
      <c r="G446" s="2" t="str">
        <f ca="1">IFERROR(__xludf.DUMMYFUNCTION("""COMPUTED_VALUE"""),"n.t.b.")</f>
        <v>n.t.b.</v>
      </c>
      <c r="H446" s="2">
        <f ca="1">SUMIFS('bedragen KIM (budgettering &amp; pl'!S:S,'bedragen KIM (budgettering &amp; pl'!B:B,A446,'bedragen KIM (budgettering &amp; pl'!F:F,D446)</f>
        <v>0</v>
      </c>
      <c r="I446" s="2" t="e">
        <f ca="1">SUMIFS(#REF!,#REF!,A446,#REF!,D446)</f>
        <v>#REF!</v>
      </c>
      <c r="J446" s="2" t="e">
        <f ca="1">SUMIFS(#REF!,#REF!,A446,#REF!,D446)</f>
        <v>#REF!</v>
      </c>
    </row>
    <row r="447" spans="1:10" ht="12.5" x14ac:dyDescent="0.25">
      <c r="A447" s="2" t="str">
        <f ca="1">IFERROR(__xludf.DUMMYFUNCTION("""COMPUTED_VALUE"""),"KP/001482")</f>
        <v>KP/001482</v>
      </c>
      <c r="B447" s="2" t="str">
        <f ca="1">IFERROR(__xludf.DUMMYFUNCTION("""COMPUTED_VALUE"""),"Verkeersveiligheid")</f>
        <v>Verkeersveiligheid</v>
      </c>
      <c r="C447" s="2" t="str">
        <f ca="1">IFERROR(__xludf.DUMMYFUNCTION("""COMPUTED_VALUE"""),"Schoolroute")</f>
        <v>Schoolroute</v>
      </c>
      <c r="D447" s="2" t="str">
        <f ca="1">IFERROR(__xludf.DUMMYFUNCTION("""COMPUTED_VALUE"""),"IN/001148")</f>
        <v>IN/001148</v>
      </c>
      <c r="E447" s="2" t="str">
        <f ca="1">IFERROR(__xludf.DUMMYFUNCTION("UNIQUE(FILTER('export kabinetdashboard 1210202'!N:P,'export kabinetdashboard 1210202'!M:M=D447))"),"Milderende maatregelen i.k.v. Project E34 Stoepestraat met inbegrip van structureel onderhoud van rijweg en fietspaden langsheen de N436 Assenedesteenweg-Zelzatestraat te Zelzate en Assenede")</f>
        <v>Milderende maatregelen i.k.v. Project E34 Stoepestraat met inbegrip van structureel onderhoud van rijweg en fietspaden langsheen de N436 Assenedesteenweg-Zelzatestraat te Zelzate en Assenede</v>
      </c>
      <c r="F447" s="2" t="str">
        <f ca="1">IFERROR(__xludf.DUMMYFUNCTION("""COMPUTED_VALUE"""),"n.t.b.")</f>
        <v>n.t.b.</v>
      </c>
      <c r="G447" s="2" t="str">
        <f ca="1">IFERROR(__xludf.DUMMYFUNCTION("""COMPUTED_VALUE"""),"n.t.b.")</f>
        <v>n.t.b.</v>
      </c>
      <c r="H447" s="2">
        <f ca="1">SUMIFS('bedragen KIM (budgettering &amp; pl'!S:S,'bedragen KIM (budgettering &amp; pl'!B:B,A447,'bedragen KIM (budgettering &amp; pl'!F:F,D447)</f>
        <v>0</v>
      </c>
      <c r="I447" s="2" t="e">
        <f ca="1">SUMIFS(#REF!,#REF!,A447,#REF!,D447)</f>
        <v>#REF!</v>
      </c>
      <c r="J447" s="2" t="e">
        <f ca="1">SUMIFS(#REF!,#REF!,A447,#REF!,D447)</f>
        <v>#REF!</v>
      </c>
    </row>
    <row r="448" spans="1:10" ht="12.5" x14ac:dyDescent="0.25">
      <c r="A448" s="2" t="str">
        <f ca="1">IFERROR(__xludf.DUMMYFUNCTION("""COMPUTED_VALUE"""),"KP/001483")</f>
        <v>KP/001483</v>
      </c>
      <c r="B448" s="2" t="str">
        <f ca="1">IFERROR(__xludf.DUMMYFUNCTION("""COMPUTED_VALUE"""),"Verkeersveiligheid")</f>
        <v>Verkeersveiligheid</v>
      </c>
      <c r="C448" s="2" t="str">
        <f ca="1">IFERROR(__xludf.DUMMYFUNCTION("""COMPUTED_VALUE"""),"Schoolroute")</f>
        <v>Schoolroute</v>
      </c>
      <c r="D448" s="2" t="str">
        <f ca="1">IFERROR(__xludf.DUMMYFUNCTION("""COMPUTED_VALUE"""),"IN/001148")</f>
        <v>IN/001148</v>
      </c>
      <c r="E448" s="2" t="str">
        <f ca="1">IFERROR(__xludf.DUMMYFUNCTION("UNIQUE(FILTER('export kabinetdashboard 1210202'!N:P,'export kabinetdashboard 1210202'!M:M=D448))"),"Milderende maatregelen i.k.v. Project E34 Stoepestraat met inbegrip van structureel onderhoud van rijweg en fietspaden langsheen de N436 Assenedesteenweg-Zelzatestraat te Zelzate en Assenede")</f>
        <v>Milderende maatregelen i.k.v. Project E34 Stoepestraat met inbegrip van structureel onderhoud van rijweg en fietspaden langsheen de N436 Assenedesteenweg-Zelzatestraat te Zelzate en Assenede</v>
      </c>
      <c r="F448" s="2" t="str">
        <f ca="1">IFERROR(__xludf.DUMMYFUNCTION("""COMPUTED_VALUE"""),"n.t.b.")</f>
        <v>n.t.b.</v>
      </c>
      <c r="G448" s="2" t="str">
        <f ca="1">IFERROR(__xludf.DUMMYFUNCTION("""COMPUTED_VALUE"""),"n.t.b.")</f>
        <v>n.t.b.</v>
      </c>
      <c r="H448" s="2">
        <f ca="1">SUMIFS('bedragen KIM (budgettering &amp; pl'!S:S,'bedragen KIM (budgettering &amp; pl'!B:B,A448,'bedragen KIM (budgettering &amp; pl'!F:F,D448)</f>
        <v>0</v>
      </c>
      <c r="I448" s="2" t="e">
        <f ca="1">SUMIFS(#REF!,#REF!,A448,#REF!,D448)</f>
        <v>#REF!</v>
      </c>
      <c r="J448" s="2" t="e">
        <f ca="1">SUMIFS(#REF!,#REF!,A448,#REF!,D448)</f>
        <v>#REF!</v>
      </c>
    </row>
    <row r="449" spans="1:10" ht="12.5" x14ac:dyDescent="0.25">
      <c r="A449" s="2" t="str">
        <f ca="1">IFERROR(__xludf.DUMMYFUNCTION("""COMPUTED_VALUE"""),"KP/001483")</f>
        <v>KP/001483</v>
      </c>
      <c r="B449" s="2" t="str">
        <f ca="1">IFERROR(__xludf.DUMMYFUNCTION("""COMPUTED_VALUE"""),"Verkeersveiligheid")</f>
        <v>Verkeersveiligheid</v>
      </c>
      <c r="C449" s="2" t="str">
        <f ca="1">IFERROR(__xludf.DUMMYFUNCTION("""COMPUTED_VALUE"""),"Schoolroute")</f>
        <v>Schoolroute</v>
      </c>
      <c r="D449" s="2" t="str">
        <f ca="1">IFERROR(__xludf.DUMMYFUNCTION("""COMPUTED_VALUE"""),"IN/001149")</f>
        <v>IN/001149</v>
      </c>
      <c r="E449" s="2" t="str">
        <f ca="1">IFERROR(__xludf.DUMMYFUNCTION("UNIQUE(FILTER('export kabinetdashboard 1210202'!N:P,'export kabinetdashboard 1210202'!M:M=D449))"),"")</f>
        <v/>
      </c>
      <c r="F449" s="2" t="str">
        <f ca="1">IFERROR(__xludf.DUMMYFUNCTION("""COMPUTED_VALUE"""),"n.t.b.")</f>
        <v>n.t.b.</v>
      </c>
      <c r="G449" s="2" t="str">
        <f ca="1">IFERROR(__xludf.DUMMYFUNCTION("""COMPUTED_VALUE"""),"n.t.b.")</f>
        <v>n.t.b.</v>
      </c>
      <c r="H449" s="2">
        <f ca="1">SUMIFS('bedragen KIM (budgettering &amp; pl'!S:S,'bedragen KIM (budgettering &amp; pl'!B:B,A449,'bedragen KIM (budgettering &amp; pl'!F:F,D449)</f>
        <v>0</v>
      </c>
      <c r="I449" s="2" t="e">
        <f ca="1">SUMIFS(#REF!,#REF!,A449,#REF!,D449)</f>
        <v>#REF!</v>
      </c>
      <c r="J449" s="2" t="e">
        <f ca="1">SUMIFS(#REF!,#REF!,A449,#REF!,D449)</f>
        <v>#REF!</v>
      </c>
    </row>
    <row r="450" spans="1:10" ht="12.5" x14ac:dyDescent="0.25">
      <c r="A450" s="2" t="str">
        <f ca="1">IFERROR(__xludf.DUMMYFUNCTION("""COMPUTED_VALUE"""),"KP/001484")</f>
        <v>KP/001484</v>
      </c>
      <c r="B450" s="2" t="str">
        <f ca="1">IFERROR(__xludf.DUMMYFUNCTION("""COMPUTED_VALUE"""),"Verkeersveiligheid")</f>
        <v>Verkeersveiligheid</v>
      </c>
      <c r="C450" s="2" t="str">
        <f ca="1">IFERROR(__xludf.DUMMYFUNCTION("""COMPUTED_VALUE"""),"Schoolroute")</f>
        <v>Schoolroute</v>
      </c>
      <c r="D450" s="2" t="str">
        <f ca="1">IFERROR(__xludf.DUMMYFUNCTION("""COMPUTED_VALUE"""),"IN/001150")</f>
        <v>IN/001150</v>
      </c>
      <c r="E450" s="2" t="str">
        <f ca="1">IFERROR(__xludf.DUMMYFUNCTION("UNIQUE(FILTER('export kabinetdashboard 1210202'!N:P,'export kabinetdashboard 1210202'!M:M=D450))"),"")</f>
        <v/>
      </c>
      <c r="F450" s="2" t="str">
        <f ca="1">IFERROR(__xludf.DUMMYFUNCTION("""COMPUTED_VALUE"""),"n.t.b.")</f>
        <v>n.t.b.</v>
      </c>
      <c r="G450" s="2" t="str">
        <f ca="1">IFERROR(__xludf.DUMMYFUNCTION("""COMPUTED_VALUE"""),"n.t.b.")</f>
        <v>n.t.b.</v>
      </c>
      <c r="H450" s="2">
        <f ca="1">SUMIFS('bedragen KIM (budgettering &amp; pl'!S:S,'bedragen KIM (budgettering &amp; pl'!B:B,A450,'bedragen KIM (budgettering &amp; pl'!F:F,D450)</f>
        <v>0</v>
      </c>
      <c r="I450" s="2" t="e">
        <f ca="1">SUMIFS(#REF!,#REF!,A450,#REF!,D450)</f>
        <v>#REF!</v>
      </c>
      <c r="J450" s="2" t="e">
        <f ca="1">SUMIFS(#REF!,#REF!,A450,#REF!,D450)</f>
        <v>#REF!</v>
      </c>
    </row>
    <row r="451" spans="1:10" ht="12.5" x14ac:dyDescent="0.25">
      <c r="A451" s="2" t="str">
        <f ca="1">IFERROR(__xludf.DUMMYFUNCTION("""COMPUTED_VALUE"""),"KP/001485")</f>
        <v>KP/001485</v>
      </c>
      <c r="B451" s="2" t="str">
        <f ca="1">IFERROR(__xludf.DUMMYFUNCTION("""COMPUTED_VALUE"""),"Verkeersveiligheid")</f>
        <v>Verkeersveiligheid</v>
      </c>
      <c r="C451" s="2" t="str">
        <f ca="1">IFERROR(__xludf.DUMMYFUNCTION("""COMPUTED_VALUE"""),"Schoolroute")</f>
        <v>Schoolroute</v>
      </c>
      <c r="D451" s="2" t="str">
        <f ca="1">IFERROR(__xludf.DUMMYFUNCTION("""COMPUTED_VALUE"""),"IN/001151")</f>
        <v>IN/001151</v>
      </c>
      <c r="E451" s="2" t="str">
        <f ca="1">IFERROR(__xludf.DUMMYFUNCTION("UNIQUE(FILTER('export kabinetdashboard 1210202'!N:P,'export kabinetdashboard 1210202'!M:M=D451))"),"")</f>
        <v/>
      </c>
      <c r="F451" s="2" t="str">
        <f ca="1">IFERROR(__xludf.DUMMYFUNCTION("""COMPUTED_VALUE"""),"2022 - Q3")</f>
        <v>2022 - Q3</v>
      </c>
      <c r="G451" s="2" t="str">
        <f ca="1">IFERROR(__xludf.DUMMYFUNCTION("""COMPUTED_VALUE"""),"n.t.b.")</f>
        <v>n.t.b.</v>
      </c>
      <c r="H451" s="2">
        <f ca="1">SUMIFS('bedragen KIM (budgettering &amp; pl'!S:S,'bedragen KIM (budgettering &amp; pl'!B:B,A451,'bedragen KIM (budgettering &amp; pl'!F:F,D451)</f>
        <v>6000</v>
      </c>
      <c r="I451" s="2" t="e">
        <f ca="1">SUMIFS(#REF!,#REF!,A451,#REF!,D451)</f>
        <v>#REF!</v>
      </c>
      <c r="J451" s="2" t="e">
        <f ca="1">SUMIFS(#REF!,#REF!,A451,#REF!,D451)</f>
        <v>#REF!</v>
      </c>
    </row>
    <row r="452" spans="1:10" ht="12.5" x14ac:dyDescent="0.25">
      <c r="A452" s="2" t="str">
        <f ca="1">IFERROR(__xludf.DUMMYFUNCTION("""COMPUTED_VALUE"""),"KP/001488")</f>
        <v>KP/001488</v>
      </c>
      <c r="B452" s="2" t="str">
        <f ca="1">IFERROR(__xludf.DUMMYFUNCTION("""COMPUTED_VALUE"""),"Verkeersveiligheid")</f>
        <v>Verkeersveiligheid</v>
      </c>
      <c r="C452" s="2" t="str">
        <f ca="1">IFERROR(__xludf.DUMMYFUNCTION("""COMPUTED_VALUE"""),"Schoolroute")</f>
        <v>Schoolroute</v>
      </c>
      <c r="D452" s="2" t="str">
        <f ca="1">IFERROR(__xludf.DUMMYFUNCTION("""COMPUTED_VALUE"""),"IN/001152")</f>
        <v>IN/001152</v>
      </c>
      <c r="E452" s="2" t="str">
        <f ca="1">IFERROR(__xludf.DUMMYFUNCTION("UNIQUE(FILTER('export kabinetdashboard 1210202'!N:P,'export kabinetdashboard 1210202'!M:M=D452))"),"")</f>
        <v/>
      </c>
      <c r="F452" s="2" t="str">
        <f ca="1">IFERROR(__xludf.DUMMYFUNCTION("""COMPUTED_VALUE"""),"2022 - Q2")</f>
        <v>2022 - Q2</v>
      </c>
      <c r="G452" s="2" t="str">
        <f ca="1">IFERROR(__xludf.DUMMYFUNCTION("""COMPUTED_VALUE"""),"2022 - Q2")</f>
        <v>2022 - Q2</v>
      </c>
      <c r="H452" s="2">
        <f ca="1">SUMIFS('bedragen KIM (budgettering &amp; pl'!S:S,'bedragen KIM (budgettering &amp; pl'!B:B,A452,'bedragen KIM (budgettering &amp; pl'!F:F,D452)</f>
        <v>6099.39</v>
      </c>
      <c r="I452" s="2" t="e">
        <f ca="1">SUMIFS(#REF!,#REF!,A452,#REF!,D452)</f>
        <v>#REF!</v>
      </c>
      <c r="J452" s="2" t="e">
        <f ca="1">SUMIFS(#REF!,#REF!,A452,#REF!,D452)</f>
        <v>#REF!</v>
      </c>
    </row>
    <row r="453" spans="1:10" ht="12.5" x14ac:dyDescent="0.25">
      <c r="A453" s="2" t="str">
        <f ca="1">IFERROR(__xludf.DUMMYFUNCTION("""COMPUTED_VALUE"""),"KP/001489")</f>
        <v>KP/001489</v>
      </c>
      <c r="B453" s="2" t="str">
        <f ca="1">IFERROR(__xludf.DUMMYFUNCTION("""COMPUTED_VALUE"""),"Verkeersveiligheid")</f>
        <v>Verkeersveiligheid</v>
      </c>
      <c r="C453" s="2" t="str">
        <f ca="1">IFERROR(__xludf.DUMMYFUNCTION("""COMPUTED_VALUE"""),"Schoolroute")</f>
        <v>Schoolroute</v>
      </c>
      <c r="D453" s="2" t="str">
        <f ca="1">IFERROR(__xludf.DUMMYFUNCTION("""COMPUTED_VALUE"""),"IN/001152")</f>
        <v>IN/001152</v>
      </c>
      <c r="E453" s="2" t="str">
        <f ca="1">IFERROR(__xludf.DUMMYFUNCTION("UNIQUE(FILTER('export kabinetdashboard 1210202'!N:P,'export kabinetdashboard 1210202'!M:M=D453))"),"")</f>
        <v/>
      </c>
      <c r="F453" s="2" t="str">
        <f ca="1">IFERROR(__xludf.DUMMYFUNCTION("""COMPUTED_VALUE"""),"2022 - Q2")</f>
        <v>2022 - Q2</v>
      </c>
      <c r="G453" s="2" t="str">
        <f ca="1">IFERROR(__xludf.DUMMYFUNCTION("""COMPUTED_VALUE"""),"2022 - Q2")</f>
        <v>2022 - Q2</v>
      </c>
      <c r="H453" s="2">
        <f ca="1">SUMIFS('bedragen KIM (budgettering &amp; pl'!S:S,'bedragen KIM (budgettering &amp; pl'!B:B,A453,'bedragen KIM (budgettering &amp; pl'!F:F,D453)</f>
        <v>6099.39</v>
      </c>
      <c r="I453" s="2" t="e">
        <f ca="1">SUMIFS(#REF!,#REF!,A453,#REF!,D453)</f>
        <v>#REF!</v>
      </c>
      <c r="J453" s="2" t="e">
        <f ca="1">SUMIFS(#REF!,#REF!,A453,#REF!,D453)</f>
        <v>#REF!</v>
      </c>
    </row>
    <row r="454" spans="1:10" ht="12.5" x14ac:dyDescent="0.25">
      <c r="A454" s="2" t="str">
        <f ca="1">IFERROR(__xludf.DUMMYFUNCTION("""COMPUTED_VALUE"""),"KP/001490")</f>
        <v>KP/001490</v>
      </c>
      <c r="B454" s="2" t="str">
        <f ca="1">IFERROR(__xludf.DUMMYFUNCTION("""COMPUTED_VALUE"""),"Verkeersveiligheid")</f>
        <v>Verkeersveiligheid</v>
      </c>
      <c r="C454" s="2" t="str">
        <f ca="1">IFERROR(__xludf.DUMMYFUNCTION("""COMPUTED_VALUE"""),"Schoolroute")</f>
        <v>Schoolroute</v>
      </c>
      <c r="D454" s="2" t="str">
        <f ca="1">IFERROR(__xludf.DUMMYFUNCTION("""COMPUTED_VALUE"""),"IN/001152")</f>
        <v>IN/001152</v>
      </c>
      <c r="E454" s="2" t="str">
        <f ca="1">IFERROR(__xludf.DUMMYFUNCTION("UNIQUE(FILTER('export kabinetdashboard 1210202'!N:P,'export kabinetdashboard 1210202'!M:M=D454))"),"")</f>
        <v/>
      </c>
      <c r="F454" s="2" t="str">
        <f ca="1">IFERROR(__xludf.DUMMYFUNCTION("""COMPUTED_VALUE"""),"2022 - Q2")</f>
        <v>2022 - Q2</v>
      </c>
      <c r="G454" s="2" t="str">
        <f ca="1">IFERROR(__xludf.DUMMYFUNCTION("""COMPUTED_VALUE"""),"2022 - Q2")</f>
        <v>2022 - Q2</v>
      </c>
      <c r="H454" s="2">
        <f ca="1">SUMIFS('bedragen KIM (budgettering &amp; pl'!S:S,'bedragen KIM (budgettering &amp; pl'!B:B,A454,'bedragen KIM (budgettering &amp; pl'!F:F,D454)</f>
        <v>6101.22</v>
      </c>
      <c r="I454" s="2" t="e">
        <f ca="1">SUMIFS(#REF!,#REF!,A454,#REF!,D454)</f>
        <v>#REF!</v>
      </c>
      <c r="J454" s="2" t="e">
        <f ca="1">SUMIFS(#REF!,#REF!,A454,#REF!,D454)</f>
        <v>#REF!</v>
      </c>
    </row>
    <row r="455" spans="1:10" ht="12.5" x14ac:dyDescent="0.25">
      <c r="A455" s="2" t="str">
        <f ca="1">IFERROR(__xludf.DUMMYFUNCTION("""COMPUTED_VALUE"""),"KP/001491")</f>
        <v>KP/001491</v>
      </c>
      <c r="B455" s="2" t="str">
        <f ca="1">IFERROR(__xludf.DUMMYFUNCTION("""COMPUTED_VALUE"""),"Verkeersveiligheid")</f>
        <v>Verkeersveiligheid</v>
      </c>
      <c r="C455" s="2" t="str">
        <f ca="1">IFERROR(__xludf.DUMMYFUNCTION("""COMPUTED_VALUE"""),"Schoolroute")</f>
        <v>Schoolroute</v>
      </c>
      <c r="D455" s="2" t="str">
        <f ca="1">IFERROR(__xludf.DUMMYFUNCTION("""COMPUTED_VALUE"""),"IN/001155")</f>
        <v>IN/001155</v>
      </c>
      <c r="E455" s="2" t="str">
        <f ca="1">IFERROR(__xludf.DUMMYFUNCTION("UNIQUE(FILTER('export kabinetdashboard 1210202'!N:P,'export kabinetdashboard 1210202'!M:M=D455))"),"")</f>
        <v/>
      </c>
      <c r="F455" s="2" t="str">
        <f ca="1">IFERROR(__xludf.DUMMYFUNCTION("""COMPUTED_VALUE"""),"n.t.b.")</f>
        <v>n.t.b.</v>
      </c>
      <c r="G455" s="2" t="str">
        <f ca="1">IFERROR(__xludf.DUMMYFUNCTION("""COMPUTED_VALUE"""),"n.t.b.")</f>
        <v>n.t.b.</v>
      </c>
      <c r="H455" s="2">
        <f ca="1">SUMIFS('bedragen KIM (budgettering &amp; pl'!S:S,'bedragen KIM (budgettering &amp; pl'!B:B,A455,'bedragen KIM (budgettering &amp; pl'!F:F,D455)</f>
        <v>0</v>
      </c>
      <c r="I455" s="2" t="e">
        <f ca="1">SUMIFS(#REF!,#REF!,A455,#REF!,D455)</f>
        <v>#REF!</v>
      </c>
      <c r="J455" s="2" t="e">
        <f ca="1">SUMIFS(#REF!,#REF!,A455,#REF!,D455)</f>
        <v>#REF!</v>
      </c>
    </row>
    <row r="456" spans="1:10" ht="12.5" x14ac:dyDescent="0.25">
      <c r="A456" s="2" t="str">
        <f ca="1">IFERROR(__xludf.DUMMYFUNCTION("""COMPUTED_VALUE"""),"KP/001493")</f>
        <v>KP/001493</v>
      </c>
      <c r="B456" s="2" t="str">
        <f ca="1">IFERROR(__xludf.DUMMYFUNCTION("""COMPUTED_VALUE"""),"Verkeersveiligheid")</f>
        <v>Verkeersveiligheid</v>
      </c>
      <c r="C456" s="2" t="str">
        <f ca="1">IFERROR(__xludf.DUMMYFUNCTION("""COMPUTED_VALUE"""),"Schoolroute")</f>
        <v>Schoolroute</v>
      </c>
      <c r="D456" s="2" t="str">
        <f ca="1">IFERROR(__xludf.DUMMYFUNCTION("""COMPUTED_VALUE"""),"IN/001156")</f>
        <v>IN/001156</v>
      </c>
      <c r="E456" s="2" t="str">
        <f ca="1">IFERROR(__xludf.DUMMYFUNCTION("UNIQUE(FILTER('export kabinetdashboard 1210202'!N:P,'export kabinetdashboard 1210202'!M:M=D456))"),"#N/A")</f>
        <v>#N/A</v>
      </c>
      <c r="H456" s="2">
        <f ca="1">SUMIFS('bedragen KIM (budgettering &amp; pl'!S:S,'bedragen KIM (budgettering &amp; pl'!B:B,A456,'bedragen KIM (budgettering &amp; pl'!F:F,D456)</f>
        <v>0</v>
      </c>
      <c r="I456" s="2" t="e">
        <f ca="1">SUMIFS(#REF!,#REF!,A456,#REF!,D456)</f>
        <v>#REF!</v>
      </c>
      <c r="J456" s="2" t="e">
        <f ca="1">SUMIFS(#REF!,#REF!,A456,#REF!,D456)</f>
        <v>#REF!</v>
      </c>
    </row>
    <row r="457" spans="1:10" ht="12.5" x14ac:dyDescent="0.25">
      <c r="A457" s="2" t="str">
        <f ca="1">IFERROR(__xludf.DUMMYFUNCTION("""COMPUTED_VALUE"""),"KP/001496")</f>
        <v>KP/001496</v>
      </c>
      <c r="B457" s="2" t="str">
        <f ca="1">IFERROR(__xludf.DUMMYFUNCTION("""COMPUTED_VALUE"""),"Verkeersveiligheid")</f>
        <v>Verkeersveiligheid</v>
      </c>
      <c r="C457" s="2" t="str">
        <f ca="1">IFERROR(__xludf.DUMMYFUNCTION("""COMPUTED_VALUE"""),"Schoolroute")</f>
        <v>Schoolroute</v>
      </c>
      <c r="D457" s="2" t="str">
        <f ca="1">IFERROR(__xludf.DUMMYFUNCTION("""COMPUTED_VALUE"""),"IN/001158")</f>
        <v>IN/001158</v>
      </c>
      <c r="E457" s="2" t="str">
        <f ca="1">IFERROR(__xludf.DUMMYFUNCTION("UNIQUE(FILTER('export kabinetdashboard 1210202'!N:P,'export kabinetdashboard 1210202'!M:M=D457))"),"")</f>
        <v/>
      </c>
      <c r="F457" s="2" t="str">
        <f ca="1">IFERROR(__xludf.DUMMYFUNCTION("""COMPUTED_VALUE"""),"2022 - Q3")</f>
        <v>2022 - Q3</v>
      </c>
      <c r="G457" s="2" t="str">
        <f ca="1">IFERROR(__xludf.DUMMYFUNCTION("""COMPUTED_VALUE"""),"n.t.b.")</f>
        <v>n.t.b.</v>
      </c>
      <c r="H457" s="2">
        <f ca="1">SUMIFS('bedragen KIM (budgettering &amp; pl'!S:S,'bedragen KIM (budgettering &amp; pl'!B:B,A457,'bedragen KIM (budgettering &amp; pl'!F:F,D457)</f>
        <v>40000</v>
      </c>
      <c r="I457" s="2" t="e">
        <f ca="1">SUMIFS(#REF!,#REF!,A457,#REF!,D457)</f>
        <v>#REF!</v>
      </c>
      <c r="J457" s="2" t="e">
        <f ca="1">SUMIFS(#REF!,#REF!,A457,#REF!,D457)</f>
        <v>#REF!</v>
      </c>
    </row>
    <row r="458" spans="1:10" ht="12.5" x14ac:dyDescent="0.25">
      <c r="A458" s="2" t="str">
        <f ca="1">IFERROR(__xludf.DUMMYFUNCTION("""COMPUTED_VALUE"""),"KP/001497")</f>
        <v>KP/001497</v>
      </c>
      <c r="B458" s="2" t="str">
        <f ca="1">IFERROR(__xludf.DUMMYFUNCTION("""COMPUTED_VALUE"""),"Verkeersveiligheid")</f>
        <v>Verkeersveiligheid</v>
      </c>
      <c r="C458" s="2" t="str">
        <f ca="1">IFERROR(__xludf.DUMMYFUNCTION("""COMPUTED_VALUE"""),"Schoolroute")</f>
        <v>Schoolroute</v>
      </c>
      <c r="D458" s="2" t="str">
        <f ca="1">IFERROR(__xludf.DUMMYFUNCTION("""COMPUTED_VALUE"""),"IN/001159")</f>
        <v>IN/001159</v>
      </c>
      <c r="E458" s="2" t="str">
        <f ca="1">IFERROR(__xludf.DUMMYFUNCTION("UNIQUE(FILTER('export kabinetdashboard 1210202'!N:P,'export kabinetdashboard 1210202'!M:M=D458))"),"")</f>
        <v/>
      </c>
      <c r="F458" s="2" t="str">
        <f ca="1">IFERROR(__xludf.DUMMYFUNCTION("""COMPUTED_VALUE"""),"n.t.b.")</f>
        <v>n.t.b.</v>
      </c>
      <c r="G458" s="2" t="str">
        <f ca="1">IFERROR(__xludf.DUMMYFUNCTION("""COMPUTED_VALUE"""),"n.t.b.")</f>
        <v>n.t.b.</v>
      </c>
      <c r="H458" s="2">
        <f ca="1">SUMIFS('bedragen KIM (budgettering &amp; pl'!S:S,'bedragen KIM (budgettering &amp; pl'!B:B,A458,'bedragen KIM (budgettering &amp; pl'!F:F,D458)</f>
        <v>40000</v>
      </c>
      <c r="I458" s="2" t="e">
        <f ca="1">SUMIFS(#REF!,#REF!,A458,#REF!,D458)</f>
        <v>#REF!</v>
      </c>
      <c r="J458" s="2" t="e">
        <f ca="1">SUMIFS(#REF!,#REF!,A458,#REF!,D458)</f>
        <v>#REF!</v>
      </c>
    </row>
    <row r="459" spans="1:10" ht="12.5" x14ac:dyDescent="0.25">
      <c r="A459" s="2" t="str">
        <f ca="1">IFERROR(__xludf.DUMMYFUNCTION("""COMPUTED_VALUE"""),"KP/001498")</f>
        <v>KP/001498</v>
      </c>
      <c r="B459" s="2" t="str">
        <f ca="1">IFERROR(__xludf.DUMMYFUNCTION("""COMPUTED_VALUE"""),"Verkeersveiligheid")</f>
        <v>Verkeersveiligheid</v>
      </c>
      <c r="C459" s="2" t="str">
        <f ca="1">IFERROR(__xludf.DUMMYFUNCTION("""COMPUTED_VALUE"""),"Schoolroute")</f>
        <v>Schoolroute</v>
      </c>
      <c r="D459" s="2" t="str">
        <f ca="1">IFERROR(__xludf.DUMMYFUNCTION("""COMPUTED_VALUE"""),"IN/001160")</f>
        <v>IN/001160</v>
      </c>
      <c r="E459" s="2" t="str">
        <f ca="1">IFERROR(__xludf.DUMMYFUNCTION("UNIQUE(FILTER('export kabinetdashboard 1210202'!N:P,'export kabinetdashboard 1210202'!M:M=D459))"),"Plaatsen van punctuele verlichting op 3 Zonnestraat")</f>
        <v>Plaatsen van punctuele verlichting op 3 Zonnestraat</v>
      </c>
      <c r="F459" s="2" t="str">
        <f ca="1">IFERROR(__xludf.DUMMYFUNCTION("""COMPUTED_VALUE"""),"2022 - Q3")</f>
        <v>2022 - Q3</v>
      </c>
      <c r="G459" s="2" t="str">
        <f ca="1">IFERROR(__xludf.DUMMYFUNCTION("""COMPUTED_VALUE"""),"n.t.b.")</f>
        <v>n.t.b.</v>
      </c>
      <c r="H459" s="2">
        <f ca="1">SUMIFS('bedragen KIM (budgettering &amp; pl'!S:S,'bedragen KIM (budgettering &amp; pl'!B:B,A459,'bedragen KIM (budgettering &amp; pl'!F:F,D459)</f>
        <v>40000</v>
      </c>
      <c r="I459" s="2" t="e">
        <f ca="1">SUMIFS(#REF!,#REF!,A459,#REF!,D459)</f>
        <v>#REF!</v>
      </c>
      <c r="J459" s="2" t="e">
        <f ca="1">SUMIFS(#REF!,#REF!,A459,#REF!,D459)</f>
        <v>#REF!</v>
      </c>
    </row>
    <row r="460" spans="1:10" ht="12.5" x14ac:dyDescent="0.25">
      <c r="A460" s="2" t="str">
        <f ca="1">IFERROR(__xludf.DUMMYFUNCTION("""COMPUTED_VALUE"""),"KP/001499")</f>
        <v>KP/001499</v>
      </c>
      <c r="B460" s="2" t="str">
        <f ca="1">IFERROR(__xludf.DUMMYFUNCTION("""COMPUTED_VALUE"""),"Verkeersveiligheid")</f>
        <v>Verkeersveiligheid</v>
      </c>
      <c r="C460" s="2" t="str">
        <f ca="1">IFERROR(__xludf.DUMMYFUNCTION("""COMPUTED_VALUE"""),"Schoolroute")</f>
        <v>Schoolroute</v>
      </c>
      <c r="D460" s="2" t="str">
        <f ca="1">IFERROR(__xludf.DUMMYFUNCTION("""COMPUTED_VALUE"""),"IN/001161")</f>
        <v>IN/001161</v>
      </c>
      <c r="E460" s="2" t="str">
        <f ca="1">IFERROR(__xludf.DUMMYFUNCTION("UNIQUE(FILTER('export kabinetdashboard 1210202'!N:P,'export kabinetdashboard 1210202'!M:M=D460))"),"Plaatsen van punctuele verlichting op Elzeelsesteenweg")</f>
        <v>Plaatsen van punctuele verlichting op Elzeelsesteenweg</v>
      </c>
      <c r="F460" s="2" t="str">
        <f ca="1">IFERROR(__xludf.DUMMYFUNCTION("""COMPUTED_VALUE"""),"2022 - Q3")</f>
        <v>2022 - Q3</v>
      </c>
      <c r="G460" s="2" t="str">
        <f ca="1">IFERROR(__xludf.DUMMYFUNCTION("""COMPUTED_VALUE"""),"n.t.b.")</f>
        <v>n.t.b.</v>
      </c>
      <c r="H460" s="2">
        <f ca="1">SUMIFS('bedragen KIM (budgettering &amp; pl'!S:S,'bedragen KIM (budgettering &amp; pl'!B:B,A460,'bedragen KIM (budgettering &amp; pl'!F:F,D460)</f>
        <v>40000</v>
      </c>
      <c r="I460" s="2" t="e">
        <f ca="1">SUMIFS(#REF!,#REF!,A460,#REF!,D460)</f>
        <v>#REF!</v>
      </c>
      <c r="J460" s="2" t="e">
        <f ca="1">SUMIFS(#REF!,#REF!,A460,#REF!,D460)</f>
        <v>#REF!</v>
      </c>
    </row>
    <row r="461" spans="1:10" ht="12.5" x14ac:dyDescent="0.25">
      <c r="A461" s="2" t="str">
        <f ca="1">IFERROR(__xludf.DUMMYFUNCTION("""COMPUTED_VALUE"""),"KP/001500")</f>
        <v>KP/001500</v>
      </c>
      <c r="B461" s="2" t="str">
        <f ca="1">IFERROR(__xludf.DUMMYFUNCTION("""COMPUTED_VALUE"""),"Verkeersveiligheid")</f>
        <v>Verkeersveiligheid</v>
      </c>
      <c r="C461" s="2" t="str">
        <f ca="1">IFERROR(__xludf.DUMMYFUNCTION("""COMPUTED_VALUE"""),"Schoolroute")</f>
        <v>Schoolroute</v>
      </c>
      <c r="D461" s="2" t="str">
        <f ca="1">IFERROR(__xludf.DUMMYFUNCTION("""COMPUTED_VALUE"""),"IN/001162")</f>
        <v>IN/001162</v>
      </c>
      <c r="E461" s="2" t="str">
        <f ca="1">IFERROR(__xludf.DUMMYFUNCTION("UNIQUE(FILTER('export kabinetdashboard 1210202'!N:P,'export kabinetdashboard 1210202'!M:M=D461))"),"Plaatsen van punctuele verlichting in Ninovestraat")</f>
        <v>Plaatsen van punctuele verlichting in Ninovestraat</v>
      </c>
      <c r="F461" s="2" t="str">
        <f ca="1">IFERROR(__xludf.DUMMYFUNCTION("""COMPUTED_VALUE"""),"2022 - Q3")</f>
        <v>2022 - Q3</v>
      </c>
      <c r="G461" s="2" t="str">
        <f ca="1">IFERROR(__xludf.DUMMYFUNCTION("""COMPUTED_VALUE"""),"n.t.b.")</f>
        <v>n.t.b.</v>
      </c>
      <c r="H461" s="2">
        <f ca="1">SUMIFS('bedragen KIM (budgettering &amp; pl'!S:S,'bedragen KIM (budgettering &amp; pl'!B:B,A461,'bedragen KIM (budgettering &amp; pl'!F:F,D461)</f>
        <v>20000</v>
      </c>
      <c r="I461" s="2" t="e">
        <f ca="1">SUMIFS(#REF!,#REF!,A461,#REF!,D461)</f>
        <v>#REF!</v>
      </c>
      <c r="J461" s="2" t="e">
        <f ca="1">SUMIFS(#REF!,#REF!,A461,#REF!,D461)</f>
        <v>#REF!</v>
      </c>
    </row>
    <row r="462" spans="1:10" ht="12.5" x14ac:dyDescent="0.25">
      <c r="A462" s="2" t="str">
        <f ca="1">IFERROR(__xludf.DUMMYFUNCTION("""COMPUTED_VALUE"""),"KP/001501")</f>
        <v>KP/001501</v>
      </c>
      <c r="B462" s="2" t="str">
        <f ca="1">IFERROR(__xludf.DUMMYFUNCTION("""COMPUTED_VALUE"""),"Verkeersveiligheid")</f>
        <v>Verkeersveiligheid</v>
      </c>
      <c r="C462" s="2" t="str">
        <f ca="1">IFERROR(__xludf.DUMMYFUNCTION("""COMPUTED_VALUE"""),"Schoolroute")</f>
        <v>Schoolroute</v>
      </c>
      <c r="D462" s="2" t="str">
        <f ca="1">IFERROR(__xludf.DUMMYFUNCTION("""COMPUTED_VALUE"""),"IN/001163")</f>
        <v>IN/001163</v>
      </c>
      <c r="E462" s="2" t="str">
        <f ca="1">IFERROR(__xludf.DUMMYFUNCTION("UNIQUE(FILTER('export kabinetdashboard 1210202'!N:P,'export kabinetdashboard 1210202'!M:M=D462))"),"")</f>
        <v/>
      </c>
      <c r="F462" s="2" t="str">
        <f ca="1">IFERROR(__xludf.DUMMYFUNCTION("""COMPUTED_VALUE"""),"n.t.b.")</f>
        <v>n.t.b.</v>
      </c>
      <c r="G462" s="2" t="str">
        <f ca="1">IFERROR(__xludf.DUMMYFUNCTION("""COMPUTED_VALUE"""),"n.t.b.")</f>
        <v>n.t.b.</v>
      </c>
      <c r="H462" s="2">
        <f ca="1">SUMIFS('bedragen KIM (budgettering &amp; pl'!S:S,'bedragen KIM (budgettering &amp; pl'!B:B,A462,'bedragen KIM (budgettering &amp; pl'!F:F,D462)</f>
        <v>1500</v>
      </c>
      <c r="I462" s="2" t="e">
        <f ca="1">SUMIFS(#REF!,#REF!,A462,#REF!,D462)</f>
        <v>#REF!</v>
      </c>
      <c r="J462" s="2" t="e">
        <f ca="1">SUMIFS(#REF!,#REF!,A462,#REF!,D462)</f>
        <v>#REF!</v>
      </c>
    </row>
    <row r="463" spans="1:10" ht="12.5" x14ac:dyDescent="0.25">
      <c r="A463" s="2" t="str">
        <f ca="1">IFERROR(__xludf.DUMMYFUNCTION("""COMPUTED_VALUE"""),"KP/001502")</f>
        <v>KP/001502</v>
      </c>
      <c r="B463" s="2" t="str">
        <f ca="1">IFERROR(__xludf.DUMMYFUNCTION("""COMPUTED_VALUE"""),"Verkeersveiligheid")</f>
        <v>Verkeersveiligheid</v>
      </c>
      <c r="C463" s="2" t="str">
        <f ca="1">IFERROR(__xludf.DUMMYFUNCTION("""COMPUTED_VALUE"""),"Schoolroute")</f>
        <v>Schoolroute</v>
      </c>
      <c r="D463" s="2" t="str">
        <f ca="1">IFERROR(__xludf.DUMMYFUNCTION("""COMPUTED_VALUE"""),"IN/001164")</f>
        <v>IN/001164</v>
      </c>
      <c r="E463" s="2" t="str">
        <f ca="1">IFERROR(__xludf.DUMMYFUNCTION("UNIQUE(FILTER('export kabinetdashboard 1210202'!N:P,'export kabinetdashboard 1210202'!M:M=D463))"),"")</f>
        <v/>
      </c>
      <c r="F463" s="2" t="str">
        <f ca="1">IFERROR(__xludf.DUMMYFUNCTION("""COMPUTED_VALUE"""),"n.t.b.")</f>
        <v>n.t.b.</v>
      </c>
      <c r="G463" s="2" t="str">
        <f ca="1">IFERROR(__xludf.DUMMYFUNCTION("""COMPUTED_VALUE"""),"n.t.b.")</f>
        <v>n.t.b.</v>
      </c>
      <c r="H463" s="2">
        <f ca="1">SUMIFS('bedragen KIM (budgettering &amp; pl'!S:S,'bedragen KIM (budgettering &amp; pl'!B:B,A463,'bedragen KIM (budgettering &amp; pl'!F:F,D463)</f>
        <v>1500</v>
      </c>
      <c r="I463" s="2" t="e">
        <f ca="1">SUMIFS(#REF!,#REF!,A463,#REF!,D463)</f>
        <v>#REF!</v>
      </c>
      <c r="J463" s="2" t="e">
        <f ca="1">SUMIFS(#REF!,#REF!,A463,#REF!,D463)</f>
        <v>#REF!</v>
      </c>
    </row>
    <row r="464" spans="1:10" ht="12.5" x14ac:dyDescent="0.25">
      <c r="A464" s="2" t="str">
        <f ca="1">IFERROR(__xludf.DUMMYFUNCTION("""COMPUTED_VALUE"""),"KP/001503")</f>
        <v>KP/001503</v>
      </c>
      <c r="B464" s="2" t="str">
        <f ca="1">IFERROR(__xludf.DUMMYFUNCTION("""COMPUTED_VALUE"""),"Verkeersveiligheid")</f>
        <v>Verkeersveiligheid</v>
      </c>
      <c r="C464" s="2" t="str">
        <f ca="1">IFERROR(__xludf.DUMMYFUNCTION("""COMPUTED_VALUE"""),"Schoolroute")</f>
        <v>Schoolroute</v>
      </c>
      <c r="D464" s="2" t="str">
        <f ca="1">IFERROR(__xludf.DUMMYFUNCTION("""COMPUTED_VALUE"""),"IN/001165")</f>
        <v>IN/001165</v>
      </c>
      <c r="E464" s="2" t="str">
        <f ca="1">IFERROR(__xludf.DUMMYFUNCTION("UNIQUE(FILTER('export kabinetdashboard 1210202'!N:P,'export kabinetdashboard 1210202'!M:M=D464))"),"")</f>
        <v/>
      </c>
      <c r="F464" s="2" t="str">
        <f ca="1">IFERROR(__xludf.DUMMYFUNCTION("""COMPUTED_VALUE"""),"n.t.b.")</f>
        <v>n.t.b.</v>
      </c>
      <c r="G464" s="2" t="str">
        <f ca="1">IFERROR(__xludf.DUMMYFUNCTION("""COMPUTED_VALUE"""),"n.t.b.")</f>
        <v>n.t.b.</v>
      </c>
      <c r="H464" s="2">
        <f ca="1">SUMIFS('bedragen KIM (budgettering &amp; pl'!S:S,'bedragen KIM (budgettering &amp; pl'!B:B,A464,'bedragen KIM (budgettering &amp; pl'!F:F,D464)</f>
        <v>1500</v>
      </c>
      <c r="I464" s="2" t="e">
        <f ca="1">SUMIFS(#REF!,#REF!,A464,#REF!,D464)</f>
        <v>#REF!</v>
      </c>
      <c r="J464" s="2" t="e">
        <f ca="1">SUMIFS(#REF!,#REF!,A464,#REF!,D464)</f>
        <v>#REF!</v>
      </c>
    </row>
    <row r="465" spans="1:10" ht="12.5" x14ac:dyDescent="0.25">
      <c r="A465" s="2" t="str">
        <f ca="1">IFERROR(__xludf.DUMMYFUNCTION("""COMPUTED_VALUE"""),"KP/001504")</f>
        <v>KP/001504</v>
      </c>
      <c r="B465" s="2" t="str">
        <f ca="1">IFERROR(__xludf.DUMMYFUNCTION("""COMPUTED_VALUE"""),"Verkeersveiligheid")</f>
        <v>Verkeersveiligheid</v>
      </c>
      <c r="C465" s="2" t="str">
        <f ca="1">IFERROR(__xludf.DUMMYFUNCTION("""COMPUTED_VALUE"""),"Schoolroute")</f>
        <v>Schoolroute</v>
      </c>
      <c r="D465" s="2" t="str">
        <f ca="1">IFERROR(__xludf.DUMMYFUNCTION("""COMPUTED_VALUE"""),"IN/001166")</f>
        <v>IN/001166</v>
      </c>
      <c r="E465" s="2" t="str">
        <f ca="1">IFERROR(__xludf.DUMMYFUNCTION("UNIQUE(FILTER('export kabinetdashboard 1210202'!N:P,'export kabinetdashboard 1210202'!M:M=D465))"),"")</f>
        <v/>
      </c>
      <c r="F465" s="2" t="str">
        <f ca="1">IFERROR(__xludf.DUMMYFUNCTION("""COMPUTED_VALUE"""),"n.t.b.")</f>
        <v>n.t.b.</v>
      </c>
      <c r="G465" s="2" t="str">
        <f ca="1">IFERROR(__xludf.DUMMYFUNCTION("""COMPUTED_VALUE"""),"n.t.b.")</f>
        <v>n.t.b.</v>
      </c>
      <c r="H465" s="2">
        <f ca="1">SUMIFS('bedragen KIM (budgettering &amp; pl'!S:S,'bedragen KIM (budgettering &amp; pl'!B:B,A465,'bedragen KIM (budgettering &amp; pl'!F:F,D465)</f>
        <v>1500</v>
      </c>
      <c r="I465" s="2" t="e">
        <f ca="1">SUMIFS(#REF!,#REF!,A465,#REF!,D465)</f>
        <v>#REF!</v>
      </c>
      <c r="J465" s="2" t="e">
        <f ca="1">SUMIFS(#REF!,#REF!,A465,#REF!,D465)</f>
        <v>#REF!</v>
      </c>
    </row>
    <row r="466" spans="1:10" ht="12.5" x14ac:dyDescent="0.25">
      <c r="A466" s="2" t="str">
        <f ca="1">IFERROR(__xludf.DUMMYFUNCTION("""COMPUTED_VALUE"""),"KP/001505")</f>
        <v>KP/001505</v>
      </c>
      <c r="B466" s="2" t="str">
        <f ca="1">IFERROR(__xludf.DUMMYFUNCTION("""COMPUTED_VALUE"""),"Verkeersveiligheid")</f>
        <v>Verkeersveiligheid</v>
      </c>
      <c r="C466" s="2" t="str">
        <f ca="1">IFERROR(__xludf.DUMMYFUNCTION("""COMPUTED_VALUE"""),"Schoolroute")</f>
        <v>Schoolroute</v>
      </c>
      <c r="D466" s="2" t="str">
        <f ca="1">IFERROR(__xludf.DUMMYFUNCTION("""COMPUTED_VALUE"""),"IN/001167")</f>
        <v>IN/001167</v>
      </c>
      <c r="E466" s="2" t="str">
        <f ca="1">IFERROR(__xludf.DUMMYFUNCTION("UNIQUE(FILTER('export kabinetdashboard 1210202'!N:P,'export kabinetdashboard 1210202'!M:M=D466))"),"")</f>
        <v/>
      </c>
      <c r="F466" s="2" t="str">
        <f ca="1">IFERROR(__xludf.DUMMYFUNCTION("""COMPUTED_VALUE"""),"n.t.b.")</f>
        <v>n.t.b.</v>
      </c>
      <c r="G466" s="2" t="str">
        <f ca="1">IFERROR(__xludf.DUMMYFUNCTION("""COMPUTED_VALUE"""),"n.t.b.")</f>
        <v>n.t.b.</v>
      </c>
      <c r="H466" s="2">
        <f ca="1">SUMIFS('bedragen KIM (budgettering &amp; pl'!S:S,'bedragen KIM (budgettering &amp; pl'!B:B,A466,'bedragen KIM (budgettering &amp; pl'!F:F,D466)</f>
        <v>1500</v>
      </c>
      <c r="I466" s="2" t="e">
        <f ca="1">SUMIFS(#REF!,#REF!,A466,#REF!,D466)</f>
        <v>#REF!</v>
      </c>
      <c r="J466" s="2" t="e">
        <f ca="1">SUMIFS(#REF!,#REF!,A466,#REF!,D466)</f>
        <v>#REF!</v>
      </c>
    </row>
    <row r="467" spans="1:10" ht="12.5" x14ac:dyDescent="0.25">
      <c r="A467" s="2" t="str">
        <f ca="1">IFERROR(__xludf.DUMMYFUNCTION("""COMPUTED_VALUE"""),"KP/001506")</f>
        <v>KP/001506</v>
      </c>
      <c r="B467" s="2" t="str">
        <f ca="1">IFERROR(__xludf.DUMMYFUNCTION("""COMPUTED_VALUE"""),"Verkeersveiligheid")</f>
        <v>Verkeersveiligheid</v>
      </c>
      <c r="C467" s="2" t="str">
        <f ca="1">IFERROR(__xludf.DUMMYFUNCTION("""COMPUTED_VALUE"""),"Schoolroute")</f>
        <v>Schoolroute</v>
      </c>
      <c r="D467" s="2" t="str">
        <f ca="1">IFERROR(__xludf.DUMMYFUNCTION("""COMPUTED_VALUE"""),"IN/001168")</f>
        <v>IN/001168</v>
      </c>
      <c r="E467" s="2" t="str">
        <f ca="1">IFERROR(__xludf.DUMMYFUNCTION("UNIQUE(FILTER('export kabinetdashboard 1210202'!N:P,'export kabinetdashboard 1210202'!M:M=D467))"),"#N/A")</f>
        <v>#N/A</v>
      </c>
      <c r="H467" s="2">
        <f ca="1">SUMIFS('bedragen KIM (budgettering &amp; pl'!S:S,'bedragen KIM (budgettering &amp; pl'!B:B,A467,'bedragen KIM (budgettering &amp; pl'!F:F,D467)</f>
        <v>0</v>
      </c>
      <c r="I467" s="2" t="e">
        <f ca="1">SUMIFS(#REF!,#REF!,A467,#REF!,D467)</f>
        <v>#REF!</v>
      </c>
      <c r="J467" s="2" t="e">
        <f ca="1">SUMIFS(#REF!,#REF!,A467,#REF!,D467)</f>
        <v>#REF!</v>
      </c>
    </row>
    <row r="468" spans="1:10" ht="12.5" x14ac:dyDescent="0.25">
      <c r="A468" s="2" t="str">
        <f ca="1">IFERROR(__xludf.DUMMYFUNCTION("""COMPUTED_VALUE"""),"KP/001507")</f>
        <v>KP/001507</v>
      </c>
      <c r="B468" s="2" t="str">
        <f ca="1">IFERROR(__xludf.DUMMYFUNCTION("""COMPUTED_VALUE"""),"Verkeersveiligheid")</f>
        <v>Verkeersveiligheid</v>
      </c>
      <c r="C468" s="2" t="str">
        <f ca="1">IFERROR(__xludf.DUMMYFUNCTION("""COMPUTED_VALUE"""),"Schoolroute")</f>
        <v>Schoolroute</v>
      </c>
      <c r="D468" s="2" t="str">
        <f ca="1">IFERROR(__xludf.DUMMYFUNCTION("""COMPUTED_VALUE"""),"IN/001169")</f>
        <v>IN/001169</v>
      </c>
      <c r="E468" s="2" t="str">
        <f ca="1">IFERROR(__xludf.DUMMYFUNCTION("UNIQUE(FILTER('export kabinetdashboard 1210202'!N:P,'export kabinetdashboard 1210202'!M:M=D468))"),"")</f>
        <v/>
      </c>
      <c r="F468" s="2" t="str">
        <f ca="1">IFERROR(__xludf.DUMMYFUNCTION("""COMPUTED_VALUE"""),"n.t.b.")</f>
        <v>n.t.b.</v>
      </c>
      <c r="G468" s="2" t="str">
        <f ca="1">IFERROR(__xludf.DUMMYFUNCTION("""COMPUTED_VALUE"""),"n.t.b.")</f>
        <v>n.t.b.</v>
      </c>
      <c r="H468" s="2">
        <f ca="1">SUMIFS('bedragen KIM (budgettering &amp; pl'!S:S,'bedragen KIM (budgettering &amp; pl'!B:B,A468,'bedragen KIM (budgettering &amp; pl'!F:F,D468)</f>
        <v>0</v>
      </c>
      <c r="I468" s="2" t="e">
        <f ca="1">SUMIFS(#REF!,#REF!,A468,#REF!,D468)</f>
        <v>#REF!</v>
      </c>
      <c r="J468" s="2" t="e">
        <f ca="1">SUMIFS(#REF!,#REF!,A468,#REF!,D468)</f>
        <v>#REF!</v>
      </c>
    </row>
    <row r="469" spans="1:10" ht="12.5" x14ac:dyDescent="0.25">
      <c r="A469" s="2" t="str">
        <f ca="1">IFERROR(__xludf.DUMMYFUNCTION("""COMPUTED_VALUE"""),"KP/001509")</f>
        <v>KP/001509</v>
      </c>
      <c r="B469" s="2" t="str">
        <f ca="1">IFERROR(__xludf.DUMMYFUNCTION("""COMPUTED_VALUE"""),"Verkeersveiligheid")</f>
        <v>Verkeersveiligheid</v>
      </c>
      <c r="C469" s="2" t="str">
        <f ca="1">IFERROR(__xludf.DUMMYFUNCTION("""COMPUTED_VALUE"""),"Schoolroute")</f>
        <v>Schoolroute</v>
      </c>
      <c r="D469" s="2" t="str">
        <f ca="1">IFERROR(__xludf.DUMMYFUNCTION("""COMPUTED_VALUE"""),"IN/001170")</f>
        <v>IN/001170</v>
      </c>
      <c r="E469" s="2" t="str">
        <f ca="1">IFERROR(__xludf.DUMMYFUNCTION("UNIQUE(FILTER('export kabinetdashboard 1210202'!N:P,'export kabinetdashboard 1210202'!M:M=D469))"),"")</f>
        <v/>
      </c>
      <c r="F469" s="2" t="str">
        <f ca="1">IFERROR(__xludf.DUMMYFUNCTION("""COMPUTED_VALUE"""),"2023 - Q3")</f>
        <v>2023 - Q3</v>
      </c>
      <c r="G469" s="2" t="str">
        <f ca="1">IFERROR(__xludf.DUMMYFUNCTION("""COMPUTED_VALUE"""),"n.t.b.")</f>
        <v>n.t.b.</v>
      </c>
      <c r="H469" s="2">
        <f ca="1">SUMIFS('bedragen KIM (budgettering &amp; pl'!S:S,'bedragen KIM (budgettering &amp; pl'!B:B,A469,'bedragen KIM (budgettering &amp; pl'!F:F,D469)</f>
        <v>400000</v>
      </c>
      <c r="I469" s="2" t="e">
        <f ca="1">SUMIFS(#REF!,#REF!,A469,#REF!,D469)</f>
        <v>#REF!</v>
      </c>
      <c r="J469" s="2" t="e">
        <f ca="1">SUMIFS(#REF!,#REF!,A469,#REF!,D469)</f>
        <v>#REF!</v>
      </c>
    </row>
    <row r="470" spans="1:10" ht="12.5" x14ac:dyDescent="0.25">
      <c r="A470" s="2" t="str">
        <f ca="1">IFERROR(__xludf.DUMMYFUNCTION("""COMPUTED_VALUE"""),"KP/001511")</f>
        <v>KP/001511</v>
      </c>
      <c r="B470" s="2" t="str">
        <f ca="1">IFERROR(__xludf.DUMMYFUNCTION("""COMPUTED_VALUE"""),"Verkeersveiligheid")</f>
        <v>Verkeersveiligheid</v>
      </c>
      <c r="C470" s="2" t="str">
        <f ca="1">IFERROR(__xludf.DUMMYFUNCTION("""COMPUTED_VALUE"""),"Schoolroute")</f>
        <v>Schoolroute</v>
      </c>
      <c r="D470" s="2" t="str">
        <f ca="1">IFERROR(__xludf.DUMMYFUNCTION("""COMPUTED_VALUE"""),"IN/001171")</f>
        <v>IN/001171</v>
      </c>
      <c r="E470" s="2" t="str">
        <f ca="1">IFERROR(__xludf.DUMMYFUNCTION("UNIQUE(FILTER('export kabinetdashboard 1210202'!N:P,'export kabinetdashboard 1210202'!M:M=D470))"),"")</f>
        <v/>
      </c>
      <c r="F470" s="2" t="str">
        <f ca="1">IFERROR(__xludf.DUMMYFUNCTION("""COMPUTED_VALUE"""),"2023 - Q3")</f>
        <v>2023 - Q3</v>
      </c>
      <c r="G470" s="2" t="str">
        <f ca="1">IFERROR(__xludf.DUMMYFUNCTION("""COMPUTED_VALUE"""),"n.t.b.")</f>
        <v>n.t.b.</v>
      </c>
      <c r="H470" s="2">
        <f ca="1">SUMIFS('bedragen KIM (budgettering &amp; pl'!S:S,'bedragen KIM (budgettering &amp; pl'!B:B,A470,'bedragen KIM (budgettering &amp; pl'!F:F,D470)</f>
        <v>40000</v>
      </c>
      <c r="I470" s="2" t="e">
        <f ca="1">SUMIFS(#REF!,#REF!,A470,#REF!,D470)</f>
        <v>#REF!</v>
      </c>
      <c r="J470" s="2" t="e">
        <f ca="1">SUMIFS(#REF!,#REF!,A470,#REF!,D470)</f>
        <v>#REF!</v>
      </c>
    </row>
    <row r="471" spans="1:10" ht="12.5" x14ac:dyDescent="0.25">
      <c r="A471" s="2" t="str">
        <f ca="1">IFERROR(__xludf.DUMMYFUNCTION("""COMPUTED_VALUE"""),"KP/001512")</f>
        <v>KP/001512</v>
      </c>
      <c r="B471" s="2" t="str">
        <f ca="1">IFERROR(__xludf.DUMMYFUNCTION("""COMPUTED_VALUE"""),"Verkeersveiligheid")</f>
        <v>Verkeersveiligheid</v>
      </c>
      <c r="C471" s="2" t="str">
        <f ca="1">IFERROR(__xludf.DUMMYFUNCTION("""COMPUTED_VALUE"""),"Schoolroute")</f>
        <v>Schoolroute</v>
      </c>
      <c r="D471" s="2" t="str">
        <f ca="1">IFERROR(__xludf.DUMMYFUNCTION("""COMPUTED_VALUE"""),"IN/001172")</f>
        <v>IN/001172</v>
      </c>
      <c r="E471" s="2" t="str">
        <f ca="1">IFERROR(__xludf.DUMMYFUNCTION("UNIQUE(FILTER('export kabinetdashboard 1210202'!N:P,'export kabinetdashboard 1210202'!M:M=D471))"),"#N/A")</f>
        <v>#N/A</v>
      </c>
      <c r="H471" s="2">
        <f ca="1">SUMIFS('bedragen KIM (budgettering &amp; pl'!S:S,'bedragen KIM (budgettering &amp; pl'!B:B,A471,'bedragen KIM (budgettering &amp; pl'!F:F,D471)</f>
        <v>4000</v>
      </c>
      <c r="I471" s="2" t="e">
        <f ca="1">SUMIFS(#REF!,#REF!,A471,#REF!,D471)</f>
        <v>#REF!</v>
      </c>
      <c r="J471" s="2" t="e">
        <f ca="1">SUMIFS(#REF!,#REF!,A471,#REF!,D471)</f>
        <v>#REF!</v>
      </c>
    </row>
    <row r="472" spans="1:10" ht="12.5" x14ac:dyDescent="0.25">
      <c r="A472" s="2" t="str">
        <f ca="1">IFERROR(__xludf.DUMMYFUNCTION("""COMPUTED_VALUE"""),"KP/001513")</f>
        <v>KP/001513</v>
      </c>
      <c r="B472" s="2" t="str">
        <f ca="1">IFERROR(__xludf.DUMMYFUNCTION("""COMPUTED_VALUE"""),"Verkeersveiligheid")</f>
        <v>Verkeersveiligheid</v>
      </c>
      <c r="C472" s="2" t="str">
        <f ca="1">IFERROR(__xludf.DUMMYFUNCTION("""COMPUTED_VALUE"""),"Schoolroute")</f>
        <v>Schoolroute</v>
      </c>
      <c r="D472" s="2" t="str">
        <f ca="1">IFERROR(__xludf.DUMMYFUNCTION("""COMPUTED_VALUE"""),"IN/001173")</f>
        <v>IN/001173</v>
      </c>
      <c r="E472" s="2" t="str">
        <f ca="1">IFERROR(__xludf.DUMMYFUNCTION("UNIQUE(FILTER('export kabinetdashboard 1210202'!N:P,'export kabinetdashboard 1210202'!M:M=D472))"),"")</f>
        <v/>
      </c>
      <c r="F472" s="2" t="str">
        <f ca="1">IFERROR(__xludf.DUMMYFUNCTION("""COMPUTED_VALUE"""),"2022 - Q1")</f>
        <v>2022 - Q1</v>
      </c>
      <c r="G472" s="2" t="str">
        <f ca="1">IFERROR(__xludf.DUMMYFUNCTION("""COMPUTED_VALUE"""),"2022 - Q2")</f>
        <v>2022 - Q2</v>
      </c>
      <c r="H472" s="2">
        <f ca="1">SUMIFS('bedragen KIM (budgettering &amp; pl'!S:S,'bedragen KIM (budgettering &amp; pl'!B:B,A472,'bedragen KIM (budgettering &amp; pl'!F:F,D472)</f>
        <v>0</v>
      </c>
      <c r="I472" s="2" t="e">
        <f ca="1">SUMIFS(#REF!,#REF!,A472,#REF!,D472)</f>
        <v>#REF!</v>
      </c>
      <c r="J472" s="2" t="e">
        <f ca="1">SUMIFS(#REF!,#REF!,A472,#REF!,D472)</f>
        <v>#REF!</v>
      </c>
    </row>
    <row r="473" spans="1:10" ht="12.5" x14ac:dyDescent="0.25">
      <c r="A473" s="2" t="str">
        <f ca="1">IFERROR(__xludf.DUMMYFUNCTION("""COMPUTED_VALUE"""),"KP/001514")</f>
        <v>KP/001514</v>
      </c>
      <c r="B473" s="2" t="str">
        <f ca="1">IFERROR(__xludf.DUMMYFUNCTION("""COMPUTED_VALUE"""),"Verkeersveiligheid")</f>
        <v>Verkeersveiligheid</v>
      </c>
      <c r="C473" s="2" t="str">
        <f ca="1">IFERROR(__xludf.DUMMYFUNCTION("""COMPUTED_VALUE"""),"Schoolroute")</f>
        <v>Schoolroute</v>
      </c>
      <c r="D473" s="2" t="str">
        <f ca="1">IFERROR(__xludf.DUMMYFUNCTION("""COMPUTED_VALUE"""),"IN/001174")</f>
        <v>IN/001174</v>
      </c>
      <c r="E473" s="2" t="str">
        <f ca="1">IFERROR(__xludf.DUMMYFUNCTION("UNIQUE(FILTER('export kabinetdashboard 1210202'!N:P,'export kabinetdashboard 1210202'!M:M=D473))"),"#N/A")</f>
        <v>#N/A</v>
      </c>
      <c r="H473" s="2">
        <f ca="1">SUMIFS('bedragen KIM (budgettering &amp; pl'!S:S,'bedragen KIM (budgettering &amp; pl'!B:B,A473,'bedragen KIM (budgettering &amp; pl'!F:F,D473)</f>
        <v>3000</v>
      </c>
      <c r="I473" s="2" t="e">
        <f ca="1">SUMIFS(#REF!,#REF!,A473,#REF!,D473)</f>
        <v>#REF!</v>
      </c>
      <c r="J473" s="2" t="e">
        <f ca="1">SUMIFS(#REF!,#REF!,A473,#REF!,D473)</f>
        <v>#REF!</v>
      </c>
    </row>
    <row r="474" spans="1:10" ht="12.5" x14ac:dyDescent="0.25">
      <c r="A474" s="2" t="str">
        <f ca="1">IFERROR(__xludf.DUMMYFUNCTION("""COMPUTED_VALUE"""),"KP/001515")</f>
        <v>KP/001515</v>
      </c>
      <c r="B474" s="2" t="str">
        <f ca="1">IFERROR(__xludf.DUMMYFUNCTION("""COMPUTED_VALUE"""),"Verkeersveiligheid")</f>
        <v>Verkeersveiligheid</v>
      </c>
      <c r="C474" s="2" t="str">
        <f ca="1">IFERROR(__xludf.DUMMYFUNCTION("""COMPUTED_VALUE"""),"Schoolroute")</f>
        <v>Schoolroute</v>
      </c>
      <c r="D474" s="2" t="str">
        <f ca="1">IFERROR(__xludf.DUMMYFUNCTION("""COMPUTED_VALUE"""),"IN/001175")</f>
        <v>IN/001175</v>
      </c>
      <c r="E474" s="2" t="str">
        <f ca="1">IFERROR(__xludf.DUMMYFUNCTION("UNIQUE(FILTER('export kabinetdashboard 1210202'!N:P,'export kabinetdashboard 1210202'!M:M=D474))"),"")</f>
        <v/>
      </c>
      <c r="F474" s="2" t="str">
        <f ca="1">IFERROR(__xludf.DUMMYFUNCTION("""COMPUTED_VALUE"""),"n.t.b.")</f>
        <v>n.t.b.</v>
      </c>
      <c r="G474" s="2" t="str">
        <f ca="1">IFERROR(__xludf.DUMMYFUNCTION("""COMPUTED_VALUE"""),"n.t.b.")</f>
        <v>n.t.b.</v>
      </c>
      <c r="H474" s="2">
        <f ca="1">SUMIFS('bedragen KIM (budgettering &amp; pl'!S:S,'bedragen KIM (budgettering &amp; pl'!B:B,A474,'bedragen KIM (budgettering &amp; pl'!F:F,D474)</f>
        <v>4000</v>
      </c>
      <c r="I474" s="2" t="e">
        <f ca="1">SUMIFS(#REF!,#REF!,A474,#REF!,D474)</f>
        <v>#REF!</v>
      </c>
      <c r="J474" s="2" t="e">
        <f ca="1">SUMIFS(#REF!,#REF!,A474,#REF!,D474)</f>
        <v>#REF!</v>
      </c>
    </row>
    <row r="475" spans="1:10" ht="12.5" x14ac:dyDescent="0.25">
      <c r="A475" s="2" t="str">
        <f ca="1">IFERROR(__xludf.DUMMYFUNCTION("""COMPUTED_VALUE"""),"KP/001518")</f>
        <v>KP/001518</v>
      </c>
      <c r="B475" s="2" t="str">
        <f ca="1">IFERROR(__xludf.DUMMYFUNCTION("""COMPUTED_VALUE"""),"Verkeersveiligheid")</f>
        <v>Verkeersveiligheid</v>
      </c>
      <c r="C475" s="2" t="str">
        <f ca="1">IFERROR(__xludf.DUMMYFUNCTION("""COMPUTED_VALUE"""),"Schoolroute")</f>
        <v>Schoolroute</v>
      </c>
      <c r="D475" s="2" t="str">
        <f ca="1">IFERROR(__xludf.DUMMYFUNCTION("""COMPUTED_VALUE"""),"IN/001176")</f>
        <v>IN/001176</v>
      </c>
      <c r="E475" s="2" t="str">
        <f ca="1">IFERROR(__xludf.DUMMYFUNCTION("UNIQUE(FILTER('export kabinetdashboard 1210202'!N:P,'export kabinetdashboard 1210202'!M:M=D475))"),"")</f>
        <v/>
      </c>
      <c r="F475" s="2" t="str">
        <f ca="1">IFERROR(__xludf.DUMMYFUNCTION("""COMPUTED_VALUE"""),"2022 - Q3")</f>
        <v>2022 - Q3</v>
      </c>
      <c r="G475" s="2" t="str">
        <f ca="1">IFERROR(__xludf.DUMMYFUNCTION("""COMPUTED_VALUE"""),"n.t.b.")</f>
        <v>n.t.b.</v>
      </c>
      <c r="H475" s="2">
        <f ca="1">SUMIFS('bedragen KIM (budgettering &amp; pl'!S:S,'bedragen KIM (budgettering &amp; pl'!B:B,A475,'bedragen KIM (budgettering &amp; pl'!F:F,D475)</f>
        <v>0</v>
      </c>
      <c r="I475" s="2" t="e">
        <f ca="1">SUMIFS(#REF!,#REF!,A475,#REF!,D475)</f>
        <v>#REF!</v>
      </c>
      <c r="J475" s="2" t="e">
        <f ca="1">SUMIFS(#REF!,#REF!,A475,#REF!,D475)</f>
        <v>#REF!</v>
      </c>
    </row>
    <row r="476" spans="1:10" ht="12.5" x14ac:dyDescent="0.25">
      <c r="A476" s="2" t="str">
        <f ca="1">IFERROR(__xludf.DUMMYFUNCTION("""COMPUTED_VALUE"""),"KP/001519")</f>
        <v>KP/001519</v>
      </c>
      <c r="B476" s="2" t="str">
        <f ca="1">IFERROR(__xludf.DUMMYFUNCTION("""COMPUTED_VALUE"""),"Verkeersveiligheid")</f>
        <v>Verkeersveiligheid</v>
      </c>
      <c r="C476" s="2" t="str">
        <f ca="1">IFERROR(__xludf.DUMMYFUNCTION("""COMPUTED_VALUE"""),"Schoolroute")</f>
        <v>Schoolroute</v>
      </c>
      <c r="D476" s="2" t="str">
        <f ca="1">IFERROR(__xludf.DUMMYFUNCTION("""COMPUTED_VALUE"""),"IN/001177")</f>
        <v>IN/001177</v>
      </c>
      <c r="E476" s="2" t="str">
        <f ca="1">IFERROR(__xludf.DUMMYFUNCTION("UNIQUE(FILTER('export kabinetdashboard 1210202'!N:P,'export kabinetdashboard 1210202'!M:M=D476))"),"Aanpassen wegbeeld volgens PCV")</f>
        <v>Aanpassen wegbeeld volgens PCV</v>
      </c>
      <c r="F476" s="2" t="str">
        <f ca="1">IFERROR(__xludf.DUMMYFUNCTION("""COMPUTED_VALUE"""),"2022 - Q2")</f>
        <v>2022 - Q2</v>
      </c>
      <c r="G476" s="2" t="str">
        <f ca="1">IFERROR(__xludf.DUMMYFUNCTION("""COMPUTED_VALUE"""),"n.t.b.")</f>
        <v>n.t.b.</v>
      </c>
      <c r="H476" s="2">
        <f ca="1">SUMIFS('bedragen KIM (budgettering &amp; pl'!S:S,'bedragen KIM (budgettering &amp; pl'!B:B,A476,'bedragen KIM (budgettering &amp; pl'!F:F,D476)</f>
        <v>70000</v>
      </c>
      <c r="I476" s="2" t="e">
        <f ca="1">SUMIFS(#REF!,#REF!,A476,#REF!,D476)</f>
        <v>#REF!</v>
      </c>
      <c r="J476" s="2" t="e">
        <f ca="1">SUMIFS(#REF!,#REF!,A476,#REF!,D476)</f>
        <v>#REF!</v>
      </c>
    </row>
    <row r="477" spans="1:10" ht="12.5" x14ac:dyDescent="0.25">
      <c r="A477" s="2" t="str">
        <f ca="1">IFERROR(__xludf.DUMMYFUNCTION("""COMPUTED_VALUE"""),"KP/001520")</f>
        <v>KP/001520</v>
      </c>
      <c r="B477" s="2" t="str">
        <f ca="1">IFERROR(__xludf.DUMMYFUNCTION("""COMPUTED_VALUE"""),"Verkeersveiligheid")</f>
        <v>Verkeersveiligheid</v>
      </c>
      <c r="C477" s="2" t="str">
        <f ca="1">IFERROR(__xludf.DUMMYFUNCTION("""COMPUTED_VALUE"""),"Schoolroute")</f>
        <v>Schoolroute</v>
      </c>
      <c r="D477" s="2" t="str">
        <f ca="1">IFERROR(__xludf.DUMMYFUNCTION("""COMPUTED_VALUE"""),"IN/001177")</f>
        <v>IN/001177</v>
      </c>
      <c r="E477" s="2" t="str">
        <f ca="1">IFERROR(__xludf.DUMMYFUNCTION("UNIQUE(FILTER('export kabinetdashboard 1210202'!N:P,'export kabinetdashboard 1210202'!M:M=D477))"),"Aanpassen wegbeeld volgens PCV")</f>
        <v>Aanpassen wegbeeld volgens PCV</v>
      </c>
      <c r="F477" s="2" t="str">
        <f ca="1">IFERROR(__xludf.DUMMYFUNCTION("""COMPUTED_VALUE"""),"2022 - Q2")</f>
        <v>2022 - Q2</v>
      </c>
      <c r="G477" s="2" t="str">
        <f ca="1">IFERROR(__xludf.DUMMYFUNCTION("""COMPUTED_VALUE"""),"n.t.b.")</f>
        <v>n.t.b.</v>
      </c>
      <c r="H477" s="2">
        <f ca="1">SUMIFS('bedragen KIM (budgettering &amp; pl'!S:S,'bedragen KIM (budgettering &amp; pl'!B:B,A477,'bedragen KIM (budgettering &amp; pl'!F:F,D477)</f>
        <v>70000</v>
      </c>
      <c r="I477" s="2" t="e">
        <f ca="1">SUMIFS(#REF!,#REF!,A477,#REF!,D477)</f>
        <v>#REF!</v>
      </c>
      <c r="J477" s="2" t="e">
        <f ca="1">SUMIFS(#REF!,#REF!,A477,#REF!,D477)</f>
        <v>#REF!</v>
      </c>
    </row>
    <row r="478" spans="1:10" ht="12.5" x14ac:dyDescent="0.25">
      <c r="A478" s="2" t="str">
        <f ca="1">IFERROR(__xludf.DUMMYFUNCTION("""COMPUTED_VALUE"""),"KP/001521")</f>
        <v>KP/001521</v>
      </c>
      <c r="B478" s="2" t="str">
        <f ca="1">IFERROR(__xludf.DUMMYFUNCTION("""COMPUTED_VALUE"""),"Verkeersveiligheid")</f>
        <v>Verkeersveiligheid</v>
      </c>
      <c r="C478" s="2" t="str">
        <f ca="1">IFERROR(__xludf.DUMMYFUNCTION("""COMPUTED_VALUE"""),"Schoolroute")</f>
        <v>Schoolroute</v>
      </c>
      <c r="D478" s="2" t="str">
        <f ca="1">IFERROR(__xludf.DUMMYFUNCTION("""COMPUTED_VALUE"""),"IN/001178")</f>
        <v>IN/001178</v>
      </c>
      <c r="E478" s="2" t="str">
        <f ca="1">IFERROR(__xludf.DUMMYFUNCTION("UNIQUE(FILTER('export kabinetdashboard 1210202'!N:P,'export kabinetdashboard 1210202'!M:M=D478))"),"")</f>
        <v/>
      </c>
      <c r="F478" s="2" t="str">
        <f ca="1">IFERROR(__xludf.DUMMYFUNCTION("""COMPUTED_VALUE"""),"n.t.b.")</f>
        <v>n.t.b.</v>
      </c>
      <c r="G478" s="2" t="str">
        <f ca="1">IFERROR(__xludf.DUMMYFUNCTION("""COMPUTED_VALUE"""),"n.t.b.")</f>
        <v>n.t.b.</v>
      </c>
      <c r="H478" s="2">
        <f ca="1">SUMIFS('bedragen KIM (budgettering &amp; pl'!S:S,'bedragen KIM (budgettering &amp; pl'!B:B,A478,'bedragen KIM (budgettering &amp; pl'!F:F,D478)</f>
        <v>0</v>
      </c>
      <c r="I478" s="2" t="e">
        <f ca="1">SUMIFS(#REF!,#REF!,A478,#REF!,D478)</f>
        <v>#REF!</v>
      </c>
      <c r="J478" s="2" t="e">
        <f ca="1">SUMIFS(#REF!,#REF!,A478,#REF!,D478)</f>
        <v>#REF!</v>
      </c>
    </row>
    <row r="479" spans="1:10" ht="12.5" x14ac:dyDescent="0.25">
      <c r="A479" s="2" t="str">
        <f ca="1">IFERROR(__xludf.DUMMYFUNCTION("""COMPUTED_VALUE"""),"KP/001522")</f>
        <v>KP/001522</v>
      </c>
      <c r="B479" s="2" t="str">
        <f ca="1">IFERROR(__xludf.DUMMYFUNCTION("""COMPUTED_VALUE"""),"Verkeersveiligheid")</f>
        <v>Verkeersveiligheid</v>
      </c>
      <c r="C479" s="2" t="str">
        <f ca="1">IFERROR(__xludf.DUMMYFUNCTION("""COMPUTED_VALUE"""),"Schoolroute")</f>
        <v>Schoolroute</v>
      </c>
      <c r="D479" s="2" t="str">
        <f ca="1">IFERROR(__xludf.DUMMYFUNCTION("""COMPUTED_VALUE"""),"IN/001179")</f>
        <v>IN/001179</v>
      </c>
      <c r="E479" s="2" t="str">
        <f ca="1">IFERROR(__xludf.DUMMYFUNCTION("UNIQUE(FILTER('export kabinetdashboard 1210202'!N:P,'export kabinetdashboard 1210202'!M:M=D479))"),"")</f>
        <v/>
      </c>
      <c r="F479" s="2" t="str">
        <f ca="1">IFERROR(__xludf.DUMMYFUNCTION("""COMPUTED_VALUE"""),"n.t.b.")</f>
        <v>n.t.b.</v>
      </c>
      <c r="G479" s="2" t="str">
        <f ca="1">IFERROR(__xludf.DUMMYFUNCTION("""COMPUTED_VALUE"""),"n.t.b.")</f>
        <v>n.t.b.</v>
      </c>
      <c r="H479" s="2">
        <f ca="1">SUMIFS('bedragen KIM (budgettering &amp; pl'!S:S,'bedragen KIM (budgettering &amp; pl'!B:B,A479,'bedragen KIM (budgettering &amp; pl'!F:F,D479)</f>
        <v>3000</v>
      </c>
      <c r="I479" s="2" t="e">
        <f ca="1">SUMIFS(#REF!,#REF!,A479,#REF!,D479)</f>
        <v>#REF!</v>
      </c>
      <c r="J479" s="2" t="e">
        <f ca="1">SUMIFS(#REF!,#REF!,A479,#REF!,D479)</f>
        <v>#REF!</v>
      </c>
    </row>
    <row r="480" spans="1:10" ht="12.5" x14ac:dyDescent="0.25">
      <c r="A480" s="2" t="str">
        <f ca="1">IFERROR(__xludf.DUMMYFUNCTION("""COMPUTED_VALUE"""),"KP/001523")</f>
        <v>KP/001523</v>
      </c>
      <c r="B480" s="2" t="str">
        <f ca="1">IFERROR(__xludf.DUMMYFUNCTION("""COMPUTED_VALUE"""),"Verkeersveiligheid")</f>
        <v>Verkeersveiligheid</v>
      </c>
      <c r="C480" s="2" t="str">
        <f ca="1">IFERROR(__xludf.DUMMYFUNCTION("""COMPUTED_VALUE"""),"Schoolroute")</f>
        <v>Schoolroute</v>
      </c>
      <c r="D480" s="2" t="str">
        <f ca="1">IFERROR(__xludf.DUMMYFUNCTION("""COMPUTED_VALUE"""),"IN/001180")</f>
        <v>IN/001180</v>
      </c>
      <c r="E480" s="2" t="str">
        <f ca="1">IFERROR(__xludf.DUMMYFUNCTION("UNIQUE(FILTER('export kabinetdashboard 1210202'!N:P,'export kabinetdashboard 1210202'!M:M=D480))"),"")</f>
        <v/>
      </c>
      <c r="F480" s="2" t="str">
        <f ca="1">IFERROR(__xludf.DUMMYFUNCTION("""COMPUTED_VALUE"""),"2021 - Q3")</f>
        <v>2021 - Q3</v>
      </c>
      <c r="G480" s="2" t="str">
        <f ca="1">IFERROR(__xludf.DUMMYFUNCTION("""COMPUTED_VALUE"""),"2021 - Q3")</f>
        <v>2021 - Q3</v>
      </c>
      <c r="H480" s="2">
        <f ca="1">SUMIFS('bedragen KIM (budgettering &amp; pl'!S:S,'bedragen KIM (budgettering &amp; pl'!B:B,A480,'bedragen KIM (budgettering &amp; pl'!F:F,D480)</f>
        <v>1500</v>
      </c>
      <c r="I480" s="2" t="e">
        <f ca="1">SUMIFS(#REF!,#REF!,A480,#REF!,D480)</f>
        <v>#REF!</v>
      </c>
      <c r="J480" s="2" t="e">
        <f ca="1">SUMIFS(#REF!,#REF!,A480,#REF!,D480)</f>
        <v>#REF!</v>
      </c>
    </row>
    <row r="481" spans="1:10" ht="12.5" x14ac:dyDescent="0.25">
      <c r="A481" s="2" t="str">
        <f ca="1">IFERROR(__xludf.DUMMYFUNCTION("""COMPUTED_VALUE"""),"KP/001528")</f>
        <v>KP/001528</v>
      </c>
      <c r="B481" s="2" t="str">
        <f ca="1">IFERROR(__xludf.DUMMYFUNCTION("""COMPUTED_VALUE"""),"Verkeersveiligheid")</f>
        <v>Verkeersveiligheid</v>
      </c>
      <c r="C481" s="2" t="str">
        <f ca="1">IFERROR(__xludf.DUMMYFUNCTION("""COMPUTED_VALUE"""),"Schoolroute")</f>
        <v>Schoolroute</v>
      </c>
      <c r="D481" s="2" t="str">
        <f ca="1">IFERROR(__xludf.DUMMYFUNCTION("""COMPUTED_VALUE"""),"IN/001181")</f>
        <v>IN/001181</v>
      </c>
      <c r="E481" s="2" t="str">
        <f ca="1">IFERROR(__xludf.DUMMYFUNCTION("UNIQUE(FILTER('export kabinetdashboard 1210202'!N:P,'export kabinetdashboard 1210202'!M:M=D481))"),"")</f>
        <v/>
      </c>
      <c r="F481" s="2" t="str">
        <f ca="1">IFERROR(__xludf.DUMMYFUNCTION("""COMPUTED_VALUE"""),"2021 - Q4")</f>
        <v>2021 - Q4</v>
      </c>
      <c r="G481" s="2" t="str">
        <f ca="1">IFERROR(__xludf.DUMMYFUNCTION("""COMPUTED_VALUE"""),"2021 - Q4")</f>
        <v>2021 - Q4</v>
      </c>
      <c r="H481" s="2">
        <f ca="1">SUMIFS('bedragen KIM (budgettering &amp; pl'!S:S,'bedragen KIM (budgettering &amp; pl'!B:B,A481,'bedragen KIM (budgettering &amp; pl'!F:F,D481)</f>
        <v>26000</v>
      </c>
      <c r="I481" s="2" t="e">
        <f ca="1">SUMIFS(#REF!,#REF!,A481,#REF!,D481)</f>
        <v>#REF!</v>
      </c>
      <c r="J481" s="2" t="e">
        <f ca="1">SUMIFS(#REF!,#REF!,A481,#REF!,D481)</f>
        <v>#REF!</v>
      </c>
    </row>
    <row r="482" spans="1:10" ht="12.5" x14ac:dyDescent="0.25">
      <c r="A482" s="2" t="str">
        <f ca="1">IFERROR(__xludf.DUMMYFUNCTION("""COMPUTED_VALUE"""),"KP/001531")</f>
        <v>KP/001531</v>
      </c>
      <c r="B482" s="2" t="str">
        <f ca="1">IFERROR(__xludf.DUMMYFUNCTION("""COMPUTED_VALUE"""),"Verkeersveiligheid")</f>
        <v>Verkeersveiligheid</v>
      </c>
      <c r="C482" s="2" t="str">
        <f ca="1">IFERROR(__xludf.DUMMYFUNCTION("""COMPUTED_VALUE"""),"Schoolroute")</f>
        <v>Schoolroute</v>
      </c>
      <c r="D482" s="2" t="str">
        <f ca="1">IFERROR(__xludf.DUMMYFUNCTION("""COMPUTED_VALUE"""),"IN/001182")</f>
        <v>IN/001182</v>
      </c>
      <c r="E482" s="2" t="str">
        <f ca="1">IFERROR(__xludf.DUMMYFUNCTION("UNIQUE(FILTER('export kabinetdashboard 1210202'!N:P,'export kabinetdashboard 1210202'!M:M=D482))"),"")</f>
        <v/>
      </c>
      <c r="F482" s="2" t="str">
        <f ca="1">IFERROR(__xludf.DUMMYFUNCTION("""COMPUTED_VALUE"""),"n.t.b.")</f>
        <v>n.t.b.</v>
      </c>
      <c r="G482" s="2" t="str">
        <f ca="1">IFERROR(__xludf.DUMMYFUNCTION("""COMPUTED_VALUE"""),"n.t.b.")</f>
        <v>n.t.b.</v>
      </c>
      <c r="H482" s="2">
        <f ca="1">SUMIFS('bedragen KIM (budgettering &amp; pl'!S:S,'bedragen KIM (budgettering &amp; pl'!B:B,A482,'bedragen KIM (budgettering &amp; pl'!F:F,D482)</f>
        <v>0</v>
      </c>
      <c r="I482" s="2" t="e">
        <f ca="1">SUMIFS(#REF!,#REF!,A482,#REF!,D482)</f>
        <v>#REF!</v>
      </c>
      <c r="J482" s="2" t="e">
        <f ca="1">SUMIFS(#REF!,#REF!,A482,#REF!,D482)</f>
        <v>#REF!</v>
      </c>
    </row>
    <row r="483" spans="1:10" ht="12.5" x14ac:dyDescent="0.25">
      <c r="A483" s="2" t="str">
        <f ca="1">IFERROR(__xludf.DUMMYFUNCTION("""COMPUTED_VALUE"""),"KP/001533")</f>
        <v>KP/001533</v>
      </c>
      <c r="B483" s="2" t="str">
        <f ca="1">IFERROR(__xludf.DUMMYFUNCTION("""COMPUTED_VALUE"""),"Verkeersveiligheid")</f>
        <v>Verkeersveiligheid</v>
      </c>
      <c r="C483" s="2" t="str">
        <f ca="1">IFERROR(__xludf.DUMMYFUNCTION("""COMPUTED_VALUE"""),"Schoolroute")</f>
        <v>Schoolroute</v>
      </c>
      <c r="D483" s="2" t="str">
        <f ca="1">IFERROR(__xludf.DUMMYFUNCTION("""COMPUTED_VALUE"""),"IN/001183")</f>
        <v>IN/001183</v>
      </c>
      <c r="E483" s="2" t="str">
        <f ca="1">IFERROR(__xludf.DUMMYFUNCTION("UNIQUE(FILTER('export kabinetdashboard 1210202'!N:P,'export kabinetdashboard 1210202'!M:M=D483))"),"")</f>
        <v/>
      </c>
      <c r="F483" s="2" t="str">
        <f ca="1">IFERROR(__xludf.DUMMYFUNCTION("""COMPUTED_VALUE"""),"2022 - Q3")</f>
        <v>2022 - Q3</v>
      </c>
      <c r="G483" s="2" t="str">
        <f ca="1">IFERROR(__xludf.DUMMYFUNCTION("""COMPUTED_VALUE"""),"n.t.b.")</f>
        <v>n.t.b.</v>
      </c>
      <c r="H483" s="2">
        <f ca="1">SUMIFS('bedragen KIM (budgettering &amp; pl'!S:S,'bedragen KIM (budgettering &amp; pl'!B:B,A483,'bedragen KIM (budgettering &amp; pl'!F:F,D483)</f>
        <v>110000</v>
      </c>
      <c r="I483" s="2" t="e">
        <f ca="1">SUMIFS(#REF!,#REF!,A483,#REF!,D483)</f>
        <v>#REF!</v>
      </c>
      <c r="J483" s="2" t="e">
        <f ca="1">SUMIFS(#REF!,#REF!,A483,#REF!,D483)</f>
        <v>#REF!</v>
      </c>
    </row>
    <row r="484" spans="1:10" ht="12.5" x14ac:dyDescent="0.25">
      <c r="A484" s="2" t="str">
        <f ca="1">IFERROR(__xludf.DUMMYFUNCTION("""COMPUTED_VALUE"""),"KP/001537")</f>
        <v>KP/001537</v>
      </c>
      <c r="B484" s="2" t="str">
        <f ca="1">IFERROR(__xludf.DUMMYFUNCTION("""COMPUTED_VALUE"""),"Verkeersveiligheid")</f>
        <v>Verkeersveiligheid</v>
      </c>
      <c r="C484" s="2" t="str">
        <f ca="1">IFERROR(__xludf.DUMMYFUNCTION("""COMPUTED_VALUE"""),"Schoolroute")</f>
        <v>Schoolroute</v>
      </c>
      <c r="D484" s="2" t="str">
        <f ca="1">IFERROR(__xludf.DUMMYFUNCTION("""COMPUTED_VALUE"""),"IN/001184")</f>
        <v>IN/001184</v>
      </c>
      <c r="E484" s="2" t="str">
        <f ca="1">IFERROR(__xludf.DUMMYFUNCTION("UNIQUE(FILTER('export kabinetdashboard 1210202'!N:P,'export kabinetdashboard 1210202'!M:M=D484))"),"")</f>
        <v/>
      </c>
      <c r="F484" s="2" t="str">
        <f ca="1">IFERROR(__xludf.DUMMYFUNCTION("""COMPUTED_VALUE"""),"2022 - Q4")</f>
        <v>2022 - Q4</v>
      </c>
      <c r="G484" s="2" t="str">
        <f ca="1">IFERROR(__xludf.DUMMYFUNCTION("""COMPUTED_VALUE"""),"n.t.b.")</f>
        <v>n.t.b.</v>
      </c>
      <c r="H484" s="2">
        <f ca="1">SUMIFS('bedragen KIM (budgettering &amp; pl'!S:S,'bedragen KIM (budgettering &amp; pl'!B:B,A484,'bedragen KIM (budgettering &amp; pl'!F:F,D484)</f>
        <v>15000</v>
      </c>
      <c r="I484" s="2" t="e">
        <f ca="1">SUMIFS(#REF!,#REF!,A484,#REF!,D484)</f>
        <v>#REF!</v>
      </c>
      <c r="J484" s="2" t="e">
        <f ca="1">SUMIFS(#REF!,#REF!,A484,#REF!,D484)</f>
        <v>#REF!</v>
      </c>
    </row>
    <row r="485" spans="1:10" ht="12.5" x14ac:dyDescent="0.25">
      <c r="A485" s="2" t="str">
        <f ca="1">IFERROR(__xludf.DUMMYFUNCTION("""COMPUTED_VALUE"""),"KP/001538")</f>
        <v>KP/001538</v>
      </c>
      <c r="B485" s="2" t="str">
        <f ca="1">IFERROR(__xludf.DUMMYFUNCTION("""COMPUTED_VALUE"""),"Verkeersveiligheid")</f>
        <v>Verkeersveiligheid</v>
      </c>
      <c r="C485" s="2" t="str">
        <f ca="1">IFERROR(__xludf.DUMMYFUNCTION("""COMPUTED_VALUE"""),"Schoolroute")</f>
        <v>Schoolroute</v>
      </c>
      <c r="D485" s="2" t="str">
        <f ca="1">IFERROR(__xludf.DUMMYFUNCTION("""COMPUTED_VALUE"""),"IN/001185")</f>
        <v>IN/001185</v>
      </c>
      <c r="E485" s="2" t="str">
        <f ca="1">IFERROR(__xludf.DUMMYFUNCTION("UNIQUE(FILTER('export kabinetdashboard 1210202'!N:P,'export kabinetdashboard 1210202'!M:M=D485))"),"")</f>
        <v/>
      </c>
      <c r="F485" s="2" t="str">
        <f ca="1">IFERROR(__xludf.DUMMYFUNCTION("""COMPUTED_VALUE"""),"2022 - Q2")</f>
        <v>2022 - Q2</v>
      </c>
      <c r="G485" s="2" t="str">
        <f ca="1">IFERROR(__xludf.DUMMYFUNCTION("""COMPUTED_VALUE"""),"2022 - Q3")</f>
        <v>2022 - Q3</v>
      </c>
      <c r="H485" s="2">
        <f ca="1">SUMIFS('bedragen KIM (budgettering &amp; pl'!S:S,'bedragen KIM (budgettering &amp; pl'!B:B,A485,'bedragen KIM (budgettering &amp; pl'!F:F,D485)</f>
        <v>5000</v>
      </c>
      <c r="I485" s="2" t="e">
        <f ca="1">SUMIFS(#REF!,#REF!,A485,#REF!,D485)</f>
        <v>#REF!</v>
      </c>
      <c r="J485" s="2" t="e">
        <f ca="1">SUMIFS(#REF!,#REF!,A485,#REF!,D485)</f>
        <v>#REF!</v>
      </c>
    </row>
    <row r="486" spans="1:10" ht="12.5" x14ac:dyDescent="0.25">
      <c r="A486" s="2" t="str">
        <f ca="1">IFERROR(__xludf.DUMMYFUNCTION("""COMPUTED_VALUE"""),"KP/001539")</f>
        <v>KP/001539</v>
      </c>
      <c r="B486" s="2" t="str">
        <f ca="1">IFERROR(__xludf.DUMMYFUNCTION("""COMPUTED_VALUE"""),"Verkeersveiligheid")</f>
        <v>Verkeersveiligheid</v>
      </c>
      <c r="C486" s="2" t="str">
        <f ca="1">IFERROR(__xludf.DUMMYFUNCTION("""COMPUTED_VALUE"""),"Schoolroute")</f>
        <v>Schoolroute</v>
      </c>
      <c r="D486" s="2" t="str">
        <f ca="1">IFERROR(__xludf.DUMMYFUNCTION("""COMPUTED_VALUE"""),"IN/001186")</f>
        <v>IN/001186</v>
      </c>
      <c r="E486" s="2" t="str">
        <f ca="1">IFERROR(__xludf.DUMMYFUNCTION("UNIQUE(FILTER('export kabinetdashboard 1210202'!N:P,'export kabinetdashboard 1210202'!M:M=D486))"),"#N/A")</f>
        <v>#N/A</v>
      </c>
      <c r="H486" s="2">
        <f ca="1">SUMIFS('bedragen KIM (budgettering &amp; pl'!S:S,'bedragen KIM (budgettering &amp; pl'!B:B,A486,'bedragen KIM (budgettering &amp; pl'!F:F,D486)</f>
        <v>4000</v>
      </c>
      <c r="I486" s="2" t="e">
        <f ca="1">SUMIFS(#REF!,#REF!,A486,#REF!,D486)</f>
        <v>#REF!</v>
      </c>
      <c r="J486" s="2" t="e">
        <f ca="1">SUMIFS(#REF!,#REF!,A486,#REF!,D486)</f>
        <v>#REF!</v>
      </c>
    </row>
    <row r="487" spans="1:10" ht="12.5" x14ac:dyDescent="0.25">
      <c r="A487" s="2" t="str">
        <f ca="1">IFERROR(__xludf.DUMMYFUNCTION("""COMPUTED_VALUE"""),"KP/001541")</f>
        <v>KP/001541</v>
      </c>
      <c r="B487" s="2" t="str">
        <f ca="1">IFERROR(__xludf.DUMMYFUNCTION("""COMPUTED_VALUE"""),"Verkeersveiligheid")</f>
        <v>Verkeersveiligheid</v>
      </c>
      <c r="C487" s="2" t="str">
        <f ca="1">IFERROR(__xludf.DUMMYFUNCTION("""COMPUTED_VALUE"""),"Schoolroute")</f>
        <v>Schoolroute</v>
      </c>
      <c r="D487" s="2" t="str">
        <f ca="1">IFERROR(__xludf.DUMMYFUNCTION("""COMPUTED_VALUE"""),"IN/001187")</f>
        <v>IN/001187</v>
      </c>
      <c r="E487" s="2" t="str">
        <f ca="1">IFERROR(__xludf.DUMMYFUNCTION("UNIQUE(FILTER('export kabinetdashboard 1210202'!N:P,'export kabinetdashboard 1210202'!M:M=D487))"),"")</f>
        <v/>
      </c>
      <c r="F487" s="2" t="str">
        <f ca="1">IFERROR(__xludf.DUMMYFUNCTION("""COMPUTED_VALUE"""),"2022 - Q3")</f>
        <v>2022 - Q3</v>
      </c>
      <c r="G487" s="2" t="str">
        <f ca="1">IFERROR(__xludf.DUMMYFUNCTION("""COMPUTED_VALUE"""),"n.t.b.")</f>
        <v>n.t.b.</v>
      </c>
      <c r="H487" s="2">
        <f ca="1">SUMIFS('bedragen KIM (budgettering &amp; pl'!S:S,'bedragen KIM (budgettering &amp; pl'!B:B,A487,'bedragen KIM (budgettering &amp; pl'!F:F,D487)</f>
        <v>35000</v>
      </c>
      <c r="I487" s="2" t="e">
        <f ca="1">SUMIFS(#REF!,#REF!,A487,#REF!,D487)</f>
        <v>#REF!</v>
      </c>
      <c r="J487" s="2" t="e">
        <f ca="1">SUMIFS(#REF!,#REF!,A487,#REF!,D487)</f>
        <v>#REF!</v>
      </c>
    </row>
    <row r="488" spans="1:10" ht="12.5" x14ac:dyDescent="0.25">
      <c r="A488" s="2" t="str">
        <f ca="1">IFERROR(__xludf.DUMMYFUNCTION("""COMPUTED_VALUE"""),"KP/001544")</f>
        <v>KP/001544</v>
      </c>
      <c r="B488" s="2" t="str">
        <f ca="1">IFERROR(__xludf.DUMMYFUNCTION("""COMPUTED_VALUE"""),"Verkeersveiligheid")</f>
        <v>Verkeersveiligheid</v>
      </c>
      <c r="C488" s="2" t="str">
        <f ca="1">IFERROR(__xludf.DUMMYFUNCTION("""COMPUTED_VALUE"""),"Schoolroute")</f>
        <v>Schoolroute</v>
      </c>
      <c r="D488" s="2" t="str">
        <f ca="1">IFERROR(__xludf.DUMMYFUNCTION("""COMPUTED_VALUE"""),"IN/001188")</f>
        <v>IN/001188</v>
      </c>
      <c r="E488" s="2" t="str">
        <f ca="1">IFERROR(__xludf.DUMMYFUNCTION("UNIQUE(FILTER('export kabinetdashboard 1210202'!N:P,'export kabinetdashboard 1210202'!M:M=D488))"),"")</f>
        <v/>
      </c>
      <c r="F488" s="2" t="str">
        <f ca="1">IFERROR(__xludf.DUMMYFUNCTION("""COMPUTED_VALUE"""),"n.t.b.")</f>
        <v>n.t.b.</v>
      </c>
      <c r="G488" s="2" t="str">
        <f ca="1">IFERROR(__xludf.DUMMYFUNCTION("""COMPUTED_VALUE"""),"n.t.b.")</f>
        <v>n.t.b.</v>
      </c>
      <c r="H488" s="2">
        <f ca="1">SUMIFS('bedragen KIM (budgettering &amp; pl'!S:S,'bedragen KIM (budgettering &amp; pl'!B:B,A488,'bedragen KIM (budgettering &amp; pl'!F:F,D488)</f>
        <v>0</v>
      </c>
      <c r="I488" s="2" t="e">
        <f ca="1">SUMIFS(#REF!,#REF!,A488,#REF!,D488)</f>
        <v>#REF!</v>
      </c>
      <c r="J488" s="2" t="e">
        <f ca="1">SUMIFS(#REF!,#REF!,A488,#REF!,D488)</f>
        <v>#REF!</v>
      </c>
    </row>
    <row r="489" spans="1:10" ht="12.5" x14ac:dyDescent="0.25">
      <c r="A489" s="2" t="str">
        <f ca="1">IFERROR(__xludf.DUMMYFUNCTION("""COMPUTED_VALUE"""),"KP/001545")</f>
        <v>KP/001545</v>
      </c>
      <c r="B489" s="2" t="str">
        <f ca="1">IFERROR(__xludf.DUMMYFUNCTION("""COMPUTED_VALUE"""),"Verkeersveiligheid")</f>
        <v>Verkeersveiligheid</v>
      </c>
      <c r="C489" s="2" t="str">
        <f ca="1">IFERROR(__xludf.DUMMYFUNCTION("""COMPUTED_VALUE"""),"Schoolroute")</f>
        <v>Schoolroute</v>
      </c>
      <c r="D489" s="2" t="str">
        <f ca="1">IFERROR(__xludf.DUMMYFUNCTION("""COMPUTED_VALUE"""),"IN/001189")</f>
        <v>IN/001189</v>
      </c>
      <c r="E489" s="2" t="str">
        <f ca="1">IFERROR(__xludf.DUMMYFUNCTION("UNIQUE(FILTER('export kabinetdashboard 1210202'!N:P,'export kabinetdashboard 1210202'!M:M=D489))"),"Plaatsen punctuele verlichting en kleine aanpassing aan oversteek volgens rapport;
Op Oversteek plaats Bazelstraat Camille-Huysmanstraat")</f>
        <v>Plaatsen punctuele verlichting en kleine aanpassing aan oversteek volgens rapport;
Op Oversteek plaats Bazelstraat Camille-Huysmanstraat</v>
      </c>
      <c r="F489" s="2" t="str">
        <f ca="1">IFERROR(__xludf.DUMMYFUNCTION("""COMPUTED_VALUE"""),"2022 - Q3")</f>
        <v>2022 - Q3</v>
      </c>
      <c r="G489" s="2" t="str">
        <f ca="1">IFERROR(__xludf.DUMMYFUNCTION("""COMPUTED_VALUE"""),"n.t.b.")</f>
        <v>n.t.b.</v>
      </c>
      <c r="H489" s="2">
        <f ca="1">SUMIFS('bedragen KIM (budgettering &amp; pl'!S:S,'bedragen KIM (budgettering &amp; pl'!B:B,A489,'bedragen KIM (budgettering &amp; pl'!F:F,D489)</f>
        <v>40000</v>
      </c>
      <c r="I489" s="2" t="e">
        <f ca="1">SUMIFS(#REF!,#REF!,A489,#REF!,D489)</f>
        <v>#REF!</v>
      </c>
      <c r="J489" s="2" t="e">
        <f ca="1">SUMIFS(#REF!,#REF!,A489,#REF!,D489)</f>
        <v>#REF!</v>
      </c>
    </row>
    <row r="490" spans="1:10" ht="12.5" x14ac:dyDescent="0.25">
      <c r="A490" s="2" t="str">
        <f ca="1">IFERROR(__xludf.DUMMYFUNCTION("""COMPUTED_VALUE"""),"KP/001547")</f>
        <v>KP/001547</v>
      </c>
      <c r="B490" s="2" t="str">
        <f ca="1">IFERROR(__xludf.DUMMYFUNCTION("""COMPUTED_VALUE"""),"Verkeersveiligheid")</f>
        <v>Verkeersveiligheid</v>
      </c>
      <c r="C490" s="2" t="str">
        <f ca="1">IFERROR(__xludf.DUMMYFUNCTION("""COMPUTED_VALUE"""),"Schoolroute")</f>
        <v>Schoolroute</v>
      </c>
      <c r="D490" s="2" t="str">
        <f ca="1">IFERROR(__xludf.DUMMYFUNCTION("""COMPUTED_VALUE"""),"IN/001190")</f>
        <v>IN/001190</v>
      </c>
      <c r="E490" s="2" t="str">
        <f ca="1">IFERROR(__xludf.DUMMYFUNCTION("UNIQUE(FILTER('export kabinetdashboard 1210202'!N:P,'export kabinetdashboard 1210202'!M:M=D490))"),"")</f>
        <v/>
      </c>
      <c r="F490" s="2" t="str">
        <f ca="1">IFERROR(__xludf.DUMMYFUNCTION("""COMPUTED_VALUE"""),"n.t.b.")</f>
        <v>n.t.b.</v>
      </c>
      <c r="G490" s="2" t="str">
        <f ca="1">IFERROR(__xludf.DUMMYFUNCTION("""COMPUTED_VALUE"""),"n.t.b.")</f>
        <v>n.t.b.</v>
      </c>
      <c r="H490" s="2">
        <f ca="1">SUMIFS('bedragen KIM (budgettering &amp; pl'!S:S,'bedragen KIM (budgettering &amp; pl'!B:B,A490,'bedragen KIM (budgettering &amp; pl'!F:F,D490)</f>
        <v>40000</v>
      </c>
      <c r="I490" s="2" t="e">
        <f ca="1">SUMIFS(#REF!,#REF!,A490,#REF!,D490)</f>
        <v>#REF!</v>
      </c>
      <c r="J490" s="2" t="e">
        <f ca="1">SUMIFS(#REF!,#REF!,A490,#REF!,D490)</f>
        <v>#REF!</v>
      </c>
    </row>
    <row r="491" spans="1:10" ht="12.5" x14ac:dyDescent="0.25">
      <c r="A491" s="2" t="str">
        <f ca="1">IFERROR(__xludf.DUMMYFUNCTION("""COMPUTED_VALUE"""),"KP/001549")</f>
        <v>KP/001549</v>
      </c>
      <c r="B491" s="2" t="str">
        <f ca="1">IFERROR(__xludf.DUMMYFUNCTION("""COMPUTED_VALUE"""),"Verkeersveiligheid")</f>
        <v>Verkeersveiligheid</v>
      </c>
      <c r="C491" s="2" t="str">
        <f ca="1">IFERROR(__xludf.DUMMYFUNCTION("""COMPUTED_VALUE"""),"Schoolroute")</f>
        <v>Schoolroute</v>
      </c>
      <c r="D491" s="2" t="str">
        <f ca="1">IFERROR(__xludf.DUMMYFUNCTION("""COMPUTED_VALUE"""),"IN/001191")</f>
        <v>IN/001191</v>
      </c>
      <c r="E491" s="2" t="str">
        <f ca="1">IFERROR(__xludf.DUMMYFUNCTION("UNIQUE(FILTER('export kabinetdashboard 1210202'!N:P,'export kabinetdashboard 1210202'!M:M=D491))"),"")</f>
        <v/>
      </c>
      <c r="F491" s="2" t="str">
        <f ca="1">IFERROR(__xludf.DUMMYFUNCTION("""COMPUTED_VALUE"""),"2023 - Q4")</f>
        <v>2023 - Q4</v>
      </c>
      <c r="G491" s="2" t="str">
        <f ca="1">IFERROR(__xludf.DUMMYFUNCTION("""COMPUTED_VALUE"""),"n.t.b.")</f>
        <v>n.t.b.</v>
      </c>
      <c r="H491" s="2">
        <f ca="1">SUMIFS('bedragen KIM (budgettering &amp; pl'!S:S,'bedragen KIM (budgettering &amp; pl'!B:B,A491,'bedragen KIM (budgettering &amp; pl'!F:F,D491)</f>
        <v>2000</v>
      </c>
      <c r="I491" s="2" t="e">
        <f ca="1">SUMIFS(#REF!,#REF!,A491,#REF!,D491)</f>
        <v>#REF!</v>
      </c>
      <c r="J491" s="2" t="e">
        <f ca="1">SUMIFS(#REF!,#REF!,A491,#REF!,D491)</f>
        <v>#REF!</v>
      </c>
    </row>
    <row r="492" spans="1:10" ht="12.5" x14ac:dyDescent="0.25">
      <c r="A492" s="2" t="str">
        <f ca="1">IFERROR(__xludf.DUMMYFUNCTION("""COMPUTED_VALUE"""),"KP/001550")</f>
        <v>KP/001550</v>
      </c>
      <c r="B492" s="2" t="str">
        <f ca="1">IFERROR(__xludf.DUMMYFUNCTION("""COMPUTED_VALUE"""),"Verkeersveiligheid")</f>
        <v>Verkeersveiligheid</v>
      </c>
      <c r="C492" s="2" t="str">
        <f ca="1">IFERROR(__xludf.DUMMYFUNCTION("""COMPUTED_VALUE"""),"Schoolroute")</f>
        <v>Schoolroute</v>
      </c>
      <c r="D492" s="2" t="str">
        <f ca="1">IFERROR(__xludf.DUMMYFUNCTION("""COMPUTED_VALUE"""),"IN/001192")</f>
        <v>IN/001192</v>
      </c>
      <c r="E492" s="2" t="str">
        <f ca="1">IFERROR(__xludf.DUMMYFUNCTION("UNIQUE(FILTER('export kabinetdashboard 1210202'!N:P,'export kabinetdashboard 1210202'!M:M=D492))"),"")</f>
        <v/>
      </c>
      <c r="F492" s="2" t="str">
        <f ca="1">IFERROR(__xludf.DUMMYFUNCTION("""COMPUTED_VALUE"""),"n.t.b.")</f>
        <v>n.t.b.</v>
      </c>
      <c r="G492" s="2" t="str">
        <f ca="1">IFERROR(__xludf.DUMMYFUNCTION("""COMPUTED_VALUE"""),"n.t.b.")</f>
        <v>n.t.b.</v>
      </c>
      <c r="H492" s="2">
        <f ca="1">SUMIFS('bedragen KIM (budgettering &amp; pl'!S:S,'bedragen KIM (budgettering &amp; pl'!B:B,A492,'bedragen KIM (budgettering &amp; pl'!F:F,D492)</f>
        <v>0</v>
      </c>
      <c r="I492" s="2" t="e">
        <f ca="1">SUMIFS(#REF!,#REF!,A492,#REF!,D492)</f>
        <v>#REF!</v>
      </c>
      <c r="J492" s="2" t="e">
        <f ca="1">SUMIFS(#REF!,#REF!,A492,#REF!,D492)</f>
        <v>#REF!</v>
      </c>
    </row>
    <row r="493" spans="1:10" ht="12.5" x14ac:dyDescent="0.25">
      <c r="A493" s="2" t="str">
        <f ca="1">IFERROR(__xludf.DUMMYFUNCTION("""COMPUTED_VALUE"""),"KP/001551")</f>
        <v>KP/001551</v>
      </c>
      <c r="B493" s="2" t="str">
        <f ca="1">IFERROR(__xludf.DUMMYFUNCTION("""COMPUTED_VALUE"""),"Verkeersveiligheid")</f>
        <v>Verkeersveiligheid</v>
      </c>
      <c r="C493" s="2" t="str">
        <f ca="1">IFERROR(__xludf.DUMMYFUNCTION("""COMPUTED_VALUE"""),"Schoolroute")</f>
        <v>Schoolroute</v>
      </c>
      <c r="D493" s="2" t="str">
        <f ca="1">IFERROR(__xludf.DUMMYFUNCTION("""COMPUTED_VALUE"""),"IN/001193")</f>
        <v>IN/001193</v>
      </c>
      <c r="E493" s="2" t="str">
        <f ca="1">IFERROR(__xludf.DUMMYFUNCTION("UNIQUE(FILTER('export kabinetdashboard 1210202'!N:P,'export kabinetdashboard 1210202'!M:M=D493))"),"")</f>
        <v/>
      </c>
      <c r="F493" s="2" t="str">
        <f ca="1">IFERROR(__xludf.DUMMYFUNCTION("""COMPUTED_VALUE"""),"n.t.b.")</f>
        <v>n.t.b.</v>
      </c>
      <c r="G493" s="2" t="str">
        <f ca="1">IFERROR(__xludf.DUMMYFUNCTION("""COMPUTED_VALUE"""),"n.t.b.")</f>
        <v>n.t.b.</v>
      </c>
      <c r="H493" s="2">
        <f ca="1">SUMIFS('bedragen KIM (budgettering &amp; pl'!S:S,'bedragen KIM (budgettering &amp; pl'!B:B,A493,'bedragen KIM (budgettering &amp; pl'!F:F,D493)</f>
        <v>0</v>
      </c>
      <c r="I493" s="2" t="e">
        <f ca="1">SUMIFS(#REF!,#REF!,A493,#REF!,D493)</f>
        <v>#REF!</v>
      </c>
      <c r="J493" s="2" t="e">
        <f ca="1">SUMIFS(#REF!,#REF!,A493,#REF!,D493)</f>
        <v>#REF!</v>
      </c>
    </row>
    <row r="494" spans="1:10" ht="12.5" x14ac:dyDescent="0.25">
      <c r="A494" s="2" t="str">
        <f ca="1">IFERROR(__xludf.DUMMYFUNCTION("""COMPUTED_VALUE"""),"KP/001554")</f>
        <v>KP/001554</v>
      </c>
      <c r="B494" s="2" t="str">
        <f ca="1">IFERROR(__xludf.DUMMYFUNCTION("""COMPUTED_VALUE"""),"Verkeersveiligheid")</f>
        <v>Verkeersveiligheid</v>
      </c>
      <c r="C494" s="2" t="str">
        <f ca="1">IFERROR(__xludf.DUMMYFUNCTION("""COMPUTED_VALUE"""),"Schoolroute")</f>
        <v>Schoolroute</v>
      </c>
      <c r="D494" s="2" t="str">
        <f ca="1">IFERROR(__xludf.DUMMYFUNCTION("""COMPUTED_VALUE"""),"IN/001194")</f>
        <v>IN/001194</v>
      </c>
      <c r="E494" s="2" t="str">
        <f ca="1">IFERROR(__xludf.DUMMYFUNCTION("UNIQUE(FILTER('export kabinetdashboard 1210202'!N:P,'export kabinetdashboard 1210202'!M:M=D494))"),"")</f>
        <v/>
      </c>
      <c r="F494" s="2" t="str">
        <f ca="1">IFERROR(__xludf.DUMMYFUNCTION("""COMPUTED_VALUE"""),"2021 - Q4")</f>
        <v>2021 - Q4</v>
      </c>
      <c r="G494" s="2" t="str">
        <f ca="1">IFERROR(__xludf.DUMMYFUNCTION("""COMPUTED_VALUE"""),"2021 - Q4")</f>
        <v>2021 - Q4</v>
      </c>
      <c r="H494" s="2">
        <f ca="1">SUMIFS('bedragen KIM (budgettering &amp; pl'!S:S,'bedragen KIM (budgettering &amp; pl'!B:B,A494,'bedragen KIM (budgettering &amp; pl'!F:F,D494)</f>
        <v>10000</v>
      </c>
      <c r="I494" s="2" t="e">
        <f ca="1">SUMIFS(#REF!,#REF!,A494,#REF!,D494)</f>
        <v>#REF!</v>
      </c>
      <c r="J494" s="2" t="e">
        <f ca="1">SUMIFS(#REF!,#REF!,A494,#REF!,D494)</f>
        <v>#REF!</v>
      </c>
    </row>
    <row r="495" spans="1:10" ht="12.5" x14ac:dyDescent="0.25">
      <c r="A495" s="2" t="str">
        <f ca="1">IFERROR(__xludf.DUMMYFUNCTION("""COMPUTED_VALUE"""),"KP/001560")</f>
        <v>KP/001560</v>
      </c>
      <c r="B495" s="2" t="str">
        <f ca="1">IFERROR(__xludf.DUMMYFUNCTION("""COMPUTED_VALUE"""),"Verkeersveiligheid")</f>
        <v>Verkeersveiligheid</v>
      </c>
      <c r="C495" s="2" t="str">
        <f ca="1">IFERROR(__xludf.DUMMYFUNCTION("""COMPUTED_VALUE"""),"Schoolroute")</f>
        <v>Schoolroute</v>
      </c>
      <c r="D495" s="2" t="str">
        <f ca="1">IFERROR(__xludf.DUMMYFUNCTION("""COMPUTED_VALUE"""),"IN/001195")</f>
        <v>IN/001195</v>
      </c>
      <c r="E495" s="2" t="str">
        <f ca="1">IFERROR(__xludf.DUMMYFUNCTION("UNIQUE(FILTER('export kabinetdashboard 1210202'!N:P,'export kabinetdashboard 1210202'!M:M=D495))"),"Fietssuggestiestroken aanbrengen;
Op school met toegang langs de Hofveldstraat (gewestweg) alsook Kolpaarstraat (gemeenteweg)")</f>
        <v>Fietssuggestiestroken aanbrengen;
Op school met toegang langs de Hofveldstraat (gewestweg) alsook Kolpaarstraat (gemeenteweg)</v>
      </c>
      <c r="F495" s="2" t="str">
        <f ca="1">IFERROR(__xludf.DUMMYFUNCTION("""COMPUTED_VALUE"""),"2022 - Q2")</f>
        <v>2022 - Q2</v>
      </c>
      <c r="G495" s="2" t="str">
        <f ca="1">IFERROR(__xludf.DUMMYFUNCTION("""COMPUTED_VALUE"""),"2022 - Q3")</f>
        <v>2022 - Q3</v>
      </c>
      <c r="H495" s="2">
        <f ca="1">SUMIFS('bedragen KIM (budgettering &amp; pl'!S:S,'bedragen KIM (budgettering &amp; pl'!B:B,A495,'bedragen KIM (budgettering &amp; pl'!F:F,D495)</f>
        <v>120000</v>
      </c>
      <c r="I495" s="2" t="e">
        <f ca="1">SUMIFS(#REF!,#REF!,A495,#REF!,D495)</f>
        <v>#REF!</v>
      </c>
      <c r="J495" s="2" t="e">
        <f ca="1">SUMIFS(#REF!,#REF!,A495,#REF!,D495)</f>
        <v>#REF!</v>
      </c>
    </row>
    <row r="496" spans="1:10" ht="12.5" x14ac:dyDescent="0.25">
      <c r="A496" s="2" t="str">
        <f ca="1">IFERROR(__xludf.DUMMYFUNCTION("""COMPUTED_VALUE"""),"KP/001566")</f>
        <v>KP/001566</v>
      </c>
      <c r="B496" s="2" t="str">
        <f ca="1">IFERROR(__xludf.DUMMYFUNCTION("""COMPUTED_VALUE"""),"Verkeersveiligheid")</f>
        <v>Verkeersveiligheid</v>
      </c>
      <c r="C496" s="2" t="str">
        <f ca="1">IFERROR(__xludf.DUMMYFUNCTION("""COMPUTED_VALUE"""),"Schoolroute")</f>
        <v>Schoolroute</v>
      </c>
      <c r="D496" s="2" t="str">
        <f ca="1">IFERROR(__xludf.DUMMYFUNCTION("""COMPUTED_VALUE"""),"IN/001196")</f>
        <v>IN/001196</v>
      </c>
      <c r="E496" s="2" t="str">
        <f ca="1">IFERROR(__xludf.DUMMYFUNCTION("UNIQUE(FILTER('export kabinetdashboard 1210202'!N:P,'export kabinetdashboard 1210202'!M:M=D496))"),"#N/A")</f>
        <v>#N/A</v>
      </c>
      <c r="H496" s="2">
        <f ca="1">SUMIFS('bedragen KIM (budgettering &amp; pl'!S:S,'bedragen KIM (budgettering &amp; pl'!B:B,A496,'bedragen KIM (budgettering &amp; pl'!F:F,D496)</f>
        <v>2000</v>
      </c>
      <c r="I496" s="2" t="e">
        <f ca="1">SUMIFS(#REF!,#REF!,A496,#REF!,D496)</f>
        <v>#REF!</v>
      </c>
      <c r="J496" s="2" t="e">
        <f ca="1">SUMIFS(#REF!,#REF!,A496,#REF!,D496)</f>
        <v>#REF!</v>
      </c>
    </row>
    <row r="497" spans="1:10" ht="12.5" x14ac:dyDescent="0.25">
      <c r="A497" s="2" t="str">
        <f ca="1">IFERROR(__xludf.DUMMYFUNCTION("""COMPUTED_VALUE"""),"KP/001571")</f>
        <v>KP/001571</v>
      </c>
      <c r="B497" s="2" t="str">
        <f ca="1">IFERROR(__xludf.DUMMYFUNCTION("""COMPUTED_VALUE"""),"Verkeersveiligheid")</f>
        <v>Verkeersveiligheid</v>
      </c>
      <c r="C497" s="2" t="str">
        <f ca="1">IFERROR(__xludf.DUMMYFUNCTION("""COMPUTED_VALUE"""),"Schoolroute")</f>
        <v>Schoolroute</v>
      </c>
      <c r="D497" s="2" t="str">
        <f ca="1">IFERROR(__xludf.DUMMYFUNCTION("""COMPUTED_VALUE"""),"IN/001197")</f>
        <v>IN/001197</v>
      </c>
      <c r="E497" s="2" t="str">
        <f ca="1">IFERROR(__xludf.DUMMYFUNCTION("UNIQUE(FILTER('export kabinetdashboard 1210202'!N:P,'export kabinetdashboard 1210202'!M:M=D497))"),"#N/A")</f>
        <v>#N/A</v>
      </c>
      <c r="H497" s="2">
        <f ca="1">SUMIFS('bedragen KIM (budgettering &amp; pl'!S:S,'bedragen KIM (budgettering &amp; pl'!B:B,A497,'bedragen KIM (budgettering &amp; pl'!F:F,D497)</f>
        <v>0</v>
      </c>
      <c r="I497" s="2" t="e">
        <f ca="1">SUMIFS(#REF!,#REF!,A497,#REF!,D497)</f>
        <v>#REF!</v>
      </c>
      <c r="J497" s="2" t="e">
        <f ca="1">SUMIFS(#REF!,#REF!,A497,#REF!,D497)</f>
        <v>#REF!</v>
      </c>
    </row>
    <row r="498" spans="1:10" ht="12.5" x14ac:dyDescent="0.25">
      <c r="A498" s="2" t="str">
        <f ca="1">IFERROR(__xludf.DUMMYFUNCTION("""COMPUTED_VALUE"""),"KP/001572")</f>
        <v>KP/001572</v>
      </c>
      <c r="B498" s="2" t="str">
        <f ca="1">IFERROR(__xludf.DUMMYFUNCTION("""COMPUTED_VALUE"""),"Verkeersveiligheid")</f>
        <v>Verkeersveiligheid</v>
      </c>
      <c r="C498" s="2" t="str">
        <f ca="1">IFERROR(__xludf.DUMMYFUNCTION("""COMPUTED_VALUE"""),"Schoolroute")</f>
        <v>Schoolroute</v>
      </c>
      <c r="D498" s="2" t="str">
        <f ca="1">IFERROR(__xludf.DUMMYFUNCTION("""COMPUTED_VALUE"""),"IN/001198")</f>
        <v>IN/001198</v>
      </c>
      <c r="E498" s="2" t="str">
        <f ca="1">IFERROR(__xludf.DUMMYFUNCTION("UNIQUE(FILTER('export kabinetdashboard 1210202'!N:P,'export kabinetdashboard 1210202'!M:M=D498))"),"")</f>
        <v/>
      </c>
      <c r="F498" s="2" t="str">
        <f ca="1">IFERROR(__xludf.DUMMYFUNCTION("""COMPUTED_VALUE"""),"n.t.b.")</f>
        <v>n.t.b.</v>
      </c>
      <c r="G498" s="2" t="str">
        <f ca="1">IFERROR(__xludf.DUMMYFUNCTION("""COMPUTED_VALUE"""),"n.t.b.")</f>
        <v>n.t.b.</v>
      </c>
      <c r="H498" s="2">
        <f ca="1">SUMIFS('bedragen KIM (budgettering &amp; pl'!S:S,'bedragen KIM (budgettering &amp; pl'!B:B,A498,'bedragen KIM (budgettering &amp; pl'!F:F,D498)</f>
        <v>1500</v>
      </c>
      <c r="I498" s="2" t="e">
        <f ca="1">SUMIFS(#REF!,#REF!,A498,#REF!,D498)</f>
        <v>#REF!</v>
      </c>
      <c r="J498" s="2" t="e">
        <f ca="1">SUMIFS(#REF!,#REF!,A498,#REF!,D498)</f>
        <v>#REF!</v>
      </c>
    </row>
    <row r="499" spans="1:10" ht="12.5" x14ac:dyDescent="0.25">
      <c r="A499" s="2" t="str">
        <f ca="1">IFERROR(__xludf.DUMMYFUNCTION("""COMPUTED_VALUE"""),"KP/001573")</f>
        <v>KP/001573</v>
      </c>
      <c r="B499" s="2" t="str">
        <f ca="1">IFERROR(__xludf.DUMMYFUNCTION("""COMPUTED_VALUE"""),"Verkeersveiligheid")</f>
        <v>Verkeersveiligheid</v>
      </c>
      <c r="C499" s="2" t="str">
        <f ca="1">IFERROR(__xludf.DUMMYFUNCTION("""COMPUTED_VALUE"""),"Schoolroute")</f>
        <v>Schoolroute</v>
      </c>
      <c r="D499" s="2" t="str">
        <f ca="1">IFERROR(__xludf.DUMMYFUNCTION("""COMPUTED_VALUE"""),"IN/001199")</f>
        <v>IN/001199</v>
      </c>
      <c r="E499" s="2" t="str">
        <f ca="1">IFERROR(__xludf.DUMMYFUNCTION("UNIQUE(FILTER('export kabinetdashboard 1210202'!N:P,'export kabinetdashboard 1210202'!M:M=D499))"),"markeren fietspad op klinkers")</f>
        <v>markeren fietspad op klinkers</v>
      </c>
      <c r="F499" s="2" t="str">
        <f ca="1">IFERROR(__xludf.DUMMYFUNCTION("""COMPUTED_VALUE"""),"2022 - Q2")</f>
        <v>2022 - Q2</v>
      </c>
      <c r="G499" s="2" t="str">
        <f ca="1">IFERROR(__xludf.DUMMYFUNCTION("""COMPUTED_VALUE"""),"2022 - Q2")</f>
        <v>2022 - Q2</v>
      </c>
      <c r="H499" s="2">
        <f ca="1">SUMIFS('bedragen KIM (budgettering &amp; pl'!S:S,'bedragen KIM (budgettering &amp; pl'!B:B,A499,'bedragen KIM (budgettering &amp; pl'!F:F,D499)</f>
        <v>1500</v>
      </c>
      <c r="I499" s="2" t="e">
        <f ca="1">SUMIFS(#REF!,#REF!,A499,#REF!,D499)</f>
        <v>#REF!</v>
      </c>
      <c r="J499" s="2" t="e">
        <f ca="1">SUMIFS(#REF!,#REF!,A499,#REF!,D499)</f>
        <v>#REF!</v>
      </c>
    </row>
    <row r="500" spans="1:10" ht="12.5" x14ac:dyDescent="0.25">
      <c r="A500" s="2" t="str">
        <f ca="1">IFERROR(__xludf.DUMMYFUNCTION("""COMPUTED_VALUE"""),"KP/001578")</f>
        <v>KP/001578</v>
      </c>
      <c r="B500" s="2" t="str">
        <f ca="1">IFERROR(__xludf.DUMMYFUNCTION("""COMPUTED_VALUE"""),"Verkeersveiligheid")</f>
        <v>Verkeersveiligheid</v>
      </c>
      <c r="C500" s="2" t="str">
        <f ca="1">IFERROR(__xludf.DUMMYFUNCTION("""COMPUTED_VALUE"""),"Schoolroute")</f>
        <v>Schoolroute</v>
      </c>
      <c r="D500" s="2" t="str">
        <f ca="1">IFERROR(__xludf.DUMMYFUNCTION("""COMPUTED_VALUE"""),"IN/001200")</f>
        <v>IN/001200</v>
      </c>
      <c r="E500" s="2" t="str">
        <f ca="1">IFERROR(__xludf.DUMMYFUNCTION("UNIQUE(FILTER('export kabinetdashboard 1210202'!N:P,'export kabinetdashboard 1210202'!M:M=D500))"),"")</f>
        <v/>
      </c>
      <c r="F500" s="2" t="str">
        <f ca="1">IFERROR(__xludf.DUMMYFUNCTION("""COMPUTED_VALUE"""),"2022 - Q2")</f>
        <v>2022 - Q2</v>
      </c>
      <c r="G500" s="2" t="str">
        <f ca="1">IFERROR(__xludf.DUMMYFUNCTION("""COMPUTED_VALUE"""),"n.t.b.")</f>
        <v>n.t.b.</v>
      </c>
      <c r="H500" s="2">
        <f ca="1">SUMIFS('bedragen KIM (budgettering &amp; pl'!S:S,'bedragen KIM (budgettering &amp; pl'!B:B,A500,'bedragen KIM (budgettering &amp; pl'!F:F,D500)</f>
        <v>15000</v>
      </c>
      <c r="I500" s="2" t="e">
        <f ca="1">SUMIFS(#REF!,#REF!,A500,#REF!,D500)</f>
        <v>#REF!</v>
      </c>
      <c r="J500" s="2" t="e">
        <f ca="1">SUMIFS(#REF!,#REF!,A500,#REF!,D500)</f>
        <v>#REF!</v>
      </c>
    </row>
    <row r="501" spans="1:10" ht="12.5" x14ac:dyDescent="0.25">
      <c r="A501" s="2" t="str">
        <f ca="1">IFERROR(__xludf.DUMMYFUNCTION("""COMPUTED_VALUE"""),"KP/001580")</f>
        <v>KP/001580</v>
      </c>
      <c r="B501" s="2" t="str">
        <f ca="1">IFERROR(__xludf.DUMMYFUNCTION("""COMPUTED_VALUE"""),"Verkeersveiligheid")</f>
        <v>Verkeersveiligheid</v>
      </c>
      <c r="C501" s="2" t="str">
        <f ca="1">IFERROR(__xludf.DUMMYFUNCTION("""COMPUTED_VALUE"""),"Schoolroute")</f>
        <v>Schoolroute</v>
      </c>
      <c r="D501" s="2" t="str">
        <f ca="1">IFERROR(__xludf.DUMMYFUNCTION("""COMPUTED_VALUE"""),"IN/001201")</f>
        <v>IN/001201</v>
      </c>
      <c r="E501" s="2" t="str">
        <f ca="1">IFERROR(__xludf.DUMMYFUNCTION("UNIQUE(FILTER('export kabinetdashboard 1210202'!N:P,'export kabinetdashboard 1210202'!M:M=D501))"),"")</f>
        <v/>
      </c>
      <c r="F501" s="2" t="str">
        <f ca="1">IFERROR(__xludf.DUMMYFUNCTION("""COMPUTED_VALUE"""),"n.t.b.")</f>
        <v>n.t.b.</v>
      </c>
      <c r="G501" s="2" t="str">
        <f ca="1">IFERROR(__xludf.DUMMYFUNCTION("""COMPUTED_VALUE"""),"n.t.b.")</f>
        <v>n.t.b.</v>
      </c>
      <c r="H501" s="2">
        <f ca="1">SUMIFS('bedragen KIM (budgettering &amp; pl'!S:S,'bedragen KIM (budgettering &amp; pl'!B:B,A501,'bedragen KIM (budgettering &amp; pl'!F:F,D501)</f>
        <v>0</v>
      </c>
      <c r="I501" s="2" t="e">
        <f ca="1">SUMIFS(#REF!,#REF!,A501,#REF!,D501)</f>
        <v>#REF!</v>
      </c>
      <c r="J501" s="2" t="e">
        <f ca="1">SUMIFS(#REF!,#REF!,A501,#REF!,D501)</f>
        <v>#REF!</v>
      </c>
    </row>
    <row r="502" spans="1:10" ht="12.5" x14ac:dyDescent="0.25">
      <c r="A502" s="2" t="str">
        <f ca="1">IFERROR(__xludf.DUMMYFUNCTION("""COMPUTED_VALUE"""),"KP/001580")</f>
        <v>KP/001580</v>
      </c>
      <c r="B502" s="2" t="str">
        <f ca="1">IFERROR(__xludf.DUMMYFUNCTION("""COMPUTED_VALUE"""),"Verkeersveiligheid")</f>
        <v>Verkeersveiligheid</v>
      </c>
      <c r="C502" s="2" t="str">
        <f ca="1">IFERROR(__xludf.DUMMYFUNCTION("""COMPUTED_VALUE"""),"Schoolroute")</f>
        <v>Schoolroute</v>
      </c>
      <c r="D502" s="2" t="str">
        <f ca="1">IFERROR(__xludf.DUMMYFUNCTION("""COMPUTED_VALUE"""),"IN/001202")</f>
        <v>IN/001202</v>
      </c>
      <c r="E502" s="2" t="str">
        <f ca="1">IFERROR(__xludf.DUMMYFUNCTION("UNIQUE(FILTER('export kabinetdashboard 1210202'!N:P,'export kabinetdashboard 1210202'!M:M=D502))"),"")</f>
        <v/>
      </c>
      <c r="F502" s="2" t="str">
        <f ca="1">IFERROR(__xludf.DUMMYFUNCTION("""COMPUTED_VALUE"""),"n.t.b.")</f>
        <v>n.t.b.</v>
      </c>
      <c r="G502" s="2" t="str">
        <f ca="1">IFERROR(__xludf.DUMMYFUNCTION("""COMPUTED_VALUE"""),"n.t.b.")</f>
        <v>n.t.b.</v>
      </c>
      <c r="H502" s="2">
        <f ca="1">SUMIFS('bedragen KIM (budgettering &amp; pl'!S:S,'bedragen KIM (budgettering &amp; pl'!B:B,A502,'bedragen KIM (budgettering &amp; pl'!F:F,D502)</f>
        <v>0</v>
      </c>
      <c r="I502" s="2" t="e">
        <f ca="1">SUMIFS(#REF!,#REF!,A502,#REF!,D502)</f>
        <v>#REF!</v>
      </c>
      <c r="J502" s="2" t="e">
        <f ca="1">SUMIFS(#REF!,#REF!,A502,#REF!,D502)</f>
        <v>#REF!</v>
      </c>
    </row>
    <row r="503" spans="1:10" ht="12.5" x14ac:dyDescent="0.25">
      <c r="A503" s="2" t="str">
        <f ca="1">IFERROR(__xludf.DUMMYFUNCTION("""COMPUTED_VALUE"""),"KP/001581")</f>
        <v>KP/001581</v>
      </c>
      <c r="B503" s="2" t="str">
        <f ca="1">IFERROR(__xludf.DUMMYFUNCTION("""COMPUTED_VALUE"""),"Verkeersveiligheid")</f>
        <v>Verkeersveiligheid</v>
      </c>
      <c r="C503" s="2" t="str">
        <f ca="1">IFERROR(__xludf.DUMMYFUNCTION("""COMPUTED_VALUE"""),"Schoolroute")</f>
        <v>Schoolroute</v>
      </c>
      <c r="D503" s="2" t="str">
        <f ca="1">IFERROR(__xludf.DUMMYFUNCTION("""COMPUTED_VALUE"""),"IN/001202")</f>
        <v>IN/001202</v>
      </c>
      <c r="E503" s="2" t="str">
        <f ca="1">IFERROR(__xludf.DUMMYFUNCTION("UNIQUE(FILTER('export kabinetdashboard 1210202'!N:P,'export kabinetdashboard 1210202'!M:M=D503))"),"")</f>
        <v/>
      </c>
      <c r="F503" s="2" t="str">
        <f ca="1">IFERROR(__xludf.DUMMYFUNCTION("""COMPUTED_VALUE"""),"n.t.b.")</f>
        <v>n.t.b.</v>
      </c>
      <c r="G503" s="2" t="str">
        <f ca="1">IFERROR(__xludf.DUMMYFUNCTION("""COMPUTED_VALUE"""),"n.t.b.")</f>
        <v>n.t.b.</v>
      </c>
      <c r="H503" s="2">
        <f ca="1">SUMIFS('bedragen KIM (budgettering &amp; pl'!S:S,'bedragen KIM (budgettering &amp; pl'!B:B,A503,'bedragen KIM (budgettering &amp; pl'!F:F,D503)</f>
        <v>0</v>
      </c>
      <c r="I503" s="2" t="e">
        <f ca="1">SUMIFS(#REF!,#REF!,A503,#REF!,D503)</f>
        <v>#REF!</v>
      </c>
      <c r="J503" s="2" t="e">
        <f ca="1">SUMIFS(#REF!,#REF!,A503,#REF!,D503)</f>
        <v>#REF!</v>
      </c>
    </row>
    <row r="504" spans="1:10" ht="12.5" x14ac:dyDescent="0.25">
      <c r="A504" s="2" t="str">
        <f ca="1">IFERROR(__xludf.DUMMYFUNCTION("""COMPUTED_VALUE"""),"KP/001646")</f>
        <v>KP/001646</v>
      </c>
      <c r="B504" s="2" t="str">
        <f ca="1">IFERROR(__xludf.DUMMYFUNCTION("""COMPUTED_VALUE"""),"Verkeersveiligheid")</f>
        <v>Verkeersveiligheid</v>
      </c>
      <c r="C504" s="2" t="str">
        <f ca="1">IFERROR(__xludf.DUMMYFUNCTION("""COMPUTED_VALUE"""),"Schoolroute")</f>
        <v>Schoolroute</v>
      </c>
      <c r="D504" s="2" t="str">
        <f ca="1">IFERROR(__xludf.DUMMYFUNCTION("""COMPUTED_VALUE"""),"IN/001202")</f>
        <v>IN/001202</v>
      </c>
      <c r="E504" s="2" t="str">
        <f ca="1">IFERROR(__xludf.DUMMYFUNCTION("UNIQUE(FILTER('export kabinetdashboard 1210202'!N:P,'export kabinetdashboard 1210202'!M:M=D504))"),"")</f>
        <v/>
      </c>
      <c r="F504" s="2" t="str">
        <f ca="1">IFERROR(__xludf.DUMMYFUNCTION("""COMPUTED_VALUE"""),"n.t.b.")</f>
        <v>n.t.b.</v>
      </c>
      <c r="G504" s="2" t="str">
        <f ca="1">IFERROR(__xludf.DUMMYFUNCTION("""COMPUTED_VALUE"""),"n.t.b.")</f>
        <v>n.t.b.</v>
      </c>
      <c r="H504" s="2">
        <f ca="1">SUMIFS('bedragen KIM (budgettering &amp; pl'!S:S,'bedragen KIM (budgettering &amp; pl'!B:B,A504,'bedragen KIM (budgettering &amp; pl'!F:F,D504)</f>
        <v>0</v>
      </c>
      <c r="I504" s="2" t="e">
        <f ca="1">SUMIFS(#REF!,#REF!,A504,#REF!,D504)</f>
        <v>#REF!</v>
      </c>
      <c r="J504" s="2" t="e">
        <f ca="1">SUMIFS(#REF!,#REF!,A504,#REF!,D504)</f>
        <v>#REF!</v>
      </c>
    </row>
    <row r="505" spans="1:10" ht="12.5" x14ac:dyDescent="0.25">
      <c r="A505" s="2" t="str">
        <f ca="1">IFERROR(__xludf.DUMMYFUNCTION("""COMPUTED_VALUE"""),"KP/001586")</f>
        <v>KP/001586</v>
      </c>
      <c r="B505" s="2" t="str">
        <f ca="1">IFERROR(__xludf.DUMMYFUNCTION("""COMPUTED_VALUE"""),"Verkeersveiligheid")</f>
        <v>Verkeersveiligheid</v>
      </c>
      <c r="C505" s="2" t="str">
        <f ca="1">IFERROR(__xludf.DUMMYFUNCTION("""COMPUTED_VALUE"""),"Schoolroute")</f>
        <v>Schoolroute</v>
      </c>
      <c r="D505" s="2" t="str">
        <f ca="1">IFERROR(__xludf.DUMMYFUNCTION("""COMPUTED_VALUE"""),"IN/001203")</f>
        <v>IN/001203</v>
      </c>
      <c r="E505" s="2" t="str">
        <f ca="1">IFERROR(__xludf.DUMMYFUNCTION("UNIQUE(FILTER('export kabinetdashboard 1210202'!N:P,'export kabinetdashboard 1210202'!M:M=D505))"),"")</f>
        <v/>
      </c>
      <c r="F505" s="2" t="str">
        <f ca="1">IFERROR(__xludf.DUMMYFUNCTION("""COMPUTED_VALUE"""),"n.t.b.")</f>
        <v>n.t.b.</v>
      </c>
      <c r="G505" s="2" t="str">
        <f ca="1">IFERROR(__xludf.DUMMYFUNCTION("""COMPUTED_VALUE"""),"n.t.b.")</f>
        <v>n.t.b.</v>
      </c>
      <c r="H505" s="2">
        <f ca="1">SUMIFS('bedragen KIM (budgettering &amp; pl'!S:S,'bedragen KIM (budgettering &amp; pl'!B:B,A505,'bedragen KIM (budgettering &amp; pl'!F:F,D505)</f>
        <v>0</v>
      </c>
      <c r="I505" s="2" t="e">
        <f ca="1">SUMIFS(#REF!,#REF!,A505,#REF!,D505)</f>
        <v>#REF!</v>
      </c>
      <c r="J505" s="2" t="e">
        <f ca="1">SUMIFS(#REF!,#REF!,A505,#REF!,D505)</f>
        <v>#REF!</v>
      </c>
    </row>
    <row r="506" spans="1:10" ht="12.5" x14ac:dyDescent="0.25">
      <c r="A506" s="2" t="str">
        <f ca="1">IFERROR(__xludf.DUMMYFUNCTION("""COMPUTED_VALUE"""),"KP/001588")</f>
        <v>KP/001588</v>
      </c>
      <c r="B506" s="2" t="str">
        <f ca="1">IFERROR(__xludf.DUMMYFUNCTION("""COMPUTED_VALUE"""),"Verkeersveiligheid")</f>
        <v>Verkeersveiligheid</v>
      </c>
      <c r="C506" s="2" t="str">
        <f ca="1">IFERROR(__xludf.DUMMYFUNCTION("""COMPUTED_VALUE"""),"Schoolroute")</f>
        <v>Schoolroute</v>
      </c>
      <c r="D506" s="2" t="str">
        <f ca="1">IFERROR(__xludf.DUMMYFUNCTION("""COMPUTED_VALUE"""),"IN/001204")</f>
        <v>IN/001204</v>
      </c>
      <c r="E506" s="2" t="str">
        <f ca="1">IFERROR(__xludf.DUMMYFUNCTION("UNIQUE(FILTER('export kabinetdashboard 1210202'!N:P,'export kabinetdashboard 1210202'!M:M=D506))"),"#N/A")</f>
        <v>#N/A</v>
      </c>
      <c r="H506" s="2">
        <f ca="1">SUMIFS('bedragen KIM (budgettering &amp; pl'!S:S,'bedragen KIM (budgettering &amp; pl'!B:B,A506,'bedragen KIM (budgettering &amp; pl'!F:F,D506)</f>
        <v>4000</v>
      </c>
      <c r="I506" s="2" t="e">
        <f ca="1">SUMIFS(#REF!,#REF!,A506,#REF!,D506)</f>
        <v>#REF!</v>
      </c>
      <c r="J506" s="2" t="e">
        <f ca="1">SUMIFS(#REF!,#REF!,A506,#REF!,D506)</f>
        <v>#REF!</v>
      </c>
    </row>
    <row r="507" spans="1:10" ht="12.5" x14ac:dyDescent="0.25">
      <c r="A507" s="2" t="str">
        <f ca="1">IFERROR(__xludf.DUMMYFUNCTION("""COMPUTED_VALUE"""),"KP/001589")</f>
        <v>KP/001589</v>
      </c>
      <c r="B507" s="2" t="str">
        <f ca="1">IFERROR(__xludf.DUMMYFUNCTION("""COMPUTED_VALUE"""),"Verkeersveiligheid")</f>
        <v>Verkeersveiligheid</v>
      </c>
      <c r="C507" s="2" t="str">
        <f ca="1">IFERROR(__xludf.DUMMYFUNCTION("""COMPUTED_VALUE"""),"Schoolroute")</f>
        <v>Schoolroute</v>
      </c>
      <c r="D507" s="2" t="str">
        <f ca="1">IFERROR(__xludf.DUMMYFUNCTION("""COMPUTED_VALUE"""),"IN/001205")</f>
        <v>IN/001205</v>
      </c>
      <c r="E507" s="2" t="str">
        <f ca="1">IFERROR(__xludf.DUMMYFUNCTION("UNIQUE(FILTER('export kabinetdashboard 1210202'!N:P,'export kabinetdashboard 1210202'!M:M=D507))"),"#N/A")</f>
        <v>#N/A</v>
      </c>
      <c r="H507" s="2">
        <f ca="1">SUMIFS('bedragen KIM (budgettering &amp; pl'!S:S,'bedragen KIM (budgettering &amp; pl'!B:B,A507,'bedragen KIM (budgettering &amp; pl'!F:F,D507)</f>
        <v>10000</v>
      </c>
      <c r="I507" s="2" t="e">
        <f ca="1">SUMIFS(#REF!,#REF!,A507,#REF!,D507)</f>
        <v>#REF!</v>
      </c>
      <c r="J507" s="2" t="e">
        <f ca="1">SUMIFS(#REF!,#REF!,A507,#REF!,D507)</f>
        <v>#REF!</v>
      </c>
    </row>
    <row r="508" spans="1:10" ht="12.5" x14ac:dyDescent="0.25">
      <c r="A508" s="2" t="str">
        <f ca="1">IFERROR(__xludf.DUMMYFUNCTION("""COMPUTED_VALUE"""),"KP/001591")</f>
        <v>KP/001591</v>
      </c>
      <c r="B508" s="2" t="str">
        <f ca="1">IFERROR(__xludf.DUMMYFUNCTION("""COMPUTED_VALUE"""),"Verkeersveiligheid")</f>
        <v>Verkeersveiligheid</v>
      </c>
      <c r="C508" s="2" t="str">
        <f ca="1">IFERROR(__xludf.DUMMYFUNCTION("""COMPUTED_VALUE"""),"Schoolroute")</f>
        <v>Schoolroute</v>
      </c>
      <c r="D508" s="2" t="str">
        <f ca="1">IFERROR(__xludf.DUMMYFUNCTION("""COMPUTED_VALUE"""),"IN/001206")</f>
        <v>IN/001206</v>
      </c>
      <c r="E508" s="2" t="str">
        <f ca="1">IFERROR(__xludf.DUMMYFUNCTION("UNIQUE(FILTER('export kabinetdashboard 1210202'!N:P,'export kabinetdashboard 1210202'!M:M=D508))"),"")</f>
        <v/>
      </c>
      <c r="F508" s="2" t="str">
        <f ca="1">IFERROR(__xludf.DUMMYFUNCTION("""COMPUTED_VALUE"""),"n.t.b.")</f>
        <v>n.t.b.</v>
      </c>
      <c r="G508" s="2" t="str">
        <f ca="1">IFERROR(__xludf.DUMMYFUNCTION("""COMPUTED_VALUE"""),"n.t.b.")</f>
        <v>n.t.b.</v>
      </c>
      <c r="H508" s="2">
        <f ca="1">SUMIFS('bedragen KIM (budgettering &amp; pl'!S:S,'bedragen KIM (budgettering &amp; pl'!B:B,A508,'bedragen KIM (budgettering &amp; pl'!F:F,D508)</f>
        <v>7500</v>
      </c>
      <c r="I508" s="2" t="e">
        <f ca="1">SUMIFS(#REF!,#REF!,A508,#REF!,D508)</f>
        <v>#REF!</v>
      </c>
      <c r="J508" s="2" t="e">
        <f ca="1">SUMIFS(#REF!,#REF!,A508,#REF!,D508)</f>
        <v>#REF!</v>
      </c>
    </row>
    <row r="509" spans="1:10" ht="12.5" x14ac:dyDescent="0.25">
      <c r="A509" s="2" t="str">
        <f ca="1">IFERROR(__xludf.DUMMYFUNCTION("""COMPUTED_VALUE"""),"KP/001593")</f>
        <v>KP/001593</v>
      </c>
      <c r="B509" s="2" t="str">
        <f ca="1">IFERROR(__xludf.DUMMYFUNCTION("""COMPUTED_VALUE"""),"Verkeersveiligheid")</f>
        <v>Verkeersveiligheid</v>
      </c>
      <c r="C509" s="2" t="str">
        <f ca="1">IFERROR(__xludf.DUMMYFUNCTION("""COMPUTED_VALUE"""),"Schoolroute")</f>
        <v>Schoolroute</v>
      </c>
      <c r="D509" s="2" t="str">
        <f ca="1">IFERROR(__xludf.DUMMYFUNCTION("""COMPUTED_VALUE"""),"IN/001207")</f>
        <v>IN/001207</v>
      </c>
      <c r="E509" s="2" t="str">
        <f ca="1">IFERROR(__xludf.DUMMYFUNCTION("UNIQUE(FILTER('export kabinetdashboard 1210202'!N:P,'export kabinetdashboard 1210202'!M:M=D509))"),"")</f>
        <v/>
      </c>
      <c r="F509" s="2" t="str">
        <f ca="1">IFERROR(__xludf.DUMMYFUNCTION("""COMPUTED_VALUE"""),"2022 - Q2")</f>
        <v>2022 - Q2</v>
      </c>
      <c r="G509" s="2" t="str">
        <f ca="1">IFERROR(__xludf.DUMMYFUNCTION("""COMPUTED_VALUE"""),"n.t.b.")</f>
        <v>n.t.b.</v>
      </c>
      <c r="H509" s="2">
        <f ca="1">SUMIFS('bedragen KIM (budgettering &amp; pl'!S:S,'bedragen KIM (budgettering &amp; pl'!B:B,A509,'bedragen KIM (budgettering &amp; pl'!F:F,D509)</f>
        <v>1500</v>
      </c>
      <c r="I509" s="2" t="e">
        <f ca="1">SUMIFS(#REF!,#REF!,A509,#REF!,D509)</f>
        <v>#REF!</v>
      </c>
      <c r="J509" s="2" t="e">
        <f ca="1">SUMIFS(#REF!,#REF!,A509,#REF!,D509)</f>
        <v>#REF!</v>
      </c>
    </row>
    <row r="510" spans="1:10" ht="12.5" x14ac:dyDescent="0.25">
      <c r="A510" s="2" t="str">
        <f ca="1">IFERROR(__xludf.DUMMYFUNCTION("""COMPUTED_VALUE"""),"KP/001594")</f>
        <v>KP/001594</v>
      </c>
      <c r="B510" s="2" t="str">
        <f ca="1">IFERROR(__xludf.DUMMYFUNCTION("""COMPUTED_VALUE"""),"Verkeersveiligheid")</f>
        <v>Verkeersveiligheid</v>
      </c>
      <c r="C510" s="2" t="str">
        <f ca="1">IFERROR(__xludf.DUMMYFUNCTION("""COMPUTED_VALUE"""),"Schoolroute")</f>
        <v>Schoolroute</v>
      </c>
      <c r="D510" s="2" t="str">
        <f ca="1">IFERROR(__xludf.DUMMYFUNCTION("""COMPUTED_VALUE"""),"IN/001208")</f>
        <v>IN/001208</v>
      </c>
      <c r="E510" s="2" t="str">
        <f ca="1">IFERROR(__xludf.DUMMYFUNCTION("UNIQUE(FILTER('export kabinetdashboard 1210202'!N:P,'export kabinetdashboard 1210202'!M:M=D510))"),"")</f>
        <v/>
      </c>
      <c r="F510" s="2" t="str">
        <f ca="1">IFERROR(__xludf.DUMMYFUNCTION("""COMPUTED_VALUE"""),"2022 - Q3")</f>
        <v>2022 - Q3</v>
      </c>
      <c r="G510" s="2" t="str">
        <f ca="1">IFERROR(__xludf.DUMMYFUNCTION("""COMPUTED_VALUE"""),"n.t.b.")</f>
        <v>n.t.b.</v>
      </c>
      <c r="H510" s="2">
        <f ca="1">SUMIFS('bedragen KIM (budgettering &amp; pl'!S:S,'bedragen KIM (budgettering &amp; pl'!B:B,A510,'bedragen KIM (budgettering &amp; pl'!F:F,D510)</f>
        <v>1500</v>
      </c>
      <c r="I510" s="2" t="e">
        <f ca="1">SUMIFS(#REF!,#REF!,A510,#REF!,D510)</f>
        <v>#REF!</v>
      </c>
      <c r="J510" s="2" t="e">
        <f ca="1">SUMIFS(#REF!,#REF!,A510,#REF!,D510)</f>
        <v>#REF!</v>
      </c>
    </row>
    <row r="511" spans="1:10" ht="12.5" x14ac:dyDescent="0.25">
      <c r="A511" s="2" t="str">
        <f ca="1">IFERROR(__xludf.DUMMYFUNCTION("""COMPUTED_VALUE"""),"KP/001605")</f>
        <v>KP/001605</v>
      </c>
      <c r="B511" s="2" t="str">
        <f ca="1">IFERROR(__xludf.DUMMYFUNCTION("""COMPUTED_VALUE"""),"Verkeersveiligheid")</f>
        <v>Verkeersveiligheid</v>
      </c>
      <c r="C511" s="2" t="str">
        <f ca="1">IFERROR(__xludf.DUMMYFUNCTION("""COMPUTED_VALUE"""),"Schoolroute")</f>
        <v>Schoolroute</v>
      </c>
      <c r="D511" s="2" t="str">
        <f ca="1">IFERROR(__xludf.DUMMYFUNCTION("""COMPUTED_VALUE"""),"IN/001209")</f>
        <v>IN/001209</v>
      </c>
      <c r="E511" s="2" t="str">
        <f ca="1">IFERROR(__xludf.DUMMYFUNCTION("UNIQUE(FILTER('export kabinetdashboard 1210202'!N:P,'export kabinetdashboard 1210202'!M:M=D511))"),"")</f>
        <v/>
      </c>
      <c r="F511" s="2" t="str">
        <f ca="1">IFERROR(__xludf.DUMMYFUNCTION("""COMPUTED_VALUE"""),"n.t.b.")</f>
        <v>n.t.b.</v>
      </c>
      <c r="G511" s="2" t="str">
        <f ca="1">IFERROR(__xludf.DUMMYFUNCTION("""COMPUTED_VALUE"""),"n.t.b.")</f>
        <v>n.t.b.</v>
      </c>
      <c r="H511" s="2">
        <f ca="1">SUMIFS('bedragen KIM (budgettering &amp; pl'!S:S,'bedragen KIM (budgettering &amp; pl'!B:B,A511,'bedragen KIM (budgettering &amp; pl'!F:F,D511)</f>
        <v>0</v>
      </c>
      <c r="I511" s="2" t="e">
        <f ca="1">SUMIFS(#REF!,#REF!,A511,#REF!,D511)</f>
        <v>#REF!</v>
      </c>
      <c r="J511" s="2" t="e">
        <f ca="1">SUMIFS(#REF!,#REF!,A511,#REF!,D511)</f>
        <v>#REF!</v>
      </c>
    </row>
    <row r="512" spans="1:10" ht="12.5" x14ac:dyDescent="0.25">
      <c r="A512" s="2" t="str">
        <f ca="1">IFERROR(__xludf.DUMMYFUNCTION("""COMPUTED_VALUE"""),"KP/001606")</f>
        <v>KP/001606</v>
      </c>
      <c r="B512" s="2" t="str">
        <f ca="1">IFERROR(__xludf.DUMMYFUNCTION("""COMPUTED_VALUE"""),"Verkeersveiligheid")</f>
        <v>Verkeersveiligheid</v>
      </c>
      <c r="C512" s="2" t="str">
        <f ca="1">IFERROR(__xludf.DUMMYFUNCTION("""COMPUTED_VALUE"""),"Schoolroute")</f>
        <v>Schoolroute</v>
      </c>
      <c r="D512" s="2" t="str">
        <f ca="1">IFERROR(__xludf.DUMMYFUNCTION("""COMPUTED_VALUE"""),"IN/001210")</f>
        <v>IN/001210</v>
      </c>
      <c r="E512" s="2" t="str">
        <f ca="1">IFERROR(__xludf.DUMMYFUNCTION("UNIQUE(FILTER('export kabinetdashboard 1210202'!N:P,'export kabinetdashboard 1210202'!M:M=D512))"),"")</f>
        <v/>
      </c>
      <c r="F512" s="2" t="str">
        <f ca="1">IFERROR(__xludf.DUMMYFUNCTION("""COMPUTED_VALUE"""),"n.t.b.")</f>
        <v>n.t.b.</v>
      </c>
      <c r="G512" s="2" t="str">
        <f ca="1">IFERROR(__xludf.DUMMYFUNCTION("""COMPUTED_VALUE"""),"n.t.b.")</f>
        <v>n.t.b.</v>
      </c>
      <c r="H512" s="2">
        <f ca="1">SUMIFS('bedragen KIM (budgettering &amp; pl'!S:S,'bedragen KIM (budgettering &amp; pl'!B:B,A512,'bedragen KIM (budgettering &amp; pl'!F:F,D512)</f>
        <v>0</v>
      </c>
      <c r="I512" s="2" t="e">
        <f ca="1">SUMIFS(#REF!,#REF!,A512,#REF!,D512)</f>
        <v>#REF!</v>
      </c>
      <c r="J512" s="2" t="e">
        <f ca="1">SUMIFS(#REF!,#REF!,A512,#REF!,D512)</f>
        <v>#REF!</v>
      </c>
    </row>
    <row r="513" spans="1:10" ht="12.5" x14ac:dyDescent="0.25">
      <c r="A513" s="2" t="str">
        <f ca="1">IFERROR(__xludf.DUMMYFUNCTION("""COMPUTED_VALUE"""),"KP/001611")</f>
        <v>KP/001611</v>
      </c>
      <c r="B513" s="2" t="str">
        <f ca="1">IFERROR(__xludf.DUMMYFUNCTION("""COMPUTED_VALUE"""),"Verkeersveiligheid")</f>
        <v>Verkeersveiligheid</v>
      </c>
      <c r="C513" s="2" t="str">
        <f ca="1">IFERROR(__xludf.DUMMYFUNCTION("""COMPUTED_VALUE"""),"Schoolroute")</f>
        <v>Schoolroute</v>
      </c>
      <c r="D513" s="2" t="str">
        <f ca="1">IFERROR(__xludf.DUMMYFUNCTION("""COMPUTED_VALUE"""),"IN/001211")</f>
        <v>IN/001211</v>
      </c>
      <c r="E513" s="2" t="str">
        <f ca="1">IFERROR(__xludf.DUMMYFUNCTION("UNIQUE(FILTER('export kabinetdashboard 1210202'!N:P,'export kabinetdashboard 1210202'!M:M=D513))"),"")</f>
        <v/>
      </c>
      <c r="F513" s="2" t="str">
        <f ca="1">IFERROR(__xludf.DUMMYFUNCTION("""COMPUTED_VALUE"""),"n.t.b.")</f>
        <v>n.t.b.</v>
      </c>
      <c r="G513" s="2" t="str">
        <f ca="1">IFERROR(__xludf.DUMMYFUNCTION("""COMPUTED_VALUE"""),"n.t.b.")</f>
        <v>n.t.b.</v>
      </c>
      <c r="H513" s="2">
        <f ca="1">SUMIFS('bedragen KIM (budgettering &amp; pl'!S:S,'bedragen KIM (budgettering &amp; pl'!B:B,A513,'bedragen KIM (budgettering &amp; pl'!F:F,D513)</f>
        <v>0</v>
      </c>
      <c r="I513" s="2" t="e">
        <f ca="1">SUMIFS(#REF!,#REF!,A513,#REF!,D513)</f>
        <v>#REF!</v>
      </c>
      <c r="J513" s="2" t="e">
        <f ca="1">SUMIFS(#REF!,#REF!,A513,#REF!,D513)</f>
        <v>#REF!</v>
      </c>
    </row>
    <row r="514" spans="1:10" ht="12.5" x14ac:dyDescent="0.25">
      <c r="A514" s="2" t="str">
        <f ca="1">IFERROR(__xludf.DUMMYFUNCTION("""COMPUTED_VALUE"""),"KP/001612")</f>
        <v>KP/001612</v>
      </c>
      <c r="B514" s="2" t="str">
        <f ca="1">IFERROR(__xludf.DUMMYFUNCTION("""COMPUTED_VALUE"""),"Verkeersveiligheid")</f>
        <v>Verkeersveiligheid</v>
      </c>
      <c r="C514" s="2" t="str">
        <f ca="1">IFERROR(__xludf.DUMMYFUNCTION("""COMPUTED_VALUE"""),"Schoolroute")</f>
        <v>Schoolroute</v>
      </c>
      <c r="D514" s="2" t="str">
        <f ca="1">IFERROR(__xludf.DUMMYFUNCTION("""COMPUTED_VALUE"""),"IN/001212")</f>
        <v>IN/001212</v>
      </c>
      <c r="E514" s="2" t="str">
        <f ca="1">IFERROR(__xludf.DUMMYFUNCTION("UNIQUE(FILTER('export kabinetdashboard 1210202'!N:P,'export kabinetdashboard 1210202'!M:M=D514))"),"#N/A")</f>
        <v>#N/A</v>
      </c>
      <c r="H514" s="2">
        <f ca="1">SUMIFS('bedragen KIM (budgettering &amp; pl'!S:S,'bedragen KIM (budgettering &amp; pl'!B:B,A514,'bedragen KIM (budgettering &amp; pl'!F:F,D514)</f>
        <v>0</v>
      </c>
      <c r="I514" s="2" t="e">
        <f ca="1">SUMIFS(#REF!,#REF!,A514,#REF!,D514)</f>
        <v>#REF!</v>
      </c>
      <c r="J514" s="2" t="e">
        <f ca="1">SUMIFS(#REF!,#REF!,A514,#REF!,D514)</f>
        <v>#REF!</v>
      </c>
    </row>
    <row r="515" spans="1:10" ht="12.5" x14ac:dyDescent="0.25">
      <c r="A515" s="2" t="str">
        <f ca="1">IFERROR(__xludf.DUMMYFUNCTION("""COMPUTED_VALUE"""),"KP/001615")</f>
        <v>KP/001615</v>
      </c>
      <c r="B515" s="2" t="str">
        <f ca="1">IFERROR(__xludf.DUMMYFUNCTION("""COMPUTED_VALUE"""),"Verkeersveiligheid")</f>
        <v>Verkeersveiligheid</v>
      </c>
      <c r="C515" s="2" t="str">
        <f ca="1">IFERROR(__xludf.DUMMYFUNCTION("""COMPUTED_VALUE"""),"Schoolroute")</f>
        <v>Schoolroute</v>
      </c>
      <c r="D515" s="2" t="str">
        <f ca="1">IFERROR(__xludf.DUMMYFUNCTION("""COMPUTED_VALUE"""),"IN/001213")</f>
        <v>IN/001213</v>
      </c>
      <c r="E515" s="2" t="str">
        <f ca="1">IFERROR(__xludf.DUMMYFUNCTION("UNIQUE(FILTER('export kabinetdashboard 1210202'!N:P,'export kabinetdashboard 1210202'!M:M=D515))"),"")</f>
        <v/>
      </c>
      <c r="F515" s="2" t="str">
        <f ca="1">IFERROR(__xludf.DUMMYFUNCTION("""COMPUTED_VALUE"""),"n.t.b.")</f>
        <v>n.t.b.</v>
      </c>
      <c r="G515" s="2" t="str">
        <f ca="1">IFERROR(__xludf.DUMMYFUNCTION("""COMPUTED_VALUE"""),"n.t.b.")</f>
        <v>n.t.b.</v>
      </c>
      <c r="H515" s="2">
        <f ca="1">SUMIFS('bedragen KIM (budgettering &amp; pl'!S:S,'bedragen KIM (budgettering &amp; pl'!B:B,A515,'bedragen KIM (budgettering &amp; pl'!F:F,D515)</f>
        <v>0</v>
      </c>
      <c r="I515" s="2" t="e">
        <f ca="1">SUMIFS(#REF!,#REF!,A515,#REF!,D515)</f>
        <v>#REF!</v>
      </c>
      <c r="J515" s="2" t="e">
        <f ca="1">SUMIFS(#REF!,#REF!,A515,#REF!,D515)</f>
        <v>#REF!</v>
      </c>
    </row>
    <row r="516" spans="1:10" ht="12.5" x14ac:dyDescent="0.25">
      <c r="A516" s="2" t="str">
        <f ca="1">IFERROR(__xludf.DUMMYFUNCTION("""COMPUTED_VALUE"""),"KP/001616")</f>
        <v>KP/001616</v>
      </c>
      <c r="B516" s="2" t="str">
        <f ca="1">IFERROR(__xludf.DUMMYFUNCTION("""COMPUTED_VALUE"""),"Verkeersveiligheid")</f>
        <v>Verkeersveiligheid</v>
      </c>
      <c r="C516" s="2" t="str">
        <f ca="1">IFERROR(__xludf.DUMMYFUNCTION("""COMPUTED_VALUE"""),"Schoolroute")</f>
        <v>Schoolroute</v>
      </c>
      <c r="D516" s="2" t="str">
        <f ca="1">IFERROR(__xludf.DUMMYFUNCTION("""COMPUTED_VALUE"""),"IN/001214")</f>
        <v>IN/001214</v>
      </c>
      <c r="E516" s="2" t="str">
        <f ca="1">IFERROR(__xludf.DUMMYFUNCTION("UNIQUE(FILTER('export kabinetdashboard 1210202'!N:P,'export kabinetdashboard 1210202'!M:M=D516))"),"")</f>
        <v/>
      </c>
      <c r="F516" s="2" t="str">
        <f ca="1">IFERROR(__xludf.DUMMYFUNCTION("""COMPUTED_VALUE"""),"n.t.b.")</f>
        <v>n.t.b.</v>
      </c>
      <c r="G516" s="2" t="str">
        <f ca="1">IFERROR(__xludf.DUMMYFUNCTION("""COMPUTED_VALUE"""),"n.t.b.")</f>
        <v>n.t.b.</v>
      </c>
      <c r="H516" s="2">
        <f ca="1">SUMIFS('bedragen KIM (budgettering &amp; pl'!S:S,'bedragen KIM (budgettering &amp; pl'!B:B,A516,'bedragen KIM (budgettering &amp; pl'!F:F,D516)</f>
        <v>0</v>
      </c>
      <c r="I516" s="2" t="e">
        <f ca="1">SUMIFS(#REF!,#REF!,A516,#REF!,D516)</f>
        <v>#REF!</v>
      </c>
      <c r="J516" s="2" t="e">
        <f ca="1">SUMIFS(#REF!,#REF!,A516,#REF!,D516)</f>
        <v>#REF!</v>
      </c>
    </row>
    <row r="517" spans="1:10" ht="12.5" x14ac:dyDescent="0.25">
      <c r="A517" s="2" t="str">
        <f ca="1">IFERROR(__xludf.DUMMYFUNCTION("""COMPUTED_VALUE"""),"KP/001617")</f>
        <v>KP/001617</v>
      </c>
      <c r="B517" s="2" t="str">
        <f ca="1">IFERROR(__xludf.DUMMYFUNCTION("""COMPUTED_VALUE"""),"Verkeersveiligheid")</f>
        <v>Verkeersveiligheid</v>
      </c>
      <c r="C517" s="2" t="str">
        <f ca="1">IFERROR(__xludf.DUMMYFUNCTION("""COMPUTED_VALUE"""),"Schoolroute")</f>
        <v>Schoolroute</v>
      </c>
      <c r="D517" s="2" t="str">
        <f ca="1">IFERROR(__xludf.DUMMYFUNCTION("""COMPUTED_VALUE"""),"IN/001215")</f>
        <v>IN/001215</v>
      </c>
      <c r="E517" s="2" t="str">
        <f ca="1">IFERROR(__xludf.DUMMYFUNCTION("UNIQUE(FILTER('export kabinetdashboard 1210202'!N:P,'export kabinetdashboard 1210202'!M:M=D517))"),"#N/A")</f>
        <v>#N/A</v>
      </c>
      <c r="H517" s="2">
        <f ca="1">SUMIFS('bedragen KIM (budgettering &amp; pl'!S:S,'bedragen KIM (budgettering &amp; pl'!B:B,A517,'bedragen KIM (budgettering &amp; pl'!F:F,D517)</f>
        <v>0</v>
      </c>
      <c r="I517" s="2" t="e">
        <f ca="1">SUMIFS(#REF!,#REF!,A517,#REF!,D517)</f>
        <v>#REF!</v>
      </c>
      <c r="J517" s="2" t="e">
        <f ca="1">SUMIFS(#REF!,#REF!,A517,#REF!,D517)</f>
        <v>#REF!</v>
      </c>
    </row>
    <row r="518" spans="1:10" ht="12.5" x14ac:dyDescent="0.25">
      <c r="A518" s="2" t="str">
        <f ca="1">IFERROR(__xludf.DUMMYFUNCTION("""COMPUTED_VALUE"""),"KP/001619")</f>
        <v>KP/001619</v>
      </c>
      <c r="B518" s="2" t="str">
        <f ca="1">IFERROR(__xludf.DUMMYFUNCTION("""COMPUTED_VALUE"""),"Verkeersveiligheid")</f>
        <v>Verkeersveiligheid</v>
      </c>
      <c r="C518" s="2" t="str">
        <f ca="1">IFERROR(__xludf.DUMMYFUNCTION("""COMPUTED_VALUE"""),"Schoolroute")</f>
        <v>Schoolroute</v>
      </c>
      <c r="D518" s="2" t="str">
        <f ca="1">IFERROR(__xludf.DUMMYFUNCTION("""COMPUTED_VALUE"""),"IN/001216")</f>
        <v>IN/001216</v>
      </c>
      <c r="E518" s="2" t="str">
        <f ca="1">IFERROR(__xludf.DUMMYFUNCTION("UNIQUE(FILTER('export kabinetdashboard 1210202'!N:P,'export kabinetdashboard 1210202'!M:M=D518))"),"")</f>
        <v/>
      </c>
      <c r="F518" s="2" t="str">
        <f ca="1">IFERROR(__xludf.DUMMYFUNCTION("""COMPUTED_VALUE"""),"n.t.b.")</f>
        <v>n.t.b.</v>
      </c>
      <c r="G518" s="2" t="str">
        <f ca="1">IFERROR(__xludf.DUMMYFUNCTION("""COMPUTED_VALUE"""),"n.t.b.")</f>
        <v>n.t.b.</v>
      </c>
      <c r="H518" s="2">
        <f ca="1">SUMIFS('bedragen KIM (budgettering &amp; pl'!S:S,'bedragen KIM (budgettering &amp; pl'!B:B,A518,'bedragen KIM (budgettering &amp; pl'!F:F,D518)</f>
        <v>0</v>
      </c>
      <c r="I518" s="2" t="e">
        <f ca="1">SUMIFS(#REF!,#REF!,A518,#REF!,D518)</f>
        <v>#REF!</v>
      </c>
      <c r="J518" s="2" t="e">
        <f ca="1">SUMIFS(#REF!,#REF!,A518,#REF!,D518)</f>
        <v>#REF!</v>
      </c>
    </row>
    <row r="519" spans="1:10" ht="12.5" x14ac:dyDescent="0.25">
      <c r="A519" s="2" t="str">
        <f ca="1">IFERROR(__xludf.DUMMYFUNCTION("""COMPUTED_VALUE"""),"KP/001620")</f>
        <v>KP/001620</v>
      </c>
      <c r="B519" s="2" t="str">
        <f ca="1">IFERROR(__xludf.DUMMYFUNCTION("""COMPUTED_VALUE"""),"Verkeersveiligheid")</f>
        <v>Verkeersveiligheid</v>
      </c>
      <c r="C519" s="2" t="str">
        <f ca="1">IFERROR(__xludf.DUMMYFUNCTION("""COMPUTED_VALUE"""),"Schoolroute")</f>
        <v>Schoolroute</v>
      </c>
      <c r="D519" s="2" t="str">
        <f ca="1">IFERROR(__xludf.DUMMYFUNCTION("""COMPUTED_VALUE"""),"IN/001217")</f>
        <v>IN/001217</v>
      </c>
      <c r="E519" s="2" t="str">
        <f ca="1">IFERROR(__xludf.DUMMYFUNCTION("UNIQUE(FILTER('export kabinetdashboard 1210202'!N:P,'export kabinetdashboard 1210202'!M:M=D519))"),"")</f>
        <v/>
      </c>
      <c r="F519" s="2" t="str">
        <f ca="1">IFERROR(__xludf.DUMMYFUNCTION("""COMPUTED_VALUE"""),"n.t.b.")</f>
        <v>n.t.b.</v>
      </c>
      <c r="G519" s="2" t="str">
        <f ca="1">IFERROR(__xludf.DUMMYFUNCTION("""COMPUTED_VALUE"""),"n.t.b.")</f>
        <v>n.t.b.</v>
      </c>
      <c r="H519" s="2">
        <f ca="1">SUMIFS('bedragen KIM (budgettering &amp; pl'!S:S,'bedragen KIM (budgettering &amp; pl'!B:B,A519,'bedragen KIM (budgettering &amp; pl'!F:F,D519)</f>
        <v>0</v>
      </c>
      <c r="I519" s="2" t="e">
        <f ca="1">SUMIFS(#REF!,#REF!,A519,#REF!,D519)</f>
        <v>#REF!</v>
      </c>
      <c r="J519" s="2" t="e">
        <f ca="1">SUMIFS(#REF!,#REF!,A519,#REF!,D519)</f>
        <v>#REF!</v>
      </c>
    </row>
    <row r="520" spans="1:10" ht="12.5" x14ac:dyDescent="0.25">
      <c r="A520" s="2" t="str">
        <f ca="1">IFERROR(__xludf.DUMMYFUNCTION("""COMPUTED_VALUE"""),"KP/001621")</f>
        <v>KP/001621</v>
      </c>
      <c r="B520" s="2" t="str">
        <f ca="1">IFERROR(__xludf.DUMMYFUNCTION("""COMPUTED_VALUE"""),"Verkeersveiligheid")</f>
        <v>Verkeersveiligheid</v>
      </c>
      <c r="C520" s="2" t="str">
        <f ca="1">IFERROR(__xludf.DUMMYFUNCTION("""COMPUTED_VALUE"""),"Schoolroute")</f>
        <v>Schoolroute</v>
      </c>
      <c r="D520" s="2" t="str">
        <f ca="1">IFERROR(__xludf.DUMMYFUNCTION("""COMPUTED_VALUE"""),"IN/001218")</f>
        <v>IN/001218</v>
      </c>
      <c r="E520" s="2" t="str">
        <f ca="1">IFERROR(__xludf.DUMMYFUNCTION("UNIQUE(FILTER('export kabinetdashboard 1210202'!N:P,'export kabinetdashboard 1210202'!M:M=D520))"),"")</f>
        <v/>
      </c>
      <c r="F520" s="2" t="str">
        <f ca="1">IFERROR(__xludf.DUMMYFUNCTION("""COMPUTED_VALUE"""),"n.t.b.")</f>
        <v>n.t.b.</v>
      </c>
      <c r="G520" s="2" t="str">
        <f ca="1">IFERROR(__xludf.DUMMYFUNCTION("""COMPUTED_VALUE"""),"n.t.b.")</f>
        <v>n.t.b.</v>
      </c>
      <c r="H520" s="2">
        <f ca="1">SUMIFS('bedragen KIM (budgettering &amp; pl'!S:S,'bedragen KIM (budgettering &amp; pl'!B:B,A520,'bedragen KIM (budgettering &amp; pl'!F:F,D520)</f>
        <v>0</v>
      </c>
      <c r="I520" s="2" t="e">
        <f ca="1">SUMIFS(#REF!,#REF!,A520,#REF!,D520)</f>
        <v>#REF!</v>
      </c>
      <c r="J520" s="2" t="e">
        <f ca="1">SUMIFS(#REF!,#REF!,A520,#REF!,D520)</f>
        <v>#REF!</v>
      </c>
    </row>
    <row r="521" spans="1:10" ht="12.5" x14ac:dyDescent="0.25">
      <c r="A521" s="2" t="str">
        <f ca="1">IFERROR(__xludf.DUMMYFUNCTION("""COMPUTED_VALUE"""),"KP/001622")</f>
        <v>KP/001622</v>
      </c>
      <c r="B521" s="2" t="str">
        <f ca="1">IFERROR(__xludf.DUMMYFUNCTION("""COMPUTED_VALUE"""),"Verkeersveiligheid")</f>
        <v>Verkeersveiligheid</v>
      </c>
      <c r="C521" s="2" t="str">
        <f ca="1">IFERROR(__xludf.DUMMYFUNCTION("""COMPUTED_VALUE"""),"Schoolroute")</f>
        <v>Schoolroute</v>
      </c>
      <c r="D521" s="2" t="str">
        <f ca="1">IFERROR(__xludf.DUMMYFUNCTION("""COMPUTED_VALUE"""),"IN/001219")</f>
        <v>IN/001219</v>
      </c>
      <c r="E521" s="2" t="str">
        <f ca="1">IFERROR(__xludf.DUMMYFUNCTION("UNIQUE(FILTER('export kabinetdashboard 1210202'!N:P,'export kabinetdashboard 1210202'!M:M=D521))"),"")</f>
        <v/>
      </c>
      <c r="F521" s="2" t="str">
        <f ca="1">IFERROR(__xludf.DUMMYFUNCTION("""COMPUTED_VALUE"""),"n.t.b.")</f>
        <v>n.t.b.</v>
      </c>
      <c r="G521" s="2" t="str">
        <f ca="1">IFERROR(__xludf.DUMMYFUNCTION("""COMPUTED_VALUE"""),"n.t.b.")</f>
        <v>n.t.b.</v>
      </c>
      <c r="H521" s="2">
        <f ca="1">SUMIFS('bedragen KIM (budgettering &amp; pl'!S:S,'bedragen KIM (budgettering &amp; pl'!B:B,A521,'bedragen KIM (budgettering &amp; pl'!F:F,D521)</f>
        <v>0</v>
      </c>
      <c r="I521" s="2" t="e">
        <f ca="1">SUMIFS(#REF!,#REF!,A521,#REF!,D521)</f>
        <v>#REF!</v>
      </c>
      <c r="J521" s="2" t="e">
        <f ca="1">SUMIFS(#REF!,#REF!,A521,#REF!,D521)</f>
        <v>#REF!</v>
      </c>
    </row>
    <row r="522" spans="1:10" ht="12.5" x14ac:dyDescent="0.25">
      <c r="A522" s="2" t="str">
        <f ca="1">IFERROR(__xludf.DUMMYFUNCTION("""COMPUTED_VALUE"""),"KP/001623")</f>
        <v>KP/001623</v>
      </c>
      <c r="B522" s="2" t="str">
        <f ca="1">IFERROR(__xludf.DUMMYFUNCTION("""COMPUTED_VALUE"""),"Verkeersveiligheid")</f>
        <v>Verkeersveiligheid</v>
      </c>
      <c r="C522" s="2" t="str">
        <f ca="1">IFERROR(__xludf.DUMMYFUNCTION("""COMPUTED_VALUE"""),"Schoolroute")</f>
        <v>Schoolroute</v>
      </c>
      <c r="D522" s="2" t="str">
        <f ca="1">IFERROR(__xludf.DUMMYFUNCTION("""COMPUTED_VALUE"""),"IN/001220")</f>
        <v>IN/001220</v>
      </c>
      <c r="E522" s="2" t="str">
        <f ca="1">IFERROR(__xludf.DUMMYFUNCTION("UNIQUE(FILTER('export kabinetdashboard 1210202'!N:P,'export kabinetdashboard 1210202'!M:M=D522))"),"")</f>
        <v/>
      </c>
      <c r="F522" s="2" t="str">
        <f ca="1">IFERROR(__xludf.DUMMYFUNCTION("""COMPUTED_VALUE"""),"n.t.b.")</f>
        <v>n.t.b.</v>
      </c>
      <c r="G522" s="2" t="str">
        <f ca="1">IFERROR(__xludf.DUMMYFUNCTION("""COMPUTED_VALUE"""),"n.t.b.")</f>
        <v>n.t.b.</v>
      </c>
      <c r="H522" s="2">
        <f ca="1">SUMIFS('bedragen KIM (budgettering &amp; pl'!S:S,'bedragen KIM (budgettering &amp; pl'!B:B,A522,'bedragen KIM (budgettering &amp; pl'!F:F,D522)</f>
        <v>0</v>
      </c>
      <c r="I522" s="2" t="e">
        <f ca="1">SUMIFS(#REF!,#REF!,A522,#REF!,D522)</f>
        <v>#REF!</v>
      </c>
      <c r="J522" s="2" t="e">
        <f ca="1">SUMIFS(#REF!,#REF!,A522,#REF!,D522)</f>
        <v>#REF!</v>
      </c>
    </row>
    <row r="523" spans="1:10" ht="12.5" x14ac:dyDescent="0.25">
      <c r="A523" s="2" t="str">
        <f ca="1">IFERROR(__xludf.DUMMYFUNCTION("""COMPUTED_VALUE"""),"KP/001624")</f>
        <v>KP/001624</v>
      </c>
      <c r="B523" s="2" t="str">
        <f ca="1">IFERROR(__xludf.DUMMYFUNCTION("""COMPUTED_VALUE"""),"Verkeersveiligheid")</f>
        <v>Verkeersveiligheid</v>
      </c>
      <c r="C523" s="2" t="str">
        <f ca="1">IFERROR(__xludf.DUMMYFUNCTION("""COMPUTED_VALUE"""),"Schoolroute")</f>
        <v>Schoolroute</v>
      </c>
      <c r="D523" s="2" t="str">
        <f ca="1">IFERROR(__xludf.DUMMYFUNCTION("""COMPUTED_VALUE"""),"IN/001221")</f>
        <v>IN/001221</v>
      </c>
      <c r="E523" s="2" t="str">
        <f ca="1">IFERROR(__xludf.DUMMYFUNCTION("UNIQUE(FILTER('export kabinetdashboard 1210202'!N:P,'export kabinetdashboard 1210202'!M:M=D523))"),"")</f>
        <v/>
      </c>
      <c r="F523" s="2" t="str">
        <f ca="1">IFERROR(__xludf.DUMMYFUNCTION("""COMPUTED_VALUE"""),"n.t.b.")</f>
        <v>n.t.b.</v>
      </c>
      <c r="G523" s="2" t="str">
        <f ca="1">IFERROR(__xludf.DUMMYFUNCTION("""COMPUTED_VALUE"""),"n.t.b.")</f>
        <v>n.t.b.</v>
      </c>
      <c r="H523" s="2">
        <f ca="1">SUMIFS('bedragen KIM (budgettering &amp; pl'!S:S,'bedragen KIM (budgettering &amp; pl'!B:B,A523,'bedragen KIM (budgettering &amp; pl'!F:F,D523)</f>
        <v>0</v>
      </c>
      <c r="I523" s="2" t="e">
        <f ca="1">SUMIFS(#REF!,#REF!,A523,#REF!,D523)</f>
        <v>#REF!</v>
      </c>
      <c r="J523" s="2" t="e">
        <f ca="1">SUMIFS(#REF!,#REF!,A523,#REF!,D523)</f>
        <v>#REF!</v>
      </c>
    </row>
    <row r="524" spans="1:10" ht="12.5" x14ac:dyDescent="0.25">
      <c r="A524" s="2" t="str">
        <f ca="1">IFERROR(__xludf.DUMMYFUNCTION("""COMPUTED_VALUE"""),"KP/001625")</f>
        <v>KP/001625</v>
      </c>
      <c r="B524" s="2" t="str">
        <f ca="1">IFERROR(__xludf.DUMMYFUNCTION("""COMPUTED_VALUE"""),"Verkeersveiligheid")</f>
        <v>Verkeersveiligheid</v>
      </c>
      <c r="C524" s="2" t="str">
        <f ca="1">IFERROR(__xludf.DUMMYFUNCTION("""COMPUTED_VALUE"""),"Schoolroute")</f>
        <v>Schoolroute</v>
      </c>
      <c r="D524" s="2" t="str">
        <f ca="1">IFERROR(__xludf.DUMMYFUNCTION("""COMPUTED_VALUE"""),"IN/001222")</f>
        <v>IN/001222</v>
      </c>
      <c r="E524" s="2" t="str">
        <f ca="1">IFERROR(__xludf.DUMMYFUNCTION("UNIQUE(FILTER('export kabinetdashboard 1210202'!N:P,'export kabinetdashboard 1210202'!M:M=D524))"),"#N/A")</f>
        <v>#N/A</v>
      </c>
      <c r="H524" s="2">
        <f ca="1">SUMIFS('bedragen KIM (budgettering &amp; pl'!S:S,'bedragen KIM (budgettering &amp; pl'!B:B,A524,'bedragen KIM (budgettering &amp; pl'!F:F,D524)</f>
        <v>0</v>
      </c>
      <c r="I524" s="2" t="e">
        <f ca="1">SUMIFS(#REF!,#REF!,A524,#REF!,D524)</f>
        <v>#REF!</v>
      </c>
      <c r="J524" s="2" t="e">
        <f ca="1">SUMIFS(#REF!,#REF!,A524,#REF!,D524)</f>
        <v>#REF!</v>
      </c>
    </row>
    <row r="525" spans="1:10" ht="12.5" x14ac:dyDescent="0.25">
      <c r="A525" s="2" t="str">
        <f ca="1">IFERROR(__xludf.DUMMYFUNCTION("""COMPUTED_VALUE"""),"KP/001626")</f>
        <v>KP/001626</v>
      </c>
      <c r="B525" s="2" t="str">
        <f ca="1">IFERROR(__xludf.DUMMYFUNCTION("""COMPUTED_VALUE"""),"Verkeersveiligheid")</f>
        <v>Verkeersveiligheid</v>
      </c>
      <c r="C525" s="2" t="str">
        <f ca="1">IFERROR(__xludf.DUMMYFUNCTION("""COMPUTED_VALUE"""),"Schoolroute")</f>
        <v>Schoolroute</v>
      </c>
      <c r="D525" s="2" t="str">
        <f ca="1">IFERROR(__xludf.DUMMYFUNCTION("""COMPUTED_VALUE"""),"IN/001223")</f>
        <v>IN/001223</v>
      </c>
      <c r="E525" s="2" t="str">
        <f ca="1">IFERROR(__xludf.DUMMYFUNCTION("UNIQUE(FILTER('export kabinetdashboard 1210202'!N:P,'export kabinetdashboard 1210202'!M:M=D525))"),"")</f>
        <v/>
      </c>
      <c r="F525" s="2" t="str">
        <f ca="1">IFERROR(__xludf.DUMMYFUNCTION("""COMPUTED_VALUE"""),"n.t.b.")</f>
        <v>n.t.b.</v>
      </c>
      <c r="G525" s="2" t="str">
        <f ca="1">IFERROR(__xludf.DUMMYFUNCTION("""COMPUTED_VALUE"""),"n.t.b.")</f>
        <v>n.t.b.</v>
      </c>
      <c r="H525" s="2">
        <f ca="1">SUMIFS('bedragen KIM (budgettering &amp; pl'!S:S,'bedragen KIM (budgettering &amp; pl'!B:B,A525,'bedragen KIM (budgettering &amp; pl'!F:F,D525)</f>
        <v>0</v>
      </c>
      <c r="I525" s="2" t="e">
        <f ca="1">SUMIFS(#REF!,#REF!,A525,#REF!,D525)</f>
        <v>#REF!</v>
      </c>
      <c r="J525" s="2" t="e">
        <f ca="1">SUMIFS(#REF!,#REF!,A525,#REF!,D525)</f>
        <v>#REF!</v>
      </c>
    </row>
    <row r="526" spans="1:10" ht="12.5" x14ac:dyDescent="0.25">
      <c r="A526" s="2" t="str">
        <f ca="1">IFERROR(__xludf.DUMMYFUNCTION("""COMPUTED_VALUE"""),"KP/001628")</f>
        <v>KP/001628</v>
      </c>
      <c r="B526" s="2" t="str">
        <f ca="1">IFERROR(__xludf.DUMMYFUNCTION("""COMPUTED_VALUE"""),"Verkeersveiligheid")</f>
        <v>Verkeersveiligheid</v>
      </c>
      <c r="C526" s="2" t="str">
        <f ca="1">IFERROR(__xludf.DUMMYFUNCTION("""COMPUTED_VALUE"""),"Schoolroute")</f>
        <v>Schoolroute</v>
      </c>
      <c r="D526" s="2" t="str">
        <f ca="1">IFERROR(__xludf.DUMMYFUNCTION("""COMPUTED_VALUE"""),"IN/001224")</f>
        <v>IN/001224</v>
      </c>
      <c r="E526" s="2" t="str">
        <f ca="1">IFERROR(__xludf.DUMMYFUNCTION("UNIQUE(FILTER('export kabinetdashboard 1210202'!N:P,'export kabinetdashboard 1210202'!M:M=D526))"),"")</f>
        <v/>
      </c>
      <c r="F526" s="2" t="str">
        <f ca="1">IFERROR(__xludf.DUMMYFUNCTION("""COMPUTED_VALUE"""),"n.t.b.")</f>
        <v>n.t.b.</v>
      </c>
      <c r="G526" s="2" t="str">
        <f ca="1">IFERROR(__xludf.DUMMYFUNCTION("""COMPUTED_VALUE"""),"n.t.b.")</f>
        <v>n.t.b.</v>
      </c>
      <c r="H526" s="2">
        <f ca="1">SUMIFS('bedragen KIM (budgettering &amp; pl'!S:S,'bedragen KIM (budgettering &amp; pl'!B:B,A526,'bedragen KIM (budgettering &amp; pl'!F:F,D526)</f>
        <v>0</v>
      </c>
      <c r="I526" s="2" t="e">
        <f ca="1">SUMIFS(#REF!,#REF!,A526,#REF!,D526)</f>
        <v>#REF!</v>
      </c>
      <c r="J526" s="2" t="e">
        <f ca="1">SUMIFS(#REF!,#REF!,A526,#REF!,D526)</f>
        <v>#REF!</v>
      </c>
    </row>
    <row r="527" spans="1:10" ht="12.5" x14ac:dyDescent="0.25">
      <c r="A527" s="2" t="str">
        <f ca="1">IFERROR(__xludf.DUMMYFUNCTION("""COMPUTED_VALUE"""),"KP/001629")</f>
        <v>KP/001629</v>
      </c>
      <c r="B527" s="2" t="str">
        <f ca="1">IFERROR(__xludf.DUMMYFUNCTION("""COMPUTED_VALUE"""),"Verkeersveiligheid")</f>
        <v>Verkeersveiligheid</v>
      </c>
      <c r="C527" s="2" t="str">
        <f ca="1">IFERROR(__xludf.DUMMYFUNCTION("""COMPUTED_VALUE"""),"Schoolroute")</f>
        <v>Schoolroute</v>
      </c>
      <c r="D527" s="2" t="str">
        <f ca="1">IFERROR(__xludf.DUMMYFUNCTION("""COMPUTED_VALUE"""),"IN/001225")</f>
        <v>IN/001225</v>
      </c>
      <c r="E527" s="2" t="str">
        <f ca="1">IFERROR(__xludf.DUMMYFUNCTION("UNIQUE(FILTER('export kabinetdashboard 1210202'!N:P,'export kabinetdashboard 1210202'!M:M=D527))"),"")</f>
        <v/>
      </c>
      <c r="F527" s="2" t="str">
        <f ca="1">IFERROR(__xludf.DUMMYFUNCTION("""COMPUTED_VALUE"""),"2022 - Q3")</f>
        <v>2022 - Q3</v>
      </c>
      <c r="G527" s="2" t="str">
        <f ca="1">IFERROR(__xludf.DUMMYFUNCTION("""COMPUTED_VALUE"""),"n.t.b.")</f>
        <v>n.t.b.</v>
      </c>
      <c r="H527" s="2">
        <f ca="1">SUMIFS('bedragen KIM (budgettering &amp; pl'!S:S,'bedragen KIM (budgettering &amp; pl'!B:B,A527,'bedragen KIM (budgettering &amp; pl'!F:F,D527)</f>
        <v>200000</v>
      </c>
      <c r="I527" s="2" t="e">
        <f ca="1">SUMIFS(#REF!,#REF!,A527,#REF!,D527)</f>
        <v>#REF!</v>
      </c>
      <c r="J527" s="2" t="e">
        <f ca="1">SUMIFS(#REF!,#REF!,A527,#REF!,D527)</f>
        <v>#REF!</v>
      </c>
    </row>
    <row r="528" spans="1:10" ht="12.5" x14ac:dyDescent="0.25">
      <c r="A528" s="2" t="str">
        <f ca="1">IFERROR(__xludf.DUMMYFUNCTION("""COMPUTED_VALUE"""),"KP/001630")</f>
        <v>KP/001630</v>
      </c>
      <c r="B528" s="2" t="str">
        <f ca="1">IFERROR(__xludf.DUMMYFUNCTION("""COMPUTED_VALUE"""),"Verkeersveiligheid")</f>
        <v>Verkeersveiligheid</v>
      </c>
      <c r="C528" s="2" t="str">
        <f ca="1">IFERROR(__xludf.DUMMYFUNCTION("""COMPUTED_VALUE"""),"Schoolroute")</f>
        <v>Schoolroute</v>
      </c>
      <c r="D528" s="2" t="str">
        <f ca="1">IFERROR(__xludf.DUMMYFUNCTION("""COMPUTED_VALUE"""),"IN/001226")</f>
        <v>IN/001226</v>
      </c>
      <c r="E528" s="2" t="str">
        <f ca="1">IFERROR(__xludf.DUMMYFUNCTION("UNIQUE(FILTER('export kabinetdashboard 1210202'!N:P,'export kabinetdashboard 1210202'!M:M=D528))"),"")</f>
        <v/>
      </c>
      <c r="F528" s="2" t="str">
        <f ca="1">IFERROR(__xludf.DUMMYFUNCTION("""COMPUTED_VALUE"""),"2022 - Q3")</f>
        <v>2022 - Q3</v>
      </c>
      <c r="G528" s="2" t="str">
        <f ca="1">IFERROR(__xludf.DUMMYFUNCTION("""COMPUTED_VALUE"""),"n.t.b.")</f>
        <v>n.t.b.</v>
      </c>
      <c r="H528" s="2">
        <f ca="1">SUMIFS('bedragen KIM (budgettering &amp; pl'!S:S,'bedragen KIM (budgettering &amp; pl'!B:B,A528,'bedragen KIM (budgettering &amp; pl'!F:F,D528)</f>
        <v>100000</v>
      </c>
      <c r="I528" s="2" t="e">
        <f ca="1">SUMIFS(#REF!,#REF!,A528,#REF!,D528)</f>
        <v>#REF!</v>
      </c>
      <c r="J528" s="2" t="e">
        <f ca="1">SUMIFS(#REF!,#REF!,A528,#REF!,D528)</f>
        <v>#REF!</v>
      </c>
    </row>
    <row r="529" spans="1:10" ht="12.5" x14ac:dyDescent="0.25">
      <c r="A529" s="2" t="str">
        <f ca="1">IFERROR(__xludf.DUMMYFUNCTION("""COMPUTED_VALUE"""),"KP/001633")</f>
        <v>KP/001633</v>
      </c>
      <c r="B529" s="2" t="str">
        <f ca="1">IFERROR(__xludf.DUMMYFUNCTION("""COMPUTED_VALUE"""),"Verkeersveiligheid")</f>
        <v>Verkeersveiligheid</v>
      </c>
      <c r="C529" s="2" t="str">
        <f ca="1">IFERROR(__xludf.DUMMYFUNCTION("""COMPUTED_VALUE"""),"Schoolroute")</f>
        <v>Schoolroute</v>
      </c>
      <c r="D529" s="2" t="str">
        <f ca="1">IFERROR(__xludf.DUMMYFUNCTION("""COMPUTED_VALUE"""),"IN/001227")</f>
        <v>IN/001227</v>
      </c>
      <c r="E529" s="2" t="str">
        <f ca="1">IFERROR(__xludf.DUMMYFUNCTION("UNIQUE(FILTER('export kabinetdashboard 1210202'!N:P,'export kabinetdashboard 1210202'!M:M=D529))"),"")</f>
        <v/>
      </c>
      <c r="F529" s="2" t="str">
        <f ca="1">IFERROR(__xludf.DUMMYFUNCTION("""COMPUTED_VALUE"""),"2022 - Q3")</f>
        <v>2022 - Q3</v>
      </c>
      <c r="G529" s="2" t="str">
        <f ca="1">IFERROR(__xludf.DUMMYFUNCTION("""COMPUTED_VALUE"""),"n.t.b.")</f>
        <v>n.t.b.</v>
      </c>
      <c r="H529" s="2">
        <f ca="1">SUMIFS('bedragen KIM (budgettering &amp; pl'!S:S,'bedragen KIM (budgettering &amp; pl'!B:B,A529,'bedragen KIM (budgettering &amp; pl'!F:F,D529)</f>
        <v>120000</v>
      </c>
      <c r="I529" s="2" t="e">
        <f ca="1">SUMIFS(#REF!,#REF!,A529,#REF!,D529)</f>
        <v>#REF!</v>
      </c>
      <c r="J529" s="2" t="e">
        <f ca="1">SUMIFS(#REF!,#REF!,A529,#REF!,D529)</f>
        <v>#REF!</v>
      </c>
    </row>
    <row r="530" spans="1:10" ht="12.5" x14ac:dyDescent="0.25">
      <c r="A530" s="2" t="str">
        <f ca="1">IFERROR(__xludf.DUMMYFUNCTION("""COMPUTED_VALUE"""),"KP/001635")</f>
        <v>KP/001635</v>
      </c>
      <c r="B530" s="2" t="str">
        <f ca="1">IFERROR(__xludf.DUMMYFUNCTION("""COMPUTED_VALUE"""),"Verkeersveiligheid")</f>
        <v>Verkeersveiligheid</v>
      </c>
      <c r="C530" s="2" t="str">
        <f ca="1">IFERROR(__xludf.DUMMYFUNCTION("""COMPUTED_VALUE"""),"Schoolroute")</f>
        <v>Schoolroute</v>
      </c>
      <c r="D530" s="2" t="str">
        <f ca="1">IFERROR(__xludf.DUMMYFUNCTION("""COMPUTED_VALUE"""),"IN/001228")</f>
        <v>IN/001228</v>
      </c>
      <c r="E530" s="2" t="str">
        <f ca="1">IFERROR(__xludf.DUMMYFUNCTION("UNIQUE(FILTER('export kabinetdashboard 1210202'!N:P,'export kabinetdashboard 1210202'!M:M=D530))"),"")</f>
        <v/>
      </c>
      <c r="F530" s="2" t="str">
        <f ca="1">IFERROR(__xludf.DUMMYFUNCTION("""COMPUTED_VALUE"""),"n.t.b.")</f>
        <v>n.t.b.</v>
      </c>
      <c r="G530" s="2" t="str">
        <f ca="1">IFERROR(__xludf.DUMMYFUNCTION("""COMPUTED_VALUE"""),"n.t.b.")</f>
        <v>n.t.b.</v>
      </c>
      <c r="H530" s="2">
        <f ca="1">SUMIFS('bedragen KIM (budgettering &amp; pl'!S:S,'bedragen KIM (budgettering &amp; pl'!B:B,A530,'bedragen KIM (budgettering &amp; pl'!F:F,D530)</f>
        <v>0</v>
      </c>
      <c r="I530" s="2" t="e">
        <f ca="1">SUMIFS(#REF!,#REF!,A530,#REF!,D530)</f>
        <v>#REF!</v>
      </c>
      <c r="J530" s="2" t="e">
        <f ca="1">SUMIFS(#REF!,#REF!,A530,#REF!,D530)</f>
        <v>#REF!</v>
      </c>
    </row>
    <row r="531" spans="1:10" ht="12.5" x14ac:dyDescent="0.25">
      <c r="A531" s="2" t="str">
        <f ca="1">IFERROR(__xludf.DUMMYFUNCTION("""COMPUTED_VALUE"""),"KP/001637")</f>
        <v>KP/001637</v>
      </c>
      <c r="B531" s="2" t="str">
        <f ca="1">IFERROR(__xludf.DUMMYFUNCTION("""COMPUTED_VALUE"""),"Verkeersveiligheid")</f>
        <v>Verkeersveiligheid</v>
      </c>
      <c r="C531" s="2" t="str">
        <f ca="1">IFERROR(__xludf.DUMMYFUNCTION("""COMPUTED_VALUE"""),"Schoolroute")</f>
        <v>Schoolroute</v>
      </c>
      <c r="D531" s="2" t="str">
        <f ca="1">IFERROR(__xludf.DUMMYFUNCTION("""COMPUTED_VALUE"""),"IN/001230")</f>
        <v>IN/001230</v>
      </c>
      <c r="E531" s="2" t="str">
        <f ca="1">IFERROR(__xludf.DUMMYFUNCTION("UNIQUE(FILTER('export kabinetdashboard 1210202'!N:P,'export kabinetdashboard 1210202'!M:M=D531))"),"")</f>
        <v/>
      </c>
      <c r="F531" s="2" t="str">
        <f ca="1">IFERROR(__xludf.DUMMYFUNCTION("""COMPUTED_VALUE"""),"2021 - Q4")</f>
        <v>2021 - Q4</v>
      </c>
      <c r="G531" s="2" t="str">
        <f ca="1">IFERROR(__xludf.DUMMYFUNCTION("""COMPUTED_VALUE"""),"n.t.b.")</f>
        <v>n.t.b.</v>
      </c>
      <c r="H531" s="2">
        <f ca="1">SUMIFS('bedragen KIM (budgettering &amp; pl'!S:S,'bedragen KIM (budgettering &amp; pl'!B:B,A531,'bedragen KIM (budgettering &amp; pl'!F:F,D531)</f>
        <v>6390</v>
      </c>
      <c r="I531" s="2" t="e">
        <f ca="1">SUMIFS(#REF!,#REF!,A531,#REF!,D531)</f>
        <v>#REF!</v>
      </c>
      <c r="J531" s="2" t="e">
        <f ca="1">SUMIFS(#REF!,#REF!,A531,#REF!,D531)</f>
        <v>#REF!</v>
      </c>
    </row>
    <row r="532" spans="1:10" ht="12.5" x14ac:dyDescent="0.25">
      <c r="A532" s="2" t="str">
        <f ca="1">IFERROR(__xludf.DUMMYFUNCTION("""COMPUTED_VALUE"""),"KP/001638")</f>
        <v>KP/001638</v>
      </c>
      <c r="B532" s="2" t="str">
        <f ca="1">IFERROR(__xludf.DUMMYFUNCTION("""COMPUTED_VALUE"""),"Verkeersveiligheid")</f>
        <v>Verkeersveiligheid</v>
      </c>
      <c r="C532" s="2" t="str">
        <f ca="1">IFERROR(__xludf.DUMMYFUNCTION("""COMPUTED_VALUE"""),"Schoolroute")</f>
        <v>Schoolroute</v>
      </c>
      <c r="D532" s="2" t="str">
        <f ca="1">IFERROR(__xludf.DUMMYFUNCTION("""COMPUTED_VALUE"""),"IN/001231")</f>
        <v>IN/001231</v>
      </c>
      <c r="E532" s="2" t="str">
        <f ca="1">IFERROR(__xludf.DUMMYFUNCTION("UNIQUE(FILTER('export kabinetdashboard 1210202'!N:P,'export kabinetdashboard 1210202'!M:M=D532))"),"#N/A")</f>
        <v>#N/A</v>
      </c>
      <c r="H532" s="2">
        <f ca="1">SUMIFS('bedragen KIM (budgettering &amp; pl'!S:S,'bedragen KIM (budgettering &amp; pl'!B:B,A532,'bedragen KIM (budgettering &amp; pl'!F:F,D532)</f>
        <v>5000</v>
      </c>
      <c r="I532" s="2" t="e">
        <f ca="1">SUMIFS(#REF!,#REF!,A532,#REF!,D532)</f>
        <v>#REF!</v>
      </c>
      <c r="J532" s="2" t="e">
        <f ca="1">SUMIFS(#REF!,#REF!,A532,#REF!,D532)</f>
        <v>#REF!</v>
      </c>
    </row>
    <row r="533" spans="1:10" ht="12.5" x14ac:dyDescent="0.25">
      <c r="A533" s="2" t="str">
        <f ca="1">IFERROR(__xludf.DUMMYFUNCTION("""COMPUTED_VALUE"""),"KP/001641")</f>
        <v>KP/001641</v>
      </c>
      <c r="B533" s="2" t="str">
        <f ca="1">IFERROR(__xludf.DUMMYFUNCTION("""COMPUTED_VALUE"""),"Verkeersveiligheid")</f>
        <v>Verkeersveiligheid</v>
      </c>
      <c r="C533" s="2" t="str">
        <f ca="1">IFERROR(__xludf.DUMMYFUNCTION("""COMPUTED_VALUE"""),"Schoolroute")</f>
        <v>Schoolroute</v>
      </c>
      <c r="D533" s="2" t="str">
        <f ca="1">IFERROR(__xludf.DUMMYFUNCTION("""COMPUTED_VALUE"""),"IN/001233")</f>
        <v>IN/001233</v>
      </c>
      <c r="E533" s="2" t="str">
        <f ca="1">IFERROR(__xludf.DUMMYFUNCTION("UNIQUE(FILTER('export kabinetdashboard 1210202'!N:P,'export kabinetdashboard 1210202'!M:M=D533))"),"#N/A")</f>
        <v>#N/A</v>
      </c>
      <c r="H533" s="2">
        <f ca="1">SUMIFS('bedragen KIM (budgettering &amp; pl'!S:S,'bedragen KIM (budgettering &amp; pl'!B:B,A533,'bedragen KIM (budgettering &amp; pl'!F:F,D533)</f>
        <v>0</v>
      </c>
      <c r="I533" s="2" t="e">
        <f ca="1">SUMIFS(#REF!,#REF!,A533,#REF!,D533)</f>
        <v>#REF!</v>
      </c>
      <c r="J533" s="2" t="e">
        <f ca="1">SUMIFS(#REF!,#REF!,A533,#REF!,D533)</f>
        <v>#REF!</v>
      </c>
    </row>
    <row r="534" spans="1:10" ht="12.5" x14ac:dyDescent="0.25">
      <c r="A534" s="2" t="str">
        <f ca="1">IFERROR(__xludf.DUMMYFUNCTION("""COMPUTED_VALUE"""),"KP/001642")</f>
        <v>KP/001642</v>
      </c>
      <c r="B534" s="2" t="str">
        <f ca="1">IFERROR(__xludf.DUMMYFUNCTION("""COMPUTED_VALUE"""),"Verkeersveiligheid")</f>
        <v>Verkeersveiligheid</v>
      </c>
      <c r="C534" s="2" t="str">
        <f ca="1">IFERROR(__xludf.DUMMYFUNCTION("""COMPUTED_VALUE"""),"Schoolroute")</f>
        <v>Schoolroute</v>
      </c>
      <c r="D534" s="2" t="str">
        <f ca="1">IFERROR(__xludf.DUMMYFUNCTION("""COMPUTED_VALUE"""),"IN/001234")</f>
        <v>IN/001234</v>
      </c>
      <c r="E534" s="2" t="str">
        <f ca="1">IFERROR(__xludf.DUMMYFUNCTION("UNIQUE(FILTER('export kabinetdashboard 1210202'!N:P,'export kabinetdashboard 1210202'!M:M=D534))"),"#N/A")</f>
        <v>#N/A</v>
      </c>
      <c r="H534" s="2">
        <f ca="1">SUMIFS('bedragen KIM (budgettering &amp; pl'!S:S,'bedragen KIM (budgettering &amp; pl'!B:B,A534,'bedragen KIM (budgettering &amp; pl'!F:F,D534)</f>
        <v>0</v>
      </c>
      <c r="I534" s="2" t="e">
        <f ca="1">SUMIFS(#REF!,#REF!,A534,#REF!,D534)</f>
        <v>#REF!</v>
      </c>
      <c r="J534" s="2" t="e">
        <f ca="1">SUMIFS(#REF!,#REF!,A534,#REF!,D534)</f>
        <v>#REF!</v>
      </c>
    </row>
    <row r="535" spans="1:10" ht="12.5" x14ac:dyDescent="0.25">
      <c r="A535" s="2" t="str">
        <f ca="1">IFERROR(__xludf.DUMMYFUNCTION("""COMPUTED_VALUE"""),"KP/001643")</f>
        <v>KP/001643</v>
      </c>
      <c r="B535" s="2" t="str">
        <f ca="1">IFERROR(__xludf.DUMMYFUNCTION("""COMPUTED_VALUE"""),"Verkeersveiligheid")</f>
        <v>Verkeersveiligheid</v>
      </c>
      <c r="C535" s="2" t="str">
        <f ca="1">IFERROR(__xludf.DUMMYFUNCTION("""COMPUTED_VALUE"""),"Schoolroute")</f>
        <v>Schoolroute</v>
      </c>
      <c r="D535" s="2" t="str">
        <f ca="1">IFERROR(__xludf.DUMMYFUNCTION("""COMPUTED_VALUE"""),"IN/001235")</f>
        <v>IN/001235</v>
      </c>
      <c r="E535" s="2" t="str">
        <f ca="1">IFERROR(__xludf.DUMMYFUNCTION("UNIQUE(FILTER('export kabinetdashboard 1210202'!N:P,'export kabinetdashboard 1210202'!M:M=D535))"),"")</f>
        <v/>
      </c>
      <c r="F535" s="2" t="str">
        <f ca="1">IFERROR(__xludf.DUMMYFUNCTION("""COMPUTED_VALUE"""),"2021 - Q1")</f>
        <v>2021 - Q1</v>
      </c>
      <c r="G535" s="2" t="str">
        <f ca="1">IFERROR(__xludf.DUMMYFUNCTION("""COMPUTED_VALUE"""),"2021 - Q1")</f>
        <v>2021 - Q1</v>
      </c>
      <c r="H535" s="2">
        <f ca="1">SUMIFS('bedragen KIM (budgettering &amp; pl'!S:S,'bedragen KIM (budgettering &amp; pl'!B:B,A535,'bedragen KIM (budgettering &amp; pl'!F:F,D535)</f>
        <v>500</v>
      </c>
      <c r="I535" s="2" t="e">
        <f ca="1">SUMIFS(#REF!,#REF!,A535,#REF!,D535)</f>
        <v>#REF!</v>
      </c>
      <c r="J535" s="2" t="e">
        <f ca="1">SUMIFS(#REF!,#REF!,A535,#REF!,D535)</f>
        <v>#REF!</v>
      </c>
    </row>
    <row r="536" spans="1:10" ht="12.5" x14ac:dyDescent="0.25">
      <c r="A536" s="2" t="str">
        <f ca="1">IFERROR(__xludf.DUMMYFUNCTION("""COMPUTED_VALUE"""),"KP/001647")</f>
        <v>KP/001647</v>
      </c>
      <c r="B536" s="2" t="str">
        <f ca="1">IFERROR(__xludf.DUMMYFUNCTION("""COMPUTED_VALUE"""),"Verkeersveiligheid")</f>
        <v>Verkeersveiligheid</v>
      </c>
      <c r="C536" s="2" t="str">
        <f ca="1">IFERROR(__xludf.DUMMYFUNCTION("""COMPUTED_VALUE"""),"Schoolroute")</f>
        <v>Schoolroute</v>
      </c>
      <c r="D536" s="2" t="str">
        <f ca="1">IFERROR(__xludf.DUMMYFUNCTION("""COMPUTED_VALUE"""),"IN/001236")</f>
        <v>IN/001236</v>
      </c>
      <c r="E536" s="2" t="str">
        <f ca="1">IFERROR(__xludf.DUMMYFUNCTION("UNIQUE(FILTER('export kabinetdashboard 1210202'!N:P,'export kabinetdashboard 1210202'!M:M=D536))"),"")</f>
        <v/>
      </c>
      <c r="F536" s="2" t="str">
        <f ca="1">IFERROR(__xludf.DUMMYFUNCTION("""COMPUTED_VALUE"""),"2021 - Q4")</f>
        <v>2021 - Q4</v>
      </c>
      <c r="G536" s="2" t="str">
        <f ca="1">IFERROR(__xludf.DUMMYFUNCTION("""COMPUTED_VALUE"""),"2021 - Q4")</f>
        <v>2021 - Q4</v>
      </c>
      <c r="H536" s="2">
        <f ca="1">SUMIFS('bedragen KIM (budgettering &amp; pl'!S:S,'bedragen KIM (budgettering &amp; pl'!B:B,A536,'bedragen KIM (budgettering &amp; pl'!F:F,D536)</f>
        <v>1500</v>
      </c>
      <c r="I536" s="2" t="e">
        <f ca="1">SUMIFS(#REF!,#REF!,A536,#REF!,D536)</f>
        <v>#REF!</v>
      </c>
      <c r="J536" s="2" t="e">
        <f ca="1">SUMIFS(#REF!,#REF!,A536,#REF!,D536)</f>
        <v>#REF!</v>
      </c>
    </row>
    <row r="537" spans="1:10" ht="12.5" x14ac:dyDescent="0.25">
      <c r="A537" s="2" t="str">
        <f ca="1">IFERROR(__xludf.DUMMYFUNCTION("""COMPUTED_VALUE"""),"KP/001655")</f>
        <v>KP/001655</v>
      </c>
      <c r="B537" s="2" t="str">
        <f ca="1">IFERROR(__xludf.DUMMYFUNCTION("""COMPUTED_VALUE"""),"Verkeersveiligheid")</f>
        <v>Verkeersveiligheid</v>
      </c>
      <c r="C537" s="2" t="str">
        <f ca="1">IFERROR(__xludf.DUMMYFUNCTION("""COMPUTED_VALUE"""),"Schoolroute")</f>
        <v>Schoolroute</v>
      </c>
      <c r="D537" s="2" t="str">
        <f ca="1">IFERROR(__xludf.DUMMYFUNCTION("""COMPUTED_VALUE"""),"IN/001237")</f>
        <v>IN/001237</v>
      </c>
      <c r="E537" s="2" t="str">
        <f ca="1">IFERROR(__xludf.DUMMYFUNCTION("UNIQUE(FILTER('export kabinetdashboard 1210202'!N:P,'export kabinetdashboard 1210202'!M:M=D537))"),"")</f>
        <v/>
      </c>
      <c r="F537" s="2" t="str">
        <f ca="1">IFERROR(__xludf.DUMMYFUNCTION("""COMPUTED_VALUE"""),"n.t.b.")</f>
        <v>n.t.b.</v>
      </c>
      <c r="G537" s="2" t="str">
        <f ca="1">IFERROR(__xludf.DUMMYFUNCTION("""COMPUTED_VALUE"""),"n.t.b.")</f>
        <v>n.t.b.</v>
      </c>
      <c r="H537" s="2">
        <f ca="1">SUMIFS('bedragen KIM (budgettering &amp; pl'!S:S,'bedragen KIM (budgettering &amp; pl'!B:B,A537,'bedragen KIM (budgettering &amp; pl'!F:F,D537)</f>
        <v>0</v>
      </c>
      <c r="I537" s="2" t="e">
        <f ca="1">SUMIFS(#REF!,#REF!,A537,#REF!,D537)</f>
        <v>#REF!</v>
      </c>
      <c r="J537" s="2" t="e">
        <f ca="1">SUMIFS(#REF!,#REF!,A537,#REF!,D537)</f>
        <v>#REF!</v>
      </c>
    </row>
    <row r="538" spans="1:10" ht="12.5" x14ac:dyDescent="0.25">
      <c r="A538" s="2" t="str">
        <f ca="1">IFERROR(__xludf.DUMMYFUNCTION("""COMPUTED_VALUE"""),"KP/001656")</f>
        <v>KP/001656</v>
      </c>
      <c r="B538" s="2" t="str">
        <f ca="1">IFERROR(__xludf.DUMMYFUNCTION("""COMPUTED_VALUE"""),"Verkeersveiligheid")</f>
        <v>Verkeersveiligheid</v>
      </c>
      <c r="C538" s="2" t="str">
        <f ca="1">IFERROR(__xludf.DUMMYFUNCTION("""COMPUTED_VALUE"""),"Schoolroute")</f>
        <v>Schoolroute</v>
      </c>
      <c r="D538" s="2" t="str">
        <f ca="1">IFERROR(__xludf.DUMMYFUNCTION("""COMPUTED_VALUE"""),"IN/001238")</f>
        <v>IN/001238</v>
      </c>
      <c r="E538" s="2" t="str">
        <f ca="1">IFERROR(__xludf.DUMMYFUNCTION("UNIQUE(FILTER('export kabinetdashboard 1210202'!N:P,'export kabinetdashboard 1210202'!M:M=D538))"),"")</f>
        <v/>
      </c>
      <c r="F538" s="2" t="str">
        <f ca="1">IFERROR(__xludf.DUMMYFUNCTION("""COMPUTED_VALUE"""),"n.t.b.")</f>
        <v>n.t.b.</v>
      </c>
      <c r="G538" s="2" t="str">
        <f ca="1">IFERROR(__xludf.DUMMYFUNCTION("""COMPUTED_VALUE"""),"n.t.b.")</f>
        <v>n.t.b.</v>
      </c>
      <c r="H538" s="2">
        <f ca="1">SUMIFS('bedragen KIM (budgettering &amp; pl'!S:S,'bedragen KIM (budgettering &amp; pl'!B:B,A538,'bedragen KIM (budgettering &amp; pl'!F:F,D538)</f>
        <v>0</v>
      </c>
      <c r="I538" s="2" t="e">
        <f ca="1">SUMIFS(#REF!,#REF!,A538,#REF!,D538)</f>
        <v>#REF!</v>
      </c>
      <c r="J538" s="2" t="e">
        <f ca="1">SUMIFS(#REF!,#REF!,A538,#REF!,D538)</f>
        <v>#REF!</v>
      </c>
    </row>
    <row r="539" spans="1:10" ht="12.5" x14ac:dyDescent="0.25">
      <c r="A539" s="2" t="str">
        <f ca="1">IFERROR(__xludf.DUMMYFUNCTION("""COMPUTED_VALUE"""),"KP/001657")</f>
        <v>KP/001657</v>
      </c>
      <c r="B539" s="2" t="str">
        <f ca="1">IFERROR(__xludf.DUMMYFUNCTION("""COMPUTED_VALUE"""),"Verkeersveiligheid")</f>
        <v>Verkeersveiligheid</v>
      </c>
      <c r="C539" s="2" t="str">
        <f ca="1">IFERROR(__xludf.DUMMYFUNCTION("""COMPUTED_VALUE"""),"Schoolroute")</f>
        <v>Schoolroute</v>
      </c>
      <c r="D539" s="2" t="str">
        <f ca="1">IFERROR(__xludf.DUMMYFUNCTION("""COMPUTED_VALUE"""),"IN/001239")</f>
        <v>IN/001239</v>
      </c>
      <c r="E539" s="2" t="str">
        <f ca="1">IFERROR(__xludf.DUMMYFUNCTION("UNIQUE(FILTER('export kabinetdashboard 1210202'!N:P,'export kabinetdashboard 1210202'!M:M=D539))"),"")</f>
        <v/>
      </c>
      <c r="F539" s="2" t="str">
        <f ca="1">IFERROR(__xludf.DUMMYFUNCTION("""COMPUTED_VALUE"""),"n.t.b.")</f>
        <v>n.t.b.</v>
      </c>
      <c r="G539" s="2" t="str">
        <f ca="1">IFERROR(__xludf.DUMMYFUNCTION("""COMPUTED_VALUE"""),"n.t.b.")</f>
        <v>n.t.b.</v>
      </c>
      <c r="H539" s="2">
        <f ca="1">SUMIFS('bedragen KIM (budgettering &amp; pl'!S:S,'bedragen KIM (budgettering &amp; pl'!B:B,A539,'bedragen KIM (budgettering &amp; pl'!F:F,D539)</f>
        <v>0</v>
      </c>
      <c r="I539" s="2" t="e">
        <f ca="1">SUMIFS(#REF!,#REF!,A539,#REF!,D539)</f>
        <v>#REF!</v>
      </c>
      <c r="J539" s="2" t="e">
        <f ca="1">SUMIFS(#REF!,#REF!,A539,#REF!,D539)</f>
        <v>#REF!</v>
      </c>
    </row>
    <row r="540" spans="1:10" ht="12.5" x14ac:dyDescent="0.25">
      <c r="A540" s="2" t="str">
        <f ca="1">IFERROR(__xludf.DUMMYFUNCTION("""COMPUTED_VALUE"""),"KP/001456")</f>
        <v>KP/001456</v>
      </c>
      <c r="B540" s="2" t="str">
        <f ca="1">IFERROR(__xludf.DUMMYFUNCTION("""COMPUTED_VALUE"""),"Verkeersveiligheid")</f>
        <v>Verkeersveiligheid</v>
      </c>
      <c r="C540" s="2" t="str">
        <f ca="1">IFERROR(__xludf.DUMMYFUNCTION("""COMPUTED_VALUE"""),"Schoolroute")</f>
        <v>Schoolroute</v>
      </c>
      <c r="D540" s="2" t="str">
        <f ca="1">IFERROR(__xludf.DUMMYFUNCTION("""COMPUTED_VALUE"""),"IN/001240")</f>
        <v>IN/001240</v>
      </c>
      <c r="E540" s="2" t="str">
        <f ca="1">IFERROR(__xludf.DUMMYFUNCTION("UNIQUE(FILTER('export kabinetdashboard 1210202'!N:P,'export kabinetdashboard 1210202'!M:M=D540))"),"")</f>
        <v/>
      </c>
      <c r="F540" s="2" t="str">
        <f ca="1">IFERROR(__xludf.DUMMYFUNCTION("""COMPUTED_VALUE"""),"2022 - Q3")</f>
        <v>2022 - Q3</v>
      </c>
      <c r="G540" s="2" t="str">
        <f ca="1">IFERROR(__xludf.DUMMYFUNCTION("""COMPUTED_VALUE"""),"n.t.b.")</f>
        <v>n.t.b.</v>
      </c>
      <c r="H540" s="2">
        <f ca="1">SUMIFS('bedragen KIM (budgettering &amp; pl'!S:S,'bedragen KIM (budgettering &amp; pl'!B:B,A540,'bedragen KIM (budgettering &amp; pl'!F:F,D540)</f>
        <v>40000</v>
      </c>
      <c r="I540" s="2" t="e">
        <f ca="1">SUMIFS(#REF!,#REF!,A540,#REF!,D540)</f>
        <v>#REF!</v>
      </c>
      <c r="J540" s="2" t="e">
        <f ca="1">SUMIFS(#REF!,#REF!,A540,#REF!,D540)</f>
        <v>#REF!</v>
      </c>
    </row>
    <row r="541" spans="1:10" ht="12.5" x14ac:dyDescent="0.25">
      <c r="A541" s="2" t="str">
        <f ca="1">IFERROR(__xludf.DUMMYFUNCTION("""COMPUTED_VALUE"""),"KP/001365")</f>
        <v>KP/001365</v>
      </c>
      <c r="B541" s="2" t="str">
        <f ca="1">IFERROR(__xludf.DUMMYFUNCTION("""COMPUTED_VALUE"""),"Verkeersveiligheid")</f>
        <v>Verkeersveiligheid</v>
      </c>
      <c r="C541" s="2" t="str">
        <f ca="1">IFERROR(__xludf.DUMMYFUNCTION("""COMPUTED_VALUE"""),"Schoolroute")</f>
        <v>Schoolroute</v>
      </c>
      <c r="D541" s="2" t="str">
        <f ca="1">IFERROR(__xludf.DUMMYFUNCTION("""COMPUTED_VALUE"""),"IN/001241")</f>
        <v>IN/001241</v>
      </c>
      <c r="E541" s="2" t="str">
        <f ca="1">IFERROR(__xludf.DUMMYFUNCTION("UNIQUE(FILTER('export kabinetdashboard 1210202'!N:P,'export kabinetdashboard 1210202'!M:M=D541))"),"")</f>
        <v/>
      </c>
      <c r="F541" s="2" t="str">
        <f ca="1">IFERROR(__xludf.DUMMYFUNCTION("""COMPUTED_VALUE"""),"2022 - Q1")</f>
        <v>2022 - Q1</v>
      </c>
      <c r="G541" s="2" t="str">
        <f ca="1">IFERROR(__xludf.DUMMYFUNCTION("""COMPUTED_VALUE"""),"n.t.b.")</f>
        <v>n.t.b.</v>
      </c>
      <c r="H541" s="2">
        <f ca="1">SUMIFS('bedragen KIM (budgettering &amp; pl'!S:S,'bedragen KIM (budgettering &amp; pl'!B:B,A541,'bedragen KIM (budgettering &amp; pl'!F:F,D541)</f>
        <v>0</v>
      </c>
      <c r="I541" s="2" t="e">
        <f ca="1">SUMIFS(#REF!,#REF!,A541,#REF!,D541)</f>
        <v>#REF!</v>
      </c>
      <c r="J541" s="2" t="e">
        <f ca="1">SUMIFS(#REF!,#REF!,A541,#REF!,D541)</f>
        <v>#REF!</v>
      </c>
    </row>
    <row r="542" spans="1:10" ht="12.5" x14ac:dyDescent="0.25">
      <c r="A542" s="2" t="str">
        <f ca="1">IFERROR(__xludf.DUMMYFUNCTION("""COMPUTED_VALUE"""),"KP/001375")</f>
        <v>KP/001375</v>
      </c>
      <c r="B542" s="2" t="str">
        <f ca="1">IFERROR(__xludf.DUMMYFUNCTION("""COMPUTED_VALUE"""),"Verkeersveiligheid")</f>
        <v>Verkeersveiligheid</v>
      </c>
      <c r="C542" s="2" t="str">
        <f ca="1">IFERROR(__xludf.DUMMYFUNCTION("""COMPUTED_VALUE"""),"Schoolroute")</f>
        <v>Schoolroute</v>
      </c>
      <c r="D542" s="2" t="str">
        <f ca="1">IFERROR(__xludf.DUMMYFUNCTION("""COMPUTED_VALUE"""),"IN/001243")</f>
        <v>IN/001243</v>
      </c>
      <c r="E542" s="2" t="str">
        <f ca="1">IFERROR(__xludf.DUMMYFUNCTION("UNIQUE(FILTER('export kabinetdashboard 1210202'!N:P,'export kabinetdashboard 1210202'!M:M=D542))"),"- vervolledigen VVOP
")</f>
        <v xml:space="preserve">- vervolledigen VVOP
</v>
      </c>
      <c r="F542" s="2" t="str">
        <f ca="1">IFERROR(__xludf.DUMMYFUNCTION("""COMPUTED_VALUE"""),"2018 - Q4")</f>
        <v>2018 - Q4</v>
      </c>
      <c r="G542" s="2" t="str">
        <f ca="1">IFERROR(__xludf.DUMMYFUNCTION("""COMPUTED_VALUE"""),"&lt; 2020")</f>
        <v>&lt; 2020</v>
      </c>
      <c r="H542" s="2">
        <f ca="1">SUMIFS('bedragen KIM (budgettering &amp; pl'!S:S,'bedragen KIM (budgettering &amp; pl'!B:B,A542,'bedragen KIM (budgettering &amp; pl'!F:F,D542)</f>
        <v>1</v>
      </c>
      <c r="I542" s="2" t="e">
        <f ca="1">SUMIFS(#REF!,#REF!,A542,#REF!,D542)</f>
        <v>#REF!</v>
      </c>
      <c r="J542" s="2" t="e">
        <f ca="1">SUMIFS(#REF!,#REF!,A542,#REF!,D542)</f>
        <v>#REF!</v>
      </c>
    </row>
    <row r="543" spans="1:10" ht="12.5" x14ac:dyDescent="0.25">
      <c r="A543" s="2" t="str">
        <f ca="1">IFERROR(__xludf.DUMMYFUNCTION("""COMPUTED_VALUE"""),"KP/001520")</f>
        <v>KP/001520</v>
      </c>
      <c r="B543" s="2" t="str">
        <f ca="1">IFERROR(__xludf.DUMMYFUNCTION("""COMPUTED_VALUE"""),"Verkeersveiligheid")</f>
        <v>Verkeersveiligheid</v>
      </c>
      <c r="C543" s="2" t="str">
        <f ca="1">IFERROR(__xludf.DUMMYFUNCTION("""COMPUTED_VALUE"""),"Schoolroute")</f>
        <v>Schoolroute</v>
      </c>
      <c r="D543" s="2" t="str">
        <f ca="1">IFERROR(__xludf.DUMMYFUNCTION("""COMPUTED_VALUE"""),"IN/001245")</f>
        <v>IN/001245</v>
      </c>
      <c r="E543" s="2" t="str">
        <f ca="1">IFERROR(__xludf.DUMMYFUNCTION("UNIQUE(FILTER('export kabinetdashboard 1210202'!N:P,'export kabinetdashboard 1210202'!M:M=D543))"),"Aanleg fietssuggestiestroken;
Aanpassing wegbeeld (gevat in ks 375).")</f>
        <v>Aanleg fietssuggestiestroken;
Aanpassing wegbeeld (gevat in ks 375).</v>
      </c>
      <c r="F543" s="2" t="str">
        <f ca="1">IFERROR(__xludf.DUMMYFUNCTION("""COMPUTED_VALUE"""),"2021 - Q4")</f>
        <v>2021 - Q4</v>
      </c>
      <c r="G543" s="2" t="str">
        <f ca="1">IFERROR(__xludf.DUMMYFUNCTION("""COMPUTED_VALUE"""),"n.t.b.")</f>
        <v>n.t.b.</v>
      </c>
      <c r="H543" s="2">
        <f ca="1">SUMIFS('bedragen KIM (budgettering &amp; pl'!S:S,'bedragen KIM (budgettering &amp; pl'!B:B,A543,'bedragen KIM (budgettering &amp; pl'!F:F,D543)</f>
        <v>2000</v>
      </c>
      <c r="I543" s="2" t="e">
        <f ca="1">SUMIFS(#REF!,#REF!,A543,#REF!,D543)</f>
        <v>#REF!</v>
      </c>
      <c r="J543" s="2" t="e">
        <f ca="1">SUMIFS(#REF!,#REF!,A543,#REF!,D543)</f>
        <v>#REF!</v>
      </c>
    </row>
    <row r="544" spans="1:10" ht="12.5" x14ac:dyDescent="0.25">
      <c r="A544" s="2" t="str">
        <f ca="1">IFERROR(__xludf.DUMMYFUNCTION("""COMPUTED_VALUE"""),"KP/000825")</f>
        <v>KP/000825</v>
      </c>
      <c r="B544" s="2" t="str">
        <f ca="1">IFERROR(__xludf.DUMMYFUNCTION("""COMPUTED_VALUE"""),"Verkeersveiligheid")</f>
        <v>Verkeersveiligheid</v>
      </c>
      <c r="C544" s="2" t="str">
        <f ca="1">IFERROR(__xludf.DUMMYFUNCTION("""COMPUTED_VALUE"""),"Schoolroute")</f>
        <v>Schoolroute</v>
      </c>
      <c r="D544" s="2" t="str">
        <f ca="1">IFERROR(__xludf.DUMMYFUNCTION("""COMPUTED_VALUE"""),"IN/001253")</f>
        <v>IN/001253</v>
      </c>
      <c r="E544" s="2" t="str">
        <f ca="1">IFERROR(__xludf.DUMMYFUNCTION("UNIQUE(FILTER('export kabinetdashboard 1210202'!N:P,'export kabinetdashboard 1210202'!M:M=D544))"),"Creëren fietsoversteek met rustpunt ter hoogte van de Bovekerkestraat")</f>
        <v>Creëren fietsoversteek met rustpunt ter hoogte van de Bovekerkestraat</v>
      </c>
      <c r="F544" s="2" t="str">
        <f ca="1">IFERROR(__xludf.DUMMYFUNCTION("""COMPUTED_VALUE"""),"2022 - Q2")</f>
        <v>2022 - Q2</v>
      </c>
      <c r="G544" s="2" t="str">
        <f ca="1">IFERROR(__xludf.DUMMYFUNCTION("""COMPUTED_VALUE"""),"2022 - Q2")</f>
        <v>2022 - Q2</v>
      </c>
      <c r="H544" s="2">
        <f ca="1">SUMIFS('bedragen KIM (budgettering &amp; pl'!S:S,'bedragen KIM (budgettering &amp; pl'!B:B,A544,'bedragen KIM (budgettering &amp; pl'!F:F,D544)</f>
        <v>0</v>
      </c>
      <c r="I544" s="2" t="e">
        <f ca="1">SUMIFS(#REF!,#REF!,A544,#REF!,D544)</f>
        <v>#REF!</v>
      </c>
      <c r="J544" s="2" t="e">
        <f ca="1">SUMIFS(#REF!,#REF!,A544,#REF!,D544)</f>
        <v>#REF!</v>
      </c>
    </row>
    <row r="545" spans="1:10" ht="12.5" x14ac:dyDescent="0.25">
      <c r="A545" s="2" t="str">
        <f ca="1">IFERROR(__xludf.DUMMYFUNCTION("""COMPUTED_VALUE"""),"KP/001437")</f>
        <v>KP/001437</v>
      </c>
      <c r="B545" s="2" t="str">
        <f ca="1">IFERROR(__xludf.DUMMYFUNCTION("""COMPUTED_VALUE"""),"Verkeersveiligheid")</f>
        <v>Verkeersveiligheid</v>
      </c>
      <c r="C545" s="2" t="str">
        <f ca="1">IFERROR(__xludf.DUMMYFUNCTION("""COMPUTED_VALUE"""),"Schoolroute")</f>
        <v>Schoolroute</v>
      </c>
      <c r="D545" s="2" t="str">
        <f ca="1">IFERROR(__xludf.DUMMYFUNCTION("""COMPUTED_VALUE"""),"IN/001255")</f>
        <v>IN/001255</v>
      </c>
      <c r="E545" s="2" t="str">
        <f ca="1">IFERROR(__xludf.DUMMYFUNCTION("UNIQUE(FILTER('export kabinetdashboard 1210202'!N:P,'export kabinetdashboard 1210202'!M:M=D545))"),"Versmallen rijweg, asverschuivingen, herindeling rijweg. Binnen bebouwde kom.")</f>
        <v>Versmallen rijweg, asverschuivingen, herindeling rijweg. Binnen bebouwde kom.</v>
      </c>
      <c r="F545" s="2" t="str">
        <f ca="1">IFERROR(__xludf.DUMMYFUNCTION("""COMPUTED_VALUE"""),"n.t.b.")</f>
        <v>n.t.b.</v>
      </c>
      <c r="G545" s="2" t="str">
        <f ca="1">IFERROR(__xludf.DUMMYFUNCTION("""COMPUTED_VALUE"""),"2022 - Q2")</f>
        <v>2022 - Q2</v>
      </c>
      <c r="H545" s="2">
        <f ca="1">SUMIFS('bedragen KIM (budgettering &amp; pl'!S:S,'bedragen KIM (budgettering &amp; pl'!B:B,A545,'bedragen KIM (budgettering &amp; pl'!F:F,D545)</f>
        <v>192500</v>
      </c>
      <c r="I545" s="2" t="e">
        <f ca="1">SUMIFS(#REF!,#REF!,A545,#REF!,D545)</f>
        <v>#REF!</v>
      </c>
      <c r="J545" s="2" t="e">
        <f ca="1">SUMIFS(#REF!,#REF!,A545,#REF!,D545)</f>
        <v>#REF!</v>
      </c>
    </row>
    <row r="546" spans="1:10" ht="12.5" x14ac:dyDescent="0.25">
      <c r="A546" s="2" t="str">
        <f ca="1">IFERROR(__xludf.DUMMYFUNCTION("""COMPUTED_VALUE"""),"KP/001362")</f>
        <v>KP/001362</v>
      </c>
      <c r="B546" s="2" t="str">
        <f ca="1">IFERROR(__xludf.DUMMYFUNCTION("""COMPUTED_VALUE"""),"Verkeersveiligheid")</f>
        <v>Verkeersveiligheid</v>
      </c>
      <c r="C546" s="2" t="str">
        <f ca="1">IFERROR(__xludf.DUMMYFUNCTION("""COMPUTED_VALUE"""),"Schoolroute")</f>
        <v>Schoolroute</v>
      </c>
      <c r="D546" s="2" t="str">
        <f ca="1">IFERROR(__xludf.DUMMYFUNCTION("""COMPUTED_VALUE"""),"IN/001262")</f>
        <v>IN/001262</v>
      </c>
      <c r="E546" s="2" t="str">
        <f ca="1">IFERROR(__xludf.DUMMYFUNCTION("UNIQUE(FILTER('export kabinetdashboard 1210202'!N:P,'export kabinetdashboard 1210202'!M:M=D546))"),"Sluit aan op fietspadenproject provincie")</f>
        <v>Sluit aan op fietspadenproject provincie</v>
      </c>
      <c r="F546" s="2" t="str">
        <f ca="1">IFERROR(__xludf.DUMMYFUNCTION("""COMPUTED_VALUE"""),"2022 - Q1")</f>
        <v>2022 - Q1</v>
      </c>
      <c r="G546" s="2" t="str">
        <f ca="1">IFERROR(__xludf.DUMMYFUNCTION("""COMPUTED_VALUE"""),"2022 - Q1")</f>
        <v>2022 - Q1</v>
      </c>
      <c r="H546" s="2">
        <f ca="1">SUMIFS('bedragen KIM (budgettering &amp; pl'!S:S,'bedragen KIM (budgettering &amp; pl'!B:B,A546,'bedragen KIM (budgettering &amp; pl'!F:F,D546)</f>
        <v>7000</v>
      </c>
      <c r="I546" s="2" t="e">
        <f ca="1">SUMIFS(#REF!,#REF!,A546,#REF!,D546)</f>
        <v>#REF!</v>
      </c>
      <c r="J546" s="2" t="e">
        <f ca="1">SUMIFS(#REF!,#REF!,A546,#REF!,D546)</f>
        <v>#REF!</v>
      </c>
    </row>
    <row r="547" spans="1:10" ht="12.5" x14ac:dyDescent="0.25">
      <c r="A547" s="2" t="str">
        <f ca="1">IFERROR(__xludf.DUMMYFUNCTION("""COMPUTED_VALUE"""),"KP/001205")</f>
        <v>KP/001205</v>
      </c>
      <c r="B547" s="2" t="str">
        <f ca="1">IFERROR(__xludf.DUMMYFUNCTION("""COMPUTED_VALUE"""),"Verkeersveiligheid")</f>
        <v>Verkeersveiligheid</v>
      </c>
      <c r="C547" s="2" t="str">
        <f ca="1">IFERROR(__xludf.DUMMYFUNCTION("""COMPUTED_VALUE"""),"Schoolroute")</f>
        <v>Schoolroute</v>
      </c>
      <c r="D547" s="2" t="str">
        <f ca="1">IFERROR(__xludf.DUMMYFUNCTION("""COMPUTED_VALUE"""),"IN/001263")</f>
        <v>IN/001263</v>
      </c>
      <c r="E547" s="2" t="str">
        <f ca="1">IFERROR(__xludf.DUMMYFUNCTION("UNIQUE(FILTER('export kabinetdashboard 1210202'!N:P,'export kabinetdashboard 1210202'!M:M=D547))"),"Beveiligen kruispunt N357 met de Spoorwegstraat")</f>
        <v>Beveiligen kruispunt N357 met de Spoorwegstraat</v>
      </c>
      <c r="F547" s="2" t="str">
        <f ca="1">IFERROR(__xludf.DUMMYFUNCTION("""COMPUTED_VALUE"""),"2022 - Q3")</f>
        <v>2022 - Q3</v>
      </c>
      <c r="G547" s="2" t="str">
        <f ca="1">IFERROR(__xludf.DUMMYFUNCTION("""COMPUTED_VALUE"""),"n.t.b.")</f>
        <v>n.t.b.</v>
      </c>
      <c r="H547" s="2">
        <f ca="1">SUMIFS('bedragen KIM (budgettering &amp; pl'!S:S,'bedragen KIM (budgettering &amp; pl'!B:B,A547,'bedragen KIM (budgettering &amp; pl'!F:F,D547)</f>
        <v>6075</v>
      </c>
      <c r="I547" s="2" t="e">
        <f ca="1">SUMIFS(#REF!,#REF!,A547,#REF!,D547)</f>
        <v>#REF!</v>
      </c>
      <c r="J547" s="2" t="e">
        <f ca="1">SUMIFS(#REF!,#REF!,A547,#REF!,D547)</f>
        <v>#REF!</v>
      </c>
    </row>
    <row r="548" spans="1:10" ht="12.5" x14ac:dyDescent="0.25">
      <c r="A548" s="2" t="str">
        <f ca="1">IFERROR(__xludf.DUMMYFUNCTION("""COMPUTED_VALUE"""),"KP/001407")</f>
        <v>KP/001407</v>
      </c>
      <c r="B548" s="2" t="str">
        <f ca="1">IFERROR(__xludf.DUMMYFUNCTION("""COMPUTED_VALUE"""),"Verkeersveiligheid")</f>
        <v>Verkeersveiligheid</v>
      </c>
      <c r="C548" s="2" t="str">
        <f ca="1">IFERROR(__xludf.DUMMYFUNCTION("""COMPUTED_VALUE"""),"Schoolroute")</f>
        <v>Schoolroute</v>
      </c>
      <c r="D548" s="2" t="str">
        <f ca="1">IFERROR(__xludf.DUMMYFUNCTION("""COMPUTED_VALUE"""),"IN/001263")</f>
        <v>IN/001263</v>
      </c>
      <c r="E548" s="2" t="str">
        <f ca="1">IFERROR(__xludf.DUMMYFUNCTION("UNIQUE(FILTER('export kabinetdashboard 1210202'!N:P,'export kabinetdashboard 1210202'!M:M=D548))"),"Beveiligen kruispunt N357 met de Spoorwegstraat")</f>
        <v>Beveiligen kruispunt N357 met de Spoorwegstraat</v>
      </c>
      <c r="F548" s="2" t="str">
        <f ca="1">IFERROR(__xludf.DUMMYFUNCTION("""COMPUTED_VALUE"""),"2022 - Q3")</f>
        <v>2022 - Q3</v>
      </c>
      <c r="G548" s="2" t="str">
        <f ca="1">IFERROR(__xludf.DUMMYFUNCTION("""COMPUTED_VALUE"""),"n.t.b.")</f>
        <v>n.t.b.</v>
      </c>
      <c r="H548" s="2">
        <f ca="1">SUMIFS('bedragen KIM (budgettering &amp; pl'!S:S,'bedragen KIM (budgettering &amp; pl'!B:B,A548,'bedragen KIM (budgettering &amp; pl'!F:F,D548)</f>
        <v>6075</v>
      </c>
      <c r="I548" s="2" t="e">
        <f ca="1">SUMIFS(#REF!,#REF!,A548,#REF!,D548)</f>
        <v>#REF!</v>
      </c>
      <c r="J548" s="2" t="e">
        <f ca="1">SUMIFS(#REF!,#REF!,A548,#REF!,D548)</f>
        <v>#REF!</v>
      </c>
    </row>
    <row r="549" spans="1:10" ht="12.5" x14ac:dyDescent="0.25">
      <c r="A549" s="2" t="str">
        <f ca="1">IFERROR(__xludf.DUMMYFUNCTION("""COMPUTED_VALUE"""),"KP/000961")</f>
        <v>KP/000961</v>
      </c>
      <c r="B549" s="2" t="str">
        <f ca="1">IFERROR(__xludf.DUMMYFUNCTION("""COMPUTED_VALUE"""),"Verkeersveiligheid")</f>
        <v>Verkeersveiligheid</v>
      </c>
      <c r="C549" s="2" t="str">
        <f ca="1">IFERROR(__xludf.DUMMYFUNCTION("""COMPUTED_VALUE"""),"Schoolroute")</f>
        <v>Schoolroute</v>
      </c>
      <c r="D549" s="2" t="str">
        <f ca="1">IFERROR(__xludf.DUMMYFUNCTION("""COMPUTED_VALUE"""),"IN/001267")</f>
        <v>IN/001267</v>
      </c>
      <c r="E549" s="2" t="str">
        <f ca="1">IFERROR(__xludf.DUMMYFUNCTION("UNIQUE(FILTER('export kabinetdashboard 1210202'!N:P,'export kabinetdashboard 1210202'!M:M=D549))")," N26 Boortmeerbeek  - Aanleggen vrijliggende fietspaden + aanpassen kruispunten nav PCV Tussen Pontsraat/Audenhovenlaan en Kallebeekstraat
VT/PCV/BOO/N26/2238")</f>
        <v xml:space="preserve"> N26 Boortmeerbeek  - Aanleggen vrijliggende fietspaden + aanpassen kruispunten nav PCV Tussen Pontsraat/Audenhovenlaan en Kallebeekstraat
VT/PCV/BOO/N26/2238</v>
      </c>
      <c r="F549" s="2" t="str">
        <f ca="1">IFERROR(__xludf.DUMMYFUNCTION("""COMPUTED_VALUE"""),"2023 - Q1")</f>
        <v>2023 - Q1</v>
      </c>
      <c r="G549" s="2" t="str">
        <f ca="1">IFERROR(__xludf.DUMMYFUNCTION("""COMPUTED_VALUE"""),"n.t.b.")</f>
        <v>n.t.b.</v>
      </c>
      <c r="H549" s="2">
        <f ca="1">SUMIFS('bedragen KIM (budgettering &amp; pl'!S:S,'bedragen KIM (budgettering &amp; pl'!B:B,A549,'bedragen KIM (budgettering &amp; pl'!F:F,D549)</f>
        <v>94297.092000000004</v>
      </c>
      <c r="I549" s="2" t="e">
        <f ca="1">SUMIFS(#REF!,#REF!,A549,#REF!,D549)</f>
        <v>#REF!</v>
      </c>
      <c r="J549" s="2" t="e">
        <f ca="1">SUMIFS(#REF!,#REF!,A549,#REF!,D549)</f>
        <v>#REF!</v>
      </c>
    </row>
    <row r="550" spans="1:10" ht="12.5" x14ac:dyDescent="0.25">
      <c r="A550" s="2" t="str">
        <f ca="1">IFERROR(__xludf.DUMMYFUNCTION("""COMPUTED_VALUE"""),"KP/001121")</f>
        <v>KP/001121</v>
      </c>
      <c r="B550" s="2" t="str">
        <f ca="1">IFERROR(__xludf.DUMMYFUNCTION("""COMPUTED_VALUE"""),"Verkeersveiligheid")</f>
        <v>Verkeersveiligheid</v>
      </c>
      <c r="C550" s="2" t="str">
        <f ca="1">IFERROR(__xludf.DUMMYFUNCTION("""COMPUTED_VALUE"""),"Schoolroute")</f>
        <v>Schoolroute</v>
      </c>
      <c r="D550" s="2" t="str">
        <f ca="1">IFERROR(__xludf.DUMMYFUNCTION("""COMPUTED_VALUE"""),"IN/001270")</f>
        <v>IN/001270</v>
      </c>
      <c r="E550" s="2" t="str">
        <f ca="1">IFERROR(__xludf.DUMMYFUNCTION("UNIQUE(FILTER('export kabinetdashboard 1210202'!N:P,'export kabinetdashboard 1210202'!M:M=D550))"),"")</f>
        <v/>
      </c>
      <c r="F550" s="2" t="str">
        <f ca="1">IFERROR(__xludf.DUMMYFUNCTION("""COMPUTED_VALUE"""),"2023 - Q4")</f>
        <v>2023 - Q4</v>
      </c>
      <c r="G550" s="2" t="str">
        <f ca="1">IFERROR(__xludf.DUMMYFUNCTION("""COMPUTED_VALUE"""),"n.t.b.")</f>
        <v>n.t.b.</v>
      </c>
      <c r="H550" s="2">
        <f ca="1">SUMIFS('bedragen KIM (budgettering &amp; pl'!S:S,'bedragen KIM (budgettering &amp; pl'!B:B,A550,'bedragen KIM (budgettering &amp; pl'!F:F,D550)</f>
        <v>232887</v>
      </c>
      <c r="I550" s="2" t="e">
        <f ca="1">SUMIFS(#REF!,#REF!,A550,#REF!,D550)</f>
        <v>#REF!</v>
      </c>
      <c r="J550" s="2" t="e">
        <f ca="1">SUMIFS(#REF!,#REF!,A550,#REF!,D550)</f>
        <v>#REF!</v>
      </c>
    </row>
    <row r="551" spans="1:10" ht="12.5" x14ac:dyDescent="0.25">
      <c r="A551" s="2" t="str">
        <f ca="1">IFERROR(__xludf.DUMMYFUNCTION("""COMPUTED_VALUE"""),"KP/000980")</f>
        <v>KP/000980</v>
      </c>
      <c r="B551" s="2" t="str">
        <f ca="1">IFERROR(__xludf.DUMMYFUNCTION("""COMPUTED_VALUE"""),"Verkeersveiligheid")</f>
        <v>Verkeersveiligheid</v>
      </c>
      <c r="C551" s="2" t="str">
        <f ca="1">IFERROR(__xludf.DUMMYFUNCTION("""COMPUTED_VALUE"""),"Schoolroute")</f>
        <v>Schoolroute</v>
      </c>
      <c r="D551" s="2" t="str">
        <f ca="1">IFERROR(__xludf.DUMMYFUNCTION("""COMPUTED_VALUE"""),"IN/001271")</f>
        <v>IN/001271</v>
      </c>
      <c r="E551" s="2" t="str">
        <f ca="1">IFERROR(__xludf.DUMMYFUNCTION("UNIQUE(FILTER('export kabinetdashboard 1210202'!N:P,'export kabinetdashboard 1210202'!M:M=D551))"),"voetpad")</f>
        <v>voetpad</v>
      </c>
      <c r="F551" s="2" t="str">
        <f ca="1">IFERROR(__xludf.DUMMYFUNCTION("""COMPUTED_VALUE"""),"2022 - Q3")</f>
        <v>2022 - Q3</v>
      </c>
      <c r="G551" s="2" t="str">
        <f ca="1">IFERROR(__xludf.DUMMYFUNCTION("""COMPUTED_VALUE"""),"2022 - Q3")</f>
        <v>2022 - Q3</v>
      </c>
      <c r="H551" s="2">
        <f ca="1">SUMIFS('bedragen KIM (budgettering &amp; pl'!S:S,'bedragen KIM (budgettering &amp; pl'!B:B,A551,'bedragen KIM (budgettering &amp; pl'!F:F,D551)</f>
        <v>13000</v>
      </c>
      <c r="I551" s="2" t="e">
        <f ca="1">SUMIFS(#REF!,#REF!,A551,#REF!,D551)</f>
        <v>#REF!</v>
      </c>
      <c r="J551" s="2" t="e">
        <f ca="1">SUMIFS(#REF!,#REF!,A551,#REF!,D551)</f>
        <v>#REF!</v>
      </c>
    </row>
    <row r="552" spans="1:10" ht="12.5" x14ac:dyDescent="0.25">
      <c r="A552" s="2" t="str">
        <f ca="1">IFERROR(__xludf.DUMMYFUNCTION("""COMPUTED_VALUE"""),"KP/001494")</f>
        <v>KP/001494</v>
      </c>
      <c r="B552" s="2" t="str">
        <f ca="1">IFERROR(__xludf.DUMMYFUNCTION("""COMPUTED_VALUE"""),"Verkeersveiligheid")</f>
        <v>Verkeersveiligheid</v>
      </c>
      <c r="C552" s="2" t="str">
        <f ca="1">IFERROR(__xludf.DUMMYFUNCTION("""COMPUTED_VALUE"""),"Schoolroute")</f>
        <v>Schoolroute</v>
      </c>
      <c r="D552" s="2" t="str">
        <f ca="1">IFERROR(__xludf.DUMMYFUNCTION("""COMPUTED_VALUE"""),"IN/001278")</f>
        <v>IN/001278</v>
      </c>
      <c r="E552" s="2" t="str">
        <f ca="1">IFERROR(__xludf.DUMMYFUNCTION("UNIQUE(FILTER('export kabinetdashboard 1210202'!N:P,'export kabinetdashboard 1210202'!M:M=D552))"),"aanpassen markeringen conform plan J Van Lokeren")</f>
        <v>aanpassen markeringen conform plan J Van Lokeren</v>
      </c>
      <c r="F552" s="2" t="str">
        <f ca="1">IFERROR(__xludf.DUMMYFUNCTION("""COMPUTED_VALUE"""),"n.t.b.")</f>
        <v>n.t.b.</v>
      </c>
      <c r="G552" s="2" t="str">
        <f ca="1">IFERROR(__xludf.DUMMYFUNCTION("""COMPUTED_VALUE"""),"n.t.b.")</f>
        <v>n.t.b.</v>
      </c>
      <c r="H552" s="2">
        <f ca="1">SUMIFS('bedragen KIM (budgettering &amp; pl'!S:S,'bedragen KIM (budgettering &amp; pl'!B:B,A552,'bedragen KIM (budgettering &amp; pl'!F:F,D552)</f>
        <v>2000</v>
      </c>
      <c r="I552" s="2" t="e">
        <f ca="1">SUMIFS(#REF!,#REF!,A552,#REF!,D552)</f>
        <v>#REF!</v>
      </c>
      <c r="J552" s="2" t="e">
        <f ca="1">SUMIFS(#REF!,#REF!,A552,#REF!,D552)</f>
        <v>#REF!</v>
      </c>
    </row>
    <row r="553" spans="1:10" ht="12.5" x14ac:dyDescent="0.25">
      <c r="A553" s="2" t="str">
        <f ca="1">IFERROR(__xludf.DUMMYFUNCTION("""COMPUTED_VALUE"""),"KP/001005")</f>
        <v>KP/001005</v>
      </c>
      <c r="B553" s="2" t="str">
        <f ca="1">IFERROR(__xludf.DUMMYFUNCTION("""COMPUTED_VALUE"""),"Verkeersveiligheid")</f>
        <v>Verkeersveiligheid</v>
      </c>
      <c r="C553" s="2" t="str">
        <f ca="1">IFERROR(__xludf.DUMMYFUNCTION("""COMPUTED_VALUE"""),"Schoolroute")</f>
        <v>Schoolroute</v>
      </c>
      <c r="D553" s="2" t="str">
        <f ca="1">IFERROR(__xludf.DUMMYFUNCTION("""COMPUTED_VALUE"""),"IN/001281")</f>
        <v>IN/001281</v>
      </c>
      <c r="E553" s="2" t="str">
        <f ca="1">IFERROR(__xludf.DUMMYFUNCTION("UNIQUE(FILTER('export kabinetdashboard 1210202'!N:P,'export kabinetdashboard 1210202'!M:M=D553))"),"")</f>
        <v/>
      </c>
      <c r="F553" s="2" t="str">
        <f ca="1">IFERROR(__xludf.DUMMYFUNCTION("""COMPUTED_VALUE"""),"2022 - Q2")</f>
        <v>2022 - Q2</v>
      </c>
      <c r="G553" s="2" t="str">
        <f ca="1">IFERROR(__xludf.DUMMYFUNCTION("""COMPUTED_VALUE"""),"2022 - Q2")</f>
        <v>2022 - Q2</v>
      </c>
      <c r="H553" s="2">
        <f ca="1">SUMIFS('bedragen KIM (budgettering &amp; pl'!S:S,'bedragen KIM (budgettering &amp; pl'!B:B,A553,'bedragen KIM (budgettering &amp; pl'!F:F,D553)</f>
        <v>75000</v>
      </c>
      <c r="I553" s="2" t="e">
        <f ca="1">SUMIFS(#REF!,#REF!,A553,#REF!,D553)</f>
        <v>#REF!</v>
      </c>
      <c r="J553" s="2" t="e">
        <f ca="1">SUMIFS(#REF!,#REF!,A553,#REF!,D553)</f>
        <v>#REF!</v>
      </c>
    </row>
    <row r="554" spans="1:10" ht="12.5" x14ac:dyDescent="0.25">
      <c r="A554" s="2" t="str">
        <f ca="1">IFERROR(__xludf.DUMMYFUNCTION("""COMPUTED_VALUE"""),"KP/001662")</f>
        <v>KP/001662</v>
      </c>
      <c r="B554" s="2" t="str">
        <f ca="1">IFERROR(__xludf.DUMMYFUNCTION("""COMPUTED_VALUE"""),"Verkeersveiligheid")</f>
        <v>Verkeersveiligheid</v>
      </c>
      <c r="C554" s="2" t="str">
        <f ca="1">IFERROR(__xludf.DUMMYFUNCTION("""COMPUTED_VALUE"""),"Schoolroute")</f>
        <v>Schoolroute</v>
      </c>
      <c r="D554" s="2" t="str">
        <f ca="1">IFERROR(__xludf.DUMMYFUNCTION("""COMPUTED_VALUE"""),"IN/001285")</f>
        <v>IN/001285</v>
      </c>
      <c r="E554" s="2" t="str">
        <f ca="1">IFERROR(__xludf.DUMMYFUNCTION("UNIQUE(FILTER('export kabinetdashboard 1210202'!N:P,'export kabinetdashboard 1210202'!M:M=D554))"),"Besluit PCV 05-10-2021:
De rechtafslagbewegingen vanaf de N60 worden opgenomen in de verkeerslichten. De bypassen worden verwijderd. De verkeerslichten op de N60 krijgen een conflictvrije regeling. De zijtakken worden niet uitgerust met een conflictvrije "&amp;"regeling. De noordwestelijke hoek van het kruispunt wordt gedeeltelijk overrijdbaar aangelegd. 
Afspraken:
V&amp;S: opmaak plan 
VWT: opmaak V-plan 
D411: uitvoeren plan 
EW: uitvoeren V-plan
")</f>
        <v xml:space="preserve">Besluit PCV 05-10-2021:
De rechtafslagbewegingen vanaf de N60 worden opgenomen in de verkeerslichten. De bypassen worden verwijderd. De verkeerslichten op de N60 krijgen een conflictvrije regeling. De zijtakken worden niet uitgerust met een conflictvrije regeling. De noordwestelijke hoek van het kruispunt wordt gedeeltelijk overrijdbaar aangelegd. 
Afspraken:
V&amp;S: opmaak plan 
VWT: opmaak V-plan 
D411: uitvoeren plan 
EW: uitvoeren V-plan
</v>
      </c>
      <c r="F554" s="2" t="str">
        <f ca="1">IFERROR(__xludf.DUMMYFUNCTION("""COMPUTED_VALUE"""),"2023 - Q2")</f>
        <v>2023 - Q2</v>
      </c>
      <c r="G554" s="2" t="str">
        <f ca="1">IFERROR(__xludf.DUMMYFUNCTION("""COMPUTED_VALUE"""),"n.t.b.")</f>
        <v>n.t.b.</v>
      </c>
      <c r="H554" s="2">
        <f ca="1">SUMIFS('bedragen KIM (budgettering &amp; pl'!S:S,'bedragen KIM (budgettering &amp; pl'!B:B,A554,'bedragen KIM (budgettering &amp; pl'!F:F,D554)</f>
        <v>202300</v>
      </c>
      <c r="I554" s="2" t="e">
        <f ca="1">SUMIFS(#REF!,#REF!,A554,#REF!,D554)</f>
        <v>#REF!</v>
      </c>
      <c r="J554" s="2" t="e">
        <f ca="1">SUMIFS(#REF!,#REF!,A554,#REF!,D554)</f>
        <v>#REF!</v>
      </c>
    </row>
    <row r="555" spans="1:10" ht="12.5" x14ac:dyDescent="0.25">
      <c r="A555" s="2" t="str">
        <f ca="1">IFERROR(__xludf.DUMMYFUNCTION("""COMPUTED_VALUE"""),"KP/001658")</f>
        <v>KP/001658</v>
      </c>
      <c r="B555" s="2" t="str">
        <f ca="1">IFERROR(__xludf.DUMMYFUNCTION("""COMPUTED_VALUE"""),"Verkeersveiligheid")</f>
        <v>Verkeersveiligheid</v>
      </c>
      <c r="C555" s="2" t="str">
        <f ca="1">IFERROR(__xludf.DUMMYFUNCTION("""COMPUTED_VALUE"""),"Schoolroute")</f>
        <v>Schoolroute</v>
      </c>
      <c r="D555" s="2" t="str">
        <f ca="1">IFERROR(__xludf.DUMMYFUNCTION("""COMPUTED_VALUE"""),"IN/001286")</f>
        <v>IN/001286</v>
      </c>
      <c r="E555" s="2" t="str">
        <f ca="1">IFERROR(__xludf.DUMMYFUNCTION("UNIQUE(FILTER('export kabinetdashboard 1210202'!N:P,'export kabinetdashboard 1210202'!M:M=D555))"),"Besluit PCV 05-10-2021 : Er worden 2 fietsoversteken aangebracht ter hoogte van de Warandestraat (zie plan dossier). De linksafslagstroken worden ingekort om deze fietsoversteken te kunnen realiseren.
https://apps.mow.vlaanderen.be/pcv/#/dossiers/OV-619")</f>
        <v>Besluit PCV 05-10-2021 : Er worden 2 fietsoversteken aangebracht ter hoogte van de Warandestraat (zie plan dossier). De linksafslagstroken worden ingekort om deze fietsoversteken te kunnen realiseren.
https://apps.mow.vlaanderen.be/pcv/#/dossiers/OV-619</v>
      </c>
      <c r="F555" s="2" t="str">
        <f ca="1">IFERROR(__xludf.DUMMYFUNCTION("""COMPUTED_VALUE"""),"2022 - Q2")</f>
        <v>2022 - Q2</v>
      </c>
      <c r="G555" s="2" t="str">
        <f ca="1">IFERROR(__xludf.DUMMYFUNCTION("""COMPUTED_VALUE"""),"2022 - Q1")</f>
        <v>2022 - Q1</v>
      </c>
      <c r="H555" s="2">
        <f ca="1">SUMIFS('bedragen KIM (budgettering &amp; pl'!S:S,'bedragen KIM (budgettering &amp; pl'!B:B,A555,'bedragen KIM (budgettering &amp; pl'!F:F,D555)</f>
        <v>45000</v>
      </c>
      <c r="I555" s="2" t="e">
        <f ca="1">SUMIFS(#REF!,#REF!,A555,#REF!,D555)</f>
        <v>#REF!</v>
      </c>
      <c r="J555" s="2" t="e">
        <f ca="1">SUMIFS(#REF!,#REF!,A555,#REF!,D555)</f>
        <v>#REF!</v>
      </c>
    </row>
    <row r="556" spans="1:10" ht="12.5" x14ac:dyDescent="0.25">
      <c r="A556" s="2" t="str">
        <f ca="1">IFERROR(__xludf.DUMMYFUNCTION("""COMPUTED_VALUE"""),"KP/000950")</f>
        <v>KP/000950</v>
      </c>
      <c r="B556" s="2" t="str">
        <f ca="1">IFERROR(__xludf.DUMMYFUNCTION("""COMPUTED_VALUE"""),"Verkeersveiligheid")</f>
        <v>Verkeersveiligheid</v>
      </c>
      <c r="C556" s="2" t="str">
        <f ca="1">IFERROR(__xludf.DUMMYFUNCTION("""COMPUTED_VALUE"""),"Schoolroute")</f>
        <v>Schoolroute</v>
      </c>
      <c r="D556" s="2" t="str">
        <f ca="1">IFERROR(__xludf.DUMMYFUNCTION("""COMPUTED_VALUE"""),"IN/001288")</f>
        <v>IN/001288</v>
      </c>
      <c r="E556" s="2" t="str">
        <f ca="1">IFERROR(__xludf.DUMMYFUNCTION("UNIQUE(FILTER('export kabinetdashboard 1210202'!N:P,'export kabinetdashboard 1210202'!M:M=D556))"),"")</f>
        <v/>
      </c>
      <c r="F556" s="2" t="str">
        <f ca="1">IFERROR(__xludf.DUMMYFUNCTION("""COMPUTED_VALUE"""),"2022 - Q2")</f>
        <v>2022 - Q2</v>
      </c>
      <c r="G556" s="2" t="str">
        <f ca="1">IFERROR(__xludf.DUMMYFUNCTION("""COMPUTED_VALUE"""),"n.t.b.")</f>
        <v>n.t.b.</v>
      </c>
      <c r="H556" s="2">
        <f ca="1">SUMIFS('bedragen KIM (budgettering &amp; pl'!S:S,'bedragen KIM (budgettering &amp; pl'!B:B,A556,'bedragen KIM (budgettering &amp; pl'!F:F,D556)</f>
        <v>0</v>
      </c>
      <c r="I556" s="2" t="e">
        <f ca="1">SUMIFS(#REF!,#REF!,A556,#REF!,D556)</f>
        <v>#REF!</v>
      </c>
      <c r="J556" s="2" t="e">
        <f ca="1">SUMIFS(#REF!,#REF!,A556,#REF!,D556)</f>
        <v>#REF!</v>
      </c>
    </row>
    <row r="557" spans="1:10" ht="12.5" x14ac:dyDescent="0.25">
      <c r="A557" s="2" t="str">
        <f ca="1">IFERROR(__xludf.DUMMYFUNCTION("""COMPUTED_VALUE"""),"KP/001636")</f>
        <v>KP/001636</v>
      </c>
      <c r="B557" s="2" t="str">
        <f ca="1">IFERROR(__xludf.DUMMYFUNCTION("""COMPUTED_VALUE"""),"Verkeersveiligheid")</f>
        <v>Verkeersveiligheid</v>
      </c>
      <c r="C557" s="2" t="str">
        <f ca="1">IFERROR(__xludf.DUMMYFUNCTION("""COMPUTED_VALUE"""),"Schoolroute")</f>
        <v>Schoolroute</v>
      </c>
      <c r="D557" s="2" t="str">
        <f ca="1">IFERROR(__xludf.DUMMYFUNCTION("""COMPUTED_VALUE"""),"IN/001292")</f>
        <v>IN/001292</v>
      </c>
      <c r="E557" s="2" t="str">
        <f ca="1">IFERROR(__xludf.DUMMYFUNCTION("UNIQUE(FILTER('export kabinetdashboard 1210202'!N:P,'export kabinetdashboard 1210202'!M:M=D557))"),"")</f>
        <v/>
      </c>
      <c r="F557" s="2" t="str">
        <f ca="1">IFERROR(__xludf.DUMMYFUNCTION("""COMPUTED_VALUE"""),"2021 - Q3")</f>
        <v>2021 - Q3</v>
      </c>
      <c r="G557" s="2" t="str">
        <f ca="1">IFERROR(__xludf.DUMMYFUNCTION("""COMPUTED_VALUE"""),"n.t.b.")</f>
        <v>n.t.b.</v>
      </c>
      <c r="H557" s="2">
        <f ca="1">SUMIFS('bedragen KIM (budgettering &amp; pl'!S:S,'bedragen KIM (budgettering &amp; pl'!B:B,A557,'bedragen KIM (budgettering &amp; pl'!F:F,D557)</f>
        <v>3500</v>
      </c>
      <c r="I557" s="2" t="e">
        <f ca="1">SUMIFS(#REF!,#REF!,A557,#REF!,D557)</f>
        <v>#REF!</v>
      </c>
      <c r="J557" s="2" t="e">
        <f ca="1">SUMIFS(#REF!,#REF!,A557,#REF!,D557)</f>
        <v>#REF!</v>
      </c>
    </row>
    <row r="558" spans="1:10" ht="12.5" x14ac:dyDescent="0.25">
      <c r="A558" s="2" t="str">
        <f ca="1">IFERROR(__xludf.DUMMYFUNCTION("""COMPUTED_VALUE"""),"KP/001638")</f>
        <v>KP/001638</v>
      </c>
      <c r="B558" s="2" t="str">
        <f ca="1">IFERROR(__xludf.DUMMYFUNCTION("""COMPUTED_VALUE"""),"Verkeersveiligheid")</f>
        <v>Verkeersveiligheid</v>
      </c>
      <c r="C558" s="2" t="str">
        <f ca="1">IFERROR(__xludf.DUMMYFUNCTION("""COMPUTED_VALUE"""),"Schoolroute")</f>
        <v>Schoolroute</v>
      </c>
      <c r="D558" s="2" t="str">
        <f ca="1">IFERROR(__xludf.DUMMYFUNCTION("""COMPUTED_VALUE"""),"IN/001293")</f>
        <v>IN/001293</v>
      </c>
      <c r="E558" s="2" t="str">
        <f ca="1">IFERROR(__xludf.DUMMYFUNCTION("UNIQUE(FILTER('export kabinetdashboard 1210202'!N:P,'export kabinetdashboard 1210202'!M:M=D558))"),"Verlagen boordsteen, aanpassen weggoot")</f>
        <v>Verlagen boordsteen, aanpassen weggoot</v>
      </c>
      <c r="F558" s="2" t="str">
        <f ca="1">IFERROR(__xludf.DUMMYFUNCTION("""COMPUTED_VALUE"""),"2021 - Q3")</f>
        <v>2021 - Q3</v>
      </c>
      <c r="G558" s="2" t="str">
        <f ca="1">IFERROR(__xludf.DUMMYFUNCTION("""COMPUTED_VALUE"""),"n.t.b.")</f>
        <v>n.t.b.</v>
      </c>
      <c r="H558" s="2">
        <f ca="1">SUMIFS('bedragen KIM (budgettering &amp; pl'!S:S,'bedragen KIM (budgettering &amp; pl'!B:B,A558,'bedragen KIM (budgettering &amp; pl'!F:F,D558)</f>
        <v>3500</v>
      </c>
      <c r="I558" s="2" t="e">
        <f ca="1">SUMIFS(#REF!,#REF!,A558,#REF!,D558)</f>
        <v>#REF!</v>
      </c>
      <c r="J558" s="2" t="e">
        <f ca="1">SUMIFS(#REF!,#REF!,A558,#REF!,D558)</f>
        <v>#REF!</v>
      </c>
    </row>
    <row r="559" spans="1:10" ht="12.5" x14ac:dyDescent="0.25">
      <c r="A559" s="2" t="str">
        <f ca="1">IFERROR(__xludf.DUMMYFUNCTION("""COMPUTED_VALUE"""),"KP/001617")</f>
        <v>KP/001617</v>
      </c>
      <c r="B559" s="2" t="str">
        <f ca="1">IFERROR(__xludf.DUMMYFUNCTION("""COMPUTED_VALUE"""),"Verkeersveiligheid")</f>
        <v>Verkeersveiligheid</v>
      </c>
      <c r="C559" s="2" t="str">
        <f ca="1">IFERROR(__xludf.DUMMYFUNCTION("""COMPUTED_VALUE"""),"Schoolroute")</f>
        <v>Schoolroute</v>
      </c>
      <c r="D559" s="2" t="str">
        <f ca="1">IFERROR(__xludf.DUMMYFUNCTION("""COMPUTED_VALUE"""),"IN/001298")</f>
        <v>IN/001298</v>
      </c>
      <c r="E559" s="2" t="str">
        <f ca="1">IFERROR(__xludf.DUMMYFUNCTION("UNIQUE(FILTER('export kabinetdashboard 1210202'!N:P,'export kabinetdashboard 1210202'!M:M=D559))"),"zebrapad aanbrengen")</f>
        <v>zebrapad aanbrengen</v>
      </c>
      <c r="F559" s="2" t="str">
        <f ca="1">IFERROR(__xludf.DUMMYFUNCTION("""COMPUTED_VALUE"""),"2022 - Q3")</f>
        <v>2022 - Q3</v>
      </c>
      <c r="G559" s="2" t="str">
        <f ca="1">IFERROR(__xludf.DUMMYFUNCTION("""COMPUTED_VALUE"""),"2022 - Q2")</f>
        <v>2022 - Q2</v>
      </c>
      <c r="H559" s="2">
        <f ca="1">SUMIFS('bedragen KIM (budgettering &amp; pl'!S:S,'bedragen KIM (budgettering &amp; pl'!B:B,A559,'bedragen KIM (budgettering &amp; pl'!F:F,D559)</f>
        <v>500</v>
      </c>
      <c r="I559" s="2" t="e">
        <f ca="1">SUMIFS(#REF!,#REF!,A559,#REF!,D559)</f>
        <v>#REF!</v>
      </c>
      <c r="J559" s="2" t="e">
        <f ca="1">SUMIFS(#REF!,#REF!,A559,#REF!,D559)</f>
        <v>#REF!</v>
      </c>
    </row>
    <row r="560" spans="1:10" ht="12.5" x14ac:dyDescent="0.25">
      <c r="A560" s="2" t="str">
        <f ca="1">IFERROR(__xludf.DUMMYFUNCTION("""COMPUTED_VALUE"""),"KP/001382")</f>
        <v>KP/001382</v>
      </c>
      <c r="B560" s="2" t="str">
        <f ca="1">IFERROR(__xludf.DUMMYFUNCTION("""COMPUTED_VALUE"""),"Verkeersveiligheid")</f>
        <v>Verkeersveiligheid</v>
      </c>
      <c r="C560" s="2" t="str">
        <f ca="1">IFERROR(__xludf.DUMMYFUNCTION("""COMPUTED_VALUE"""),"Schoolroute")</f>
        <v>Schoolroute</v>
      </c>
      <c r="D560" s="2" t="str">
        <f ca="1">IFERROR(__xludf.DUMMYFUNCTION("""COMPUTED_VALUE"""),"IN/001309")</f>
        <v>IN/001309</v>
      </c>
      <c r="E560" s="2" t="str">
        <f ca="1">IFERROR(__xludf.DUMMYFUNCTION("UNIQUE(FILTER('export kabinetdashboard 1210202'!N:P,'export kabinetdashboard 1210202'!M:M=D560))"),"VVOP plaatsen")</f>
        <v>VVOP plaatsen</v>
      </c>
      <c r="F560" s="2" t="str">
        <f ca="1">IFERROR(__xludf.DUMMYFUNCTION("""COMPUTED_VALUE"""),"2023 - Q2")</f>
        <v>2023 - Q2</v>
      </c>
      <c r="G560" s="2" t="str">
        <f ca="1">IFERROR(__xludf.DUMMYFUNCTION("""COMPUTED_VALUE"""),"n.t.b.")</f>
        <v>n.t.b.</v>
      </c>
      <c r="H560" s="2">
        <f ca="1">SUMIFS('bedragen KIM (budgettering &amp; pl'!S:S,'bedragen KIM (budgettering &amp; pl'!B:B,A560,'bedragen KIM (budgettering &amp; pl'!F:F,D560)</f>
        <v>30000</v>
      </c>
      <c r="I560" s="2" t="e">
        <f ca="1">SUMIFS(#REF!,#REF!,A560,#REF!,D560)</f>
        <v>#REF!</v>
      </c>
      <c r="J560" s="2" t="e">
        <f ca="1">SUMIFS(#REF!,#REF!,A560,#REF!,D560)</f>
        <v>#REF!</v>
      </c>
    </row>
    <row r="561" spans="1:10" ht="12.5" x14ac:dyDescent="0.25">
      <c r="A561" s="2" t="str">
        <f ca="1">IFERROR(__xludf.DUMMYFUNCTION("""COMPUTED_VALUE"""),"KP/001381")</f>
        <v>KP/001381</v>
      </c>
      <c r="B561" s="2" t="str">
        <f ca="1">IFERROR(__xludf.DUMMYFUNCTION("""COMPUTED_VALUE"""),"Verkeersveiligheid")</f>
        <v>Verkeersveiligheid</v>
      </c>
      <c r="C561" s="2" t="str">
        <f ca="1">IFERROR(__xludf.DUMMYFUNCTION("""COMPUTED_VALUE"""),"Schoolroute")</f>
        <v>Schoolroute</v>
      </c>
      <c r="D561" s="2" t="str">
        <f ca="1">IFERROR(__xludf.DUMMYFUNCTION("""COMPUTED_VALUE"""),"IN/001310")</f>
        <v>IN/001310</v>
      </c>
      <c r="E561" s="2" t="str">
        <f ca="1">IFERROR(__xludf.DUMMYFUNCTION("UNIQUE(FILTER('export kabinetdashboard 1210202'!N:P,'export kabinetdashboard 1210202'!M:M=D561))"),"VVOP plaatsen")</f>
        <v>VVOP plaatsen</v>
      </c>
      <c r="F561" s="2" t="str">
        <f ca="1">IFERROR(__xludf.DUMMYFUNCTION("""COMPUTED_VALUE"""),"2023 - Q2")</f>
        <v>2023 - Q2</v>
      </c>
      <c r="G561" s="2" t="str">
        <f ca="1">IFERROR(__xludf.DUMMYFUNCTION("""COMPUTED_VALUE"""),"n.t.b.")</f>
        <v>n.t.b.</v>
      </c>
      <c r="H561" s="2">
        <f ca="1">SUMIFS('bedragen KIM (budgettering &amp; pl'!S:S,'bedragen KIM (budgettering &amp; pl'!B:B,A561,'bedragen KIM (budgettering &amp; pl'!F:F,D561)</f>
        <v>30000</v>
      </c>
      <c r="I561" s="2" t="e">
        <f ca="1">SUMIFS(#REF!,#REF!,A561,#REF!,D561)</f>
        <v>#REF!</v>
      </c>
      <c r="J561" s="2" t="e">
        <f ca="1">SUMIFS(#REF!,#REF!,A561,#REF!,D561)</f>
        <v>#REF!</v>
      </c>
    </row>
    <row r="562" spans="1:10" ht="12.5" x14ac:dyDescent="0.25">
      <c r="A562" s="2" t="str">
        <f ca="1">IFERROR(__xludf.DUMMYFUNCTION("""COMPUTED_VALUE"""),"KP/000960")</f>
        <v>KP/000960</v>
      </c>
      <c r="B562" s="2" t="str">
        <f ca="1">IFERROR(__xludf.DUMMYFUNCTION("""COMPUTED_VALUE"""),"Verkeersveiligheid")</f>
        <v>Verkeersveiligheid</v>
      </c>
      <c r="C562" s="2" t="str">
        <f ca="1">IFERROR(__xludf.DUMMYFUNCTION("""COMPUTED_VALUE"""),"Schoolroute")</f>
        <v>Schoolroute</v>
      </c>
      <c r="D562" s="2" t="str">
        <f ca="1">IFERROR(__xludf.DUMMYFUNCTION("""COMPUTED_VALUE"""),"IN/001311")</f>
        <v>IN/001311</v>
      </c>
      <c r="E562" s="2" t="str">
        <f ca="1">IFERROR(__xludf.DUMMYFUNCTION("UNIQUE(FILTER('export kabinetdashboard 1210202'!N:P,'export kabinetdashboard 1210202'!M:M=D562))"),"VRI plaatsen
PCV VB-328")</f>
        <v>VRI plaatsen
PCV VB-328</v>
      </c>
      <c r="F562" s="2" t="str">
        <f ca="1">IFERROR(__xludf.DUMMYFUNCTION("""COMPUTED_VALUE"""),"2023 - Q2")</f>
        <v>2023 - Q2</v>
      </c>
      <c r="G562" s="2" t="str">
        <f ca="1">IFERROR(__xludf.DUMMYFUNCTION("""COMPUTED_VALUE"""),"n.t.b.")</f>
        <v>n.t.b.</v>
      </c>
      <c r="H562" s="2">
        <f ca="1">SUMIFS('bedragen KIM (budgettering &amp; pl'!S:S,'bedragen KIM (budgettering &amp; pl'!B:B,A562,'bedragen KIM (budgettering &amp; pl'!F:F,D562)</f>
        <v>112870</v>
      </c>
      <c r="I562" s="2" t="e">
        <f ca="1">SUMIFS(#REF!,#REF!,A562,#REF!,D562)</f>
        <v>#REF!</v>
      </c>
      <c r="J562" s="2" t="e">
        <f ca="1">SUMIFS(#REF!,#REF!,A562,#REF!,D562)</f>
        <v>#REF!</v>
      </c>
    </row>
    <row r="563" spans="1:10" ht="12.5" x14ac:dyDescent="0.25">
      <c r="A563" s="2" t="str">
        <f ca="1">IFERROR(__xludf.DUMMYFUNCTION("""COMPUTED_VALUE"""),"KP/000959")</f>
        <v>KP/000959</v>
      </c>
      <c r="B563" s="2" t="str">
        <f ca="1">IFERROR(__xludf.DUMMYFUNCTION("""COMPUTED_VALUE"""),"Verkeersveiligheid")</f>
        <v>Verkeersveiligheid</v>
      </c>
      <c r="C563" s="2" t="str">
        <f ca="1">IFERROR(__xludf.DUMMYFUNCTION("""COMPUTED_VALUE"""),"Schoolroute")</f>
        <v>Schoolroute</v>
      </c>
      <c r="D563" s="2" t="str">
        <f ca="1">IFERROR(__xludf.DUMMYFUNCTION("""COMPUTED_VALUE"""),"IN/001312")</f>
        <v>IN/001312</v>
      </c>
      <c r="E563" s="2" t="str">
        <f ca="1">IFERROR(__xludf.DUMMYFUNCTION("UNIQUE(FILTER('export kabinetdashboard 1210202'!N:P,'export kabinetdashboard 1210202'!M:M=D563))"),"VVOP")</f>
        <v>VVOP</v>
      </c>
      <c r="F563" s="2" t="str">
        <f ca="1">IFERROR(__xludf.DUMMYFUNCTION("""COMPUTED_VALUE"""),"2022 - Q4")</f>
        <v>2022 - Q4</v>
      </c>
      <c r="G563" s="2" t="str">
        <f ca="1">IFERROR(__xludf.DUMMYFUNCTION("""COMPUTED_VALUE"""),"n.t.b.")</f>
        <v>n.t.b.</v>
      </c>
      <c r="H563" s="2">
        <f ca="1">SUMIFS('bedragen KIM (budgettering &amp; pl'!S:S,'bedragen KIM (budgettering &amp; pl'!B:B,A563,'bedragen KIM (budgettering &amp; pl'!F:F,D563)</f>
        <v>26923</v>
      </c>
      <c r="I563" s="2" t="e">
        <f ca="1">SUMIFS(#REF!,#REF!,A563,#REF!,D563)</f>
        <v>#REF!</v>
      </c>
      <c r="J563" s="2" t="e">
        <f ca="1">SUMIFS(#REF!,#REF!,A563,#REF!,D563)</f>
        <v>#REF!</v>
      </c>
    </row>
    <row r="564" spans="1:10" ht="12.5" x14ac:dyDescent="0.25">
      <c r="A564" s="2" t="str">
        <f ca="1">IFERROR(__xludf.DUMMYFUNCTION("""COMPUTED_VALUE"""),"KP/001296")</f>
        <v>KP/001296</v>
      </c>
      <c r="B564" s="2" t="str">
        <f ca="1">IFERROR(__xludf.DUMMYFUNCTION("""COMPUTED_VALUE"""),"Verkeersveiligheid")</f>
        <v>Verkeersveiligheid</v>
      </c>
      <c r="C564" s="2" t="str">
        <f ca="1">IFERROR(__xludf.DUMMYFUNCTION("""COMPUTED_VALUE"""),"Schoolroute")</f>
        <v>Schoolroute</v>
      </c>
      <c r="D564" s="2" t="str">
        <f ca="1">IFERROR(__xludf.DUMMYFUNCTION("""COMPUTED_VALUE"""),"IN/001313")</f>
        <v>IN/001313</v>
      </c>
      <c r="E564" s="2" t="str">
        <f ca="1">IFERROR(__xludf.DUMMYFUNCTION("UNIQUE(FILTER('export kabinetdashboard 1210202'!N:P,'export kabinetdashboard 1210202'!M:M=D564))"),"Onderbord verwijderen en vervangen")</f>
        <v>Onderbord verwijderen en vervangen</v>
      </c>
      <c r="F564" s="2" t="str">
        <f ca="1">IFERROR(__xludf.DUMMYFUNCTION("""COMPUTED_VALUE"""),"2021 - Q4")</f>
        <v>2021 - Q4</v>
      </c>
      <c r="G564" s="2" t="str">
        <f ca="1">IFERROR(__xludf.DUMMYFUNCTION("""COMPUTED_VALUE"""),"2021 - Q4")</f>
        <v>2021 - Q4</v>
      </c>
      <c r="H564" s="2">
        <f ca="1">SUMIFS('bedragen KIM (budgettering &amp; pl'!S:S,'bedragen KIM (budgettering &amp; pl'!B:B,A564,'bedragen KIM (budgettering &amp; pl'!F:F,D564)</f>
        <v>300</v>
      </c>
      <c r="I564" s="2" t="e">
        <f ca="1">SUMIFS(#REF!,#REF!,A564,#REF!,D564)</f>
        <v>#REF!</v>
      </c>
      <c r="J564" s="2" t="e">
        <f ca="1">SUMIFS(#REF!,#REF!,A564,#REF!,D564)</f>
        <v>#REF!</v>
      </c>
    </row>
    <row r="565" spans="1:10" ht="12.5" x14ac:dyDescent="0.25">
      <c r="A565" s="2" t="str">
        <f ca="1">IFERROR(__xludf.DUMMYFUNCTION("""COMPUTED_VALUE"""),"KP/001395")</f>
        <v>KP/001395</v>
      </c>
      <c r="B565" s="2" t="str">
        <f ca="1">IFERROR(__xludf.DUMMYFUNCTION("""COMPUTED_VALUE"""),"Verkeersveiligheid")</f>
        <v>Verkeersveiligheid</v>
      </c>
      <c r="C565" s="2" t="str">
        <f ca="1">IFERROR(__xludf.DUMMYFUNCTION("""COMPUTED_VALUE"""),"Schoolroute")</f>
        <v>Schoolroute</v>
      </c>
      <c r="D565" s="2" t="str">
        <f ca="1">IFERROR(__xludf.DUMMYFUNCTION("""COMPUTED_VALUE"""),"IN/001315")</f>
        <v>IN/001315</v>
      </c>
      <c r="E565" s="2" t="str">
        <f ca="1">IFERROR(__xludf.DUMMYFUNCTION("UNIQUE(FILTER('export kabinetdashboard 1210202'!N:P,'export kabinetdashboard 1210202'!M:M=D565))"),"")</f>
        <v/>
      </c>
      <c r="F565" s="2" t="str">
        <f ca="1">IFERROR(__xludf.DUMMYFUNCTION("""COMPUTED_VALUE"""),"2021 - Q2")</f>
        <v>2021 - Q2</v>
      </c>
      <c r="G565" s="2" t="str">
        <f ca="1">IFERROR(__xludf.DUMMYFUNCTION("""COMPUTED_VALUE"""),"n.t.b.")</f>
        <v>n.t.b.</v>
      </c>
      <c r="H565" s="2">
        <f ca="1">SUMIFS('bedragen KIM (budgettering &amp; pl'!S:S,'bedragen KIM (budgettering &amp; pl'!B:B,A565,'bedragen KIM (budgettering &amp; pl'!F:F,D565)</f>
        <v>1936.25</v>
      </c>
      <c r="I565" s="2" t="e">
        <f ca="1">SUMIFS(#REF!,#REF!,A565,#REF!,D565)</f>
        <v>#REF!</v>
      </c>
      <c r="J565" s="2" t="e">
        <f ca="1">SUMIFS(#REF!,#REF!,A565,#REF!,D565)</f>
        <v>#REF!</v>
      </c>
    </row>
    <row r="566" spans="1:10" ht="12.5" x14ac:dyDescent="0.25">
      <c r="A566" s="2" t="str">
        <f ca="1">IFERROR(__xludf.DUMMYFUNCTION("""COMPUTED_VALUE"""),"KP/000936")</f>
        <v>KP/000936</v>
      </c>
      <c r="B566" s="2" t="str">
        <f ca="1">IFERROR(__xludf.DUMMYFUNCTION("""COMPUTED_VALUE"""),"Verkeersveiligheid")</f>
        <v>Verkeersveiligheid</v>
      </c>
      <c r="C566" s="2" t="str">
        <f ca="1">IFERROR(__xludf.DUMMYFUNCTION("""COMPUTED_VALUE"""),"Schoolroute")</f>
        <v>Schoolroute</v>
      </c>
      <c r="D566" s="2" t="str">
        <f ca="1">IFERROR(__xludf.DUMMYFUNCTION("""COMPUTED_VALUE"""),"IN/001316")</f>
        <v>IN/001316</v>
      </c>
      <c r="E566" s="2" t="str">
        <f ca="1">IFERROR(__xludf.DUMMYFUNCTION("UNIQUE(FILTER('export kabinetdashboard 1210202'!N:P,'export kabinetdashboard 1210202'!M:M=D566))"),"zebrapad verplaatsen; punctueel verlichten; voetpad vrij van obstakels maken")</f>
        <v>zebrapad verplaatsen; punctueel verlichten; voetpad vrij van obstakels maken</v>
      </c>
      <c r="F566" s="2" t="str">
        <f ca="1">IFERROR(__xludf.DUMMYFUNCTION("""COMPUTED_VALUE"""),"2022 - Q4")</f>
        <v>2022 - Q4</v>
      </c>
      <c r="G566" s="2" t="str">
        <f ca="1">IFERROR(__xludf.DUMMYFUNCTION("""COMPUTED_VALUE"""),"n.t.b.")</f>
        <v>n.t.b.</v>
      </c>
      <c r="H566" s="2">
        <f ca="1">SUMIFS('bedragen KIM (budgettering &amp; pl'!S:S,'bedragen KIM (budgettering &amp; pl'!B:B,A566,'bedragen KIM (budgettering &amp; pl'!F:F,D566)</f>
        <v>20169</v>
      </c>
      <c r="I566" s="2" t="e">
        <f ca="1">SUMIFS(#REF!,#REF!,A566,#REF!,D566)</f>
        <v>#REF!</v>
      </c>
      <c r="J566" s="2" t="e">
        <f ca="1">SUMIFS(#REF!,#REF!,A566,#REF!,D566)</f>
        <v>#REF!</v>
      </c>
    </row>
    <row r="567" spans="1:10" ht="12.5" x14ac:dyDescent="0.25">
      <c r="A567" s="2" t="str">
        <f ca="1">IFERROR(__xludf.DUMMYFUNCTION("""COMPUTED_VALUE"""),"KP/000981")</f>
        <v>KP/000981</v>
      </c>
      <c r="B567" s="2" t="str">
        <f ca="1">IFERROR(__xludf.DUMMYFUNCTION("""COMPUTED_VALUE"""),"Verkeersveiligheid")</f>
        <v>Verkeersveiligheid</v>
      </c>
      <c r="C567" s="2" t="str">
        <f ca="1">IFERROR(__xludf.DUMMYFUNCTION("""COMPUTED_VALUE"""),"Schoolroute")</f>
        <v>Schoolroute</v>
      </c>
      <c r="D567" s="2" t="str">
        <f ca="1">IFERROR(__xludf.DUMMYFUNCTION("""COMPUTED_VALUE"""),"IN/001317")</f>
        <v>IN/001317</v>
      </c>
      <c r="E567" s="2" t="str">
        <f ca="1">IFERROR(__xludf.DUMMYFUNCTION("UNIQUE(FILTER('export kabinetdashboard 1210202'!N:P,'export kabinetdashboard 1210202'!M:M=D567))"),"uitgevoerd op relancebudget bestek oneffenheden")</f>
        <v>uitgevoerd op relancebudget bestek oneffenheden</v>
      </c>
      <c r="F567" s="2" t="str">
        <f ca="1">IFERROR(__xludf.DUMMYFUNCTION("""COMPUTED_VALUE"""),"2021 - Q4")</f>
        <v>2021 - Q4</v>
      </c>
      <c r="G567" s="2" t="str">
        <f ca="1">IFERROR(__xludf.DUMMYFUNCTION("""COMPUTED_VALUE"""),"2021 - Q3")</f>
        <v>2021 - Q3</v>
      </c>
      <c r="H567" s="2">
        <f ca="1">SUMIFS('bedragen KIM (budgettering &amp; pl'!S:S,'bedragen KIM (budgettering &amp; pl'!B:B,A567,'bedragen KIM (budgettering &amp; pl'!F:F,D567)</f>
        <v>1</v>
      </c>
      <c r="I567" s="2" t="e">
        <f ca="1">SUMIFS(#REF!,#REF!,A567,#REF!,D567)</f>
        <v>#REF!</v>
      </c>
      <c r="J567" s="2" t="e">
        <f ca="1">SUMIFS(#REF!,#REF!,A567,#REF!,D567)</f>
        <v>#REF!</v>
      </c>
    </row>
    <row r="568" spans="1:10" ht="12.5" x14ac:dyDescent="0.25">
      <c r="A568" s="2" t="str">
        <f ca="1">IFERROR(__xludf.DUMMYFUNCTION("""COMPUTED_VALUE"""),"KP/001028")</f>
        <v>KP/001028</v>
      </c>
      <c r="B568" s="2" t="str">
        <f ca="1">IFERROR(__xludf.DUMMYFUNCTION("""COMPUTED_VALUE"""),"Verkeersveiligheid")</f>
        <v>Verkeersveiligheid</v>
      </c>
      <c r="C568" s="2" t="str">
        <f ca="1">IFERROR(__xludf.DUMMYFUNCTION("""COMPUTED_VALUE"""),"Schoolroute")</f>
        <v>Schoolroute</v>
      </c>
      <c r="D568" s="2" t="str">
        <f ca="1">IFERROR(__xludf.DUMMYFUNCTION("""COMPUTED_VALUE"""),"IN/001323")</f>
        <v>IN/001323</v>
      </c>
      <c r="E568" s="2" t="str">
        <f ca="1">IFERROR(__xludf.DUMMYFUNCTION("UNIQUE(FILTER('export kabinetdashboard 1210202'!N:P,'export kabinetdashboard 1210202'!M:M=D568))"),"Omschrijving Doorsteken fietspaden verbreden + vernieuwen toplaag (250.000)")</f>
        <v>Omschrijving Doorsteken fietspaden verbreden + vernieuwen toplaag (250.000)</v>
      </c>
      <c r="F568" s="2" t="str">
        <f ca="1">IFERROR(__xludf.DUMMYFUNCTION("""COMPUTED_VALUE"""),"2023 - Q2")</f>
        <v>2023 - Q2</v>
      </c>
      <c r="G568" s="2" t="str">
        <f ca="1">IFERROR(__xludf.DUMMYFUNCTION("""COMPUTED_VALUE"""),"n.t.b.")</f>
        <v>n.t.b.</v>
      </c>
      <c r="H568" s="2">
        <f ca="1">SUMIFS('bedragen KIM (budgettering &amp; pl'!S:S,'bedragen KIM (budgettering &amp; pl'!B:B,A568,'bedragen KIM (budgettering &amp; pl'!F:F,D568)</f>
        <v>62500</v>
      </c>
      <c r="I568" s="2" t="e">
        <f ca="1">SUMIFS(#REF!,#REF!,A568,#REF!,D568)</f>
        <v>#REF!</v>
      </c>
      <c r="J568" s="2" t="e">
        <f ca="1">SUMIFS(#REF!,#REF!,A568,#REF!,D568)</f>
        <v>#REF!</v>
      </c>
    </row>
    <row r="569" spans="1:10" ht="12.5" x14ac:dyDescent="0.25">
      <c r="A569" s="2" t="str">
        <f ca="1">IFERROR(__xludf.DUMMYFUNCTION("""COMPUTED_VALUE"""),"KP/001471")</f>
        <v>KP/001471</v>
      </c>
      <c r="B569" s="2" t="str">
        <f ca="1">IFERROR(__xludf.DUMMYFUNCTION("""COMPUTED_VALUE"""),"Verkeersveiligheid")</f>
        <v>Verkeersveiligheid</v>
      </c>
      <c r="C569" s="2" t="str">
        <f ca="1">IFERROR(__xludf.DUMMYFUNCTION("""COMPUTED_VALUE"""),"Schoolroute")</f>
        <v>Schoolroute</v>
      </c>
      <c r="D569" s="2" t="str">
        <f ca="1">IFERROR(__xludf.DUMMYFUNCTION("""COMPUTED_VALUE"""),"IN/001327")</f>
        <v>IN/001327</v>
      </c>
      <c r="E569" s="2" t="str">
        <f ca="1">IFERROR(__xludf.DUMMYFUNCTION("UNIQUE(FILTER('export kabinetdashboard 1210202'!N:P,'export kabinetdashboard 1210202'!M:M=D569))"),"")</f>
        <v/>
      </c>
      <c r="F569" s="2" t="str">
        <f ca="1">IFERROR(__xludf.DUMMYFUNCTION("""COMPUTED_VALUE"""),"n.t.b.")</f>
        <v>n.t.b.</v>
      </c>
      <c r="G569" s="2" t="str">
        <f ca="1">IFERROR(__xludf.DUMMYFUNCTION("""COMPUTED_VALUE"""),"n.t.b.")</f>
        <v>n.t.b.</v>
      </c>
      <c r="H569" s="2">
        <f ca="1">SUMIFS('bedragen KIM (budgettering &amp; pl'!S:S,'bedragen KIM (budgettering &amp; pl'!B:B,A569,'bedragen KIM (budgettering &amp; pl'!F:F,D569)</f>
        <v>0</v>
      </c>
      <c r="I569" s="2" t="e">
        <f ca="1">SUMIFS(#REF!,#REF!,A569,#REF!,D569)</f>
        <v>#REF!</v>
      </c>
      <c r="J569" s="2" t="e">
        <f ca="1">SUMIFS(#REF!,#REF!,A569,#REF!,D569)</f>
        <v>#REF!</v>
      </c>
    </row>
    <row r="570" spans="1:10" ht="12.5" x14ac:dyDescent="0.25">
      <c r="A570" s="2" t="str">
        <f ca="1">IFERROR(__xludf.DUMMYFUNCTION("""COMPUTED_VALUE"""),"KP/001474")</f>
        <v>KP/001474</v>
      </c>
      <c r="B570" s="2" t="str">
        <f ca="1">IFERROR(__xludf.DUMMYFUNCTION("""COMPUTED_VALUE"""),"Verkeersveiligheid")</f>
        <v>Verkeersveiligheid</v>
      </c>
      <c r="C570" s="2" t="str">
        <f ca="1">IFERROR(__xludf.DUMMYFUNCTION("""COMPUTED_VALUE"""),"Schoolroute")</f>
        <v>Schoolroute</v>
      </c>
      <c r="D570" s="2" t="str">
        <f ca="1">IFERROR(__xludf.DUMMYFUNCTION("""COMPUTED_VALUE"""),"IN/001329")</f>
        <v>IN/001329</v>
      </c>
      <c r="E570" s="2" t="str">
        <f ca="1">IFERROR(__xludf.DUMMYFUNCTION("UNIQUE(FILTER('export kabinetdashboard 1210202'!N:P,'export kabinetdashboard 1210202'!M:M=D570))"),"")</f>
        <v/>
      </c>
      <c r="F570" s="2" t="str">
        <f ca="1">IFERROR(__xludf.DUMMYFUNCTION("""COMPUTED_VALUE"""),"n.t.b.")</f>
        <v>n.t.b.</v>
      </c>
      <c r="G570" s="2" t="str">
        <f ca="1">IFERROR(__xludf.DUMMYFUNCTION("""COMPUTED_VALUE"""),"n.t.b.")</f>
        <v>n.t.b.</v>
      </c>
      <c r="H570" s="2">
        <f ca="1">SUMIFS('bedragen KIM (budgettering &amp; pl'!S:S,'bedragen KIM (budgettering &amp; pl'!B:B,A570,'bedragen KIM (budgettering &amp; pl'!F:F,D570)</f>
        <v>0</v>
      </c>
      <c r="I570" s="2" t="e">
        <f ca="1">SUMIFS(#REF!,#REF!,A570,#REF!,D570)</f>
        <v>#REF!</v>
      </c>
      <c r="J570" s="2" t="e">
        <f ca="1">SUMIFS(#REF!,#REF!,A570,#REF!,D570)</f>
        <v>#REF!</v>
      </c>
    </row>
    <row r="571" spans="1:10" ht="12.5" x14ac:dyDescent="0.25">
      <c r="A571" s="2" t="str">
        <f ca="1">IFERROR(__xludf.DUMMYFUNCTION("""COMPUTED_VALUE"""),"KP/000928")</f>
        <v>KP/000928</v>
      </c>
      <c r="B571" s="2" t="str">
        <f ca="1">IFERROR(__xludf.DUMMYFUNCTION("""COMPUTED_VALUE"""),"Verkeersveiligheid")</f>
        <v>Verkeersveiligheid</v>
      </c>
      <c r="C571" s="2" t="str">
        <f ca="1">IFERROR(__xludf.DUMMYFUNCTION("""COMPUTED_VALUE"""),"Schoolroute")</f>
        <v>Schoolroute</v>
      </c>
      <c r="D571" s="2" t="str">
        <f ca="1">IFERROR(__xludf.DUMMYFUNCTION("""COMPUTED_VALUE"""),"IN/001354")</f>
        <v>IN/001354</v>
      </c>
      <c r="E571" s="2" t="str">
        <f ca="1">IFERROR(__xludf.DUMMYFUNCTION("UNIQUE(FILTER('export kabinetdashboard 1210202'!N:P,'export kabinetdashboard 1210202'!M:M=D571))"),"VVOP ter hoogte van de wijk Hutte voorzien")</f>
        <v>VVOP ter hoogte van de wijk Hutte voorzien</v>
      </c>
      <c r="F571" s="2" t="str">
        <f ca="1">IFERROR(__xludf.DUMMYFUNCTION("""COMPUTED_VALUE"""),"2022 - Q2")</f>
        <v>2022 - Q2</v>
      </c>
      <c r="G571" s="2" t="str">
        <f ca="1">IFERROR(__xludf.DUMMYFUNCTION("""COMPUTED_VALUE"""),"n.t.b.")</f>
        <v>n.t.b.</v>
      </c>
      <c r="H571" s="2">
        <f ca="1">SUMIFS('bedragen KIM (budgettering &amp; pl'!S:S,'bedragen KIM (budgettering &amp; pl'!B:B,A571,'bedragen KIM (budgettering &amp; pl'!F:F,D571)</f>
        <v>15111.39</v>
      </c>
      <c r="I571" s="2" t="e">
        <f ca="1">SUMIFS(#REF!,#REF!,A571,#REF!,D571)</f>
        <v>#REF!</v>
      </c>
      <c r="J571" s="2" t="e">
        <f ca="1">SUMIFS(#REF!,#REF!,A571,#REF!,D571)</f>
        <v>#REF!</v>
      </c>
    </row>
    <row r="572" spans="1:10" ht="12.5" x14ac:dyDescent="0.25">
      <c r="A572" s="2" t="str">
        <f ca="1">IFERROR(__xludf.DUMMYFUNCTION("""COMPUTED_VALUE"""),"KP/001218")</f>
        <v>KP/001218</v>
      </c>
      <c r="B572" s="2" t="str">
        <f ca="1">IFERROR(__xludf.DUMMYFUNCTION("""COMPUTED_VALUE"""),"Verkeersveiligheid")</f>
        <v>Verkeersveiligheid</v>
      </c>
      <c r="C572" s="2" t="str">
        <f ca="1">IFERROR(__xludf.DUMMYFUNCTION("""COMPUTED_VALUE"""),"Schoolroute")</f>
        <v>Schoolroute</v>
      </c>
      <c r="D572" s="2" t="str">
        <f ca="1">IFERROR(__xludf.DUMMYFUNCTION("""COMPUTED_VALUE"""),"IN/001355")</f>
        <v>IN/001355</v>
      </c>
      <c r="E572" s="2" t="str">
        <f ca="1">IFERROR(__xludf.DUMMYFUNCTION("UNIQUE(FILTER('export kabinetdashboard 1210202'!N:P,'export kabinetdashboard 1210202'!M:M=D572))"),"ZIE OOK IN/000980
QW1: verplaatsen bebouwde kom, verlagen snelheidslimiet naar 50 km/u")</f>
        <v>ZIE OOK IN/000980
QW1: verplaatsen bebouwde kom, verlagen snelheidslimiet naar 50 km/u</v>
      </c>
      <c r="F572" s="2" t="str">
        <f ca="1">IFERROR(__xludf.DUMMYFUNCTION("""COMPUTED_VALUE"""),"2023 - Q1")</f>
        <v>2023 - Q1</v>
      </c>
      <c r="G572" s="2" t="str">
        <f ca="1">IFERROR(__xludf.DUMMYFUNCTION("""COMPUTED_VALUE"""),"n.t.b.")</f>
        <v>n.t.b.</v>
      </c>
      <c r="H572" s="2">
        <f ca="1">SUMIFS('bedragen KIM (budgettering &amp; pl'!S:S,'bedragen KIM (budgettering &amp; pl'!B:B,A572,'bedragen KIM (budgettering &amp; pl'!F:F,D572)</f>
        <v>500</v>
      </c>
      <c r="I572" s="2" t="e">
        <f ca="1">SUMIFS(#REF!,#REF!,A572,#REF!,D572)</f>
        <v>#REF!</v>
      </c>
      <c r="J572" s="2" t="e">
        <f ca="1">SUMIFS(#REF!,#REF!,A572,#REF!,D572)</f>
        <v>#REF!</v>
      </c>
    </row>
    <row r="573" spans="1:10" ht="12.5" x14ac:dyDescent="0.25">
      <c r="A573" s="2" t="str">
        <f ca="1">IFERROR(__xludf.DUMMYFUNCTION("""COMPUTED_VALUE"""),"KP/001307")</f>
        <v>KP/001307</v>
      </c>
      <c r="B573" s="2" t="str">
        <f ca="1">IFERROR(__xludf.DUMMYFUNCTION("""COMPUTED_VALUE"""),"Verkeersveiligheid")</f>
        <v>Verkeersveiligheid</v>
      </c>
      <c r="C573" s="2" t="str">
        <f ca="1">IFERROR(__xludf.DUMMYFUNCTION("""COMPUTED_VALUE"""),"Schoolroute")</f>
        <v>Schoolroute</v>
      </c>
      <c r="D573" s="2" t="str">
        <f ca="1">IFERROR(__xludf.DUMMYFUNCTION("""COMPUTED_VALUE"""),"IN/001357")</f>
        <v>IN/001357</v>
      </c>
      <c r="E573" s="2" t="str">
        <f ca="1">IFERROR(__xludf.DUMMYFUNCTION("UNIQUE(FILTER('export kabinetdashboard 1210202'!N:P,'export kabinetdashboard 1210202'!M:M=D573))"),"Aanpassen lichtenregeling en BOB nodig?
VVOP of VOP + VRI voorzien?")</f>
        <v>Aanpassen lichtenregeling en BOB nodig?
VVOP of VOP + VRI voorzien?</v>
      </c>
      <c r="F573" s="2" t="str">
        <f ca="1">IFERROR(__xludf.DUMMYFUNCTION("""COMPUTED_VALUE"""),"2023 - Q2")</f>
        <v>2023 - Q2</v>
      </c>
      <c r="G573" s="2" t="str">
        <f ca="1">IFERROR(__xludf.DUMMYFUNCTION("""COMPUTED_VALUE"""),"n.t.b.")</f>
        <v>n.t.b.</v>
      </c>
      <c r="H573" s="2">
        <f ca="1">SUMIFS('bedragen KIM (budgettering &amp; pl'!S:S,'bedragen KIM (budgettering &amp; pl'!B:B,A573,'bedragen KIM (budgettering &amp; pl'!F:F,D573)</f>
        <v>20000</v>
      </c>
      <c r="I573" s="2" t="e">
        <f ca="1">SUMIFS(#REF!,#REF!,A573,#REF!,D573)</f>
        <v>#REF!</v>
      </c>
      <c r="J573" s="2" t="e">
        <f ca="1">SUMIFS(#REF!,#REF!,A573,#REF!,D573)</f>
        <v>#REF!</v>
      </c>
    </row>
    <row r="574" spans="1:10" ht="12.5" x14ac:dyDescent="0.25">
      <c r="A574" s="2" t="str">
        <f ca="1">IFERROR(__xludf.DUMMYFUNCTION("""COMPUTED_VALUE"""),"KP/001568")</f>
        <v>KP/001568</v>
      </c>
      <c r="B574" s="2" t="str">
        <f ca="1">IFERROR(__xludf.DUMMYFUNCTION("""COMPUTED_VALUE"""),"Verkeersveiligheid")</f>
        <v>Verkeersveiligheid</v>
      </c>
      <c r="C574" s="2" t="str">
        <f ca="1">IFERROR(__xludf.DUMMYFUNCTION("""COMPUTED_VALUE"""),"Schoolroute")</f>
        <v>Schoolroute</v>
      </c>
      <c r="D574" s="2" t="str">
        <f ca="1">IFERROR(__xludf.DUMMYFUNCTION("""COMPUTED_VALUE"""),"IN/001362")</f>
        <v>IN/001362</v>
      </c>
      <c r="E574" s="2" t="str">
        <f ca="1">IFERROR(__xludf.DUMMYFUNCTION("UNIQUE(FILTER('export kabinetdashboard 1210202'!N:P,'export kabinetdashboard 1210202'!M:M=D574))"),"Bundelbestek: Structureel onderhoud N41 (rijweg + fietspaden)
Fietsrelance:
- Structureel Onderhoud - conforme fietspaden in Berlare op N467  2.76 - 6.56
- Structureel Onderhoud - bijna conforme fietspaden in Aalst op N9  27.1 - 28.5
- Structureel Onderh"&amp;"oud - fietspaden in Aalst op N405  0.0 - 1.8
- Structureel Onderhoud - conforme fietspaden in Aalst op N405  3.1 - 4.5
")</f>
        <v xml:space="preserve">Bundelbestek: Structureel onderhoud N41 (rijweg + fietspaden)
Fietsrelance:
- Structureel Onderhoud - conforme fietspaden in Berlare op N467  2.76 - 6.56
- Structureel Onderhoud - bijna conforme fietspaden in Aalst op N9  27.1 - 28.5
- Structureel Onderhoud - fietspaden in Aalst op N405  0.0 - 1.8
- Structureel Onderhoud - conforme fietspaden in Aalst op N405  3.1 - 4.5
</v>
      </c>
      <c r="F574" s="2" t="str">
        <f ca="1">IFERROR(__xludf.DUMMYFUNCTION("""COMPUTED_VALUE"""),"2022 - Q4")</f>
        <v>2022 - Q4</v>
      </c>
      <c r="G574" s="2" t="str">
        <f ca="1">IFERROR(__xludf.DUMMYFUNCTION("""COMPUTED_VALUE"""),"n.t.b.")</f>
        <v>n.t.b.</v>
      </c>
      <c r="H574" s="2">
        <f ca="1">SUMIFS('bedragen KIM (budgettering &amp; pl'!S:S,'bedragen KIM (budgettering &amp; pl'!B:B,A574,'bedragen KIM (budgettering &amp; pl'!F:F,D574)</f>
        <v>32500</v>
      </c>
      <c r="I574" s="2" t="e">
        <f ca="1">SUMIFS(#REF!,#REF!,A574,#REF!,D574)</f>
        <v>#REF!</v>
      </c>
      <c r="J574" s="2" t="e">
        <f ca="1">SUMIFS(#REF!,#REF!,A574,#REF!,D574)</f>
        <v>#REF!</v>
      </c>
    </row>
    <row r="575" spans="1:10" ht="12.5" x14ac:dyDescent="0.25">
      <c r="A575" s="2" t="str">
        <f ca="1">IFERROR(__xludf.DUMMYFUNCTION("""COMPUTED_VALUE"""),"KP/001569")</f>
        <v>KP/001569</v>
      </c>
      <c r="B575" s="2" t="str">
        <f ca="1">IFERROR(__xludf.DUMMYFUNCTION("""COMPUTED_VALUE"""),"Verkeersveiligheid")</f>
        <v>Verkeersveiligheid</v>
      </c>
      <c r="C575" s="2" t="str">
        <f ca="1">IFERROR(__xludf.DUMMYFUNCTION("""COMPUTED_VALUE"""),"Schoolroute")</f>
        <v>Schoolroute</v>
      </c>
      <c r="D575" s="2" t="str">
        <f ca="1">IFERROR(__xludf.DUMMYFUNCTION("""COMPUTED_VALUE"""),"IN/001362")</f>
        <v>IN/001362</v>
      </c>
      <c r="E575" s="2" t="str">
        <f ca="1">IFERROR(__xludf.DUMMYFUNCTION("UNIQUE(FILTER('export kabinetdashboard 1210202'!N:P,'export kabinetdashboard 1210202'!M:M=D575))"),"Bundelbestek: Structureel onderhoud N41 (rijweg + fietspaden)
Fietsrelance:
- Structureel Onderhoud - conforme fietspaden in Berlare op N467  2.76 - 6.56
- Structureel Onderhoud - bijna conforme fietspaden in Aalst op N9  27.1 - 28.5
- Structureel Onderh"&amp;"oud - fietspaden in Aalst op N405  0.0 - 1.8
- Structureel Onderhoud - conforme fietspaden in Aalst op N405  3.1 - 4.5
")</f>
        <v xml:space="preserve">Bundelbestek: Structureel onderhoud N41 (rijweg + fietspaden)
Fietsrelance:
- Structureel Onderhoud - conforme fietspaden in Berlare op N467  2.76 - 6.56
- Structureel Onderhoud - bijna conforme fietspaden in Aalst op N9  27.1 - 28.5
- Structureel Onderhoud - fietspaden in Aalst op N405  0.0 - 1.8
- Structureel Onderhoud - conforme fietspaden in Aalst op N405  3.1 - 4.5
</v>
      </c>
      <c r="F575" s="2" t="str">
        <f ca="1">IFERROR(__xludf.DUMMYFUNCTION("""COMPUTED_VALUE"""),"2022 - Q4")</f>
        <v>2022 - Q4</v>
      </c>
      <c r="G575" s="2" t="str">
        <f ca="1">IFERROR(__xludf.DUMMYFUNCTION("""COMPUTED_VALUE"""),"n.t.b.")</f>
        <v>n.t.b.</v>
      </c>
      <c r="H575" s="2">
        <f ca="1">SUMIFS('bedragen KIM (budgettering &amp; pl'!S:S,'bedragen KIM (budgettering &amp; pl'!B:B,A575,'bedragen KIM (budgettering &amp; pl'!F:F,D575)</f>
        <v>32500</v>
      </c>
      <c r="I575" s="2" t="e">
        <f ca="1">SUMIFS(#REF!,#REF!,A575,#REF!,D575)</f>
        <v>#REF!</v>
      </c>
      <c r="J575" s="2" t="e">
        <f ca="1">SUMIFS(#REF!,#REF!,A575,#REF!,D575)</f>
        <v>#REF!</v>
      </c>
    </row>
    <row r="576" spans="1:10" ht="12.5" x14ac:dyDescent="0.25">
      <c r="A576" s="2" t="str">
        <f ca="1">IFERROR(__xludf.DUMMYFUNCTION("""COMPUTED_VALUE"""),"KP/001563")</f>
        <v>KP/001563</v>
      </c>
      <c r="B576" s="2" t="str">
        <f ca="1">IFERROR(__xludf.DUMMYFUNCTION("""COMPUTED_VALUE"""),"Verkeersveiligheid")</f>
        <v>Verkeersveiligheid</v>
      </c>
      <c r="C576" s="2" t="str">
        <f ca="1">IFERROR(__xludf.DUMMYFUNCTION("""COMPUTED_VALUE"""),"Schoolroute")</f>
        <v>Schoolroute</v>
      </c>
      <c r="D576" s="2" t="str">
        <f ca="1">IFERROR(__xludf.DUMMYFUNCTION("""COMPUTED_VALUE"""),"IN/001386")</f>
        <v>IN/001386</v>
      </c>
      <c r="E576" s="2" t="str">
        <f ca="1">IFERROR(__xludf.DUMMYFUNCTION("UNIQUE(FILTER('export kabinetdashboard 1210202'!N:P,'export kabinetdashboard 1210202'!M:M=D576))"),"")</f>
        <v/>
      </c>
      <c r="F576" s="2" t="str">
        <f ca="1">IFERROR(__xludf.DUMMYFUNCTION("""COMPUTED_VALUE"""),"2023 - Q4")</f>
        <v>2023 - Q4</v>
      </c>
      <c r="G576" s="2" t="str">
        <f ca="1">IFERROR(__xludf.DUMMYFUNCTION("""COMPUTED_VALUE"""),"n.t.b.")</f>
        <v>n.t.b.</v>
      </c>
      <c r="H576" s="2">
        <f ca="1">SUMIFS('bedragen KIM (budgettering &amp; pl'!S:S,'bedragen KIM (budgettering &amp; pl'!B:B,A576,'bedragen KIM (budgettering &amp; pl'!F:F,D576)</f>
        <v>0</v>
      </c>
      <c r="I576" s="2" t="e">
        <f ca="1">SUMIFS(#REF!,#REF!,A576,#REF!,D576)</f>
        <v>#REF!</v>
      </c>
      <c r="J576" s="2" t="e">
        <f ca="1">SUMIFS(#REF!,#REF!,A576,#REF!,D576)</f>
        <v>#REF!</v>
      </c>
    </row>
    <row r="577" spans="1:10" ht="12.5" x14ac:dyDescent="0.25">
      <c r="A577" s="2" t="str">
        <f ca="1">IFERROR(__xludf.DUMMYFUNCTION("""COMPUTED_VALUE"""),"KP/000899")</f>
        <v>KP/000899</v>
      </c>
      <c r="B577" s="2" t="str">
        <f ca="1">IFERROR(__xludf.DUMMYFUNCTION("""COMPUTED_VALUE"""),"Verkeersveiligheid")</f>
        <v>Verkeersveiligheid</v>
      </c>
      <c r="C577" s="2" t="str">
        <f ca="1">IFERROR(__xludf.DUMMYFUNCTION("""COMPUTED_VALUE"""),"Schoolroute")</f>
        <v>Schoolroute</v>
      </c>
      <c r="D577" s="2" t="str">
        <f ca="1">IFERROR(__xludf.DUMMYFUNCTION("""COMPUTED_VALUE"""),"IN/001424")</f>
        <v>IN/001424</v>
      </c>
      <c r="E577" s="2" t="str">
        <f ca="1">IFERROR(__xludf.DUMMYFUNCTION("UNIQUE(FILTER('export kabinetdashboard 1210202'!N:P,'export kabinetdashboard 1210202'!M:M=D577))"),"PCV dossier")</f>
        <v>PCV dossier</v>
      </c>
      <c r="F577" s="2" t="str">
        <f ca="1">IFERROR(__xludf.DUMMYFUNCTION("""COMPUTED_VALUE"""),"n.t.b.")</f>
        <v>n.t.b.</v>
      </c>
      <c r="G577" s="2" t="str">
        <f ca="1">IFERROR(__xludf.DUMMYFUNCTION("""COMPUTED_VALUE"""),"n.t.b.")</f>
        <v>n.t.b.</v>
      </c>
      <c r="H577" s="2">
        <f ca="1">SUMIFS('bedragen KIM (budgettering &amp; pl'!S:S,'bedragen KIM (budgettering &amp; pl'!B:B,A577,'bedragen KIM (budgettering &amp; pl'!F:F,D577)</f>
        <v>0</v>
      </c>
      <c r="I577" s="2" t="e">
        <f ca="1">SUMIFS(#REF!,#REF!,A577,#REF!,D577)</f>
        <v>#REF!</v>
      </c>
      <c r="J577" s="2" t="e">
        <f ca="1">SUMIFS(#REF!,#REF!,A577,#REF!,D577)</f>
        <v>#REF!</v>
      </c>
    </row>
    <row r="578" spans="1:10" ht="12.5" x14ac:dyDescent="0.25">
      <c r="A578" s="2" t="str">
        <f ca="1">IFERROR(__xludf.DUMMYFUNCTION("""COMPUTED_VALUE"""),"KP/000856")</f>
        <v>KP/000856</v>
      </c>
      <c r="B578" s="2" t="str">
        <f ca="1">IFERROR(__xludf.DUMMYFUNCTION("""COMPUTED_VALUE"""),"Verkeersveiligheid")</f>
        <v>Verkeersveiligheid</v>
      </c>
      <c r="C578" s="2" t="str">
        <f ca="1">IFERROR(__xludf.DUMMYFUNCTION("""COMPUTED_VALUE"""),"Schoolroute")</f>
        <v>Schoolroute</v>
      </c>
      <c r="D578" s="2" t="str">
        <f ca="1">IFERROR(__xludf.DUMMYFUNCTION("""COMPUTED_VALUE"""),"IN/001433")</f>
        <v>IN/001433</v>
      </c>
      <c r="E578" s="2" t="str">
        <f ca="1">IFERROR(__xludf.DUMMYFUNCTION("UNIQUE(FILTER('export kabinetdashboard 1210202'!N:P,'export kabinetdashboard 1210202'!M:M=D578))"),"PCV dossier")</f>
        <v>PCV dossier</v>
      </c>
      <c r="F578" s="2" t="str">
        <f ca="1">IFERROR(__xludf.DUMMYFUNCTION("""COMPUTED_VALUE"""),"2022 - Q4")</f>
        <v>2022 - Q4</v>
      </c>
      <c r="G578" s="2" t="str">
        <f ca="1">IFERROR(__xludf.DUMMYFUNCTION("""COMPUTED_VALUE"""),"n.t.b.")</f>
        <v>n.t.b.</v>
      </c>
      <c r="H578" s="2">
        <f ca="1">SUMIFS('bedragen KIM (budgettering &amp; pl'!S:S,'bedragen KIM (budgettering &amp; pl'!B:B,A578,'bedragen KIM (budgettering &amp; pl'!F:F,D578)</f>
        <v>50000</v>
      </c>
      <c r="I578" s="2" t="e">
        <f ca="1">SUMIFS(#REF!,#REF!,A578,#REF!,D578)</f>
        <v>#REF!</v>
      </c>
      <c r="J578" s="2" t="e">
        <f ca="1">SUMIFS(#REF!,#REF!,A578,#REF!,D578)</f>
        <v>#REF!</v>
      </c>
    </row>
    <row r="579" spans="1:10" ht="12.5" x14ac:dyDescent="0.25">
      <c r="A579" s="2" t="str">
        <f ca="1">IFERROR(__xludf.DUMMYFUNCTION("""COMPUTED_VALUE"""),"KP/001334")</f>
        <v>KP/001334</v>
      </c>
      <c r="B579" s="2" t="str">
        <f ca="1">IFERROR(__xludf.DUMMYFUNCTION("""COMPUTED_VALUE"""),"Verkeersveiligheid")</f>
        <v>Verkeersveiligheid</v>
      </c>
      <c r="C579" s="2" t="str">
        <f ca="1">IFERROR(__xludf.DUMMYFUNCTION("""COMPUTED_VALUE"""),"Schoolroute")</f>
        <v>Schoolroute</v>
      </c>
      <c r="D579" s="2" t="str">
        <f ca="1">IFERROR(__xludf.DUMMYFUNCTION("""COMPUTED_VALUE"""),"IN/001434")</f>
        <v>IN/001434</v>
      </c>
      <c r="E579" s="2" t="str">
        <f ca="1">IFERROR(__xludf.DUMMYFUNCTION("UNIQUE(FILTER('export kabinetdashboard 1210202'!N:P,'export kabinetdashboard 1210202'!M:M=D579))"),"PCV dossier")</f>
        <v>PCV dossier</v>
      </c>
      <c r="F579" s="2" t="str">
        <f ca="1">IFERROR(__xludf.DUMMYFUNCTION("""COMPUTED_VALUE"""),"2022 - Q4")</f>
        <v>2022 - Q4</v>
      </c>
      <c r="G579" s="2" t="str">
        <f ca="1">IFERROR(__xludf.DUMMYFUNCTION("""COMPUTED_VALUE"""),"n.t.b.")</f>
        <v>n.t.b.</v>
      </c>
      <c r="H579" s="2">
        <f ca="1">SUMIFS('bedragen KIM (budgettering &amp; pl'!S:S,'bedragen KIM (budgettering &amp; pl'!B:B,A579,'bedragen KIM (budgettering &amp; pl'!F:F,D579)</f>
        <v>25000</v>
      </c>
      <c r="I579" s="2" t="e">
        <f ca="1">SUMIFS(#REF!,#REF!,A579,#REF!,D579)</f>
        <v>#REF!</v>
      </c>
      <c r="J579" s="2" t="e">
        <f ca="1">SUMIFS(#REF!,#REF!,A579,#REF!,D579)</f>
        <v>#REF!</v>
      </c>
    </row>
    <row r="580" spans="1:10" ht="12.5" x14ac:dyDescent="0.25">
      <c r="A580" s="2" t="str">
        <f ca="1">IFERROR(__xludf.DUMMYFUNCTION("""COMPUTED_VALUE"""),"KP/001132")</f>
        <v>KP/001132</v>
      </c>
      <c r="B580" s="2" t="str">
        <f ca="1">IFERROR(__xludf.DUMMYFUNCTION("""COMPUTED_VALUE"""),"Verkeersveiligheid")</f>
        <v>Verkeersveiligheid</v>
      </c>
      <c r="C580" s="2" t="str">
        <f ca="1">IFERROR(__xludf.DUMMYFUNCTION("""COMPUTED_VALUE"""),"Schoolroute")</f>
        <v>Schoolroute</v>
      </c>
      <c r="D580" s="2" t="str">
        <f ca="1">IFERROR(__xludf.DUMMYFUNCTION("""COMPUTED_VALUE"""),"IN/001447")</f>
        <v>IN/001447</v>
      </c>
      <c r="E580" s="2" t="str">
        <f ca="1">IFERROR(__xludf.DUMMYFUNCTION("UNIQUE(FILTER('export kabinetdashboard 1210202'!N:P,'export kabinetdashboard 1210202'!M:M=D580))"),"")</f>
        <v/>
      </c>
      <c r="F580" s="2" t="str">
        <f ca="1">IFERROR(__xludf.DUMMYFUNCTION("""COMPUTED_VALUE"""),"2022 - Q4")</f>
        <v>2022 - Q4</v>
      </c>
      <c r="G580" s="2" t="str">
        <f ca="1">IFERROR(__xludf.DUMMYFUNCTION("""COMPUTED_VALUE"""),"n.t.b.")</f>
        <v>n.t.b.</v>
      </c>
      <c r="H580" s="2">
        <f ca="1">SUMIFS('bedragen KIM (budgettering &amp; pl'!S:S,'bedragen KIM (budgettering &amp; pl'!B:B,A580,'bedragen KIM (budgettering &amp; pl'!F:F,D580)</f>
        <v>40000</v>
      </c>
      <c r="I580" s="2" t="e">
        <f ca="1">SUMIFS(#REF!,#REF!,A580,#REF!,D580)</f>
        <v>#REF!</v>
      </c>
      <c r="J580" s="2" t="e">
        <f ca="1">SUMIFS(#REF!,#REF!,A580,#REF!,D580)</f>
        <v>#REF!</v>
      </c>
    </row>
    <row r="581" spans="1:10" ht="12.5" x14ac:dyDescent="0.25">
      <c r="A581" s="2" t="str">
        <f ca="1">IFERROR(__xludf.DUMMYFUNCTION("""COMPUTED_VALUE"""),"KP/000804")</f>
        <v>KP/000804</v>
      </c>
      <c r="B581" s="2" t="str">
        <f ca="1">IFERROR(__xludf.DUMMYFUNCTION("""COMPUTED_VALUE"""),"Verkeersveiligheid")</f>
        <v>Verkeersveiligheid</v>
      </c>
      <c r="C581" s="2" t="str">
        <f ca="1">IFERROR(__xludf.DUMMYFUNCTION("""COMPUTED_VALUE"""),"Schoolroute")</f>
        <v>Schoolroute</v>
      </c>
      <c r="D581" s="2" t="str">
        <f ca="1">IFERROR(__xludf.DUMMYFUNCTION("""COMPUTED_VALUE"""),"IN/001464")</f>
        <v>IN/001464</v>
      </c>
      <c r="E581" s="2" t="str">
        <f ca="1">IFERROR(__xludf.DUMMYFUNCTION("UNIQUE(FILTER('export kabinetdashboard 1210202'!N:P,'export kabinetdashboard 1210202'!M:M=D581))"),"Aanbrengen nieuwe anti-sliplaag op brug. Kruispunt uit te voeren conform PCV (verkeerslichten). Verbeteren verkeersveiligheid voor fietsers.")</f>
        <v>Aanbrengen nieuwe anti-sliplaag op brug. Kruispunt uit te voeren conform PCV (verkeerslichten). Verbeteren verkeersveiligheid voor fietsers.</v>
      </c>
      <c r="F581" s="2" t="str">
        <f ca="1">IFERROR(__xludf.DUMMYFUNCTION("""COMPUTED_VALUE"""),"2022 - Q2")</f>
        <v>2022 - Q2</v>
      </c>
      <c r="G581" s="2" t="str">
        <f ca="1">IFERROR(__xludf.DUMMYFUNCTION("""COMPUTED_VALUE"""),"n.t.b.")</f>
        <v>n.t.b.</v>
      </c>
      <c r="H581" s="2">
        <f ca="1">SUMIFS('bedragen KIM (budgettering &amp; pl'!S:S,'bedragen KIM (budgettering &amp; pl'!B:B,A581,'bedragen KIM (budgettering &amp; pl'!F:F,D581)</f>
        <v>82500</v>
      </c>
      <c r="I581" s="2" t="e">
        <f ca="1">SUMIFS(#REF!,#REF!,A581,#REF!,D581)</f>
        <v>#REF!</v>
      </c>
      <c r="J581" s="2" t="e">
        <f ca="1">SUMIFS(#REF!,#REF!,A581,#REF!,D581)</f>
        <v>#REF!</v>
      </c>
    </row>
    <row r="582" spans="1:10" ht="12.5" x14ac:dyDescent="0.25">
      <c r="A582" s="2" t="str">
        <f ca="1">IFERROR(__xludf.DUMMYFUNCTION("""COMPUTED_VALUE"""),"KP/001632")</f>
        <v>KP/001632</v>
      </c>
      <c r="B582" s="2" t="str">
        <f ca="1">IFERROR(__xludf.DUMMYFUNCTION("""COMPUTED_VALUE"""),"Verkeersveiligheid")</f>
        <v>Verkeersveiligheid</v>
      </c>
      <c r="C582" s="2" t="str">
        <f ca="1">IFERROR(__xludf.DUMMYFUNCTION("""COMPUTED_VALUE"""),"Schoolroute")</f>
        <v>Schoolroute</v>
      </c>
      <c r="D582" s="2" t="str">
        <f ca="1">IFERROR(__xludf.DUMMYFUNCTION("""COMPUTED_VALUE"""),"IN/001486")</f>
        <v>IN/001486</v>
      </c>
      <c r="E582" s="2" t="str">
        <f ca="1">IFERROR(__xludf.DUMMYFUNCTION("UNIQUE(FILTER('export kabinetdashboard 1210202'!N:P,'export kabinetdashboard 1210202'!M:M=D582))"),"")</f>
        <v/>
      </c>
      <c r="F582" s="2" t="str">
        <f ca="1">IFERROR(__xludf.DUMMYFUNCTION("""COMPUTED_VALUE"""),"2022 - Q2")</f>
        <v>2022 - Q2</v>
      </c>
      <c r="G582" s="2" t="str">
        <f ca="1">IFERROR(__xludf.DUMMYFUNCTION("""COMPUTED_VALUE"""),"2022 - Q3")</f>
        <v>2022 - Q3</v>
      </c>
      <c r="H582" s="2">
        <f ca="1">SUMIFS('bedragen KIM (budgettering &amp; pl'!S:S,'bedragen KIM (budgettering &amp; pl'!B:B,A582,'bedragen KIM (budgettering &amp; pl'!F:F,D582)</f>
        <v>2000</v>
      </c>
      <c r="I582" s="2" t="e">
        <f ca="1">SUMIFS(#REF!,#REF!,A582,#REF!,D582)</f>
        <v>#REF!</v>
      </c>
      <c r="J582" s="2" t="e">
        <f ca="1">SUMIFS(#REF!,#REF!,A582,#REF!,D582)</f>
        <v>#REF!</v>
      </c>
    </row>
    <row r="583" spans="1:10" ht="12.5" x14ac:dyDescent="0.25">
      <c r="A583" s="2" t="str">
        <f ca="1">IFERROR(__xludf.DUMMYFUNCTION("""COMPUTED_VALUE"""),"KP/000987")</f>
        <v>KP/000987</v>
      </c>
      <c r="B583" s="2" t="str">
        <f ca="1">IFERROR(__xludf.DUMMYFUNCTION("""COMPUTED_VALUE"""),"Verkeersveiligheid")</f>
        <v>Verkeersveiligheid</v>
      </c>
      <c r="C583" s="2" t="str">
        <f ca="1">IFERROR(__xludf.DUMMYFUNCTION("""COMPUTED_VALUE"""),"Schoolroute")</f>
        <v>Schoolroute</v>
      </c>
      <c r="D583" s="2" t="str">
        <f ca="1">IFERROR(__xludf.DUMMYFUNCTION("""COMPUTED_VALUE"""),"IN/001491")</f>
        <v>IN/001491</v>
      </c>
      <c r="E583" s="2" t="str">
        <f ca="1">IFERROR(__xludf.DUMMYFUNCTION("UNIQUE(FILTER('export kabinetdashboard 1210202'!N:P,'export kabinetdashboard 1210202'!M:M=D583))"),"PCV dossier: V-plan")</f>
        <v>PCV dossier: V-plan</v>
      </c>
      <c r="F583" s="2" t="str">
        <f ca="1">IFERROR(__xludf.DUMMYFUNCTION("""COMPUTED_VALUE"""),"2022 - Q4")</f>
        <v>2022 - Q4</v>
      </c>
      <c r="G583" s="2" t="str">
        <f ca="1">IFERROR(__xludf.DUMMYFUNCTION("""COMPUTED_VALUE"""),"n.t.b.")</f>
        <v>n.t.b.</v>
      </c>
      <c r="H583" s="2">
        <f ca="1">SUMIFS('bedragen KIM (budgettering &amp; pl'!S:S,'bedragen KIM (budgettering &amp; pl'!B:B,A583,'bedragen KIM (budgettering &amp; pl'!F:F,D583)</f>
        <v>0</v>
      </c>
      <c r="I583" s="2" t="e">
        <f ca="1">SUMIFS(#REF!,#REF!,A583,#REF!,D583)</f>
        <v>#REF!</v>
      </c>
      <c r="J583" s="2" t="e">
        <f ca="1">SUMIFS(#REF!,#REF!,A583,#REF!,D583)</f>
        <v>#REF!</v>
      </c>
    </row>
    <row r="584" spans="1:10" ht="12.5" x14ac:dyDescent="0.25">
      <c r="A584" s="2" t="str">
        <f ca="1">IFERROR(__xludf.DUMMYFUNCTION("""COMPUTED_VALUE"""),"KP/001661")</f>
        <v>KP/001661</v>
      </c>
      <c r="B584" s="2" t="str">
        <f ca="1">IFERROR(__xludf.DUMMYFUNCTION("""COMPUTED_VALUE"""),"Verkeersveiligheid")</f>
        <v>Verkeersveiligheid</v>
      </c>
      <c r="C584" s="2" t="str">
        <f ca="1">IFERROR(__xludf.DUMMYFUNCTION("""COMPUTED_VALUE"""),"Schoolroute")</f>
        <v>Schoolroute</v>
      </c>
      <c r="D584" s="2" t="str">
        <f ca="1">IFERROR(__xludf.DUMMYFUNCTION("""COMPUTED_VALUE"""),"IN/001511")</f>
        <v>IN/001511</v>
      </c>
      <c r="E584" s="2" t="str">
        <f ca="1">IFERROR(__xludf.DUMMYFUNCTION("UNIQUE(FILTER('export kabinetdashboard 1210202'!N:P,'export kabinetdashboard 1210202'!M:M=D584))"),"")</f>
        <v/>
      </c>
      <c r="F584" s="2" t="str">
        <f ca="1">IFERROR(__xludf.DUMMYFUNCTION("""COMPUTED_VALUE"""),"2022 - Q1")</f>
        <v>2022 - Q1</v>
      </c>
      <c r="G584" s="2" t="str">
        <f ca="1">IFERROR(__xludf.DUMMYFUNCTION("""COMPUTED_VALUE"""),"n.t.b.")</f>
        <v>n.t.b.</v>
      </c>
      <c r="H584" s="2">
        <f ca="1">SUMIFS('bedragen KIM (budgettering &amp; pl'!S:S,'bedragen KIM (budgettering &amp; pl'!B:B,A584,'bedragen KIM (budgettering &amp; pl'!F:F,D584)</f>
        <v>0</v>
      </c>
      <c r="I584" s="2" t="e">
        <f ca="1">SUMIFS(#REF!,#REF!,A584,#REF!,D584)</f>
        <v>#REF!</v>
      </c>
      <c r="J584" s="2" t="e">
        <f ca="1">SUMIFS(#REF!,#REF!,A584,#REF!,D584)</f>
        <v>#REF!</v>
      </c>
    </row>
    <row r="585" spans="1:10" ht="12.5" x14ac:dyDescent="0.25">
      <c r="A585" s="2" t="str">
        <f ca="1">IFERROR(__xludf.DUMMYFUNCTION("""COMPUTED_VALUE"""),"KP/001093")</f>
        <v>KP/001093</v>
      </c>
      <c r="B585" s="2" t="str">
        <f ca="1">IFERROR(__xludf.DUMMYFUNCTION("""COMPUTED_VALUE"""),"Verkeersveiligheid")</f>
        <v>Verkeersveiligheid</v>
      </c>
      <c r="C585" s="2" t="str">
        <f ca="1">IFERROR(__xludf.DUMMYFUNCTION("""COMPUTED_VALUE"""),"Schoolroute")</f>
        <v>Schoolroute</v>
      </c>
      <c r="D585" s="2" t="str">
        <f ca="1">IFERROR(__xludf.DUMMYFUNCTION("""COMPUTED_VALUE"""),"IN/001532")</f>
        <v>IN/001532</v>
      </c>
      <c r="E585" s="2" t="str">
        <f ca="1">IFERROR(__xludf.DUMMYFUNCTION("UNIQUE(FILTER('export kabinetdashboard 1210202'!N:P,'export kabinetdashboard 1210202'!M:M=D585))"),"Volledige herinrichting van het wegvak")</f>
        <v>Volledige herinrichting van het wegvak</v>
      </c>
      <c r="F585" s="2" t="str">
        <f ca="1">IFERROR(__xludf.DUMMYFUNCTION("""COMPUTED_VALUE"""),"n.t.b.")</f>
        <v>n.t.b.</v>
      </c>
      <c r="G585" s="2" t="str">
        <f ca="1">IFERROR(__xludf.DUMMYFUNCTION("""COMPUTED_VALUE"""),"n.t.b.")</f>
        <v>n.t.b.</v>
      </c>
      <c r="H585" s="2">
        <f ca="1">SUMIFS('bedragen KIM (budgettering &amp; pl'!S:S,'bedragen KIM (budgettering &amp; pl'!B:B,A585,'bedragen KIM (budgettering &amp; pl'!F:F,D585)</f>
        <v>0</v>
      </c>
      <c r="I585" s="2" t="e">
        <f ca="1">SUMIFS(#REF!,#REF!,A585,#REF!,D585)</f>
        <v>#REF!</v>
      </c>
      <c r="J585" s="2" t="e">
        <f ca="1">SUMIFS(#REF!,#REF!,A585,#REF!,D585)</f>
        <v>#REF!</v>
      </c>
    </row>
    <row r="586" spans="1:10" ht="12.5" x14ac:dyDescent="0.25">
      <c r="A586" s="2" t="str">
        <f ca="1">IFERROR(__xludf.DUMMYFUNCTION("""COMPUTED_VALUE"""),"KP/001073")</f>
        <v>KP/001073</v>
      </c>
      <c r="B586" s="2" t="str">
        <f ca="1">IFERROR(__xludf.DUMMYFUNCTION("""COMPUTED_VALUE"""),"Verkeersveiligheid")</f>
        <v>Verkeersveiligheid</v>
      </c>
      <c r="C586" s="2" t="str">
        <f ca="1">IFERROR(__xludf.DUMMYFUNCTION("""COMPUTED_VALUE"""),"Schoolroute")</f>
        <v>Schoolroute</v>
      </c>
      <c r="D586" s="2" t="str">
        <f ca="1">IFERROR(__xludf.DUMMYFUNCTION("""COMPUTED_VALUE"""),"IN/001564")</f>
        <v>IN/001564</v>
      </c>
      <c r="E586" s="2" t="str">
        <f ca="1">IFERROR(__xludf.DUMMYFUNCTION("UNIQUE(FILTER('export kabinetdashboard 1210202'!N:P,'export kabinetdashboard 1210202'!M:M=D586))"),"Kruispuntaanpassing (fietsinfrastructuur en rijstrookconfiguratie) + slimme lichtenregeling")</f>
        <v>Kruispuntaanpassing (fietsinfrastructuur en rijstrookconfiguratie) + slimme lichtenregeling</v>
      </c>
      <c r="F586" s="2" t="str">
        <f ca="1">IFERROR(__xludf.DUMMYFUNCTION("""COMPUTED_VALUE"""),"2023 - Q4")</f>
        <v>2023 - Q4</v>
      </c>
      <c r="G586" s="2" t="str">
        <f ca="1">IFERROR(__xludf.DUMMYFUNCTION("""COMPUTED_VALUE"""),"n.t.b.")</f>
        <v>n.t.b.</v>
      </c>
      <c r="H586" s="2">
        <f ca="1">SUMIFS('bedragen KIM (budgettering &amp; pl'!S:S,'bedragen KIM (budgettering &amp; pl'!B:B,A586,'bedragen KIM (budgettering &amp; pl'!F:F,D586)</f>
        <v>0</v>
      </c>
      <c r="I586" s="2" t="e">
        <f ca="1">SUMIFS(#REF!,#REF!,A586,#REF!,D586)</f>
        <v>#REF!</v>
      </c>
      <c r="J586" s="2" t="e">
        <f ca="1">SUMIFS(#REF!,#REF!,A586,#REF!,D586)</f>
        <v>#REF!</v>
      </c>
    </row>
    <row r="587" spans="1:10" ht="12.5" x14ac:dyDescent="0.25">
      <c r="A587" s="2" t="str">
        <f ca="1">IFERROR(__xludf.DUMMYFUNCTION("""COMPUTED_VALUE"""),"KP/000957")</f>
        <v>KP/000957</v>
      </c>
      <c r="B587" s="2" t="str">
        <f ca="1">IFERROR(__xludf.DUMMYFUNCTION("""COMPUTED_VALUE"""),"Verkeersveiligheid")</f>
        <v>Verkeersveiligheid</v>
      </c>
      <c r="C587" s="2" t="str">
        <f ca="1">IFERROR(__xludf.DUMMYFUNCTION("""COMPUTED_VALUE"""),"Schoolroute")</f>
        <v>Schoolroute</v>
      </c>
      <c r="D587" s="2" t="str">
        <f ca="1">IFERROR(__xludf.DUMMYFUNCTION("""COMPUTED_VALUE"""),"IN/001596")</f>
        <v>IN/001596</v>
      </c>
      <c r="E587" s="2" t="str">
        <f ca="1">IFERROR(__xludf.DUMMYFUNCTION("UNIQUE(FILTER('export kabinetdashboard 1210202'!N:P,'export kabinetdashboard 1210202'!M:M=D587))"),"")</f>
        <v/>
      </c>
      <c r="F587" s="2" t="str">
        <f ca="1">IFERROR(__xludf.DUMMYFUNCTION("""COMPUTED_VALUE"""),"2022 - Q3")</f>
        <v>2022 - Q3</v>
      </c>
      <c r="G587" s="2" t="str">
        <f ca="1">IFERROR(__xludf.DUMMYFUNCTION("""COMPUTED_VALUE"""),"2022 - Q3")</f>
        <v>2022 - Q3</v>
      </c>
      <c r="H587" s="2">
        <f ca="1">SUMIFS('bedragen KIM (budgettering &amp; pl'!S:S,'bedragen KIM (budgettering &amp; pl'!B:B,A587,'bedragen KIM (budgettering &amp; pl'!F:F,D587)</f>
        <v>25000</v>
      </c>
      <c r="I587" s="2" t="e">
        <f ca="1">SUMIFS(#REF!,#REF!,A587,#REF!,D587)</f>
        <v>#REF!</v>
      </c>
      <c r="J587" s="2" t="e">
        <f ca="1">SUMIFS(#REF!,#REF!,A587,#REF!,D587)</f>
        <v>#REF!</v>
      </c>
    </row>
    <row r="588" spans="1:10" ht="12.5" x14ac:dyDescent="0.25">
      <c r="A588" s="2" t="str">
        <f ca="1">IFERROR(__xludf.DUMMYFUNCTION("""COMPUTED_VALUE"""),"KP/001215")</f>
        <v>KP/001215</v>
      </c>
      <c r="B588" s="2" t="str">
        <f ca="1">IFERROR(__xludf.DUMMYFUNCTION("""COMPUTED_VALUE"""),"Verkeersveiligheid")</f>
        <v>Verkeersveiligheid</v>
      </c>
      <c r="C588" s="2" t="str">
        <f ca="1">IFERROR(__xludf.DUMMYFUNCTION("""COMPUTED_VALUE"""),"Schoolroute")</f>
        <v>Schoolroute</v>
      </c>
      <c r="D588" s="2" t="str">
        <f ca="1">IFERROR(__xludf.DUMMYFUNCTION("""COMPUTED_VALUE"""),"IN/001609")</f>
        <v>IN/001609</v>
      </c>
      <c r="E588" s="2" t="str">
        <f ca="1">IFERROR(__xludf.DUMMYFUNCTION("UNIQUE(FILTER('export kabinetdashboard 1210202'!N:P,'export kabinetdashboard 1210202'!M:M=D588))"),"Plan op te maken.
In het verleden werd afgesproken dat gemeente Overijse ervoor zou zorgen dat er voldoende ruimte zou vrijblijven bij hertracering IJse om een oversteek met middenberm aan te brengen. 
Dossier IJse loopt vertraging op.
Afspraak: AWV maak"&amp;"t een wenselijk ontwerp op. Overijse en VMM dienen hier dan rekening mee te houden bij hun dossier van de IJse. ")</f>
        <v xml:space="preserve">Plan op te maken.
In het verleden werd afgesproken dat gemeente Overijse ervoor zou zorgen dat er voldoende ruimte zou vrijblijven bij hertracering IJse om een oversteek met middenberm aan te brengen. 
Dossier IJse loopt vertraging op.
Afspraak: AWV maakt een wenselijk ontwerp op. Overijse en VMM dienen hier dan rekening mee te houden bij hun dossier van de IJse. </v>
      </c>
      <c r="F588" s="2" t="str">
        <f ca="1">IFERROR(__xludf.DUMMYFUNCTION("""COMPUTED_VALUE"""),"n.t.b.")</f>
        <v>n.t.b.</v>
      </c>
      <c r="G588" s="2" t="str">
        <f ca="1">IFERROR(__xludf.DUMMYFUNCTION("""COMPUTED_VALUE"""),"n.t.b.")</f>
        <v>n.t.b.</v>
      </c>
      <c r="H588" s="2">
        <f ca="1">SUMIFS('bedragen KIM (budgettering &amp; pl'!S:S,'bedragen KIM (budgettering &amp; pl'!B:B,A588,'bedragen KIM (budgettering &amp; pl'!F:F,D588)</f>
        <v>500000</v>
      </c>
      <c r="I588" s="2" t="e">
        <f ca="1">SUMIFS(#REF!,#REF!,A588,#REF!,D588)</f>
        <v>#REF!</v>
      </c>
      <c r="J588" s="2" t="e">
        <f ca="1">SUMIFS(#REF!,#REF!,A588,#REF!,D588)</f>
        <v>#REF!</v>
      </c>
    </row>
    <row r="589" spans="1:10" ht="12.5" x14ac:dyDescent="0.25">
      <c r="A589" s="2" t="str">
        <f ca="1">IFERROR(__xludf.DUMMYFUNCTION("""COMPUTED_VALUE"""),"KP/000814")</f>
        <v>KP/000814</v>
      </c>
      <c r="B589" s="2" t="str">
        <f ca="1">IFERROR(__xludf.DUMMYFUNCTION("""COMPUTED_VALUE"""),"Verkeersveiligheid")</f>
        <v>Verkeersveiligheid</v>
      </c>
      <c r="C589" s="2" t="str">
        <f ca="1">IFERROR(__xludf.DUMMYFUNCTION("""COMPUTED_VALUE"""),"Schoolroute")</f>
        <v>Schoolroute</v>
      </c>
      <c r="D589" s="2" t="str">
        <f ca="1">IFERROR(__xludf.DUMMYFUNCTION("""COMPUTED_VALUE"""),"IN/001612")</f>
        <v>IN/001612</v>
      </c>
      <c r="E589" s="2" t="str">
        <f ca="1">IFERROR(__xludf.DUMMYFUNCTION("UNIQUE(FILTER('export kabinetdashboard 1210202'!N:P,'export kabinetdashboard 1210202'!M:M=D589))"),"")</f>
        <v/>
      </c>
      <c r="F589" s="2" t="str">
        <f ca="1">IFERROR(__xludf.DUMMYFUNCTION("""COMPUTED_VALUE"""),"2022 - Q3")</f>
        <v>2022 - Q3</v>
      </c>
      <c r="G589" s="2" t="str">
        <f ca="1">IFERROR(__xludf.DUMMYFUNCTION("""COMPUTED_VALUE"""),"n.t.b.")</f>
        <v>n.t.b.</v>
      </c>
      <c r="H589" s="2">
        <f ca="1">SUMIFS('bedragen KIM (budgettering &amp; pl'!S:S,'bedragen KIM (budgettering &amp; pl'!B:B,A589,'bedragen KIM (budgettering &amp; pl'!F:F,D589)</f>
        <v>38765</v>
      </c>
      <c r="I589" s="2" t="e">
        <f ca="1">SUMIFS(#REF!,#REF!,A589,#REF!,D589)</f>
        <v>#REF!</v>
      </c>
      <c r="J589" s="2" t="e">
        <f ca="1">SUMIFS(#REF!,#REF!,A589,#REF!,D589)</f>
        <v>#REF!</v>
      </c>
    </row>
    <row r="590" spans="1:10" ht="12.5" x14ac:dyDescent="0.25">
      <c r="A590" s="2" t="str">
        <f ca="1">IFERROR(__xludf.DUMMYFUNCTION("""COMPUTED_VALUE"""),"KP/000909")</f>
        <v>KP/000909</v>
      </c>
      <c r="B590" s="2" t="str">
        <f ca="1">IFERROR(__xludf.DUMMYFUNCTION("""COMPUTED_VALUE"""),"Verkeersveiligheid")</f>
        <v>Verkeersveiligheid</v>
      </c>
      <c r="C590" s="2" t="str">
        <f ca="1">IFERROR(__xludf.DUMMYFUNCTION("""COMPUTED_VALUE"""),"Schoolroute")</f>
        <v>Schoolroute</v>
      </c>
      <c r="D590" s="2" t="str">
        <f ca="1">IFERROR(__xludf.DUMMYFUNCTION("""COMPUTED_VALUE"""),"IN/001617")</f>
        <v>IN/001617</v>
      </c>
      <c r="E590" s="2" t="str">
        <f ca="1">IFERROR(__xludf.DUMMYFUNCTION("UNIQUE(FILTER('export kabinetdashboard 1210202'!N:P,'export kabinetdashboard 1210202'!M:M=D590))"),"")</f>
        <v/>
      </c>
      <c r="F590" s="2" t="str">
        <f ca="1">IFERROR(__xludf.DUMMYFUNCTION("""COMPUTED_VALUE"""),"2022 - Q2")</f>
        <v>2022 - Q2</v>
      </c>
      <c r="G590" s="2" t="str">
        <f ca="1">IFERROR(__xludf.DUMMYFUNCTION("""COMPUTED_VALUE"""),"n.t.b.")</f>
        <v>n.t.b.</v>
      </c>
      <c r="H590" s="2">
        <f ca="1">SUMIFS('bedragen KIM (budgettering &amp; pl'!S:S,'bedragen KIM (budgettering &amp; pl'!B:B,A590,'bedragen KIM (budgettering &amp; pl'!F:F,D590)</f>
        <v>5000</v>
      </c>
      <c r="I590" s="2" t="e">
        <f ca="1">SUMIFS(#REF!,#REF!,A590,#REF!,D590)</f>
        <v>#REF!</v>
      </c>
      <c r="J590" s="2" t="e">
        <f ca="1">SUMIFS(#REF!,#REF!,A590,#REF!,D590)</f>
        <v>#REF!</v>
      </c>
    </row>
    <row r="591" spans="1:10" ht="12.5" x14ac:dyDescent="0.25">
      <c r="A591" s="2" t="str">
        <f ca="1">IFERROR(__xludf.DUMMYFUNCTION("""COMPUTED_VALUE"""),"KP/000911")</f>
        <v>KP/000911</v>
      </c>
      <c r="B591" s="2" t="str">
        <f ca="1">IFERROR(__xludf.DUMMYFUNCTION("""COMPUTED_VALUE"""),"Verkeersveiligheid")</f>
        <v>Verkeersveiligheid</v>
      </c>
      <c r="C591" s="2" t="str">
        <f ca="1">IFERROR(__xludf.DUMMYFUNCTION("""COMPUTED_VALUE"""),"Schoolroute")</f>
        <v>Schoolroute</v>
      </c>
      <c r="D591" s="2" t="str">
        <f ca="1">IFERROR(__xludf.DUMMYFUNCTION("""COMPUTED_VALUE"""),"IN/001619")</f>
        <v>IN/001619</v>
      </c>
      <c r="E591" s="2" t="str">
        <f ca="1">IFERROR(__xludf.DUMMYFUNCTION("UNIQUE(FILTER('export kabinetdashboard 1210202'!N:P,'export kabinetdashboard 1210202'!M:M=D591))"),"meer complex doordat spoorovergang aangepast dient te worden)")</f>
        <v>meer complex doordat spoorovergang aangepast dient te worden)</v>
      </c>
      <c r="F591" s="2" t="str">
        <f ca="1">IFERROR(__xludf.DUMMYFUNCTION("""COMPUTED_VALUE"""),"2023 - Q4")</f>
        <v>2023 - Q4</v>
      </c>
      <c r="G591" s="2" t="str">
        <f ca="1">IFERROR(__xludf.DUMMYFUNCTION("""COMPUTED_VALUE"""),"n.t.b.")</f>
        <v>n.t.b.</v>
      </c>
      <c r="H591" s="2">
        <f ca="1">SUMIFS('bedragen KIM (budgettering &amp; pl'!S:S,'bedragen KIM (budgettering &amp; pl'!B:B,A591,'bedragen KIM (budgettering &amp; pl'!F:F,D591)</f>
        <v>35800</v>
      </c>
      <c r="I591" s="2" t="e">
        <f ca="1">SUMIFS(#REF!,#REF!,A591,#REF!,D591)</f>
        <v>#REF!</v>
      </c>
      <c r="J591" s="2" t="e">
        <f ca="1">SUMIFS(#REF!,#REF!,A591,#REF!,D591)</f>
        <v>#REF!</v>
      </c>
    </row>
    <row r="592" spans="1:10" ht="12.5" x14ac:dyDescent="0.25">
      <c r="A592" s="2" t="str">
        <f ca="1">IFERROR(__xludf.DUMMYFUNCTION("""COMPUTED_VALUE"""),"KP/000923")</f>
        <v>KP/000923</v>
      </c>
      <c r="B592" s="2" t="str">
        <f ca="1">IFERROR(__xludf.DUMMYFUNCTION("""COMPUTED_VALUE"""),"Verkeersveiligheid")</f>
        <v>Verkeersveiligheid</v>
      </c>
      <c r="C592" s="2" t="str">
        <f ca="1">IFERROR(__xludf.DUMMYFUNCTION("""COMPUTED_VALUE"""),"Schoolroute")</f>
        <v>Schoolroute</v>
      </c>
      <c r="D592" s="2" t="str">
        <f ca="1">IFERROR(__xludf.DUMMYFUNCTION("""COMPUTED_VALUE"""),"IN/001623")</f>
        <v>IN/001623</v>
      </c>
      <c r="E592" s="2" t="str">
        <f ca="1">IFERROR(__xludf.DUMMYFUNCTION("UNIQUE(FILTER('export kabinetdashboard 1210202'!N:P,'export kabinetdashboard 1210202'!M:M=D592))"),"")</f>
        <v/>
      </c>
      <c r="F592" s="2" t="str">
        <f ca="1">IFERROR(__xludf.DUMMYFUNCTION("""COMPUTED_VALUE"""),"2022 - Q4")</f>
        <v>2022 - Q4</v>
      </c>
      <c r="G592" s="2" t="str">
        <f ca="1">IFERROR(__xludf.DUMMYFUNCTION("""COMPUTED_VALUE"""),"2022 - Q1")</f>
        <v>2022 - Q1</v>
      </c>
      <c r="H592" s="2">
        <f ca="1">SUMIFS('bedragen KIM (budgettering &amp; pl'!S:S,'bedragen KIM (budgettering &amp; pl'!B:B,A592,'bedragen KIM (budgettering &amp; pl'!F:F,D592)</f>
        <v>2276</v>
      </c>
      <c r="I592" s="2" t="e">
        <f ca="1">SUMIFS(#REF!,#REF!,A592,#REF!,D592)</f>
        <v>#REF!</v>
      </c>
      <c r="J592" s="2" t="e">
        <f ca="1">SUMIFS(#REF!,#REF!,A592,#REF!,D592)</f>
        <v>#REF!</v>
      </c>
    </row>
    <row r="593" spans="1:10" ht="12.5" x14ac:dyDescent="0.25">
      <c r="A593" s="2" t="str">
        <f ca="1">IFERROR(__xludf.DUMMYFUNCTION("""COMPUTED_VALUE"""),"KP/000977")</f>
        <v>KP/000977</v>
      </c>
      <c r="B593" s="2" t="str">
        <f ca="1">IFERROR(__xludf.DUMMYFUNCTION("""COMPUTED_VALUE"""),"Verkeersveiligheid")</f>
        <v>Verkeersveiligheid</v>
      </c>
      <c r="C593" s="2" t="str">
        <f ca="1">IFERROR(__xludf.DUMMYFUNCTION("""COMPUTED_VALUE"""),"Schoolroute")</f>
        <v>Schoolroute</v>
      </c>
      <c r="D593" s="2" t="str">
        <f ca="1">IFERROR(__xludf.DUMMYFUNCTION("""COMPUTED_VALUE"""),"IN/001626")</f>
        <v>IN/001626</v>
      </c>
      <c r="E593" s="2" t="str">
        <f ca="1">IFERROR(__xludf.DUMMYFUNCTION("UNIQUE(FILTER('export kabinetdashboard 1210202'!N:P,'export kabinetdashboard 1210202'!M:M=D593))"),"")</f>
        <v/>
      </c>
      <c r="F593" s="2" t="str">
        <f ca="1">IFERROR(__xludf.DUMMYFUNCTION("""COMPUTED_VALUE"""),"2022 - Q3")</f>
        <v>2022 - Q3</v>
      </c>
      <c r="G593" s="2" t="str">
        <f ca="1">IFERROR(__xludf.DUMMYFUNCTION("""COMPUTED_VALUE"""),"2022 - Q3")</f>
        <v>2022 - Q3</v>
      </c>
      <c r="H593" s="2">
        <f ca="1">SUMIFS('bedragen KIM (budgettering &amp; pl'!S:S,'bedragen KIM (budgettering &amp; pl'!B:B,A593,'bedragen KIM (budgettering &amp; pl'!F:F,D593)</f>
        <v>16000</v>
      </c>
      <c r="I593" s="2" t="e">
        <f ca="1">SUMIFS(#REF!,#REF!,A593,#REF!,D593)</f>
        <v>#REF!</v>
      </c>
      <c r="J593" s="2" t="e">
        <f ca="1">SUMIFS(#REF!,#REF!,A593,#REF!,D593)</f>
        <v>#REF!</v>
      </c>
    </row>
    <row r="594" spans="1:10" ht="12.5" x14ac:dyDescent="0.25">
      <c r="A594" s="2" t="str">
        <f ca="1">IFERROR(__xludf.DUMMYFUNCTION("""COMPUTED_VALUE"""),"KP/001155")</f>
        <v>KP/001155</v>
      </c>
      <c r="B594" s="2" t="str">
        <f ca="1">IFERROR(__xludf.DUMMYFUNCTION("""COMPUTED_VALUE"""),"Verkeersveiligheid")</f>
        <v>Verkeersveiligheid</v>
      </c>
      <c r="C594" s="2" t="str">
        <f ca="1">IFERROR(__xludf.DUMMYFUNCTION("""COMPUTED_VALUE"""),"Schoolroute")</f>
        <v>Schoolroute</v>
      </c>
      <c r="D594" s="2" t="str">
        <f ca="1">IFERROR(__xludf.DUMMYFUNCTION("""COMPUTED_VALUE"""),"IN/001634")</f>
        <v>IN/001634</v>
      </c>
      <c r="E594" s="2" t="str">
        <f ca="1">IFERROR(__xludf.DUMMYFUNCTION("UNIQUE(FILTER('export kabinetdashboard 1210202'!N:P,'export kabinetdashboard 1210202'!M:M=D594))"),"Bus zal gaan halteren op de rijbaan om veiligvoetpad naar kruispunt te creëren")</f>
        <v>Bus zal gaan halteren op de rijbaan om veiligvoetpad naar kruispunt te creëren</v>
      </c>
      <c r="F594" s="2" t="str">
        <f ca="1">IFERROR(__xludf.DUMMYFUNCTION("""COMPUTED_VALUE"""),"2022 - Q4")</f>
        <v>2022 - Q4</v>
      </c>
      <c r="G594" s="2" t="str">
        <f ca="1">IFERROR(__xludf.DUMMYFUNCTION("""COMPUTED_VALUE"""),"n.t.b.")</f>
        <v>n.t.b.</v>
      </c>
      <c r="H594" s="2">
        <f ca="1">SUMIFS('bedragen KIM (budgettering &amp; pl'!S:S,'bedragen KIM (budgettering &amp; pl'!B:B,A594,'bedragen KIM (budgettering &amp; pl'!F:F,D594)</f>
        <v>45440</v>
      </c>
      <c r="I594" s="2" t="e">
        <f ca="1">SUMIFS(#REF!,#REF!,A594,#REF!,D594)</f>
        <v>#REF!</v>
      </c>
      <c r="J594" s="2" t="e">
        <f ca="1">SUMIFS(#REF!,#REF!,A594,#REF!,D594)</f>
        <v>#REF!</v>
      </c>
    </row>
    <row r="595" spans="1:10" ht="12.5" x14ac:dyDescent="0.25">
      <c r="A595" s="2" t="str">
        <f ca="1">IFERROR(__xludf.DUMMYFUNCTION("""COMPUTED_VALUE"""),"KP/001354")</f>
        <v>KP/001354</v>
      </c>
      <c r="B595" s="2" t="str">
        <f ca="1">IFERROR(__xludf.DUMMYFUNCTION("""COMPUTED_VALUE"""),"Verkeersveiligheid")</f>
        <v>Verkeersveiligheid</v>
      </c>
      <c r="C595" s="2" t="str">
        <f ca="1">IFERROR(__xludf.DUMMYFUNCTION("""COMPUTED_VALUE"""),"Schoolroute")</f>
        <v>Schoolroute</v>
      </c>
      <c r="D595" s="2" t="str">
        <f ca="1">IFERROR(__xludf.DUMMYFUNCTION("""COMPUTED_VALUE"""),"IN/001635")</f>
        <v>IN/001635</v>
      </c>
      <c r="E595" s="2" t="str">
        <f ca="1">IFERROR(__xludf.DUMMYFUNCTION("UNIQUE(FILTER('export kabinetdashboard 1210202'!N:P,'export kabinetdashboard 1210202'!M:M=D595))"),"Fietsers uit de voorrang op rotonde.")</f>
        <v>Fietsers uit de voorrang op rotonde.</v>
      </c>
      <c r="F595" s="2" t="str">
        <f ca="1">IFERROR(__xludf.DUMMYFUNCTION("""COMPUTED_VALUE"""),"2023 - Q4")</f>
        <v>2023 - Q4</v>
      </c>
      <c r="G595" s="2" t="str">
        <f ca="1">IFERROR(__xludf.DUMMYFUNCTION("""COMPUTED_VALUE"""),"n.t.b.")</f>
        <v>n.t.b.</v>
      </c>
      <c r="H595" s="2">
        <f ca="1">SUMIFS('bedragen KIM (budgettering &amp; pl'!S:S,'bedragen KIM (budgettering &amp; pl'!B:B,A595,'bedragen KIM (budgettering &amp; pl'!F:F,D595)</f>
        <v>50000</v>
      </c>
      <c r="I595" s="2" t="e">
        <f ca="1">SUMIFS(#REF!,#REF!,A595,#REF!,D595)</f>
        <v>#REF!</v>
      </c>
      <c r="J595" s="2" t="e">
        <f ca="1">SUMIFS(#REF!,#REF!,A595,#REF!,D595)</f>
        <v>#REF!</v>
      </c>
    </row>
    <row r="596" spans="1:10" ht="12.5" x14ac:dyDescent="0.25">
      <c r="A596" s="2" t="str">
        <f ca="1">IFERROR(__xludf.DUMMYFUNCTION("""COMPUTED_VALUE"""),"KP/001418")</f>
        <v>KP/001418</v>
      </c>
      <c r="B596" s="2" t="str">
        <f ca="1">IFERROR(__xludf.DUMMYFUNCTION("""COMPUTED_VALUE"""),"Verkeersveiligheid")</f>
        <v>Verkeersveiligheid</v>
      </c>
      <c r="C596" s="2" t="str">
        <f ca="1">IFERROR(__xludf.DUMMYFUNCTION("""COMPUTED_VALUE"""),"Schoolroute")</f>
        <v>Schoolroute</v>
      </c>
      <c r="D596" s="2" t="str">
        <f ca="1">IFERROR(__xludf.DUMMYFUNCTION("""COMPUTED_VALUE"""),"IN/001637")</f>
        <v>IN/001637</v>
      </c>
      <c r="E596" s="2" t="str">
        <f ca="1">IFERROR(__xludf.DUMMYFUNCTION("UNIQUE(FILTER('export kabinetdashboard 1210202'!N:P,'export kabinetdashboard 1210202'!M:M=D596))"),"Herinrichting: voorrangsplein of verbrede middenberm")</f>
        <v>Herinrichting: voorrangsplein of verbrede middenberm</v>
      </c>
      <c r="F596" s="2" t="str">
        <f ca="1">IFERROR(__xludf.DUMMYFUNCTION("""COMPUTED_VALUE"""),"2022 - Q4")</f>
        <v>2022 - Q4</v>
      </c>
      <c r="G596" s="2" t="str">
        <f ca="1">IFERROR(__xludf.DUMMYFUNCTION("""COMPUTED_VALUE"""),"n.t.b.")</f>
        <v>n.t.b.</v>
      </c>
      <c r="H596" s="2">
        <f ca="1">SUMIFS('bedragen KIM (budgettering &amp; pl'!S:S,'bedragen KIM (budgettering &amp; pl'!B:B,A596,'bedragen KIM (budgettering &amp; pl'!F:F,D596)</f>
        <v>400000</v>
      </c>
      <c r="I596" s="2" t="e">
        <f ca="1">SUMIFS(#REF!,#REF!,A596,#REF!,D596)</f>
        <v>#REF!</v>
      </c>
      <c r="J596" s="2" t="e">
        <f ca="1">SUMIFS(#REF!,#REF!,A596,#REF!,D596)</f>
        <v>#REF!</v>
      </c>
    </row>
    <row r="597" spans="1:10" ht="12.5" x14ac:dyDescent="0.25">
      <c r="A597" s="2" t="str">
        <f ca="1">IFERROR(__xludf.DUMMYFUNCTION("""COMPUTED_VALUE"""),"KP/000999")</f>
        <v>KP/000999</v>
      </c>
      <c r="B597" s="2" t="str">
        <f ca="1">IFERROR(__xludf.DUMMYFUNCTION("""COMPUTED_VALUE"""),"Verkeersveiligheid")</f>
        <v>Verkeersveiligheid</v>
      </c>
      <c r="C597" s="2" t="str">
        <f ca="1">IFERROR(__xludf.DUMMYFUNCTION("""COMPUTED_VALUE"""),"Schoolroute")</f>
        <v>Schoolroute</v>
      </c>
      <c r="D597" s="2" t="str">
        <f ca="1">IFERROR(__xludf.DUMMYFUNCTION("""COMPUTED_VALUE"""),"IN/001644")</f>
        <v>IN/001644</v>
      </c>
      <c r="E597" s="2" t="str">
        <f ca="1">IFERROR(__xludf.DUMMYFUNCTION("UNIQUE(FILTER('export kabinetdashboard 1210202'!N:P,'export kabinetdashboard 1210202'!M:M=D597))"),"")</f>
        <v/>
      </c>
      <c r="F597" s="2" t="str">
        <f ca="1">IFERROR(__xludf.DUMMYFUNCTION("""COMPUTED_VALUE"""),"2023 - Q4")</f>
        <v>2023 - Q4</v>
      </c>
      <c r="G597" s="2" t="str">
        <f ca="1">IFERROR(__xludf.DUMMYFUNCTION("""COMPUTED_VALUE"""),"n.t.b.")</f>
        <v>n.t.b.</v>
      </c>
      <c r="H597" s="2">
        <f ca="1">SUMIFS('bedragen KIM (budgettering &amp; pl'!S:S,'bedragen KIM (budgettering &amp; pl'!B:B,A597,'bedragen KIM (budgettering &amp; pl'!F:F,D597)</f>
        <v>0</v>
      </c>
      <c r="I597" s="2" t="e">
        <f ca="1">SUMIFS(#REF!,#REF!,A597,#REF!,D597)</f>
        <v>#REF!</v>
      </c>
      <c r="J597" s="2" t="e">
        <f ca="1">SUMIFS(#REF!,#REF!,A597,#REF!,D597)</f>
        <v>#REF!</v>
      </c>
    </row>
    <row r="598" spans="1:10" ht="12.5" x14ac:dyDescent="0.25">
      <c r="A598" s="2" t="str">
        <f ca="1">IFERROR(__xludf.DUMMYFUNCTION("""COMPUTED_VALUE"""),"KP/001639")</f>
        <v>KP/001639</v>
      </c>
      <c r="B598" s="2" t="str">
        <f ca="1">IFERROR(__xludf.DUMMYFUNCTION("""COMPUTED_VALUE"""),"Verkeersveiligheid")</f>
        <v>Verkeersveiligheid</v>
      </c>
      <c r="C598" s="2" t="str">
        <f ca="1">IFERROR(__xludf.DUMMYFUNCTION("""COMPUTED_VALUE"""),"Schoolroute")</f>
        <v>Schoolroute</v>
      </c>
      <c r="D598" s="2" t="str">
        <f ca="1">IFERROR(__xludf.DUMMYFUNCTION("""COMPUTED_VALUE"""),"IN/001652")</f>
        <v>IN/001652</v>
      </c>
      <c r="E598" s="2" t="str">
        <f ca="1">IFERROR(__xludf.DUMMYFUNCTION("UNIQUE(FILTER('export kabinetdashboard 1210202'!N:P,'export kabinetdashboard 1210202'!M:M=D598))"),"aanbrengen van fietslogo's tussen overgang fietspad en Sint amandusplein in beide richtingen")</f>
        <v>aanbrengen van fietslogo's tussen overgang fietspad en Sint amandusplein in beide richtingen</v>
      </c>
      <c r="F598" s="2" t="str">
        <f ca="1">IFERROR(__xludf.DUMMYFUNCTION("""COMPUTED_VALUE"""),"2022 - Q2")</f>
        <v>2022 - Q2</v>
      </c>
      <c r="G598" s="2" t="str">
        <f ca="1">IFERROR(__xludf.DUMMYFUNCTION("""COMPUTED_VALUE"""),"2022 - Q2")</f>
        <v>2022 - Q2</v>
      </c>
      <c r="H598" s="2">
        <f ca="1">SUMIFS('bedragen KIM (budgettering &amp; pl'!S:S,'bedragen KIM (budgettering &amp; pl'!B:B,A598,'bedragen KIM (budgettering &amp; pl'!F:F,D598)</f>
        <v>150</v>
      </c>
      <c r="I598" s="2" t="e">
        <f ca="1">SUMIFS(#REF!,#REF!,A598,#REF!,D598)</f>
        <v>#REF!</v>
      </c>
      <c r="J598" s="2" t="e">
        <f ca="1">SUMIFS(#REF!,#REF!,A598,#REF!,D598)</f>
        <v>#REF!</v>
      </c>
    </row>
    <row r="599" spans="1:10" ht="12.5" x14ac:dyDescent="0.25">
      <c r="A599" s="2" t="str">
        <f ca="1">IFERROR(__xludf.DUMMYFUNCTION("""COMPUTED_VALUE"""),"KP/001640")</f>
        <v>KP/001640</v>
      </c>
      <c r="B599" s="2" t="str">
        <f ca="1">IFERROR(__xludf.DUMMYFUNCTION("""COMPUTED_VALUE"""),"Verkeersveiligheid")</f>
        <v>Verkeersveiligheid</v>
      </c>
      <c r="C599" s="2" t="str">
        <f ca="1">IFERROR(__xludf.DUMMYFUNCTION("""COMPUTED_VALUE"""),"Schoolroute")</f>
        <v>Schoolroute</v>
      </c>
      <c r="D599" s="2" t="str">
        <f ca="1">IFERROR(__xludf.DUMMYFUNCTION("""COMPUTED_VALUE"""),"IN/001652")</f>
        <v>IN/001652</v>
      </c>
      <c r="E599" s="2" t="str">
        <f ca="1">IFERROR(__xludf.DUMMYFUNCTION("UNIQUE(FILTER('export kabinetdashboard 1210202'!N:P,'export kabinetdashboard 1210202'!M:M=D599))"),"aanbrengen van fietslogo's tussen overgang fietspad en Sint amandusplein in beide richtingen")</f>
        <v>aanbrengen van fietslogo's tussen overgang fietspad en Sint amandusplein in beide richtingen</v>
      </c>
      <c r="F599" s="2" t="str">
        <f ca="1">IFERROR(__xludf.DUMMYFUNCTION("""COMPUTED_VALUE"""),"2022 - Q2")</f>
        <v>2022 - Q2</v>
      </c>
      <c r="G599" s="2" t="str">
        <f ca="1">IFERROR(__xludf.DUMMYFUNCTION("""COMPUTED_VALUE"""),"2022 - Q2")</f>
        <v>2022 - Q2</v>
      </c>
      <c r="H599" s="2">
        <f ca="1">SUMIFS('bedragen KIM (budgettering &amp; pl'!S:S,'bedragen KIM (budgettering &amp; pl'!B:B,A599,'bedragen KIM (budgettering &amp; pl'!F:F,D599)</f>
        <v>150</v>
      </c>
      <c r="I599" s="2" t="e">
        <f ca="1">SUMIFS(#REF!,#REF!,A599,#REF!,D599)</f>
        <v>#REF!</v>
      </c>
      <c r="J599" s="2" t="e">
        <f ca="1">SUMIFS(#REF!,#REF!,A599,#REF!,D599)</f>
        <v>#REF!</v>
      </c>
    </row>
    <row r="600" spans="1:10" ht="12.5" x14ac:dyDescent="0.25">
      <c r="A600" s="2" t="str">
        <f ca="1">IFERROR(__xludf.DUMMYFUNCTION("""COMPUTED_VALUE"""),"KP/001095")</f>
        <v>KP/001095</v>
      </c>
      <c r="B600" s="2" t="str">
        <f ca="1">IFERROR(__xludf.DUMMYFUNCTION("""COMPUTED_VALUE"""),"Verkeersveiligheid")</f>
        <v>Verkeersveiligheid</v>
      </c>
      <c r="C600" s="2" t="str">
        <f ca="1">IFERROR(__xludf.DUMMYFUNCTION("""COMPUTED_VALUE"""),"Schoolroute")</f>
        <v>Schoolroute</v>
      </c>
      <c r="D600" s="2" t="str">
        <f ca="1">IFERROR(__xludf.DUMMYFUNCTION("""COMPUTED_VALUE"""),"IN/001655")</f>
        <v>IN/001655</v>
      </c>
      <c r="E600" s="2" t="str">
        <f ca="1">IFERROR(__xludf.DUMMYFUNCTION("UNIQUE(FILTER('export kabinetdashboard 1210202'!N:P,'export kabinetdashboard 1210202'!M:M=D600))"),"PCV dossier")</f>
        <v>PCV dossier</v>
      </c>
      <c r="F600" s="2" t="str">
        <f ca="1">IFERROR(__xludf.DUMMYFUNCTION("""COMPUTED_VALUE"""),"2022 - Q4")</f>
        <v>2022 - Q4</v>
      </c>
      <c r="G600" s="2" t="str">
        <f ca="1">IFERROR(__xludf.DUMMYFUNCTION("""COMPUTED_VALUE"""),"n.t.b.")</f>
        <v>n.t.b.</v>
      </c>
      <c r="H600" s="2">
        <f ca="1">SUMIFS('bedragen KIM (budgettering &amp; pl'!S:S,'bedragen KIM (budgettering &amp; pl'!B:B,A600,'bedragen KIM (budgettering &amp; pl'!F:F,D600)</f>
        <v>40000</v>
      </c>
      <c r="I600" s="2" t="e">
        <f ca="1">SUMIFS(#REF!,#REF!,A600,#REF!,D600)</f>
        <v>#REF!</v>
      </c>
      <c r="J600" s="2" t="e">
        <f ca="1">SUMIFS(#REF!,#REF!,A600,#REF!,D600)</f>
        <v>#REF!</v>
      </c>
    </row>
    <row r="601" spans="1:10" ht="12.5" x14ac:dyDescent="0.25">
      <c r="A601" s="2" t="str">
        <f ca="1">IFERROR(__xludf.DUMMYFUNCTION("""COMPUTED_VALUE"""),"KP/001331")</f>
        <v>KP/001331</v>
      </c>
      <c r="B601" s="2" t="str">
        <f ca="1">IFERROR(__xludf.DUMMYFUNCTION("""COMPUTED_VALUE"""),"Verkeersveiligheid")</f>
        <v>Verkeersveiligheid</v>
      </c>
      <c r="C601" s="2" t="str">
        <f ca="1">IFERROR(__xludf.DUMMYFUNCTION("""COMPUTED_VALUE"""),"Schoolroute")</f>
        <v>Schoolroute</v>
      </c>
      <c r="D601" s="2" t="str">
        <f ca="1">IFERROR(__xludf.DUMMYFUNCTION("""COMPUTED_VALUE"""),"IN/001658")</f>
        <v>IN/001658</v>
      </c>
      <c r="E601" s="2" t="str">
        <f ca="1">IFERROR(__xludf.DUMMYFUNCTION("UNIQUE(FILTER('export kabinetdashboard 1210202'!N:P,'export kabinetdashboard 1210202'!M:M=D601))"),"Middengeleider, oversteek fietsers, insnoeren G.Hoofdstraat")</f>
        <v>Middengeleider, oversteek fietsers, insnoeren G.Hoofdstraat</v>
      </c>
      <c r="F601" s="2" t="str">
        <f ca="1">IFERROR(__xludf.DUMMYFUNCTION("""COMPUTED_VALUE"""),"2022 - Q4")</f>
        <v>2022 - Q4</v>
      </c>
      <c r="G601" s="2" t="str">
        <f ca="1">IFERROR(__xludf.DUMMYFUNCTION("""COMPUTED_VALUE"""),"n.t.b.")</f>
        <v>n.t.b.</v>
      </c>
      <c r="H601" s="2">
        <f ca="1">SUMIFS('bedragen KIM (budgettering &amp; pl'!S:S,'bedragen KIM (budgettering &amp; pl'!B:B,A601,'bedragen KIM (budgettering &amp; pl'!F:F,D601)</f>
        <v>150000</v>
      </c>
      <c r="I601" s="2" t="e">
        <f ca="1">SUMIFS(#REF!,#REF!,A601,#REF!,D601)</f>
        <v>#REF!</v>
      </c>
      <c r="J601" s="2" t="e">
        <f ca="1">SUMIFS(#REF!,#REF!,A601,#REF!,D601)</f>
        <v>#REF!</v>
      </c>
    </row>
    <row r="602" spans="1:10" ht="12.5" x14ac:dyDescent="0.25">
      <c r="A602" s="2" t="str">
        <f ca="1">IFERROR(__xludf.DUMMYFUNCTION("""COMPUTED_VALUE"""),"KP/001453")</f>
        <v>KP/001453</v>
      </c>
      <c r="B602" s="2" t="str">
        <f ca="1">IFERROR(__xludf.DUMMYFUNCTION("""COMPUTED_VALUE"""),"Verkeersveiligheid")</f>
        <v>Verkeersveiligheid</v>
      </c>
      <c r="C602" s="2" t="str">
        <f ca="1">IFERROR(__xludf.DUMMYFUNCTION("""COMPUTED_VALUE"""),"Schoolroute")</f>
        <v>Schoolroute</v>
      </c>
      <c r="D602" s="2" t="str">
        <f ca="1">IFERROR(__xludf.DUMMYFUNCTION("""COMPUTED_VALUE"""),"IN/001659")</f>
        <v>IN/001659</v>
      </c>
      <c r="E602" s="2" t="str">
        <f ca="1">IFERROR(__xludf.DUMMYFUNCTION("UNIQUE(FILTER('export kabinetdashboard 1210202'!N:P,'export kabinetdashboard 1210202'!M:M=D602))"),"")</f>
        <v/>
      </c>
      <c r="F602" s="2" t="str">
        <f ca="1">IFERROR(__xludf.DUMMYFUNCTION("""COMPUTED_VALUE"""),"2022 - Q4")</f>
        <v>2022 - Q4</v>
      </c>
      <c r="G602" s="2" t="str">
        <f ca="1">IFERROR(__xludf.DUMMYFUNCTION("""COMPUTED_VALUE"""),"n.t.b.")</f>
        <v>n.t.b.</v>
      </c>
      <c r="H602" s="2">
        <f ca="1">SUMIFS('bedragen KIM (budgettering &amp; pl'!S:S,'bedragen KIM (budgettering &amp; pl'!B:B,A602,'bedragen KIM (budgettering &amp; pl'!F:F,D602)</f>
        <v>0</v>
      </c>
      <c r="I602" s="2" t="e">
        <f ca="1">SUMIFS(#REF!,#REF!,A602,#REF!,D602)</f>
        <v>#REF!</v>
      </c>
      <c r="J602" s="2" t="e">
        <f ca="1">SUMIFS(#REF!,#REF!,A602,#REF!,D602)</f>
        <v>#REF!</v>
      </c>
    </row>
    <row r="603" spans="1:10" ht="12.5" x14ac:dyDescent="0.25">
      <c r="A603" s="2" t="str">
        <f ca="1">IFERROR(__xludf.DUMMYFUNCTION("""COMPUTED_VALUE"""),"KP/000893")</f>
        <v>KP/000893</v>
      </c>
      <c r="B603" s="2" t="str">
        <f ca="1">IFERROR(__xludf.DUMMYFUNCTION("""COMPUTED_VALUE"""),"Verkeersveiligheid")</f>
        <v>Verkeersveiligheid</v>
      </c>
      <c r="C603" s="2" t="str">
        <f ca="1">IFERROR(__xludf.DUMMYFUNCTION("""COMPUTED_VALUE"""),"Schoolroute")</f>
        <v>Schoolroute</v>
      </c>
      <c r="D603" s="2" t="str">
        <f ca="1">IFERROR(__xludf.DUMMYFUNCTION("""COMPUTED_VALUE"""),"IN/001660")</f>
        <v>IN/001660</v>
      </c>
      <c r="E603" s="2" t="str">
        <f ca="1">IFERROR(__xludf.DUMMYFUNCTION("UNIQUE(FILTER('export kabinetdashboard 1210202'!N:P,'export kabinetdashboard 1210202'!M:M=D603))"),"Markeren parkeervakken om zichtbaarheid te verhogen")</f>
        <v>Markeren parkeervakken om zichtbaarheid te verhogen</v>
      </c>
      <c r="F603" s="2" t="str">
        <f ca="1">IFERROR(__xludf.DUMMYFUNCTION("""COMPUTED_VALUE"""),"2021 - Q4")</f>
        <v>2021 - Q4</v>
      </c>
      <c r="G603" s="2" t="str">
        <f ca="1">IFERROR(__xludf.DUMMYFUNCTION("""COMPUTED_VALUE"""),"2021 - Q4")</f>
        <v>2021 - Q4</v>
      </c>
      <c r="H603" s="2">
        <f ca="1">SUMIFS('bedragen KIM (budgettering &amp; pl'!S:S,'bedragen KIM (budgettering &amp; pl'!B:B,A603,'bedragen KIM (budgettering &amp; pl'!F:F,D603)</f>
        <v>500</v>
      </c>
      <c r="I603" s="2" t="e">
        <f ca="1">SUMIFS(#REF!,#REF!,A603,#REF!,D603)</f>
        <v>#REF!</v>
      </c>
      <c r="J603" s="2" t="e">
        <f ca="1">SUMIFS(#REF!,#REF!,A603,#REF!,D603)</f>
        <v>#REF!</v>
      </c>
    </row>
    <row r="604" spans="1:10" ht="12.5" x14ac:dyDescent="0.25">
      <c r="A604" s="2" t="str">
        <f ca="1">IFERROR(__xludf.DUMMYFUNCTION("""COMPUTED_VALUE"""),"KP/001451")</f>
        <v>KP/001451</v>
      </c>
      <c r="B604" s="2" t="str">
        <f ca="1">IFERROR(__xludf.DUMMYFUNCTION("""COMPUTED_VALUE"""),"Verkeersveiligheid")</f>
        <v>Verkeersveiligheid</v>
      </c>
      <c r="C604" s="2" t="str">
        <f ca="1">IFERROR(__xludf.DUMMYFUNCTION("""COMPUTED_VALUE"""),"Schoolroute")</f>
        <v>Schoolroute</v>
      </c>
      <c r="D604" s="2" t="str">
        <f ca="1">IFERROR(__xludf.DUMMYFUNCTION("""COMPUTED_VALUE"""),"IN/001661")</f>
        <v>IN/001661</v>
      </c>
      <c r="E604" s="2" t="str">
        <f ca="1">IFERROR(__xludf.DUMMYFUNCTION("UNIQUE(FILTER('export kabinetdashboard 1210202'!N:P,'export kabinetdashboard 1210202'!M:M=D604))"),"#N/A")</f>
        <v>#N/A</v>
      </c>
      <c r="H604" s="2">
        <f ca="1">SUMIFS('bedragen KIM (budgettering &amp; pl'!S:S,'bedragen KIM (budgettering &amp; pl'!B:B,A604,'bedragen KIM (budgettering &amp; pl'!F:F,D604)</f>
        <v>50000</v>
      </c>
      <c r="I604" s="2" t="e">
        <f ca="1">SUMIFS(#REF!,#REF!,A604,#REF!,D604)</f>
        <v>#REF!</v>
      </c>
      <c r="J604" s="2" t="e">
        <f ca="1">SUMIFS(#REF!,#REF!,A604,#REF!,D604)</f>
        <v>#REF!</v>
      </c>
    </row>
    <row r="605" spans="1:10" ht="12.5" x14ac:dyDescent="0.25">
      <c r="A605" s="2" t="str">
        <f ca="1">IFERROR(__xludf.DUMMYFUNCTION("""COMPUTED_VALUE"""),"KP/001180")</f>
        <v>KP/001180</v>
      </c>
      <c r="B605" s="2" t="str">
        <f ca="1">IFERROR(__xludf.DUMMYFUNCTION("""COMPUTED_VALUE"""),"Verkeersveiligheid")</f>
        <v>Verkeersveiligheid</v>
      </c>
      <c r="C605" s="2" t="str">
        <f ca="1">IFERROR(__xludf.DUMMYFUNCTION("""COMPUTED_VALUE"""),"Schoolroute")</f>
        <v>Schoolroute</v>
      </c>
      <c r="D605" s="2" t="str">
        <f ca="1">IFERROR(__xludf.DUMMYFUNCTION("""COMPUTED_VALUE"""),"IN/001662")</f>
        <v>IN/001662</v>
      </c>
      <c r="E605" s="2" t="str">
        <f ca="1">IFERROR(__xludf.DUMMYFUNCTION("UNIQUE(FILTER('export kabinetdashboard 1210202'!N:P,'export kabinetdashboard 1210202'!M:M=D605))"),"fietspaden vrijliggend brengen op de rotonde")</f>
        <v>fietspaden vrijliggend brengen op de rotonde</v>
      </c>
      <c r="F605" s="2" t="str">
        <f ca="1">IFERROR(__xludf.DUMMYFUNCTION("""COMPUTED_VALUE"""),"2023 - Q2")</f>
        <v>2023 - Q2</v>
      </c>
      <c r="G605" s="2" t="str">
        <f ca="1">IFERROR(__xludf.DUMMYFUNCTION("""COMPUTED_VALUE"""),"n.t.b.")</f>
        <v>n.t.b.</v>
      </c>
      <c r="H605" s="2">
        <f ca="1">SUMIFS('bedragen KIM (budgettering &amp; pl'!S:S,'bedragen KIM (budgettering &amp; pl'!B:B,A605,'bedragen KIM (budgettering &amp; pl'!F:F,D605)</f>
        <v>150000</v>
      </c>
      <c r="I605" s="2" t="e">
        <f ca="1">SUMIFS(#REF!,#REF!,A605,#REF!,D605)</f>
        <v>#REF!</v>
      </c>
      <c r="J605" s="2" t="e">
        <f ca="1">SUMIFS(#REF!,#REF!,A605,#REF!,D605)</f>
        <v>#REF!</v>
      </c>
    </row>
    <row r="606" spans="1:10" ht="12.5" x14ac:dyDescent="0.25">
      <c r="A606" s="2" t="str">
        <f ca="1">IFERROR(__xludf.DUMMYFUNCTION("""COMPUTED_VALUE"""),"KP/001180")</f>
        <v>KP/001180</v>
      </c>
      <c r="B606" s="2" t="str">
        <f ca="1">IFERROR(__xludf.DUMMYFUNCTION("""COMPUTED_VALUE"""),"Verkeersveiligheid")</f>
        <v>Verkeersveiligheid</v>
      </c>
      <c r="C606" s="2" t="str">
        <f ca="1">IFERROR(__xludf.DUMMYFUNCTION("""COMPUTED_VALUE"""),"Schoolroute")</f>
        <v>Schoolroute</v>
      </c>
      <c r="D606" s="2" t="str">
        <f ca="1">IFERROR(__xludf.DUMMYFUNCTION("""COMPUTED_VALUE"""),"IN/001663")</f>
        <v>IN/001663</v>
      </c>
      <c r="E606" s="2" t="str">
        <f ca="1">IFERROR(__xludf.DUMMYFUNCTION("UNIQUE(FILTER('export kabinetdashboard 1210202'!N:P,'export kabinetdashboard 1210202'!M:M=D606))"),"fietsers buiten de rotonde brengen")</f>
        <v>fietsers buiten de rotonde brengen</v>
      </c>
      <c r="F606" s="2" t="str">
        <f ca="1">IFERROR(__xludf.DUMMYFUNCTION("""COMPUTED_VALUE"""),"2023 - Q2")</f>
        <v>2023 - Q2</v>
      </c>
      <c r="G606" s="2" t="str">
        <f ca="1">IFERROR(__xludf.DUMMYFUNCTION("""COMPUTED_VALUE"""),"n.t.b.")</f>
        <v>n.t.b.</v>
      </c>
      <c r="H606" s="2">
        <f ca="1">SUMIFS('bedragen KIM (budgettering &amp; pl'!S:S,'bedragen KIM (budgettering &amp; pl'!B:B,A606,'bedragen KIM (budgettering &amp; pl'!F:F,D606)</f>
        <v>250000</v>
      </c>
      <c r="I606" s="2" t="e">
        <f ca="1">SUMIFS(#REF!,#REF!,A606,#REF!,D606)</f>
        <v>#REF!</v>
      </c>
      <c r="J606" s="2" t="e">
        <f ca="1">SUMIFS(#REF!,#REF!,A606,#REF!,D606)</f>
        <v>#REF!</v>
      </c>
    </row>
    <row r="607" spans="1:10" ht="12.5" x14ac:dyDescent="0.25">
      <c r="A607" s="2" t="str">
        <f ca="1">IFERROR(__xludf.DUMMYFUNCTION("""COMPUTED_VALUE"""),"KP/000828")</f>
        <v>KP/000828</v>
      </c>
      <c r="B607" s="2" t="str">
        <f ca="1">IFERROR(__xludf.DUMMYFUNCTION("""COMPUTED_VALUE"""),"Verkeersveiligheid")</f>
        <v>Verkeersveiligheid</v>
      </c>
      <c r="C607" s="2" t="str">
        <f ca="1">IFERROR(__xludf.DUMMYFUNCTION("""COMPUTED_VALUE"""),"Schoolroute")</f>
        <v>Schoolroute</v>
      </c>
      <c r="D607" s="2" t="str">
        <f ca="1">IFERROR(__xludf.DUMMYFUNCTION("""COMPUTED_VALUE"""),"IN/001664")</f>
        <v>IN/001664</v>
      </c>
      <c r="E607" s="2" t="str">
        <f ca="1">IFERROR(__xludf.DUMMYFUNCTION("UNIQUE(FILTER('export kabinetdashboard 1210202'!N:P,'export kabinetdashboard 1210202'!M:M=D607))"),"Plaatsen verkeerslichten")</f>
        <v>Plaatsen verkeerslichten</v>
      </c>
      <c r="F607" s="2" t="str">
        <f ca="1">IFERROR(__xludf.DUMMYFUNCTION("""COMPUTED_VALUE"""),"n.t.b.")</f>
        <v>n.t.b.</v>
      </c>
      <c r="G607" s="2" t="str">
        <f ca="1">IFERROR(__xludf.DUMMYFUNCTION("""COMPUTED_VALUE"""),"n.t.b.")</f>
        <v>n.t.b.</v>
      </c>
      <c r="H607" s="2">
        <f ca="1">SUMIFS('bedragen KIM (budgettering &amp; pl'!S:S,'bedragen KIM (budgettering &amp; pl'!B:B,A607,'bedragen KIM (budgettering &amp; pl'!F:F,D607)</f>
        <v>200000</v>
      </c>
      <c r="I607" s="2" t="e">
        <f ca="1">SUMIFS(#REF!,#REF!,A607,#REF!,D607)</f>
        <v>#REF!</v>
      </c>
      <c r="J607" s="2" t="e">
        <f ca="1">SUMIFS(#REF!,#REF!,A607,#REF!,D607)</f>
        <v>#REF!</v>
      </c>
    </row>
    <row r="608" spans="1:10" ht="12.5" x14ac:dyDescent="0.25">
      <c r="A608" s="2" t="str">
        <f ca="1">IFERROR(__xludf.DUMMYFUNCTION("""COMPUTED_VALUE"""),"KP/001419")</f>
        <v>KP/001419</v>
      </c>
      <c r="B608" s="2" t="str">
        <f ca="1">IFERROR(__xludf.DUMMYFUNCTION("""COMPUTED_VALUE"""),"Verkeersveiligheid")</f>
        <v>Verkeersveiligheid</v>
      </c>
      <c r="C608" s="2" t="str">
        <f ca="1">IFERROR(__xludf.DUMMYFUNCTION("""COMPUTED_VALUE"""),"Schoolroute")</f>
        <v>Schoolroute</v>
      </c>
      <c r="D608" s="2" t="str">
        <f ca="1">IFERROR(__xludf.DUMMYFUNCTION("""COMPUTED_VALUE"""),"IN/001665")</f>
        <v>IN/001665</v>
      </c>
      <c r="E608" s="2" t="str">
        <f ca="1">IFERROR(__xludf.DUMMYFUNCTION("UNIQUE(FILTER('export kabinetdashboard 1210202'!N:P,'export kabinetdashboard 1210202'!M:M=D608))"),"Feitelijke oversteek (niet gemarkeerd), maar met middenberm opdat oversteken in 2x kan")</f>
        <v>Feitelijke oversteek (niet gemarkeerd), maar met middenberm opdat oversteken in 2x kan</v>
      </c>
      <c r="F608" s="2" t="str">
        <f ca="1">IFERROR(__xludf.DUMMYFUNCTION("""COMPUTED_VALUE"""),"2023 - Q4")</f>
        <v>2023 - Q4</v>
      </c>
      <c r="G608" s="2" t="str">
        <f ca="1">IFERROR(__xludf.DUMMYFUNCTION("""COMPUTED_VALUE"""),"n.t.b.")</f>
        <v>n.t.b.</v>
      </c>
      <c r="H608" s="2">
        <f ca="1">SUMIFS('bedragen KIM (budgettering &amp; pl'!S:S,'bedragen KIM (budgettering &amp; pl'!B:B,A608,'bedragen KIM (budgettering &amp; pl'!F:F,D608)</f>
        <v>197566</v>
      </c>
      <c r="I608" s="2" t="e">
        <f ca="1">SUMIFS(#REF!,#REF!,A608,#REF!,D608)</f>
        <v>#REF!</v>
      </c>
      <c r="J608" s="2" t="e">
        <f ca="1">SUMIFS(#REF!,#REF!,A608,#REF!,D608)</f>
        <v>#REF!</v>
      </c>
    </row>
    <row r="609" spans="1:10" ht="12.5" x14ac:dyDescent="0.25">
      <c r="A609" s="2" t="str">
        <f ca="1">IFERROR(__xludf.DUMMYFUNCTION("""COMPUTED_VALUE"""),"KP/001217")</f>
        <v>KP/001217</v>
      </c>
      <c r="B609" s="2" t="str">
        <f ca="1">IFERROR(__xludf.DUMMYFUNCTION("""COMPUTED_VALUE"""),"Verkeersveiligheid")</f>
        <v>Verkeersveiligheid</v>
      </c>
      <c r="C609" s="2" t="str">
        <f ca="1">IFERROR(__xludf.DUMMYFUNCTION("""COMPUTED_VALUE"""),"Schoolroute")</f>
        <v>Schoolroute</v>
      </c>
      <c r="D609" s="2" t="str">
        <f ca="1">IFERROR(__xludf.DUMMYFUNCTION("""COMPUTED_VALUE"""),"IN/001666")</f>
        <v>IN/001666</v>
      </c>
      <c r="E609" s="2" t="str">
        <f ca="1">IFERROR(__xludf.DUMMYFUNCTION("UNIQUE(FILTER('export kabinetdashboard 1210202'!N:P,'export kabinetdashboard 1210202'!M:M=D609))"),"")</f>
        <v/>
      </c>
      <c r="F609" s="2" t="str">
        <f ca="1">IFERROR(__xludf.DUMMYFUNCTION("""COMPUTED_VALUE"""),"2022 - Q2")</f>
        <v>2022 - Q2</v>
      </c>
      <c r="G609" s="2" t="str">
        <f ca="1">IFERROR(__xludf.DUMMYFUNCTION("""COMPUTED_VALUE"""),"2022 - Q3")</f>
        <v>2022 - Q3</v>
      </c>
      <c r="H609" s="2">
        <f ca="1">SUMIFS('bedragen KIM (budgettering &amp; pl'!S:S,'bedragen KIM (budgettering &amp; pl'!B:B,A609,'bedragen KIM (budgettering &amp; pl'!F:F,D609)</f>
        <v>75000</v>
      </c>
      <c r="I609" s="2" t="e">
        <f ca="1">SUMIFS(#REF!,#REF!,A609,#REF!,D609)</f>
        <v>#REF!</v>
      </c>
      <c r="J609" s="2" t="e">
        <f ca="1">SUMIFS(#REF!,#REF!,A609,#REF!,D609)</f>
        <v>#REF!</v>
      </c>
    </row>
    <row r="610" spans="1:10" ht="12.5" x14ac:dyDescent="0.25">
      <c r="A610" s="2" t="str">
        <f ca="1">IFERROR(__xludf.DUMMYFUNCTION("""COMPUTED_VALUE"""),"KP/001358")</f>
        <v>KP/001358</v>
      </c>
      <c r="B610" s="2" t="str">
        <f ca="1">IFERROR(__xludf.DUMMYFUNCTION("""COMPUTED_VALUE"""),"Verkeersveiligheid")</f>
        <v>Verkeersveiligheid</v>
      </c>
      <c r="C610" s="2" t="str">
        <f ca="1">IFERROR(__xludf.DUMMYFUNCTION("""COMPUTED_VALUE"""),"Schoolroute")</f>
        <v>Schoolroute</v>
      </c>
      <c r="D610" s="2" t="str">
        <f ca="1">IFERROR(__xludf.DUMMYFUNCTION("""COMPUTED_VALUE"""),"IN/001667")</f>
        <v>IN/001667</v>
      </c>
      <c r="E610" s="2" t="str">
        <f ca="1">IFERROR(__xludf.DUMMYFUNCTION("UNIQUE(FILTER('export kabinetdashboard 1210202'!N:P,'export kabinetdashboard 1210202'!M:M=D610))"),"PCV dossier")</f>
        <v>PCV dossier</v>
      </c>
      <c r="F610" s="2" t="str">
        <f ca="1">IFERROR(__xludf.DUMMYFUNCTION("""COMPUTED_VALUE"""),"2022 - Q1")</f>
        <v>2022 - Q1</v>
      </c>
      <c r="G610" s="2" t="str">
        <f ca="1">IFERROR(__xludf.DUMMYFUNCTION("""COMPUTED_VALUE"""),"2022 - Q1")</f>
        <v>2022 - Q1</v>
      </c>
      <c r="H610" s="2">
        <f ca="1">SUMIFS('bedragen KIM (budgettering &amp; pl'!S:S,'bedragen KIM (budgettering &amp; pl'!B:B,A610,'bedragen KIM (budgettering &amp; pl'!F:F,D610)</f>
        <v>25000</v>
      </c>
      <c r="I610" s="2" t="e">
        <f ca="1">SUMIFS(#REF!,#REF!,A610,#REF!,D610)</f>
        <v>#REF!</v>
      </c>
      <c r="J610" s="2" t="e">
        <f ca="1">SUMIFS(#REF!,#REF!,A610,#REF!,D610)</f>
        <v>#REF!</v>
      </c>
    </row>
    <row r="611" spans="1:10" ht="12.5" x14ac:dyDescent="0.25">
      <c r="A611" s="2" t="str">
        <f ca="1">IFERROR(__xludf.DUMMYFUNCTION("""COMPUTED_VALUE"""),"KP/001359")</f>
        <v>KP/001359</v>
      </c>
      <c r="B611" s="2" t="str">
        <f ca="1">IFERROR(__xludf.DUMMYFUNCTION("""COMPUTED_VALUE"""),"Verkeersveiligheid")</f>
        <v>Verkeersveiligheid</v>
      </c>
      <c r="C611" s="2" t="str">
        <f ca="1">IFERROR(__xludf.DUMMYFUNCTION("""COMPUTED_VALUE"""),"Schoolroute")</f>
        <v>Schoolroute</v>
      </c>
      <c r="D611" s="2" t="str">
        <f ca="1">IFERROR(__xludf.DUMMYFUNCTION("""COMPUTED_VALUE"""),"IN/001668")</f>
        <v>IN/001668</v>
      </c>
      <c r="E611" s="2" t="str">
        <f ca="1">IFERROR(__xludf.DUMMYFUNCTION("UNIQUE(FILTER('export kabinetdashboard 1210202'!N:P,'export kabinetdashboard 1210202'!M:M=D611))"),"PCV dossier")</f>
        <v>PCV dossier</v>
      </c>
      <c r="F611" s="2" t="str">
        <f ca="1">IFERROR(__xludf.DUMMYFUNCTION("""COMPUTED_VALUE"""),"2022 - Q3")</f>
        <v>2022 - Q3</v>
      </c>
      <c r="G611" s="2" t="str">
        <f ca="1">IFERROR(__xludf.DUMMYFUNCTION("""COMPUTED_VALUE"""),"n.t.b.")</f>
        <v>n.t.b.</v>
      </c>
      <c r="H611" s="2">
        <f ca="1">SUMIFS('bedragen KIM (budgettering &amp; pl'!S:S,'bedragen KIM (budgettering &amp; pl'!B:B,A611,'bedragen KIM (budgettering &amp; pl'!F:F,D611)</f>
        <v>50000</v>
      </c>
      <c r="I611" s="2" t="e">
        <f ca="1">SUMIFS(#REF!,#REF!,A611,#REF!,D611)</f>
        <v>#REF!</v>
      </c>
      <c r="J611" s="2" t="e">
        <f ca="1">SUMIFS(#REF!,#REF!,A611,#REF!,D611)</f>
        <v>#REF!</v>
      </c>
    </row>
    <row r="612" spans="1:10" ht="12.5" x14ac:dyDescent="0.25">
      <c r="A612" s="2" t="str">
        <f ca="1">IFERROR(__xludf.DUMMYFUNCTION("""COMPUTED_VALUE"""),"KP/001429")</f>
        <v>KP/001429</v>
      </c>
      <c r="B612" s="2" t="str">
        <f ca="1">IFERROR(__xludf.DUMMYFUNCTION("""COMPUTED_VALUE"""),"Verkeersveiligheid")</f>
        <v>Verkeersveiligheid</v>
      </c>
      <c r="C612" s="2" t="str">
        <f ca="1">IFERROR(__xludf.DUMMYFUNCTION("""COMPUTED_VALUE"""),"Schoolroute")</f>
        <v>Schoolroute</v>
      </c>
      <c r="D612" s="2" t="str">
        <f ca="1">IFERROR(__xludf.DUMMYFUNCTION("""COMPUTED_VALUE"""),"IN/001669")</f>
        <v>IN/001669</v>
      </c>
      <c r="E612" s="2" t="str">
        <f ca="1">IFERROR(__xludf.DUMMYFUNCTION("UNIQUE(FILTER('export kabinetdashboard 1210202'!N:P,'export kabinetdashboard 1210202'!M:M=D612))"),"PCV dossier")</f>
        <v>PCV dossier</v>
      </c>
      <c r="F612" s="2" t="str">
        <f ca="1">IFERROR(__xludf.DUMMYFUNCTION("""COMPUTED_VALUE"""),"2022 - Q3")</f>
        <v>2022 - Q3</v>
      </c>
      <c r="G612" s="2" t="str">
        <f ca="1">IFERROR(__xludf.DUMMYFUNCTION("""COMPUTED_VALUE"""),"n.t.b.")</f>
        <v>n.t.b.</v>
      </c>
      <c r="H612" s="2">
        <f ca="1">SUMIFS('bedragen KIM (budgettering &amp; pl'!S:S,'bedragen KIM (budgettering &amp; pl'!B:B,A612,'bedragen KIM (budgettering &amp; pl'!F:F,D612)</f>
        <v>25000</v>
      </c>
      <c r="I612" s="2" t="e">
        <f ca="1">SUMIFS(#REF!,#REF!,A612,#REF!,D612)</f>
        <v>#REF!</v>
      </c>
      <c r="J612" s="2" t="e">
        <f ca="1">SUMIFS(#REF!,#REF!,A612,#REF!,D612)</f>
        <v>#REF!</v>
      </c>
    </row>
    <row r="613" spans="1:10" ht="12.5" x14ac:dyDescent="0.25">
      <c r="A613" s="2" t="str">
        <f ca="1">IFERROR(__xludf.DUMMYFUNCTION("""COMPUTED_VALUE"""),"KP/001138")</f>
        <v>KP/001138</v>
      </c>
      <c r="B613" s="2" t="str">
        <f ca="1">IFERROR(__xludf.DUMMYFUNCTION("""COMPUTED_VALUE"""),"Verkeersveiligheid")</f>
        <v>Verkeersveiligheid</v>
      </c>
      <c r="C613" s="2" t="str">
        <f ca="1">IFERROR(__xludf.DUMMYFUNCTION("""COMPUTED_VALUE"""),"Schoolroute")</f>
        <v>Schoolroute</v>
      </c>
      <c r="D613" s="2" t="str">
        <f ca="1">IFERROR(__xludf.DUMMYFUNCTION("""COMPUTED_VALUE"""),"IN/001674")</f>
        <v>IN/001674</v>
      </c>
      <c r="E613" s="2" t="str">
        <f ca="1">IFERROR(__xludf.DUMMYFUNCTION("UNIQUE(FILTER('export kabinetdashboard 1210202'!N:P,'export kabinetdashboard 1210202'!M:M=D613))"),"")</f>
        <v/>
      </c>
      <c r="F613" s="2" t="str">
        <f ca="1">IFERROR(__xludf.DUMMYFUNCTION("""COMPUTED_VALUE"""),"2022 - Q4")</f>
        <v>2022 - Q4</v>
      </c>
      <c r="G613" s="2" t="str">
        <f ca="1">IFERROR(__xludf.DUMMYFUNCTION("""COMPUTED_VALUE"""),"2022 - Q2")</f>
        <v>2022 - Q2</v>
      </c>
      <c r="H613" s="2">
        <f ca="1">SUMIFS('bedragen KIM (budgettering &amp; pl'!S:S,'bedragen KIM (budgettering &amp; pl'!B:B,A613,'bedragen KIM (budgettering &amp; pl'!F:F,D613)</f>
        <v>75000</v>
      </c>
      <c r="I613" s="2" t="e">
        <f ca="1">SUMIFS(#REF!,#REF!,A613,#REF!,D613)</f>
        <v>#REF!</v>
      </c>
      <c r="J613" s="2" t="e">
        <f ca="1">SUMIFS(#REF!,#REF!,A613,#REF!,D613)</f>
        <v>#REF!</v>
      </c>
    </row>
    <row r="614" spans="1:10" ht="12.5" x14ac:dyDescent="0.25">
      <c r="A614" s="2" t="str">
        <f ca="1">IFERROR(__xludf.DUMMYFUNCTION("""COMPUTED_VALUE"""),"KP/001029")</f>
        <v>KP/001029</v>
      </c>
      <c r="B614" s="2" t="str">
        <f ca="1">IFERROR(__xludf.DUMMYFUNCTION("""COMPUTED_VALUE"""),"Verkeersveiligheid")</f>
        <v>Verkeersveiligheid</v>
      </c>
      <c r="C614" s="2" t="str">
        <f ca="1">IFERROR(__xludf.DUMMYFUNCTION("""COMPUTED_VALUE"""),"Schoolroute")</f>
        <v>Schoolroute</v>
      </c>
      <c r="D614" s="2" t="str">
        <f ca="1">IFERROR(__xludf.DUMMYFUNCTION("""COMPUTED_VALUE"""),"IN/001680")</f>
        <v>IN/001680</v>
      </c>
      <c r="E614" s="2" t="str">
        <f ca="1">IFERROR(__xludf.DUMMYFUNCTION("UNIQUE(FILTER('export kabinetdashboard 1210202'!N:P,'export kabinetdashboard 1210202'!M:M=D614))"),"PCV dossier")</f>
        <v>PCV dossier</v>
      </c>
      <c r="F614" s="2" t="str">
        <f ca="1">IFERROR(__xludf.DUMMYFUNCTION("""COMPUTED_VALUE"""),"2023 - Q4")</f>
        <v>2023 - Q4</v>
      </c>
      <c r="G614" s="2" t="str">
        <f ca="1">IFERROR(__xludf.DUMMYFUNCTION("""COMPUTED_VALUE"""),"n.t.b.")</f>
        <v>n.t.b.</v>
      </c>
      <c r="H614" s="2">
        <f ca="1">SUMIFS('bedragen KIM (budgettering &amp; pl'!S:S,'bedragen KIM (budgettering &amp; pl'!B:B,A614,'bedragen KIM (budgettering &amp; pl'!F:F,D614)</f>
        <v>0</v>
      </c>
      <c r="I614" s="2" t="e">
        <f ca="1">SUMIFS(#REF!,#REF!,A614,#REF!,D614)</f>
        <v>#REF!</v>
      </c>
      <c r="J614" s="2" t="e">
        <f ca="1">SUMIFS(#REF!,#REF!,A614,#REF!,D614)</f>
        <v>#REF!</v>
      </c>
    </row>
    <row r="615" spans="1:10" ht="12.5" x14ac:dyDescent="0.25">
      <c r="A615" s="2" t="str">
        <f ca="1">IFERROR(__xludf.DUMMYFUNCTION("""COMPUTED_VALUE"""),"KP/001371")</f>
        <v>KP/001371</v>
      </c>
      <c r="B615" s="2" t="str">
        <f ca="1">IFERROR(__xludf.DUMMYFUNCTION("""COMPUTED_VALUE"""),"Verkeersveiligheid")</f>
        <v>Verkeersveiligheid</v>
      </c>
      <c r="C615" s="2" t="str">
        <f ca="1">IFERROR(__xludf.DUMMYFUNCTION("""COMPUTED_VALUE"""),"Schoolroute")</f>
        <v>Schoolroute</v>
      </c>
      <c r="D615" s="2" t="str">
        <f ca="1">IFERROR(__xludf.DUMMYFUNCTION("""COMPUTED_VALUE"""),"IN/001682")</f>
        <v>IN/001682</v>
      </c>
      <c r="E615" s="2" t="str">
        <f ca="1">IFERROR(__xludf.DUMMYFUNCTION("UNIQUE(FILTER('export kabinetdashboard 1210202'!N:P,'export kabinetdashboard 1210202'!M:M=D615))"),"Punctuele verlichting voorzien mits schrappen parkeerplaatsen")</f>
        <v>Punctuele verlichting voorzien mits schrappen parkeerplaatsen</v>
      </c>
      <c r="F615" s="2" t="str">
        <f ca="1">IFERROR(__xludf.DUMMYFUNCTION("""COMPUTED_VALUE"""),"n.t.b.")</f>
        <v>n.t.b.</v>
      </c>
      <c r="G615" s="2" t="str">
        <f ca="1">IFERROR(__xludf.DUMMYFUNCTION("""COMPUTED_VALUE"""),"n.t.b.")</f>
        <v>n.t.b.</v>
      </c>
      <c r="H615" s="2">
        <f ca="1">SUMIFS('bedragen KIM (budgettering &amp; pl'!S:S,'bedragen KIM (budgettering &amp; pl'!B:B,A615,'bedragen KIM (budgettering &amp; pl'!F:F,D615)</f>
        <v>0</v>
      </c>
      <c r="I615" s="2" t="e">
        <f ca="1">SUMIFS(#REF!,#REF!,A615,#REF!,D615)</f>
        <v>#REF!</v>
      </c>
      <c r="J615" s="2" t="e">
        <f ca="1">SUMIFS(#REF!,#REF!,A615,#REF!,D615)</f>
        <v>#REF!</v>
      </c>
    </row>
    <row r="616" spans="1:10" ht="12.5" x14ac:dyDescent="0.25">
      <c r="A616" s="2" t="str">
        <f ca="1">IFERROR(__xludf.DUMMYFUNCTION("""COMPUTED_VALUE"""),"KP/001389")</f>
        <v>KP/001389</v>
      </c>
      <c r="B616" s="2" t="str">
        <f ca="1">IFERROR(__xludf.DUMMYFUNCTION("""COMPUTED_VALUE"""),"Verkeersveiligheid")</f>
        <v>Verkeersveiligheid</v>
      </c>
      <c r="C616" s="2" t="str">
        <f ca="1">IFERROR(__xludf.DUMMYFUNCTION("""COMPUTED_VALUE"""),"Schoolroute")</f>
        <v>Schoolroute</v>
      </c>
      <c r="D616" s="2" t="str">
        <f ca="1">IFERROR(__xludf.DUMMYFUNCTION("""COMPUTED_VALUE"""),"IN/001684")</f>
        <v>IN/001684</v>
      </c>
      <c r="E616" s="2" t="str">
        <f ca="1">IFERROR(__xludf.DUMMYFUNCTION("UNIQUE(FILTER('export kabinetdashboard 1210202'!N:P,'export kabinetdashboard 1210202'!M:M=D616))"),"")</f>
        <v/>
      </c>
      <c r="F616" s="2" t="str">
        <f ca="1">IFERROR(__xludf.DUMMYFUNCTION("""COMPUTED_VALUE"""),"n.t.b.")</f>
        <v>n.t.b.</v>
      </c>
      <c r="G616" s="2" t="str">
        <f ca="1">IFERROR(__xludf.DUMMYFUNCTION("""COMPUTED_VALUE"""),"n.t.b.")</f>
        <v>n.t.b.</v>
      </c>
      <c r="H616" s="2">
        <f ca="1">SUMIFS('bedragen KIM (budgettering &amp; pl'!S:S,'bedragen KIM (budgettering &amp; pl'!B:B,A616,'bedragen KIM (budgettering &amp; pl'!F:F,D616)</f>
        <v>0</v>
      </c>
      <c r="I616" s="2" t="e">
        <f ca="1">SUMIFS(#REF!,#REF!,A616,#REF!,D616)</f>
        <v>#REF!</v>
      </c>
      <c r="J616" s="2" t="e">
        <f ca="1">SUMIFS(#REF!,#REF!,A616,#REF!,D616)</f>
        <v>#REF!</v>
      </c>
    </row>
    <row r="617" spans="1:10" ht="12.5" x14ac:dyDescent="0.25">
      <c r="A617" s="2" t="str">
        <f ca="1">IFERROR(__xludf.DUMMYFUNCTION("""COMPUTED_VALUE"""),"KP/001571")</f>
        <v>KP/001571</v>
      </c>
      <c r="B617" s="2" t="str">
        <f ca="1">IFERROR(__xludf.DUMMYFUNCTION("""COMPUTED_VALUE"""),"Verkeersveiligheid")</f>
        <v>Verkeersveiligheid</v>
      </c>
      <c r="C617" s="2" t="str">
        <f ca="1">IFERROR(__xludf.DUMMYFUNCTION("""COMPUTED_VALUE"""),"Schoolroute")</f>
        <v>Schoolroute</v>
      </c>
      <c r="D617" s="2" t="str">
        <f ca="1">IFERROR(__xludf.DUMMYFUNCTION("""COMPUTED_VALUE"""),"IN/001691")</f>
        <v>IN/001691</v>
      </c>
      <c r="E617" s="2" t="str">
        <f ca="1">IFERROR(__xludf.DUMMYFUNCTION("UNIQUE(FILTER('export kabinetdashboard 1210202'!N:P,'export kabinetdashboard 1210202'!M:M=D617))"),"aanbrengen van rode coating ter hoogte van kruispunten")</f>
        <v>aanbrengen van rode coating ter hoogte van kruispunten</v>
      </c>
      <c r="F617" s="2" t="str">
        <f ca="1">IFERROR(__xludf.DUMMYFUNCTION("""COMPUTED_VALUE"""),"2022 - Q2")</f>
        <v>2022 - Q2</v>
      </c>
      <c r="G617" s="2" t="str">
        <f ca="1">IFERROR(__xludf.DUMMYFUNCTION("""COMPUTED_VALUE"""),"2022 - Q1")</f>
        <v>2022 - Q1</v>
      </c>
      <c r="H617" s="2">
        <f ca="1">SUMIFS('bedragen KIM (budgettering &amp; pl'!S:S,'bedragen KIM (budgettering &amp; pl'!B:B,A617,'bedragen KIM (budgettering &amp; pl'!F:F,D617)</f>
        <v>1500</v>
      </c>
      <c r="I617" s="2" t="e">
        <f ca="1">SUMIFS(#REF!,#REF!,A617,#REF!,D617)</f>
        <v>#REF!</v>
      </c>
      <c r="J617" s="2" t="e">
        <f ca="1">SUMIFS(#REF!,#REF!,A617,#REF!,D617)</f>
        <v>#REF!</v>
      </c>
    </row>
    <row r="618" spans="1:10" ht="12.5" x14ac:dyDescent="0.25">
      <c r="A618" s="2" t="str">
        <f ca="1">IFERROR(__xludf.DUMMYFUNCTION("""COMPUTED_VALUE"""),"KP/001611")</f>
        <v>KP/001611</v>
      </c>
      <c r="B618" s="2" t="str">
        <f ca="1">IFERROR(__xludf.DUMMYFUNCTION("""COMPUTED_VALUE"""),"Verkeersveiligheid")</f>
        <v>Verkeersveiligheid</v>
      </c>
      <c r="C618" s="2" t="str">
        <f ca="1">IFERROR(__xludf.DUMMYFUNCTION("""COMPUTED_VALUE"""),"Schoolroute")</f>
        <v>Schoolroute</v>
      </c>
      <c r="D618" s="2" t="str">
        <f ca="1">IFERROR(__xludf.DUMMYFUNCTION("""COMPUTED_VALUE"""),"IN/001692")</f>
        <v>IN/001692</v>
      </c>
      <c r="E618" s="2" t="str">
        <f ca="1">IFERROR(__xludf.DUMMYFUNCTION("UNIQUE(FILTER('export kabinetdashboard 1210202'!N:P,'export kabinetdashboard 1210202'!M:M=D618))"),"aanbrengen rode coating ter hoogte van kruispunten")</f>
        <v>aanbrengen rode coating ter hoogte van kruispunten</v>
      </c>
      <c r="F618" s="2" t="str">
        <f ca="1">IFERROR(__xludf.DUMMYFUNCTION("""COMPUTED_VALUE"""),"2022 - Q2")</f>
        <v>2022 - Q2</v>
      </c>
      <c r="G618" s="2" t="str">
        <f ca="1">IFERROR(__xludf.DUMMYFUNCTION("""COMPUTED_VALUE"""),"n.t.b.")</f>
        <v>n.t.b.</v>
      </c>
      <c r="H618" s="2">
        <f ca="1">SUMIFS('bedragen KIM (budgettering &amp; pl'!S:S,'bedragen KIM (budgettering &amp; pl'!B:B,A618,'bedragen KIM (budgettering &amp; pl'!F:F,D618)</f>
        <v>5000</v>
      </c>
      <c r="I618" s="2" t="e">
        <f ca="1">SUMIFS(#REF!,#REF!,A618,#REF!,D618)</f>
        <v>#REF!</v>
      </c>
      <c r="J618" s="2" t="e">
        <f ca="1">SUMIFS(#REF!,#REF!,A618,#REF!,D618)</f>
        <v>#REF!</v>
      </c>
    </row>
    <row r="619" spans="1:10" ht="12.5" x14ac:dyDescent="0.25">
      <c r="A619" s="2" t="str">
        <f ca="1">IFERROR(__xludf.DUMMYFUNCTION("""COMPUTED_VALUE"""),"KP/001639")</f>
        <v>KP/001639</v>
      </c>
      <c r="B619" s="2" t="str">
        <f ca="1">IFERROR(__xludf.DUMMYFUNCTION("""COMPUTED_VALUE"""),"Verkeersveiligheid")</f>
        <v>Verkeersveiligheid</v>
      </c>
      <c r="C619" s="2" t="str">
        <f ca="1">IFERROR(__xludf.DUMMYFUNCTION("""COMPUTED_VALUE"""),"Schoolroute")</f>
        <v>Schoolroute</v>
      </c>
      <c r="D619" s="2" t="str">
        <f ca="1">IFERROR(__xludf.DUMMYFUNCTION("""COMPUTED_VALUE"""),"IN/001693")</f>
        <v>IN/001693</v>
      </c>
      <c r="E619" s="2" t="str">
        <f ca="1">IFERROR(__xludf.DUMMYFUNCTION("UNIQUE(FILTER('export kabinetdashboard 1210202'!N:P,'export kabinetdashboard 1210202'!M:M=D619))"),"#N/A")</f>
        <v>#N/A</v>
      </c>
      <c r="H619" s="2">
        <f ca="1">SUMIFS('bedragen KIM (budgettering &amp; pl'!S:S,'bedragen KIM (budgettering &amp; pl'!B:B,A619,'bedragen KIM (budgettering &amp; pl'!F:F,D619)</f>
        <v>5000</v>
      </c>
      <c r="I619" s="2" t="e">
        <f ca="1">SUMIFS(#REF!,#REF!,A619,#REF!,D619)</f>
        <v>#REF!</v>
      </c>
      <c r="J619" s="2" t="e">
        <f ca="1">SUMIFS(#REF!,#REF!,A619,#REF!,D619)</f>
        <v>#REF!</v>
      </c>
    </row>
    <row r="620" spans="1:10" ht="12.5" x14ac:dyDescent="0.25">
      <c r="A620" s="2" t="str">
        <f ca="1">IFERROR(__xludf.DUMMYFUNCTION("""COMPUTED_VALUE"""),"KP/001516")</f>
        <v>KP/001516</v>
      </c>
      <c r="B620" s="2" t="str">
        <f ca="1">IFERROR(__xludf.DUMMYFUNCTION("""COMPUTED_VALUE"""),"Verkeersveiligheid")</f>
        <v>Verkeersveiligheid</v>
      </c>
      <c r="C620" s="2" t="str">
        <f ca="1">IFERROR(__xludf.DUMMYFUNCTION("""COMPUTED_VALUE"""),"Schoolroute")</f>
        <v>Schoolroute</v>
      </c>
      <c r="D620" s="2" t="str">
        <f ca="1">IFERROR(__xludf.DUMMYFUNCTION("""COMPUTED_VALUE"""),"IN/001699")</f>
        <v>IN/001699</v>
      </c>
      <c r="E620" s="2" t="str">
        <f ca="1">IFERROR(__xludf.DUMMYFUNCTION("UNIQUE(FILTER('export kabinetdashboard 1210202'!N:P,'export kabinetdashboard 1210202'!M:M=D620))"),"TC2021_236")</f>
        <v>TC2021_236</v>
      </c>
      <c r="F620" s="2" t="str">
        <f ca="1">IFERROR(__xludf.DUMMYFUNCTION("""COMPUTED_VALUE"""),"2022 - Q4")</f>
        <v>2022 - Q4</v>
      </c>
      <c r="G620" s="2" t="str">
        <f ca="1">IFERROR(__xludf.DUMMYFUNCTION("""COMPUTED_VALUE"""),"n.t.b.")</f>
        <v>n.t.b.</v>
      </c>
      <c r="H620" s="2">
        <f ca="1">SUMIFS('bedragen KIM (budgettering &amp; pl'!S:S,'bedragen KIM (budgettering &amp; pl'!B:B,A620,'bedragen KIM (budgettering &amp; pl'!F:F,D620)</f>
        <v>165000</v>
      </c>
      <c r="I620" s="2" t="e">
        <f ca="1">SUMIFS(#REF!,#REF!,A620,#REF!,D620)</f>
        <v>#REF!</v>
      </c>
      <c r="J620" s="2" t="e">
        <f ca="1">SUMIFS(#REF!,#REF!,A620,#REF!,D620)</f>
        <v>#REF!</v>
      </c>
    </row>
    <row r="621" spans="1:10" ht="12.5" x14ac:dyDescent="0.25">
      <c r="A621" s="2" t="str">
        <f ca="1">IFERROR(__xludf.DUMMYFUNCTION("""COMPUTED_VALUE"""),"KP/000808")</f>
        <v>KP/000808</v>
      </c>
      <c r="B621" s="2" t="str">
        <f ca="1">IFERROR(__xludf.DUMMYFUNCTION("""COMPUTED_VALUE"""),"Verkeersveiligheid")</f>
        <v>Verkeersveiligheid</v>
      </c>
      <c r="C621" s="2" t="str">
        <f ca="1">IFERROR(__xludf.DUMMYFUNCTION("""COMPUTED_VALUE"""),"Schoolroute")</f>
        <v>Schoolroute</v>
      </c>
      <c r="D621" s="2" t="str">
        <f ca="1">IFERROR(__xludf.DUMMYFUNCTION("""COMPUTED_VALUE"""),"IN/001705")</f>
        <v>IN/001705</v>
      </c>
      <c r="E621" s="2" t="str">
        <f ca="1">IFERROR(__xludf.DUMMYFUNCTION("UNIQUE(FILTER('export kabinetdashboard 1210202'!N:P,'export kabinetdashboard 1210202'!M:M=D621))"),"")</f>
        <v/>
      </c>
      <c r="F621" s="2" t="str">
        <f ca="1">IFERROR(__xludf.DUMMYFUNCTION("""COMPUTED_VALUE"""),"2021 - Q3")</f>
        <v>2021 - Q3</v>
      </c>
      <c r="G621" s="2" t="str">
        <f ca="1">IFERROR(__xludf.DUMMYFUNCTION("""COMPUTED_VALUE"""),"2021 - Q3")</f>
        <v>2021 - Q3</v>
      </c>
      <c r="H621" s="2">
        <f ca="1">SUMIFS('bedragen KIM (budgettering &amp; pl'!S:S,'bedragen KIM (budgettering &amp; pl'!B:B,A621,'bedragen KIM (budgettering &amp; pl'!F:F,D621)</f>
        <v>250</v>
      </c>
      <c r="I621" s="2" t="e">
        <f ca="1">SUMIFS(#REF!,#REF!,A621,#REF!,D621)</f>
        <v>#REF!</v>
      </c>
      <c r="J621" s="2" t="e">
        <f ca="1">SUMIFS(#REF!,#REF!,A621,#REF!,D621)</f>
        <v>#REF!</v>
      </c>
    </row>
    <row r="622" spans="1:10" ht="12.5" x14ac:dyDescent="0.25">
      <c r="A622" s="2" t="str">
        <f ca="1">IFERROR(__xludf.DUMMYFUNCTION("""COMPUTED_VALUE"""),"KP/001390")</f>
        <v>KP/001390</v>
      </c>
      <c r="B622" s="2" t="str">
        <f ca="1">IFERROR(__xludf.DUMMYFUNCTION("""COMPUTED_VALUE"""),"Verkeersveiligheid")</f>
        <v>Verkeersveiligheid</v>
      </c>
      <c r="C622" s="2" t="str">
        <f ca="1">IFERROR(__xludf.DUMMYFUNCTION("""COMPUTED_VALUE"""),"Schoolroute")</f>
        <v>Schoolroute</v>
      </c>
      <c r="D622" s="2" t="str">
        <f ca="1">IFERROR(__xludf.DUMMYFUNCTION("""COMPUTED_VALUE"""),"IN/001711")</f>
        <v>IN/001711</v>
      </c>
      <c r="E622" s="2" t="str">
        <f ca="1">IFERROR(__xludf.DUMMYFUNCTION("UNIQUE(FILTER('export kabinetdashboard 1210202'!N:P,'export kabinetdashboard 1210202'!M:M=D622))"),"")</f>
        <v/>
      </c>
      <c r="F622" s="2" t="str">
        <f ca="1">IFERROR(__xludf.DUMMYFUNCTION("""COMPUTED_VALUE"""),"2022 - Q4")</f>
        <v>2022 - Q4</v>
      </c>
      <c r="G622" s="2" t="str">
        <f ca="1">IFERROR(__xludf.DUMMYFUNCTION("""COMPUTED_VALUE"""),"n.t.b.")</f>
        <v>n.t.b.</v>
      </c>
      <c r="H622" s="2">
        <f ca="1">SUMIFS('bedragen KIM (budgettering &amp; pl'!S:S,'bedragen KIM (budgettering &amp; pl'!B:B,A622,'bedragen KIM (budgettering &amp; pl'!F:F,D622)</f>
        <v>1</v>
      </c>
      <c r="I622" s="2" t="e">
        <f ca="1">SUMIFS(#REF!,#REF!,A622,#REF!,D622)</f>
        <v>#REF!</v>
      </c>
      <c r="J622" s="2" t="e">
        <f ca="1">SUMIFS(#REF!,#REF!,A622,#REF!,D622)</f>
        <v>#REF!</v>
      </c>
    </row>
    <row r="623" spans="1:10" ht="12.5" x14ac:dyDescent="0.25">
      <c r="A623" s="2" t="str">
        <f ca="1">IFERROR(__xludf.DUMMYFUNCTION("""COMPUTED_VALUE"""),"KP/001353")</f>
        <v>KP/001353</v>
      </c>
      <c r="B623" s="2" t="str">
        <f ca="1">IFERROR(__xludf.DUMMYFUNCTION("""COMPUTED_VALUE"""),"Verkeersveiligheid")</f>
        <v>Verkeersveiligheid</v>
      </c>
      <c r="C623" s="2" t="str">
        <f ca="1">IFERROR(__xludf.DUMMYFUNCTION("""COMPUTED_VALUE"""),"Schoolroute")</f>
        <v>Schoolroute</v>
      </c>
      <c r="D623" s="2" t="str">
        <f ca="1">IFERROR(__xludf.DUMMYFUNCTION("""COMPUTED_VALUE"""),"IN/001732")</f>
        <v>IN/001732</v>
      </c>
      <c r="E623" s="2" t="str">
        <f ca="1">IFERROR(__xludf.DUMMYFUNCTION("UNIQUE(FILTER('export kabinetdashboard 1210202'!N:P,'export kabinetdashboard 1210202'!M:M=D623))"),"Niveauverschil heuvel in kasseien wegwerken")</f>
        <v>Niveauverschil heuvel in kasseien wegwerken</v>
      </c>
      <c r="F623" s="2" t="str">
        <f ca="1">IFERROR(__xludf.DUMMYFUNCTION("""COMPUTED_VALUE"""),"2022 - Q2")</f>
        <v>2022 - Q2</v>
      </c>
      <c r="G623" s="2" t="str">
        <f ca="1">IFERROR(__xludf.DUMMYFUNCTION("""COMPUTED_VALUE"""),"2022 - Q3")</f>
        <v>2022 - Q3</v>
      </c>
      <c r="H623" s="2">
        <f ca="1">SUMIFS('bedragen KIM (budgettering &amp; pl'!S:S,'bedragen KIM (budgettering &amp; pl'!B:B,A623,'bedragen KIM (budgettering &amp; pl'!F:F,D623)</f>
        <v>6500</v>
      </c>
      <c r="I623" s="2" t="e">
        <f ca="1">SUMIFS(#REF!,#REF!,A623,#REF!,D623)</f>
        <v>#REF!</v>
      </c>
      <c r="J623" s="2" t="e">
        <f ca="1">SUMIFS(#REF!,#REF!,A623,#REF!,D623)</f>
        <v>#REF!</v>
      </c>
    </row>
    <row r="624" spans="1:10" ht="12.5" x14ac:dyDescent="0.25">
      <c r="A624" s="2" t="str">
        <f ca="1">IFERROR(__xludf.DUMMYFUNCTION("""COMPUTED_VALUE"""),"KP/001168")</f>
        <v>KP/001168</v>
      </c>
      <c r="B624" s="2" t="str">
        <f ca="1">IFERROR(__xludf.DUMMYFUNCTION("""COMPUTED_VALUE"""),"Verkeersveiligheid")</f>
        <v>Verkeersveiligheid</v>
      </c>
      <c r="C624" s="2" t="str">
        <f ca="1">IFERROR(__xludf.DUMMYFUNCTION("""COMPUTED_VALUE"""),"Schoolroute")</f>
        <v>Schoolroute</v>
      </c>
      <c r="D624" s="2" t="str">
        <f ca="1">IFERROR(__xludf.DUMMYFUNCTION("""COMPUTED_VALUE"""),"IN/001733")</f>
        <v>IN/001733</v>
      </c>
      <c r="E624" s="2" t="str">
        <f ca="1">IFERROR(__xludf.DUMMYFUNCTION("UNIQUE(FILTER('export kabinetdashboard 1210202'!N:P,'export kabinetdashboard 1210202'!M:M=D624))"),"#N/A")</f>
        <v>#N/A</v>
      </c>
      <c r="H624" s="2">
        <f ca="1">SUMIFS('bedragen KIM (budgettering &amp; pl'!S:S,'bedragen KIM (budgettering &amp; pl'!B:B,A624,'bedragen KIM (budgettering &amp; pl'!F:F,D624)</f>
        <v>75000</v>
      </c>
      <c r="I624" s="2" t="e">
        <f ca="1">SUMIFS(#REF!,#REF!,A624,#REF!,D624)</f>
        <v>#REF!</v>
      </c>
      <c r="J624" s="2" t="e">
        <f ca="1">SUMIFS(#REF!,#REF!,A624,#REF!,D624)</f>
        <v>#REF!</v>
      </c>
    </row>
    <row r="625" spans="1:10" ht="12.5" x14ac:dyDescent="0.25">
      <c r="A625" s="2" t="str">
        <f ca="1">IFERROR(__xludf.DUMMYFUNCTION("""COMPUTED_VALUE"""),"KP/001097")</f>
        <v>KP/001097</v>
      </c>
      <c r="B625" s="2" t="str">
        <f ca="1">IFERROR(__xludf.DUMMYFUNCTION("""COMPUTED_VALUE"""),"Verkeersveiligheid")</f>
        <v>Verkeersveiligheid</v>
      </c>
      <c r="C625" s="2" t="str">
        <f ca="1">IFERROR(__xludf.DUMMYFUNCTION("""COMPUTED_VALUE"""),"Schoolroute")</f>
        <v>Schoolroute</v>
      </c>
      <c r="D625" s="2" t="str">
        <f ca="1">IFERROR(__xludf.DUMMYFUNCTION("""COMPUTED_VALUE"""),"IN/001734")</f>
        <v>IN/001734</v>
      </c>
      <c r="E625" s="2" t="str">
        <f ca="1">IFERROR(__xludf.DUMMYFUNCTION("UNIQUE(FILTER('export kabinetdashboard 1210202'!N:P,'export kabinetdashboard 1210202'!M:M=D625))"),"")</f>
        <v/>
      </c>
      <c r="F625" s="2" t="str">
        <f ca="1">IFERROR(__xludf.DUMMYFUNCTION("""COMPUTED_VALUE"""),"2022 - Q4")</f>
        <v>2022 - Q4</v>
      </c>
      <c r="G625" s="2" t="str">
        <f ca="1">IFERROR(__xludf.DUMMYFUNCTION("""COMPUTED_VALUE"""),"n.t.b.")</f>
        <v>n.t.b.</v>
      </c>
      <c r="H625" s="2">
        <f ca="1">SUMIFS('bedragen KIM (budgettering &amp; pl'!S:S,'bedragen KIM (budgettering &amp; pl'!B:B,A625,'bedragen KIM (budgettering &amp; pl'!F:F,D625)</f>
        <v>75000</v>
      </c>
      <c r="I625" s="2" t="e">
        <f ca="1">SUMIFS(#REF!,#REF!,A625,#REF!,D625)</f>
        <v>#REF!</v>
      </c>
      <c r="J625" s="2" t="e">
        <f ca="1">SUMIFS(#REF!,#REF!,A625,#REF!,D625)</f>
        <v>#REF!</v>
      </c>
    </row>
    <row r="626" spans="1:10" ht="12.5" x14ac:dyDescent="0.25">
      <c r="A626" s="2" t="str">
        <f ca="1">IFERROR(__xludf.DUMMYFUNCTION("""COMPUTED_VALUE"""),"KP/001090")</f>
        <v>KP/001090</v>
      </c>
      <c r="B626" s="2" t="str">
        <f ca="1">IFERROR(__xludf.DUMMYFUNCTION("""COMPUTED_VALUE"""),"Verkeersveiligheid")</f>
        <v>Verkeersveiligheid</v>
      </c>
      <c r="C626" s="2" t="str">
        <f ca="1">IFERROR(__xludf.DUMMYFUNCTION("""COMPUTED_VALUE"""),"Schoolroute")</f>
        <v>Schoolroute</v>
      </c>
      <c r="D626" s="2" t="str">
        <f ca="1">IFERROR(__xludf.DUMMYFUNCTION("""COMPUTED_VALUE"""),"IN/001735")</f>
        <v>IN/001735</v>
      </c>
      <c r="E626" s="2" t="str">
        <f ca="1">IFERROR(__xludf.DUMMYFUNCTION("UNIQUE(FILTER('export kabinetdashboard 1210202'!N:P,'export kabinetdashboard 1210202'!M:M=D626))"),"")</f>
        <v/>
      </c>
      <c r="F626" s="2" t="str">
        <f ca="1">IFERROR(__xludf.DUMMYFUNCTION("""COMPUTED_VALUE"""),"2022 - Q4")</f>
        <v>2022 - Q4</v>
      </c>
      <c r="G626" s="2" t="str">
        <f ca="1">IFERROR(__xludf.DUMMYFUNCTION("""COMPUTED_VALUE"""),"n.t.b.")</f>
        <v>n.t.b.</v>
      </c>
      <c r="H626" s="2">
        <f ca="1">SUMIFS('bedragen KIM (budgettering &amp; pl'!S:S,'bedragen KIM (budgettering &amp; pl'!B:B,A626,'bedragen KIM (budgettering &amp; pl'!F:F,D626)</f>
        <v>75000</v>
      </c>
      <c r="I626" s="2" t="e">
        <f ca="1">SUMIFS(#REF!,#REF!,A626,#REF!,D626)</f>
        <v>#REF!</v>
      </c>
      <c r="J626" s="2" t="e">
        <f ca="1">SUMIFS(#REF!,#REF!,A626,#REF!,D626)</f>
        <v>#REF!</v>
      </c>
    </row>
    <row r="627" spans="1:10" ht="12.5" x14ac:dyDescent="0.25">
      <c r="A627" s="2" t="str">
        <f ca="1">IFERROR(__xludf.DUMMYFUNCTION("""COMPUTED_VALUE"""),"KP/000983")</f>
        <v>KP/000983</v>
      </c>
      <c r="B627" s="2" t="str">
        <f ca="1">IFERROR(__xludf.DUMMYFUNCTION("""COMPUTED_VALUE"""),"Verkeersveiligheid")</f>
        <v>Verkeersveiligheid</v>
      </c>
      <c r="C627" s="2" t="str">
        <f ca="1">IFERROR(__xludf.DUMMYFUNCTION("""COMPUTED_VALUE"""),"Schoolroute")</f>
        <v>Schoolroute</v>
      </c>
      <c r="D627" s="2" t="str">
        <f ca="1">IFERROR(__xludf.DUMMYFUNCTION("""COMPUTED_VALUE"""),"IN/001736")</f>
        <v>IN/001736</v>
      </c>
      <c r="E627" s="2" t="str">
        <f ca="1">IFERROR(__xludf.DUMMYFUNCTION("UNIQUE(FILTER('export kabinetdashboard 1210202'!N:P,'export kabinetdashboard 1210202'!M:M=D627))"),"#N/A")</f>
        <v>#N/A</v>
      </c>
      <c r="H627" s="2">
        <f ca="1">SUMIFS('bedragen KIM (budgettering &amp; pl'!S:S,'bedragen KIM (budgettering &amp; pl'!B:B,A627,'bedragen KIM (budgettering &amp; pl'!F:F,D627)</f>
        <v>150000</v>
      </c>
      <c r="I627" s="2" t="e">
        <f ca="1">SUMIFS(#REF!,#REF!,A627,#REF!,D627)</f>
        <v>#REF!</v>
      </c>
      <c r="J627" s="2" t="e">
        <f ca="1">SUMIFS(#REF!,#REF!,A627,#REF!,D627)</f>
        <v>#REF!</v>
      </c>
    </row>
    <row r="628" spans="1:10" ht="12.5" x14ac:dyDescent="0.25">
      <c r="A628" s="2" t="str">
        <f ca="1">IFERROR(__xludf.DUMMYFUNCTION("""COMPUTED_VALUE"""),"KP/000936")</f>
        <v>KP/000936</v>
      </c>
      <c r="B628" s="2" t="str">
        <f ca="1">IFERROR(__xludf.DUMMYFUNCTION("""COMPUTED_VALUE"""),"Verkeersveiligheid")</f>
        <v>Verkeersveiligheid</v>
      </c>
      <c r="C628" s="2" t="str">
        <f ca="1">IFERROR(__xludf.DUMMYFUNCTION("""COMPUTED_VALUE"""),"Schoolroute")</f>
        <v>Schoolroute</v>
      </c>
      <c r="D628" s="2" t="str">
        <f ca="1">IFERROR(__xludf.DUMMYFUNCTION("""COMPUTED_VALUE"""),"IN/001737")</f>
        <v>IN/001737</v>
      </c>
      <c r="E628" s="2" t="str">
        <f ca="1">IFERROR(__xludf.DUMMYFUNCTION("UNIQUE(FILTER('export kabinetdashboard 1210202'!N:P,'export kabinetdashboard 1210202'!M:M=D628))"),"")</f>
        <v/>
      </c>
      <c r="F628" s="2" t="str">
        <f ca="1">IFERROR(__xludf.DUMMYFUNCTION("""COMPUTED_VALUE"""),"2022 - Q4")</f>
        <v>2022 - Q4</v>
      </c>
      <c r="G628" s="2" t="str">
        <f ca="1">IFERROR(__xludf.DUMMYFUNCTION("""COMPUTED_VALUE"""),"n.t.b.")</f>
        <v>n.t.b.</v>
      </c>
      <c r="H628" s="2">
        <f ca="1">SUMIFS('bedragen KIM (budgettering &amp; pl'!S:S,'bedragen KIM (budgettering &amp; pl'!B:B,A628,'bedragen KIM (budgettering &amp; pl'!F:F,D628)</f>
        <v>75000</v>
      </c>
      <c r="I628" s="2" t="e">
        <f ca="1">SUMIFS(#REF!,#REF!,A628,#REF!,D628)</f>
        <v>#REF!</v>
      </c>
      <c r="J628" s="2" t="e">
        <f ca="1">SUMIFS(#REF!,#REF!,A628,#REF!,D628)</f>
        <v>#REF!</v>
      </c>
    </row>
    <row r="629" spans="1:10" ht="12.5" x14ac:dyDescent="0.25">
      <c r="A629" s="2" t="str">
        <f ca="1">IFERROR(__xludf.DUMMYFUNCTION("""COMPUTED_VALUE"""),"KP/000916")</f>
        <v>KP/000916</v>
      </c>
      <c r="B629" s="2" t="str">
        <f ca="1">IFERROR(__xludf.DUMMYFUNCTION("""COMPUTED_VALUE"""),"Verkeersveiligheid")</f>
        <v>Verkeersveiligheid</v>
      </c>
      <c r="C629" s="2" t="str">
        <f ca="1">IFERROR(__xludf.DUMMYFUNCTION("""COMPUTED_VALUE"""),"Schoolroute")</f>
        <v>Schoolroute</v>
      </c>
      <c r="D629" s="2" t="str">
        <f ca="1">IFERROR(__xludf.DUMMYFUNCTION("""COMPUTED_VALUE"""),"IN/001738")</f>
        <v>IN/001738</v>
      </c>
      <c r="E629" s="2" t="str">
        <f ca="1">IFERROR(__xludf.DUMMYFUNCTION("UNIQUE(FILTER('export kabinetdashboard 1210202'!N:P,'export kabinetdashboard 1210202'!M:M=D629))"),"#N/A")</f>
        <v>#N/A</v>
      </c>
      <c r="H629" s="2">
        <f ca="1">SUMIFS('bedragen KIM (budgettering &amp; pl'!S:S,'bedragen KIM (budgettering &amp; pl'!B:B,A629,'bedragen KIM (budgettering &amp; pl'!F:F,D629)</f>
        <v>75000</v>
      </c>
      <c r="I629" s="2" t="e">
        <f ca="1">SUMIFS(#REF!,#REF!,A629,#REF!,D629)</f>
        <v>#REF!</v>
      </c>
      <c r="J629" s="2" t="e">
        <f ca="1">SUMIFS(#REF!,#REF!,A629,#REF!,D629)</f>
        <v>#REF!</v>
      </c>
    </row>
    <row r="630" spans="1:10" ht="12.5" x14ac:dyDescent="0.25">
      <c r="A630" s="2" t="str">
        <f ca="1">IFERROR(__xludf.DUMMYFUNCTION("""COMPUTED_VALUE"""),"KP/000913")</f>
        <v>KP/000913</v>
      </c>
      <c r="B630" s="2" t="str">
        <f ca="1">IFERROR(__xludf.DUMMYFUNCTION("""COMPUTED_VALUE"""),"Verkeersveiligheid")</f>
        <v>Verkeersveiligheid</v>
      </c>
      <c r="C630" s="2" t="str">
        <f ca="1">IFERROR(__xludf.DUMMYFUNCTION("""COMPUTED_VALUE"""),"Schoolroute")</f>
        <v>Schoolroute</v>
      </c>
      <c r="D630" s="2" t="str">
        <f ca="1">IFERROR(__xludf.DUMMYFUNCTION("""COMPUTED_VALUE"""),"IN/001739")</f>
        <v>IN/001739</v>
      </c>
      <c r="E630" s="2" t="str">
        <f ca="1">IFERROR(__xludf.DUMMYFUNCTION("UNIQUE(FILTER('export kabinetdashboard 1210202'!N:P,'export kabinetdashboard 1210202'!M:M=D630))"),"")</f>
        <v/>
      </c>
      <c r="F630" s="2" t="str">
        <f ca="1">IFERROR(__xludf.DUMMYFUNCTION("""COMPUTED_VALUE"""),"2022 - Q2")</f>
        <v>2022 - Q2</v>
      </c>
      <c r="G630" s="2" t="str">
        <f ca="1">IFERROR(__xludf.DUMMYFUNCTION("""COMPUTED_VALUE"""),"2022 - Q2")</f>
        <v>2022 - Q2</v>
      </c>
      <c r="H630" s="2">
        <f ca="1">SUMIFS('bedragen KIM (budgettering &amp; pl'!S:S,'bedragen KIM (budgettering &amp; pl'!B:B,A630,'bedragen KIM (budgettering &amp; pl'!F:F,D630)</f>
        <v>75000</v>
      </c>
      <c r="I630" s="2" t="e">
        <f ca="1">SUMIFS(#REF!,#REF!,A630,#REF!,D630)</f>
        <v>#REF!</v>
      </c>
      <c r="J630" s="2" t="e">
        <f ca="1">SUMIFS(#REF!,#REF!,A630,#REF!,D630)</f>
        <v>#REF!</v>
      </c>
    </row>
    <row r="631" spans="1:10" ht="12.5" x14ac:dyDescent="0.25">
      <c r="A631" s="2" t="str">
        <f ca="1">IFERROR(__xludf.DUMMYFUNCTION("""COMPUTED_VALUE"""),"KP/000903")</f>
        <v>KP/000903</v>
      </c>
      <c r="B631" s="2" t="str">
        <f ca="1">IFERROR(__xludf.DUMMYFUNCTION("""COMPUTED_VALUE"""),"Verkeersveiligheid")</f>
        <v>Verkeersveiligheid</v>
      </c>
      <c r="C631" s="2" t="str">
        <f ca="1">IFERROR(__xludf.DUMMYFUNCTION("""COMPUTED_VALUE"""),"Schoolroute")</f>
        <v>Schoolroute</v>
      </c>
      <c r="D631" s="2" t="str">
        <f ca="1">IFERROR(__xludf.DUMMYFUNCTION("""COMPUTED_VALUE"""),"IN/001741")</f>
        <v>IN/001741</v>
      </c>
      <c r="E631" s="2" t="str">
        <f ca="1">IFERROR(__xludf.DUMMYFUNCTION("UNIQUE(FILTER('export kabinetdashboard 1210202'!N:P,'export kabinetdashboard 1210202'!M:M=D631))"),"")</f>
        <v/>
      </c>
      <c r="F631" s="2" t="str">
        <f ca="1">IFERROR(__xludf.DUMMYFUNCTION("""COMPUTED_VALUE"""),"2022 - Q4")</f>
        <v>2022 - Q4</v>
      </c>
      <c r="G631" s="2" t="str">
        <f ca="1">IFERROR(__xludf.DUMMYFUNCTION("""COMPUTED_VALUE"""),"n.t.b.")</f>
        <v>n.t.b.</v>
      </c>
      <c r="H631" s="2">
        <f ca="1">SUMIFS('bedragen KIM (budgettering &amp; pl'!S:S,'bedragen KIM (budgettering &amp; pl'!B:B,A631,'bedragen KIM (budgettering &amp; pl'!F:F,D631)</f>
        <v>75000</v>
      </c>
      <c r="I631" s="2" t="e">
        <f ca="1">SUMIFS(#REF!,#REF!,A631,#REF!,D631)</f>
        <v>#REF!</v>
      </c>
      <c r="J631" s="2" t="e">
        <f ca="1">SUMIFS(#REF!,#REF!,A631,#REF!,D631)</f>
        <v>#REF!</v>
      </c>
    </row>
    <row r="632" spans="1:10" ht="12.5" x14ac:dyDescent="0.25">
      <c r="A632" s="2" t="str">
        <f ca="1">IFERROR(__xludf.DUMMYFUNCTION("""COMPUTED_VALUE"""),"KP/001449")</f>
        <v>KP/001449</v>
      </c>
      <c r="B632" s="2" t="str">
        <f ca="1">IFERROR(__xludf.DUMMYFUNCTION("""COMPUTED_VALUE"""),"Verkeersveiligheid")</f>
        <v>Verkeersveiligheid</v>
      </c>
      <c r="C632" s="2" t="str">
        <f ca="1">IFERROR(__xludf.DUMMYFUNCTION("""COMPUTED_VALUE"""),"Schoolroute")</f>
        <v>Schoolroute</v>
      </c>
      <c r="D632" s="2" t="str">
        <f ca="1">IFERROR(__xludf.DUMMYFUNCTION("""COMPUTED_VALUE"""),"IN/001743")</f>
        <v>IN/001743</v>
      </c>
      <c r="E632" s="2" t="str">
        <f ca="1">IFERROR(__xludf.DUMMYFUNCTION("UNIQUE(FILTER('export kabinetdashboard 1210202'!N:P,'export kabinetdashboard 1210202'!M:M=D632))"),"")</f>
        <v/>
      </c>
      <c r="F632" s="2" t="str">
        <f ca="1">IFERROR(__xludf.DUMMYFUNCTION("""COMPUTED_VALUE"""),"2025 - Q4")</f>
        <v>2025 - Q4</v>
      </c>
      <c r="G632" s="2" t="str">
        <f ca="1">IFERROR(__xludf.DUMMYFUNCTION("""COMPUTED_VALUE"""),"n.t.b.")</f>
        <v>n.t.b.</v>
      </c>
      <c r="H632" s="2">
        <f ca="1">SUMIFS('bedragen KIM (budgettering &amp; pl'!S:S,'bedragen KIM (budgettering &amp; pl'!B:B,A632,'bedragen KIM (budgettering &amp; pl'!F:F,D632)</f>
        <v>0</v>
      </c>
      <c r="I632" s="2" t="e">
        <f ca="1">SUMIFS(#REF!,#REF!,A632,#REF!,D632)</f>
        <v>#REF!</v>
      </c>
      <c r="J632" s="2" t="e">
        <f ca="1">SUMIFS(#REF!,#REF!,A632,#REF!,D632)</f>
        <v>#REF!</v>
      </c>
    </row>
    <row r="633" spans="1:10" ht="12.5" x14ac:dyDescent="0.25">
      <c r="A633" s="2" t="str">
        <f ca="1">IFERROR(__xludf.DUMMYFUNCTION("""COMPUTED_VALUE"""),"KP/001487")</f>
        <v>KP/001487</v>
      </c>
      <c r="B633" s="2" t="str">
        <f ca="1">IFERROR(__xludf.DUMMYFUNCTION("""COMPUTED_VALUE"""),"Verkeersveiligheid")</f>
        <v>Verkeersveiligheid</v>
      </c>
      <c r="C633" s="2" t="str">
        <f ca="1">IFERROR(__xludf.DUMMYFUNCTION("""COMPUTED_VALUE"""),"Schoolroute")</f>
        <v>Schoolroute</v>
      </c>
      <c r="D633" s="2" t="str">
        <f ca="1">IFERROR(__xludf.DUMMYFUNCTION("""COMPUTED_VALUE"""),"IN/001756")</f>
        <v>IN/001756</v>
      </c>
      <c r="E633" s="2" t="str">
        <f ca="1">IFERROR(__xludf.DUMMYFUNCTION("UNIQUE(FILTER('export kabinetdashboard 1210202'!N:P,'export kabinetdashboard 1210202'!M:M=D633))"),"VRI: nieuwe installatie plaatsen;
Kanaalstraat x Westkade")</f>
        <v>VRI: nieuwe installatie plaatsen;
Kanaalstraat x Westkade</v>
      </c>
      <c r="F633" s="2" t="str">
        <f ca="1">IFERROR(__xludf.DUMMYFUNCTION("""COMPUTED_VALUE"""),"2022 - Q2")</f>
        <v>2022 - Q2</v>
      </c>
      <c r="G633" s="2" t="str">
        <f ca="1">IFERROR(__xludf.DUMMYFUNCTION("""COMPUTED_VALUE"""),"2022 - Q2")</f>
        <v>2022 - Q2</v>
      </c>
      <c r="H633" s="2">
        <f ca="1">SUMIFS('bedragen KIM (budgettering &amp; pl'!S:S,'bedragen KIM (budgettering &amp; pl'!B:B,A633,'bedragen KIM (budgettering &amp; pl'!F:F,D633)</f>
        <v>242000</v>
      </c>
      <c r="I633" s="2" t="e">
        <f ca="1">SUMIFS(#REF!,#REF!,A633,#REF!,D633)</f>
        <v>#REF!</v>
      </c>
      <c r="J633" s="2" t="e">
        <f ca="1">SUMIFS(#REF!,#REF!,A633,#REF!,D633)</f>
        <v>#REF!</v>
      </c>
    </row>
    <row r="634" spans="1:10" ht="12.5" x14ac:dyDescent="0.25">
      <c r="A634" s="2" t="str">
        <f ca="1">IFERROR(__xludf.DUMMYFUNCTION("""COMPUTED_VALUE"""),"KP/001138")</f>
        <v>KP/001138</v>
      </c>
      <c r="B634" s="2" t="str">
        <f ca="1">IFERROR(__xludf.DUMMYFUNCTION("""COMPUTED_VALUE"""),"Verkeersveiligheid")</f>
        <v>Verkeersveiligheid</v>
      </c>
      <c r="C634" s="2" t="str">
        <f ca="1">IFERROR(__xludf.DUMMYFUNCTION("""COMPUTED_VALUE"""),"Schoolroute")</f>
        <v>Schoolroute</v>
      </c>
      <c r="D634" s="2" t="str">
        <f ca="1">IFERROR(__xludf.DUMMYFUNCTION("""COMPUTED_VALUE"""),"IN/001775")</f>
        <v>IN/001775</v>
      </c>
      <c r="E634" s="2" t="str">
        <f ca="1">IFERROR(__xludf.DUMMYFUNCTION("UNIQUE(FILTER('export kabinetdashboard 1210202'!N:P,'export kabinetdashboard 1210202'!M:M=D634))"),"#N/A")</f>
        <v>#N/A</v>
      </c>
      <c r="H634" s="2">
        <f ca="1">SUMIFS('bedragen KIM (budgettering &amp; pl'!S:S,'bedragen KIM (budgettering &amp; pl'!B:B,A634,'bedragen KIM (budgettering &amp; pl'!F:F,D634)</f>
        <v>75000</v>
      </c>
      <c r="I634" s="2" t="e">
        <f ca="1">SUMIFS(#REF!,#REF!,A634,#REF!,D634)</f>
        <v>#REF!</v>
      </c>
      <c r="J634" s="2" t="e">
        <f ca="1">SUMIFS(#REF!,#REF!,A634,#REF!,D634)</f>
        <v>#REF!</v>
      </c>
    </row>
    <row r="635" spans="1:10" ht="12.5" x14ac:dyDescent="0.25">
      <c r="A635" s="2" t="str">
        <f ca="1">IFERROR(__xludf.DUMMYFUNCTION("""COMPUTED_VALUE"""),"KP/000972")</f>
        <v>KP/000972</v>
      </c>
      <c r="B635" s="2" t="str">
        <f ca="1">IFERROR(__xludf.DUMMYFUNCTION("""COMPUTED_VALUE"""),"Verkeersveiligheid")</f>
        <v>Verkeersveiligheid</v>
      </c>
      <c r="C635" s="2" t="str">
        <f ca="1">IFERROR(__xludf.DUMMYFUNCTION("""COMPUTED_VALUE"""),"Schoolroute")</f>
        <v>Schoolroute</v>
      </c>
      <c r="D635" s="2" t="str">
        <f ca="1">IFERROR(__xludf.DUMMYFUNCTION("""COMPUTED_VALUE"""),"IN/001778")</f>
        <v>IN/001778</v>
      </c>
      <c r="E635" s="2" t="str">
        <f ca="1">IFERROR(__xludf.DUMMYFUNCTION("UNIQUE(FILTER('export kabinetdashboard 1210202'!N:P,'export kabinetdashboard 1210202'!M:M=D635))"),"Heraanleg kruispunt N18-Kapellestraat in Mol met VRI.
Herinrichting aansluiting Postelarenweg naar eenrichtingsverkeer.")</f>
        <v>Heraanleg kruispunt N18-Kapellestraat in Mol met VRI.
Herinrichting aansluiting Postelarenweg naar eenrichtingsverkeer.</v>
      </c>
      <c r="F635" s="2" t="str">
        <f ca="1">IFERROR(__xludf.DUMMYFUNCTION("""COMPUTED_VALUE"""),"n.t.b.")</f>
        <v>n.t.b.</v>
      </c>
      <c r="G635" s="2" t="str">
        <f ca="1">IFERROR(__xludf.DUMMYFUNCTION("""COMPUTED_VALUE"""),"n.t.b.")</f>
        <v>n.t.b.</v>
      </c>
      <c r="H635" s="2">
        <f ca="1">SUMIFS('bedragen KIM (budgettering &amp; pl'!S:S,'bedragen KIM (budgettering &amp; pl'!B:B,A635,'bedragen KIM (budgettering &amp; pl'!F:F,D635)</f>
        <v>0</v>
      </c>
      <c r="I635" s="2" t="e">
        <f ca="1">SUMIFS(#REF!,#REF!,A635,#REF!,D635)</f>
        <v>#REF!</v>
      </c>
      <c r="J635" s="2" t="e">
        <f ca="1">SUMIFS(#REF!,#REF!,A635,#REF!,D635)</f>
        <v>#REF!</v>
      </c>
    </row>
    <row r="636" spans="1:10" ht="12.5" x14ac:dyDescent="0.25">
      <c r="A636" s="2" t="str">
        <f ca="1">IFERROR(__xludf.DUMMYFUNCTION("""COMPUTED_VALUE"""),"KP/001040")</f>
        <v>KP/001040</v>
      </c>
      <c r="B636" s="2" t="str">
        <f ca="1">IFERROR(__xludf.DUMMYFUNCTION("""COMPUTED_VALUE"""),"Verkeersveiligheid")</f>
        <v>Verkeersveiligheid</v>
      </c>
      <c r="C636" s="2" t="str">
        <f ca="1">IFERROR(__xludf.DUMMYFUNCTION("""COMPUTED_VALUE"""),"Schoolroute")</f>
        <v>Schoolroute</v>
      </c>
      <c r="D636" s="2" t="str">
        <f ca="1">IFERROR(__xludf.DUMMYFUNCTION("""COMPUTED_VALUE"""),"IN/001780")</f>
        <v>IN/001780</v>
      </c>
      <c r="E636" s="2" t="str">
        <f ca="1">IFERROR(__xludf.DUMMYFUNCTION("UNIQUE(FILTER('export kabinetdashboard 1210202'!N:P,'export kabinetdashboard 1210202'!M:M=D636))"),"")</f>
        <v/>
      </c>
      <c r="F636" s="2" t="str">
        <f ca="1">IFERROR(__xludf.DUMMYFUNCTION("""COMPUTED_VALUE"""),"n.t.b.")</f>
        <v>n.t.b.</v>
      </c>
      <c r="G636" s="2" t="str">
        <f ca="1">IFERROR(__xludf.DUMMYFUNCTION("""COMPUTED_VALUE"""),"n.t.b.")</f>
        <v>n.t.b.</v>
      </c>
      <c r="H636" s="2">
        <f ca="1">SUMIFS('bedragen KIM (budgettering &amp; pl'!S:S,'bedragen KIM (budgettering &amp; pl'!B:B,A636,'bedragen KIM (budgettering &amp; pl'!F:F,D636)</f>
        <v>0</v>
      </c>
      <c r="I636" s="2" t="e">
        <f ca="1">SUMIFS(#REF!,#REF!,A636,#REF!,D636)</f>
        <v>#REF!</v>
      </c>
      <c r="J636" s="2" t="e">
        <f ca="1">SUMIFS(#REF!,#REF!,A636,#REF!,D636)</f>
        <v>#REF!</v>
      </c>
    </row>
    <row r="637" spans="1:10" ht="12.5" x14ac:dyDescent="0.25">
      <c r="A637" s="2" t="str">
        <f ca="1">IFERROR(__xludf.DUMMYFUNCTION("""COMPUTED_VALUE"""),"KP/001323")</f>
        <v>KP/001323</v>
      </c>
      <c r="B637" s="2" t="str">
        <f ca="1">IFERROR(__xludf.DUMMYFUNCTION("""COMPUTED_VALUE"""),"Verkeersveiligheid")</f>
        <v>Verkeersveiligheid</v>
      </c>
      <c r="C637" s="2" t="str">
        <f ca="1">IFERROR(__xludf.DUMMYFUNCTION("""COMPUTED_VALUE"""),"Schoolroute")</f>
        <v>Schoolroute</v>
      </c>
      <c r="D637" s="2" t="str">
        <f ca="1">IFERROR(__xludf.DUMMYFUNCTION("""COMPUTED_VALUE"""),"IN/001781")</f>
        <v>IN/001781</v>
      </c>
      <c r="E637" s="2" t="str">
        <f ca="1">IFERROR(__xludf.DUMMYFUNCTION("UNIQUE(FILTER('export kabinetdashboard 1210202'!N:P,'export kabinetdashboard 1210202'!M:M=D637))"),"")</f>
        <v/>
      </c>
      <c r="F637" s="2" t="str">
        <f ca="1">IFERROR(__xludf.DUMMYFUNCTION("""COMPUTED_VALUE"""),"n.t.b.")</f>
        <v>n.t.b.</v>
      </c>
      <c r="G637" s="2" t="str">
        <f ca="1">IFERROR(__xludf.DUMMYFUNCTION("""COMPUTED_VALUE"""),"n.t.b.")</f>
        <v>n.t.b.</v>
      </c>
      <c r="H637" s="2">
        <f ca="1">SUMIFS('bedragen KIM (budgettering &amp; pl'!S:S,'bedragen KIM (budgettering &amp; pl'!B:B,A637,'bedragen KIM (budgettering &amp; pl'!F:F,D637)</f>
        <v>34000</v>
      </c>
      <c r="I637" s="2" t="e">
        <f ca="1">SUMIFS(#REF!,#REF!,A637,#REF!,D637)</f>
        <v>#REF!</v>
      </c>
      <c r="J637" s="2" t="e">
        <f ca="1">SUMIFS(#REF!,#REF!,A637,#REF!,D637)</f>
        <v>#REF!</v>
      </c>
    </row>
    <row r="638" spans="1:10" ht="12.5" x14ac:dyDescent="0.25">
      <c r="A638" s="2" t="str">
        <f ca="1">IFERROR(__xludf.DUMMYFUNCTION("""COMPUTED_VALUE"""),"KP/001459")</f>
        <v>KP/001459</v>
      </c>
      <c r="B638" s="2" t="str">
        <f ca="1">IFERROR(__xludf.DUMMYFUNCTION("""COMPUTED_VALUE"""),"Verkeersveiligheid")</f>
        <v>Verkeersveiligheid</v>
      </c>
      <c r="C638" s="2" t="str">
        <f ca="1">IFERROR(__xludf.DUMMYFUNCTION("""COMPUTED_VALUE"""),"Schoolroute")</f>
        <v>Schoolroute</v>
      </c>
      <c r="D638" s="2" t="str">
        <f ca="1">IFERROR(__xludf.DUMMYFUNCTION("""COMPUTED_VALUE"""),"IN/001783")</f>
        <v>IN/001783</v>
      </c>
      <c r="E638" s="2" t="str">
        <f ca="1">IFERROR(__xludf.DUMMYFUNCTION("UNIQUE(FILTER('export kabinetdashboard 1210202'!N:P,'export kabinetdashboard 1210202'!M:M=D638))"),"Kruispunt veiliger maken (infra en vvop)")</f>
        <v>Kruispunt veiliger maken (infra en vvop)</v>
      </c>
      <c r="F638" s="2" t="str">
        <f ca="1">IFERROR(__xludf.DUMMYFUNCTION("""COMPUTED_VALUE"""),"2022 - Q2")</f>
        <v>2022 - Q2</v>
      </c>
      <c r="G638" s="2" t="str">
        <f ca="1">IFERROR(__xludf.DUMMYFUNCTION("""COMPUTED_VALUE"""),"2022 - Q2")</f>
        <v>2022 - Q2</v>
      </c>
      <c r="H638" s="2">
        <f ca="1">SUMIFS('bedragen KIM (budgettering &amp; pl'!S:S,'bedragen KIM (budgettering &amp; pl'!B:B,A638,'bedragen KIM (budgettering &amp; pl'!F:F,D638)</f>
        <v>7500</v>
      </c>
      <c r="I638" s="2" t="e">
        <f ca="1">SUMIFS(#REF!,#REF!,A638,#REF!,D638)</f>
        <v>#REF!</v>
      </c>
      <c r="J638" s="2" t="e">
        <f ca="1">SUMIFS(#REF!,#REF!,A638,#REF!,D638)</f>
        <v>#REF!</v>
      </c>
    </row>
    <row r="639" spans="1:10" ht="12.5" x14ac:dyDescent="0.25">
      <c r="A639" s="2" t="str">
        <f ca="1">IFERROR(__xludf.DUMMYFUNCTION("""COMPUTED_VALUE"""),"KP/001120")</f>
        <v>KP/001120</v>
      </c>
      <c r="B639" s="2" t="str">
        <f ca="1">IFERROR(__xludf.DUMMYFUNCTION("""COMPUTED_VALUE"""),"Verkeersveiligheid")</f>
        <v>Verkeersveiligheid</v>
      </c>
      <c r="C639" s="2" t="str">
        <f ca="1">IFERROR(__xludf.DUMMYFUNCTION("""COMPUTED_VALUE"""),"Schoolroute")</f>
        <v>Schoolroute</v>
      </c>
      <c r="D639" s="2" t="str">
        <f ca="1">IFERROR(__xludf.DUMMYFUNCTION("""COMPUTED_VALUE"""),"IN/001784")</f>
        <v>IN/001784</v>
      </c>
      <c r="E639" s="2" t="str">
        <f ca="1">IFERROR(__xludf.DUMMYFUNCTION("UNIQUE(FILTER('export kabinetdashboard 1210202'!N:P,'export kabinetdashboard 1210202'!M:M=D639))"),"")</f>
        <v/>
      </c>
      <c r="F639" s="2" t="str">
        <f ca="1">IFERROR(__xludf.DUMMYFUNCTION("""COMPUTED_VALUE"""),"n.t.b.")</f>
        <v>n.t.b.</v>
      </c>
      <c r="G639" s="2" t="str">
        <f ca="1">IFERROR(__xludf.DUMMYFUNCTION("""COMPUTED_VALUE"""),"n.t.b.")</f>
        <v>n.t.b.</v>
      </c>
      <c r="H639" s="2">
        <f ca="1">SUMIFS('bedragen KIM (budgettering &amp; pl'!S:S,'bedragen KIM (budgettering &amp; pl'!B:B,A639,'bedragen KIM (budgettering &amp; pl'!F:F,D639)</f>
        <v>27680</v>
      </c>
      <c r="I639" s="2" t="e">
        <f ca="1">SUMIFS(#REF!,#REF!,A639,#REF!,D639)</f>
        <v>#REF!</v>
      </c>
      <c r="J639" s="2" t="e">
        <f ca="1">SUMIFS(#REF!,#REF!,A639,#REF!,D639)</f>
        <v>#REF!</v>
      </c>
    </row>
    <row r="640" spans="1:10" ht="12.5" x14ac:dyDescent="0.25">
      <c r="A640" s="2" t="str">
        <f ca="1">IFERROR(__xludf.DUMMYFUNCTION("""COMPUTED_VALUE"""),"KP/001427")</f>
        <v>KP/001427</v>
      </c>
      <c r="B640" s="2" t="str">
        <f ca="1">IFERROR(__xludf.DUMMYFUNCTION("""COMPUTED_VALUE"""),"Verkeersveiligheid")</f>
        <v>Verkeersveiligheid</v>
      </c>
      <c r="C640" s="2" t="str">
        <f ca="1">IFERROR(__xludf.DUMMYFUNCTION("""COMPUTED_VALUE"""),"Schoolroute")</f>
        <v>Schoolroute</v>
      </c>
      <c r="D640" s="2" t="str">
        <f ca="1">IFERROR(__xludf.DUMMYFUNCTION("""COMPUTED_VALUE"""),"IN/001785")</f>
        <v>IN/001785</v>
      </c>
      <c r="E640" s="2" t="str">
        <f ca="1">IFERROR(__xludf.DUMMYFUNCTION("UNIQUE(FILTER('export kabinetdashboard 1210202'!N:P,'export kabinetdashboard 1210202'!M:M=D640))"),"")</f>
        <v/>
      </c>
      <c r="F640" s="2" t="str">
        <f ca="1">IFERROR(__xludf.DUMMYFUNCTION("""COMPUTED_VALUE"""),"n.t.b.")</f>
        <v>n.t.b.</v>
      </c>
      <c r="G640" s="2" t="str">
        <f ca="1">IFERROR(__xludf.DUMMYFUNCTION("""COMPUTED_VALUE"""),"n.t.b.")</f>
        <v>n.t.b.</v>
      </c>
      <c r="H640" s="2">
        <f ca="1">SUMIFS('bedragen KIM (budgettering &amp; pl'!S:S,'bedragen KIM (budgettering &amp; pl'!B:B,A640,'bedragen KIM (budgettering &amp; pl'!F:F,D640)</f>
        <v>75000</v>
      </c>
      <c r="I640" s="2" t="e">
        <f ca="1">SUMIFS(#REF!,#REF!,A640,#REF!,D640)</f>
        <v>#REF!</v>
      </c>
      <c r="J640" s="2" t="e">
        <f ca="1">SUMIFS(#REF!,#REF!,A640,#REF!,D640)</f>
        <v>#REF!</v>
      </c>
    </row>
    <row r="641" spans="1:10" ht="12.5" x14ac:dyDescent="0.25">
      <c r="A641" s="2" t="str">
        <f ca="1">IFERROR(__xludf.DUMMYFUNCTION("""COMPUTED_VALUE"""),"KP/000922")</f>
        <v>KP/000922</v>
      </c>
      <c r="B641" s="2" t="str">
        <f ca="1">IFERROR(__xludf.DUMMYFUNCTION("""COMPUTED_VALUE"""),"Verkeersveiligheid")</f>
        <v>Verkeersveiligheid</v>
      </c>
      <c r="C641" s="2" t="str">
        <f ca="1">IFERROR(__xludf.DUMMYFUNCTION("""COMPUTED_VALUE"""),"Schoolroute")</f>
        <v>Schoolroute</v>
      </c>
      <c r="D641" s="2" t="str">
        <f ca="1">IFERROR(__xludf.DUMMYFUNCTION("""COMPUTED_VALUE"""),"IN/001793")</f>
        <v>IN/001793</v>
      </c>
      <c r="E641" s="2" t="str">
        <f ca="1">IFERROR(__xludf.DUMMYFUNCTION("UNIQUE(FILTER('export kabinetdashboard 1210202'!N:P,'export kabinetdashboard 1210202'!M:M=D641))"),"")</f>
        <v/>
      </c>
      <c r="F641" s="2" t="str">
        <f ca="1">IFERROR(__xludf.DUMMYFUNCTION("""COMPUTED_VALUE"""),"2022 - Q3")</f>
        <v>2022 - Q3</v>
      </c>
      <c r="G641" s="2" t="str">
        <f ca="1">IFERROR(__xludf.DUMMYFUNCTION("""COMPUTED_VALUE"""),"2022 - Q4")</f>
        <v>2022 - Q4</v>
      </c>
      <c r="H641" s="2">
        <f ca="1">SUMIFS('bedragen KIM (budgettering &amp; pl'!S:S,'bedragen KIM (budgettering &amp; pl'!B:B,A641,'bedragen KIM (budgettering &amp; pl'!F:F,D641)</f>
        <v>5000</v>
      </c>
      <c r="I641" s="2" t="e">
        <f ca="1">SUMIFS(#REF!,#REF!,A641,#REF!,D641)</f>
        <v>#REF!</v>
      </c>
      <c r="J641" s="2" t="e">
        <f ca="1">SUMIFS(#REF!,#REF!,A641,#REF!,D641)</f>
        <v>#REF!</v>
      </c>
    </row>
    <row r="642" spans="1:10" ht="12.5" x14ac:dyDescent="0.25">
      <c r="A642" s="2" t="str">
        <f ca="1">IFERROR(__xludf.DUMMYFUNCTION("""COMPUTED_VALUE"""),"KP/001512")</f>
        <v>KP/001512</v>
      </c>
      <c r="B642" s="2" t="str">
        <f ca="1">IFERROR(__xludf.DUMMYFUNCTION("""COMPUTED_VALUE"""),"Verkeersveiligheid")</f>
        <v>Verkeersveiligheid</v>
      </c>
      <c r="C642" s="2" t="str">
        <f ca="1">IFERROR(__xludf.DUMMYFUNCTION("""COMPUTED_VALUE"""),"Schoolroute")</f>
        <v>Schoolroute</v>
      </c>
      <c r="D642" s="2" t="str">
        <f ca="1">IFERROR(__xludf.DUMMYFUNCTION("""COMPUTED_VALUE"""),"IN/001850")</f>
        <v>IN/001850</v>
      </c>
      <c r="E642" s="2" t="str">
        <f ca="1">IFERROR(__xludf.DUMMYFUNCTION("UNIQUE(FILTER('export kabinetdashboard 1210202'!N:P,'export kabinetdashboard 1210202'!M:M=D642))"),"Fietssuggestiestroken aanbrengen N449 x Rechtstro")</f>
        <v>Fietssuggestiestroken aanbrengen N449 x Rechtstro</v>
      </c>
      <c r="F642" s="2" t="str">
        <f ca="1">IFERROR(__xludf.DUMMYFUNCTION("""COMPUTED_VALUE"""),"2022 - Q2")</f>
        <v>2022 - Q2</v>
      </c>
      <c r="G642" s="2" t="str">
        <f ca="1">IFERROR(__xludf.DUMMYFUNCTION("""COMPUTED_VALUE"""),"2022 - Q2")</f>
        <v>2022 - Q2</v>
      </c>
      <c r="H642" s="2">
        <f ca="1">SUMIFS('bedragen KIM (budgettering &amp; pl'!S:S,'bedragen KIM (budgettering &amp; pl'!B:B,A642,'bedragen KIM (budgettering &amp; pl'!F:F,D642)</f>
        <v>33200</v>
      </c>
      <c r="I642" s="2" t="e">
        <f ca="1">SUMIFS(#REF!,#REF!,A642,#REF!,D642)</f>
        <v>#REF!</v>
      </c>
      <c r="J642" s="2" t="e">
        <f ca="1">SUMIFS(#REF!,#REF!,A642,#REF!,D642)</f>
        <v>#REF!</v>
      </c>
    </row>
    <row r="643" spans="1:10" ht="12.5" x14ac:dyDescent="0.25">
      <c r="A643" s="2" t="str">
        <f ca="1">IFERROR(__xludf.DUMMYFUNCTION("""COMPUTED_VALUE"""),"KP/001378")</f>
        <v>KP/001378</v>
      </c>
      <c r="B643" s="2" t="str">
        <f ca="1">IFERROR(__xludf.DUMMYFUNCTION("""COMPUTED_VALUE"""),"Verkeersveiligheid")</f>
        <v>Verkeersveiligheid</v>
      </c>
      <c r="C643" s="2" t="str">
        <f ca="1">IFERROR(__xludf.DUMMYFUNCTION("""COMPUTED_VALUE"""),"Schoolroute")</f>
        <v>Schoolroute</v>
      </c>
      <c r="D643" s="2" t="str">
        <f ca="1">IFERROR(__xludf.DUMMYFUNCTION("""COMPUTED_VALUE"""),"IN/001855")</f>
        <v>IN/001855</v>
      </c>
      <c r="E643" s="2" t="str">
        <f ca="1">IFERROR(__xludf.DUMMYFUNCTION("UNIQUE(FILTER('export kabinetdashboard 1210202'!N:P,'export kabinetdashboard 1210202'!M:M=D643))"),"#N/A")</f>
        <v>#N/A</v>
      </c>
      <c r="H643" s="2">
        <f ca="1">SUMIFS('bedragen KIM (budgettering &amp; pl'!S:S,'bedragen KIM (budgettering &amp; pl'!B:B,A643,'bedragen KIM (budgettering &amp; pl'!F:F,D643)</f>
        <v>30000</v>
      </c>
      <c r="I643" s="2" t="e">
        <f ca="1">SUMIFS(#REF!,#REF!,A643,#REF!,D643)</f>
        <v>#REF!</v>
      </c>
      <c r="J643" s="2" t="e">
        <f ca="1">SUMIFS(#REF!,#REF!,A643,#REF!,D643)</f>
        <v>#REF!</v>
      </c>
    </row>
    <row r="644" spans="1:10" ht="12.5" x14ac:dyDescent="0.25">
      <c r="A644" s="2" t="str">
        <f ca="1">IFERROR(__xludf.DUMMYFUNCTION("""COMPUTED_VALUE"""),"KP/001156")</f>
        <v>KP/001156</v>
      </c>
      <c r="B644" s="2" t="str">
        <f ca="1">IFERROR(__xludf.DUMMYFUNCTION("""COMPUTED_VALUE"""),"Verkeersveiligheid")</f>
        <v>Verkeersveiligheid</v>
      </c>
      <c r="C644" s="2" t="str">
        <f ca="1">IFERROR(__xludf.DUMMYFUNCTION("""COMPUTED_VALUE"""),"Schoolroute")</f>
        <v>Schoolroute</v>
      </c>
      <c r="D644" s="2" t="str">
        <f ca="1">IFERROR(__xludf.DUMMYFUNCTION("""COMPUTED_VALUE"""),"IN/001856")</f>
        <v>IN/001856</v>
      </c>
      <c r="E644" s="2" t="str">
        <f ca="1">IFERROR(__xludf.DUMMYFUNCTION("UNIQUE(FILTER('export kabinetdashboard 1210202'!N:P,'export kabinetdashboard 1210202'!M:M=D644))"),"studie VIAS
Ontsluitingsstudie lopende 2022
mogelijks lichten maar geen garantie op doorstroming")</f>
        <v>studie VIAS
Ontsluitingsstudie lopende 2022
mogelijks lichten maar geen garantie op doorstroming</v>
      </c>
      <c r="F644" s="2" t="str">
        <f ca="1">IFERROR(__xludf.DUMMYFUNCTION("""COMPUTED_VALUE"""),"n.t.b.")</f>
        <v>n.t.b.</v>
      </c>
      <c r="G644" s="2" t="str">
        <f ca="1">IFERROR(__xludf.DUMMYFUNCTION("""COMPUTED_VALUE"""),"n.t.b.")</f>
        <v>n.t.b.</v>
      </c>
      <c r="H644" s="2">
        <f ca="1">SUMIFS('bedragen KIM (budgettering &amp; pl'!S:S,'bedragen KIM (budgettering &amp; pl'!B:B,A644,'bedragen KIM (budgettering &amp; pl'!F:F,D644)</f>
        <v>0</v>
      </c>
      <c r="I644" s="2" t="e">
        <f ca="1">SUMIFS(#REF!,#REF!,A644,#REF!,D644)</f>
        <v>#REF!</v>
      </c>
      <c r="J644" s="2" t="e">
        <f ca="1">SUMIFS(#REF!,#REF!,A644,#REF!,D644)</f>
        <v>#REF!</v>
      </c>
    </row>
    <row r="645" spans="1:10" ht="12.5" x14ac:dyDescent="0.25">
      <c r="A645" s="2" t="str">
        <f ca="1">IFERROR(__xludf.DUMMYFUNCTION("""COMPUTED_VALUE"""),"KP/001387")</f>
        <v>KP/001387</v>
      </c>
      <c r="B645" s="2" t="str">
        <f ca="1">IFERROR(__xludf.DUMMYFUNCTION("""COMPUTED_VALUE"""),"Verkeersveiligheid")</f>
        <v>Verkeersveiligheid</v>
      </c>
      <c r="C645" s="2" t="str">
        <f ca="1">IFERROR(__xludf.DUMMYFUNCTION("""COMPUTED_VALUE"""),"Schoolroute")</f>
        <v>Schoolroute</v>
      </c>
      <c r="D645" s="2" t="str">
        <f ca="1">IFERROR(__xludf.DUMMYFUNCTION("""COMPUTED_VALUE"""),"IN/001863")</f>
        <v>IN/001863</v>
      </c>
      <c r="E645" s="2" t="str">
        <f ca="1">IFERROR(__xludf.DUMMYFUNCTION("UNIQUE(FILTER('export kabinetdashboard 1210202'!N:P,'export kabinetdashboard 1210202'!M:M=D645))"),"Toeleidende fietspaden in de zijstraten
lichtengeregelde FOP's ipv OFOS'en")</f>
        <v>Toeleidende fietspaden in de zijstraten
lichtengeregelde FOP's ipv OFOS'en</v>
      </c>
      <c r="F645" s="2" t="str">
        <f ca="1">IFERROR(__xludf.DUMMYFUNCTION("""COMPUTED_VALUE"""),"n.t.b.")</f>
        <v>n.t.b.</v>
      </c>
      <c r="G645" s="2" t="str">
        <f ca="1">IFERROR(__xludf.DUMMYFUNCTION("""COMPUTED_VALUE"""),"n.t.b.")</f>
        <v>n.t.b.</v>
      </c>
      <c r="H645" s="2">
        <f ca="1">SUMIFS('bedragen KIM (budgettering &amp; pl'!S:S,'bedragen KIM (budgettering &amp; pl'!B:B,A645,'bedragen KIM (budgettering &amp; pl'!F:F,D645)</f>
        <v>0</v>
      </c>
      <c r="I645" s="2" t="e">
        <f ca="1">SUMIFS(#REF!,#REF!,A645,#REF!,D645)</f>
        <v>#REF!</v>
      </c>
      <c r="J645" s="2" t="e">
        <f ca="1">SUMIFS(#REF!,#REF!,A645,#REF!,D645)</f>
        <v>#REF!</v>
      </c>
    </row>
    <row r="646" spans="1:10" ht="12.5" x14ac:dyDescent="0.25">
      <c r="A646" s="2" t="str">
        <f ca="1">IFERROR(__xludf.DUMMYFUNCTION("""COMPUTED_VALUE"""),"KP/001387")</f>
        <v>KP/001387</v>
      </c>
      <c r="B646" s="2" t="str">
        <f ca="1">IFERROR(__xludf.DUMMYFUNCTION("""COMPUTED_VALUE"""),"Verkeersveiligheid")</f>
        <v>Verkeersveiligheid</v>
      </c>
      <c r="C646" s="2" t="str">
        <f ca="1">IFERROR(__xludf.DUMMYFUNCTION("""COMPUTED_VALUE"""),"Schoolroute")</f>
        <v>Schoolroute</v>
      </c>
      <c r="D646" s="2" t="str">
        <f ca="1">IFERROR(__xludf.DUMMYFUNCTION("""COMPUTED_VALUE"""),"IN/001864")</f>
        <v>IN/001864</v>
      </c>
      <c r="E646" s="2" t="str">
        <f ca="1">IFERROR(__xludf.DUMMYFUNCTION("UNIQUE(FILTER('export kabinetdashboard 1210202'!N:P,'export kabinetdashboard 1210202'!M:M=D646))"),"")</f>
        <v/>
      </c>
      <c r="F646" s="2" t="str">
        <f ca="1">IFERROR(__xludf.DUMMYFUNCTION("""COMPUTED_VALUE"""),"n.t.b.")</f>
        <v>n.t.b.</v>
      </c>
      <c r="G646" s="2" t="str">
        <f ca="1">IFERROR(__xludf.DUMMYFUNCTION("""COMPUTED_VALUE"""),"n.t.b.")</f>
        <v>n.t.b.</v>
      </c>
      <c r="H646" s="2">
        <f ca="1">SUMIFS('bedragen KIM (budgettering &amp; pl'!S:S,'bedragen KIM (budgettering &amp; pl'!B:B,A646,'bedragen KIM (budgettering &amp; pl'!F:F,D646)</f>
        <v>75000</v>
      </c>
      <c r="I646" s="2" t="e">
        <f ca="1">SUMIFS(#REF!,#REF!,A646,#REF!,D646)</f>
        <v>#REF!</v>
      </c>
      <c r="J646" s="2" t="e">
        <f ca="1">SUMIFS(#REF!,#REF!,A646,#REF!,D646)</f>
        <v>#REF!</v>
      </c>
    </row>
    <row r="647" spans="1:10" ht="12.5" x14ac:dyDescent="0.25">
      <c r="A647" s="2" t="str">
        <f ca="1">IFERROR(__xludf.DUMMYFUNCTION("""COMPUTED_VALUE"""),"KP/001376")</f>
        <v>KP/001376</v>
      </c>
      <c r="B647" s="2" t="str">
        <f ca="1">IFERROR(__xludf.DUMMYFUNCTION("""COMPUTED_VALUE"""),"Verkeersveiligheid")</f>
        <v>Verkeersveiligheid</v>
      </c>
      <c r="C647" s="2" t="str">
        <f ca="1">IFERROR(__xludf.DUMMYFUNCTION("""COMPUTED_VALUE"""),"Schoolroute")</f>
        <v>Schoolroute</v>
      </c>
      <c r="D647" s="2" t="str">
        <f ca="1">IFERROR(__xludf.DUMMYFUNCTION("""COMPUTED_VALUE"""),"IN/001865")</f>
        <v>IN/001865</v>
      </c>
      <c r="E647" s="2" t="str">
        <f ca="1">IFERROR(__xludf.DUMMYFUNCTION("UNIQUE(FILTER('export kabinetdashboard 1210202'!N:P,'export kabinetdashboard 1210202'!M:M=D647))"),"#N/A")</f>
        <v>#N/A</v>
      </c>
      <c r="H647" s="2">
        <f ca="1">SUMIFS('bedragen KIM (budgettering &amp; pl'!S:S,'bedragen KIM (budgettering &amp; pl'!B:B,A647,'bedragen KIM (budgettering &amp; pl'!F:F,D647)</f>
        <v>150000</v>
      </c>
      <c r="I647" s="2" t="e">
        <f ca="1">SUMIFS(#REF!,#REF!,A647,#REF!,D647)</f>
        <v>#REF!</v>
      </c>
      <c r="J647" s="2" t="e">
        <f ca="1">SUMIFS(#REF!,#REF!,A647,#REF!,D647)</f>
        <v>#REF!</v>
      </c>
    </row>
    <row r="648" spans="1:10" ht="12.5" x14ac:dyDescent="0.25">
      <c r="A648" s="2" t="str">
        <f ca="1">IFERROR(__xludf.DUMMYFUNCTION("""COMPUTED_VALUE"""),"KP/001408")</f>
        <v>KP/001408</v>
      </c>
      <c r="B648" s="2" t="str">
        <f ca="1">IFERROR(__xludf.DUMMYFUNCTION("""COMPUTED_VALUE"""),"Verkeersveiligheid")</f>
        <v>Verkeersveiligheid</v>
      </c>
      <c r="C648" s="2" t="str">
        <f ca="1">IFERROR(__xludf.DUMMYFUNCTION("""COMPUTED_VALUE"""),"Schoolroute")</f>
        <v>Schoolroute</v>
      </c>
      <c r="D648" s="2" t="str">
        <f ca="1">IFERROR(__xludf.DUMMYFUNCTION("""COMPUTED_VALUE"""),"IN/001866")</f>
        <v>IN/001866</v>
      </c>
      <c r="E648" s="2" t="str">
        <f ca="1">IFERROR(__xludf.DUMMYFUNCTION("UNIQUE(FILTER('export kabinetdashboard 1210202'!N:P,'export kabinetdashboard 1210202'!M:M=D648))"),"")</f>
        <v/>
      </c>
      <c r="F648" s="2" t="str">
        <f ca="1">IFERROR(__xludf.DUMMYFUNCTION("""COMPUTED_VALUE"""),"n.t.b.")</f>
        <v>n.t.b.</v>
      </c>
      <c r="G648" s="2" t="str">
        <f ca="1">IFERROR(__xludf.DUMMYFUNCTION("""COMPUTED_VALUE"""),"n.t.b.")</f>
        <v>n.t.b.</v>
      </c>
      <c r="H648" s="2">
        <f ca="1">SUMIFS('bedragen KIM (budgettering &amp; pl'!S:S,'bedragen KIM (budgettering &amp; pl'!B:B,A648,'bedragen KIM (budgettering &amp; pl'!F:F,D648)</f>
        <v>0</v>
      </c>
      <c r="I648" s="2" t="e">
        <f ca="1">SUMIFS(#REF!,#REF!,A648,#REF!,D648)</f>
        <v>#REF!</v>
      </c>
      <c r="J648" s="2" t="e">
        <f ca="1">SUMIFS(#REF!,#REF!,A648,#REF!,D648)</f>
        <v>#REF!</v>
      </c>
    </row>
    <row r="649" spans="1:10" ht="12.5" x14ac:dyDescent="0.25">
      <c r="A649" s="2" t="str">
        <f ca="1">IFERROR(__xludf.DUMMYFUNCTION("""COMPUTED_VALUE"""),"KP/001394")</f>
        <v>KP/001394</v>
      </c>
      <c r="B649" s="2" t="str">
        <f ca="1">IFERROR(__xludf.DUMMYFUNCTION("""COMPUTED_VALUE"""),"Verkeersveiligheid")</f>
        <v>Verkeersveiligheid</v>
      </c>
      <c r="C649" s="2" t="str">
        <f ca="1">IFERROR(__xludf.DUMMYFUNCTION("""COMPUTED_VALUE"""),"Schoolroute")</f>
        <v>Schoolroute</v>
      </c>
      <c r="D649" s="2" t="str">
        <f ca="1">IFERROR(__xludf.DUMMYFUNCTION("""COMPUTED_VALUE"""),"IN/001872")</f>
        <v>IN/001872</v>
      </c>
      <c r="E649" s="2" t="str">
        <f ca="1">IFERROR(__xludf.DUMMYFUNCTION("UNIQUE(FILTER('export kabinetdashboard 1210202'!N:P,'export kabinetdashboard 1210202'!M:M=D649))"),"")</f>
        <v/>
      </c>
      <c r="F649" s="2" t="str">
        <f ca="1">IFERROR(__xludf.DUMMYFUNCTION("""COMPUTED_VALUE"""),"2022 - Q4")</f>
        <v>2022 - Q4</v>
      </c>
      <c r="G649" s="2" t="str">
        <f ca="1">IFERROR(__xludf.DUMMYFUNCTION("""COMPUTED_VALUE"""),"n.t.b.")</f>
        <v>n.t.b.</v>
      </c>
      <c r="H649" s="2">
        <f ca="1">SUMIFS('bedragen KIM (budgettering &amp; pl'!S:S,'bedragen KIM (budgettering &amp; pl'!B:B,A649,'bedragen KIM (budgettering &amp; pl'!F:F,D649)</f>
        <v>0</v>
      </c>
      <c r="I649" s="2" t="e">
        <f ca="1">SUMIFS(#REF!,#REF!,A649,#REF!,D649)</f>
        <v>#REF!</v>
      </c>
      <c r="J649" s="2" t="e">
        <f ca="1">SUMIFS(#REF!,#REF!,A649,#REF!,D649)</f>
        <v>#REF!</v>
      </c>
    </row>
    <row r="650" spans="1:10" ht="12.5" x14ac:dyDescent="0.25">
      <c r="A650" s="2" t="str">
        <f ca="1">IFERROR(__xludf.DUMMYFUNCTION("""COMPUTED_VALUE"""),"KP/000908")</f>
        <v>KP/000908</v>
      </c>
      <c r="B650" s="2" t="str">
        <f ca="1">IFERROR(__xludf.DUMMYFUNCTION("""COMPUTED_VALUE"""),"Verkeersveiligheid")</f>
        <v>Verkeersveiligheid</v>
      </c>
      <c r="C650" s="2" t="str">
        <f ca="1">IFERROR(__xludf.DUMMYFUNCTION("""COMPUTED_VALUE"""),"Schoolroute")</f>
        <v>Schoolroute</v>
      </c>
      <c r="D650" s="2" t="str">
        <f ca="1">IFERROR(__xludf.DUMMYFUNCTION("""COMPUTED_VALUE"""),"IN/001873")</f>
        <v>IN/001873</v>
      </c>
      <c r="E650" s="2" t="str">
        <f ca="1">IFERROR(__xludf.DUMMYFUNCTION("UNIQUE(FILTER('export kabinetdashboard 1210202'!N:P,'export kabinetdashboard 1210202'!M:M=D650))"),"- op de 4 takken een VOP in combi met dubbelrichtingsFOP's in fietslogoverbinding (inclusief aanpassen fietspaden rotonde).
")</f>
        <v xml:space="preserve">- op de 4 takken een VOP in combi met dubbelrichtingsFOP's in fietslogoverbinding (inclusief aanpassen fietspaden rotonde).
</v>
      </c>
      <c r="F650" s="2" t="str">
        <f ca="1">IFERROR(__xludf.DUMMYFUNCTION("""COMPUTED_VALUE"""),"n.t.b.")</f>
        <v>n.t.b.</v>
      </c>
      <c r="G650" s="2" t="str">
        <f ca="1">IFERROR(__xludf.DUMMYFUNCTION("""COMPUTED_VALUE"""),"n.t.b.")</f>
        <v>n.t.b.</v>
      </c>
      <c r="H650" s="2">
        <f ca="1">SUMIFS('bedragen KIM (budgettering &amp; pl'!S:S,'bedragen KIM (budgettering &amp; pl'!B:B,A650,'bedragen KIM (budgettering &amp; pl'!F:F,D650)</f>
        <v>0</v>
      </c>
      <c r="I650" s="2" t="e">
        <f ca="1">SUMIFS(#REF!,#REF!,A650,#REF!,D650)</f>
        <v>#REF!</v>
      </c>
      <c r="J650" s="2" t="e">
        <f ca="1">SUMIFS(#REF!,#REF!,A650,#REF!,D650)</f>
        <v>#REF!</v>
      </c>
    </row>
    <row r="651" spans="1:10" ht="12.5" x14ac:dyDescent="0.25">
      <c r="A651" s="2" t="str">
        <f ca="1">IFERROR(__xludf.DUMMYFUNCTION("""COMPUTED_VALUE"""),"KP/000908")</f>
        <v>KP/000908</v>
      </c>
      <c r="B651" s="2" t="str">
        <f ca="1">IFERROR(__xludf.DUMMYFUNCTION("""COMPUTED_VALUE"""),"Verkeersveiligheid")</f>
        <v>Verkeersveiligheid</v>
      </c>
      <c r="C651" s="2" t="str">
        <f ca="1">IFERROR(__xludf.DUMMYFUNCTION("""COMPUTED_VALUE"""),"Schoolroute")</f>
        <v>Schoolroute</v>
      </c>
      <c r="D651" s="2" t="str">
        <f ca="1">IFERROR(__xludf.DUMMYFUNCTION("""COMPUTED_VALUE"""),"IN/001874")</f>
        <v>IN/001874</v>
      </c>
      <c r="E651" s="2" t="str">
        <f ca="1">IFERROR(__xludf.DUMMYFUNCTION("UNIQUE(FILTER('export kabinetdashboard 1210202'!N:P,'export kabinetdashboard 1210202'!M:M=D651))"),"")</f>
        <v/>
      </c>
      <c r="F651" s="2" t="str">
        <f ca="1">IFERROR(__xludf.DUMMYFUNCTION("""COMPUTED_VALUE"""),"n.t.b.")</f>
        <v>n.t.b.</v>
      </c>
      <c r="G651" s="2" t="str">
        <f ca="1">IFERROR(__xludf.DUMMYFUNCTION("""COMPUTED_VALUE"""),"n.t.b.")</f>
        <v>n.t.b.</v>
      </c>
      <c r="H651" s="2">
        <f ca="1">SUMIFS('bedragen KIM (budgettering &amp; pl'!S:S,'bedragen KIM (budgettering &amp; pl'!B:B,A651,'bedragen KIM (budgettering &amp; pl'!F:F,D651)</f>
        <v>0</v>
      </c>
      <c r="I651" s="2" t="e">
        <f ca="1">SUMIFS(#REF!,#REF!,A651,#REF!,D651)</f>
        <v>#REF!</v>
      </c>
      <c r="J651" s="2" t="e">
        <f ca="1">SUMIFS(#REF!,#REF!,A651,#REF!,D651)</f>
        <v>#REF!</v>
      </c>
    </row>
    <row r="652" spans="1:10" ht="12.5" x14ac:dyDescent="0.25">
      <c r="A652" s="2" t="str">
        <f ca="1">IFERROR(__xludf.DUMMYFUNCTION("""COMPUTED_VALUE"""),"KP/000811")</f>
        <v>KP/000811</v>
      </c>
      <c r="B652" s="2" t="str">
        <f ca="1">IFERROR(__xludf.DUMMYFUNCTION("""COMPUTED_VALUE"""),"Verkeersveiligheid")</f>
        <v>Verkeersveiligheid</v>
      </c>
      <c r="C652" s="2" t="str">
        <f ca="1">IFERROR(__xludf.DUMMYFUNCTION("""COMPUTED_VALUE"""),"Schoolroute")</f>
        <v>Schoolroute</v>
      </c>
      <c r="D652" s="2" t="str">
        <f ca="1">IFERROR(__xludf.DUMMYFUNCTION("""COMPUTED_VALUE"""),"IN/001875")</f>
        <v>IN/001875</v>
      </c>
      <c r="E652" s="2" t="str">
        <f ca="1">IFERROR(__xludf.DUMMYFUNCTION("UNIQUE(FILTER('export kabinetdashboard 1210202'!N:P,'export kabinetdashboard 1210202'!M:M=D652))"),"versmallen noordelijke aansluiting, FOP's met bajonet en nieuwe bushalte/Hoppinpunt")</f>
        <v>versmallen noordelijke aansluiting, FOP's met bajonet en nieuwe bushalte/Hoppinpunt</v>
      </c>
      <c r="F652" s="2" t="str">
        <f ca="1">IFERROR(__xludf.DUMMYFUNCTION("""COMPUTED_VALUE"""),"n.t.b.")</f>
        <v>n.t.b.</v>
      </c>
      <c r="G652" s="2" t="str">
        <f ca="1">IFERROR(__xludf.DUMMYFUNCTION("""COMPUTED_VALUE"""),"n.t.b.")</f>
        <v>n.t.b.</v>
      </c>
      <c r="H652" s="2">
        <f ca="1">SUMIFS('bedragen KIM (budgettering &amp; pl'!S:S,'bedragen KIM (budgettering &amp; pl'!B:B,A652,'bedragen KIM (budgettering &amp; pl'!F:F,D652)</f>
        <v>221507</v>
      </c>
      <c r="I652" s="2" t="e">
        <f ca="1">SUMIFS(#REF!,#REF!,A652,#REF!,D652)</f>
        <v>#REF!</v>
      </c>
      <c r="J652" s="2" t="e">
        <f ca="1">SUMIFS(#REF!,#REF!,A652,#REF!,D652)</f>
        <v>#REF!</v>
      </c>
    </row>
    <row r="653" spans="1:10" ht="12.5" x14ac:dyDescent="0.25">
      <c r="A653" s="2" t="str">
        <f ca="1">IFERROR(__xludf.DUMMYFUNCTION("""COMPUTED_VALUE"""),"KP/001589")</f>
        <v>KP/001589</v>
      </c>
      <c r="B653" s="2" t="str">
        <f ca="1">IFERROR(__xludf.DUMMYFUNCTION("""COMPUTED_VALUE"""),"Verkeersveiligheid")</f>
        <v>Verkeersveiligheid</v>
      </c>
      <c r="C653" s="2" t="str">
        <f ca="1">IFERROR(__xludf.DUMMYFUNCTION("""COMPUTED_VALUE"""),"Schoolroute")</f>
        <v>Schoolroute</v>
      </c>
      <c r="D653" s="2" t="str">
        <f ca="1">IFERROR(__xludf.DUMMYFUNCTION("""COMPUTED_VALUE"""),"IN/001879")</f>
        <v>IN/001879</v>
      </c>
      <c r="E653" s="2" t="str">
        <f ca="1">IFERROR(__xludf.DUMMYFUNCTION("UNIQUE(FILTER('export kabinetdashboard 1210202'!N:P,'export kabinetdashboard 1210202'!M:M=D653))"),"Vernieuwen slemlaag en VOP ter hoogte van school  (SRK)")</f>
        <v>Vernieuwen slemlaag en VOP ter hoogte van school  (SRK)</v>
      </c>
      <c r="F653" s="2" t="str">
        <f ca="1">IFERROR(__xludf.DUMMYFUNCTION("""COMPUTED_VALUE"""),"2022 - Q2")</f>
        <v>2022 - Q2</v>
      </c>
      <c r="G653" s="2" t="str">
        <f ca="1">IFERROR(__xludf.DUMMYFUNCTION("""COMPUTED_VALUE"""),"2022 - Q3")</f>
        <v>2022 - Q3</v>
      </c>
      <c r="H653" s="2">
        <f ca="1">SUMIFS('bedragen KIM (budgettering &amp; pl'!S:S,'bedragen KIM (budgettering &amp; pl'!B:B,A653,'bedragen KIM (budgettering &amp; pl'!F:F,D653)</f>
        <v>40200</v>
      </c>
      <c r="I653" s="2" t="e">
        <f ca="1">SUMIFS(#REF!,#REF!,A653,#REF!,D653)</f>
        <v>#REF!</v>
      </c>
      <c r="J653" s="2" t="e">
        <f ca="1">SUMIFS(#REF!,#REF!,A653,#REF!,D653)</f>
        <v>#REF!</v>
      </c>
    </row>
    <row r="654" spans="1:10" ht="12.5" x14ac:dyDescent="0.25">
      <c r="A654" s="2" t="str">
        <f ca="1">IFERROR(__xludf.DUMMYFUNCTION("""COMPUTED_VALUE"""),"KP/001631")</f>
        <v>KP/001631</v>
      </c>
      <c r="B654" s="2" t="str">
        <f ca="1">IFERROR(__xludf.DUMMYFUNCTION("""COMPUTED_VALUE"""),"Verkeersveiligheid")</f>
        <v>Verkeersveiligheid</v>
      </c>
      <c r="C654" s="2" t="str">
        <f ca="1">IFERROR(__xludf.DUMMYFUNCTION("""COMPUTED_VALUE"""),"Schoolroute")</f>
        <v>Schoolroute</v>
      </c>
      <c r="D654" s="2" t="str">
        <f ca="1">IFERROR(__xludf.DUMMYFUNCTION("""COMPUTED_VALUE"""),"IN/001887")</f>
        <v>IN/001887</v>
      </c>
      <c r="E654" s="2" t="str">
        <f ca="1">IFERROR(__xludf.DUMMYFUNCTION("UNIQUE(FILTER('export kabinetdashboard 1210202'!N:P,'export kabinetdashboard 1210202'!M:M=D654))"),"* opfrissen bestaande rode thermo.
* 3 stuks nieuwe driehoekenstrepen volgens bijgevoegde schets.
* aanpassen arcering.
* 1 nieuwe B1 (zijde 900).")</f>
        <v>* opfrissen bestaande rode thermo.
* 3 stuks nieuwe driehoekenstrepen volgens bijgevoegde schets.
* aanpassen arcering.
* 1 nieuwe B1 (zijde 900).</v>
      </c>
      <c r="F654" s="2" t="str">
        <f ca="1">IFERROR(__xludf.DUMMYFUNCTION("""COMPUTED_VALUE"""),"2022 - Q2")</f>
        <v>2022 - Q2</v>
      </c>
      <c r="G654" s="2" t="str">
        <f ca="1">IFERROR(__xludf.DUMMYFUNCTION("""COMPUTED_VALUE"""),"2022 - Q3")</f>
        <v>2022 - Q3</v>
      </c>
      <c r="H654" s="2">
        <f ca="1">SUMIFS('bedragen KIM (budgettering &amp; pl'!S:S,'bedragen KIM (budgettering &amp; pl'!B:B,A654,'bedragen KIM (budgettering &amp; pl'!F:F,D654)</f>
        <v>1600</v>
      </c>
      <c r="I654" s="2" t="e">
        <f ca="1">SUMIFS(#REF!,#REF!,A654,#REF!,D654)</f>
        <v>#REF!</v>
      </c>
      <c r="J654" s="2" t="e">
        <f ca="1">SUMIFS(#REF!,#REF!,A654,#REF!,D654)</f>
        <v>#REF!</v>
      </c>
    </row>
    <row r="655" spans="1:10" ht="12.5" x14ac:dyDescent="0.25">
      <c r="A655" s="2" t="str">
        <f ca="1">IFERROR(__xludf.DUMMYFUNCTION("""COMPUTED_VALUE"""),"KP/001534")</f>
        <v>KP/001534</v>
      </c>
      <c r="B655" s="2" t="str">
        <f ca="1">IFERROR(__xludf.DUMMYFUNCTION("""COMPUTED_VALUE"""),"Verkeersveiligheid")</f>
        <v>Verkeersveiligheid</v>
      </c>
      <c r="C655" s="2" t="str">
        <f ca="1">IFERROR(__xludf.DUMMYFUNCTION("""COMPUTED_VALUE"""),"Schoolroute")</f>
        <v>Schoolroute</v>
      </c>
      <c r="D655" s="2" t="str">
        <f ca="1">IFERROR(__xludf.DUMMYFUNCTION("""COMPUTED_VALUE"""),"IN/001888")</f>
        <v>IN/001888</v>
      </c>
      <c r="E655" s="2" t="str">
        <f ca="1">IFERROR(__xludf.DUMMYFUNCTION("UNIQUE(FILTER('export kabinetdashboard 1210202'!N:P,'export kabinetdashboard 1210202'!M:M=D655))"),"* Nieuw middeneilanden te lijmen + inboren.
* 2 st nieuwe D1d (ø700)+ retroreflecterende kokers in verkeerseilanden.
* Kopse kanten verkeerseiland wit te schilderen.
* Eilanden opvullen met beton.")</f>
        <v>* Nieuw middeneilanden te lijmen + inboren.
* 2 st nieuwe D1d (ø700)+ retroreflecterende kokers in verkeerseilanden.
* Kopse kanten verkeerseiland wit te schilderen.
* Eilanden opvullen met beton.</v>
      </c>
      <c r="F655" s="2" t="str">
        <f ca="1">IFERROR(__xludf.DUMMYFUNCTION("""COMPUTED_VALUE"""),"2022 - Q2")</f>
        <v>2022 - Q2</v>
      </c>
      <c r="G655" s="2" t="str">
        <f ca="1">IFERROR(__xludf.DUMMYFUNCTION("""COMPUTED_VALUE"""),"2022 - Q3")</f>
        <v>2022 - Q3</v>
      </c>
      <c r="H655" s="2">
        <f ca="1">SUMIFS('bedragen KIM (budgettering &amp; pl'!S:S,'bedragen KIM (budgettering &amp; pl'!B:B,A655,'bedragen KIM (budgettering &amp; pl'!F:F,D655)</f>
        <v>5000</v>
      </c>
      <c r="I655" s="2" t="e">
        <f ca="1">SUMIFS(#REF!,#REF!,A655,#REF!,D655)</f>
        <v>#REF!</v>
      </c>
      <c r="J655" s="2" t="e">
        <f ca="1">SUMIFS(#REF!,#REF!,A655,#REF!,D655)</f>
        <v>#REF!</v>
      </c>
    </row>
    <row r="656" spans="1:10" ht="12.5" x14ac:dyDescent="0.25">
      <c r="A656" s="2" t="str">
        <f ca="1">IFERROR(__xludf.DUMMYFUNCTION("""COMPUTED_VALUE"""),"KP/001283")</f>
        <v>KP/001283</v>
      </c>
      <c r="B656" s="2" t="str">
        <f ca="1">IFERROR(__xludf.DUMMYFUNCTION("""COMPUTED_VALUE"""),"Verkeersveiligheid")</f>
        <v>Verkeersveiligheid</v>
      </c>
      <c r="C656" s="2" t="str">
        <f ca="1">IFERROR(__xludf.DUMMYFUNCTION("""COMPUTED_VALUE"""),"Schoolroute")</f>
        <v>Schoolroute</v>
      </c>
      <c r="D656" s="2" t="str">
        <f ca="1">IFERROR(__xludf.DUMMYFUNCTION("""COMPUTED_VALUE"""),"IN/001902")</f>
        <v>IN/001902</v>
      </c>
      <c r="E656" s="2" t="str">
        <f ca="1">IFERROR(__xludf.DUMMYFUNCTION("UNIQUE(FILTER('export kabinetdashboard 1210202'!N:P,'export kabinetdashboard 1210202'!M:M=D656))"),"fietslicht FA toevoegen dat samen met fietsers FC en de voetgangers groen heeft in de vierkant groen fase.
Er zal een bordje B23 'rechtdoor door rood' moeten bijgeplaatst worden zodat fietsers tot aan het fietslicht kunnen rijden. ")</f>
        <v xml:space="preserve">fietslicht FA toevoegen dat samen met fietsers FC en de voetgangers groen heeft in de vierkant groen fase.
Er zal een bordje B23 'rechtdoor door rood' moeten bijgeplaatst worden zodat fietsers tot aan het fietslicht kunnen rijden. </v>
      </c>
      <c r="F656" s="2" t="str">
        <f ca="1">IFERROR(__xludf.DUMMYFUNCTION("""COMPUTED_VALUE"""),"2023 - Q4")</f>
        <v>2023 - Q4</v>
      </c>
      <c r="G656" s="2" t="str">
        <f ca="1">IFERROR(__xludf.DUMMYFUNCTION("""COMPUTED_VALUE"""),"n.t.b.")</f>
        <v>n.t.b.</v>
      </c>
      <c r="H656" s="2">
        <f ca="1">SUMIFS('bedragen KIM (budgettering &amp; pl'!S:S,'bedragen KIM (budgettering &amp; pl'!B:B,A656,'bedragen KIM (budgettering &amp; pl'!F:F,D656)</f>
        <v>250000</v>
      </c>
      <c r="I656" s="2" t="e">
        <f ca="1">SUMIFS(#REF!,#REF!,A656,#REF!,D656)</f>
        <v>#REF!</v>
      </c>
      <c r="J656" s="2" t="e">
        <f ca="1">SUMIFS(#REF!,#REF!,A656,#REF!,D656)</f>
        <v>#REF!</v>
      </c>
    </row>
    <row r="657" spans="1:10" ht="12.5" x14ac:dyDescent="0.25">
      <c r="A657" s="2" t="str">
        <f ca="1">IFERROR(__xludf.DUMMYFUNCTION("""COMPUTED_VALUE"""),"KP/001375")</f>
        <v>KP/001375</v>
      </c>
      <c r="B657" s="2" t="str">
        <f ca="1">IFERROR(__xludf.DUMMYFUNCTION("""COMPUTED_VALUE"""),"Verkeersveiligheid")</f>
        <v>Verkeersveiligheid</v>
      </c>
      <c r="C657" s="2" t="str">
        <f ca="1">IFERROR(__xludf.DUMMYFUNCTION("""COMPUTED_VALUE"""),"Schoolroute")</f>
        <v>Schoolroute</v>
      </c>
      <c r="D657" s="2" t="str">
        <f ca="1">IFERROR(__xludf.DUMMYFUNCTION("""COMPUTED_VALUE"""),"IN/001903")</f>
        <v>IN/001903</v>
      </c>
      <c r="E657" s="2" t="str">
        <f ca="1">IFERROR(__xludf.DUMMYFUNCTION("UNIQUE(FILTER('export kabinetdashboard 1210202'!N:P,'export kabinetdashboard 1210202'!M:M=D657))"),"#N/A")</f>
        <v>#N/A</v>
      </c>
      <c r="H657" s="2">
        <f ca="1">SUMIFS('bedragen KIM (budgettering &amp; pl'!S:S,'bedragen KIM (budgettering &amp; pl'!B:B,A657,'bedragen KIM (budgettering &amp; pl'!F:F,D657)</f>
        <v>0</v>
      </c>
      <c r="I657" s="2" t="e">
        <f ca="1">SUMIFS(#REF!,#REF!,A657,#REF!,D657)</f>
        <v>#REF!</v>
      </c>
      <c r="J657" s="2" t="e">
        <f ca="1">SUMIFS(#REF!,#REF!,A657,#REF!,D657)</f>
        <v>#REF!</v>
      </c>
    </row>
    <row r="658" spans="1:10" ht="12.5" x14ac:dyDescent="0.25">
      <c r="A658" s="2" t="str">
        <f ca="1">IFERROR(__xludf.DUMMYFUNCTION("""COMPUTED_VALUE"""),"KP/001837")</f>
        <v>KP/001837</v>
      </c>
      <c r="B658" s="2" t="str">
        <f ca="1">IFERROR(__xludf.DUMMYFUNCTION("""COMPUTED_VALUE"""),"Verkeersveiligheid")</f>
        <v>Verkeersveiligheid</v>
      </c>
      <c r="C658" s="2" t="str">
        <f ca="1">IFERROR(__xludf.DUMMYFUNCTION("""COMPUTED_VALUE"""),"Schoolroute")</f>
        <v>Schoolroute</v>
      </c>
      <c r="D658" s="2" t="str">
        <f ca="1">IFERROR(__xludf.DUMMYFUNCTION("""COMPUTED_VALUE"""),"IN/001904")</f>
        <v>IN/001904</v>
      </c>
      <c r="E658" s="2" t="str">
        <f ca="1">IFERROR(__xludf.DUMMYFUNCTION("UNIQUE(FILTER('export kabinetdashboard 1210202'!N:P,'export kabinetdashboard 1210202'!M:M=D658))"),"")</f>
        <v/>
      </c>
      <c r="F658" s="2" t="str">
        <f ca="1">IFERROR(__xludf.DUMMYFUNCTION("""COMPUTED_VALUE"""),"2022 - Q3")</f>
        <v>2022 - Q3</v>
      </c>
      <c r="G658" s="2" t="str">
        <f ca="1">IFERROR(__xludf.DUMMYFUNCTION("""COMPUTED_VALUE"""),"n.t.b.")</f>
        <v>n.t.b.</v>
      </c>
      <c r="H658" s="2">
        <f ca="1">SUMIFS('bedragen KIM (budgettering &amp; pl'!S:S,'bedragen KIM (budgettering &amp; pl'!B:B,A658,'bedragen KIM (budgettering &amp; pl'!F:F,D658)</f>
        <v>1000</v>
      </c>
      <c r="I658" s="2" t="e">
        <f ca="1">SUMIFS(#REF!,#REF!,A658,#REF!,D658)</f>
        <v>#REF!</v>
      </c>
      <c r="J658" s="2" t="e">
        <f ca="1">SUMIFS(#REF!,#REF!,A658,#REF!,D658)</f>
        <v>#REF!</v>
      </c>
    </row>
    <row r="659" spans="1:10" ht="12.5" x14ac:dyDescent="0.25">
      <c r="A659" s="2" t="str">
        <f ca="1">IFERROR(__xludf.DUMMYFUNCTION("""COMPUTED_VALUE"""),"KP/001837")</f>
        <v>KP/001837</v>
      </c>
      <c r="B659" s="2" t="str">
        <f ca="1">IFERROR(__xludf.DUMMYFUNCTION("""COMPUTED_VALUE"""),"Verkeersveiligheid")</f>
        <v>Verkeersveiligheid</v>
      </c>
      <c r="C659" s="2" t="str">
        <f ca="1">IFERROR(__xludf.DUMMYFUNCTION("""COMPUTED_VALUE"""),"Schoolroute")</f>
        <v>Schoolroute</v>
      </c>
      <c r="D659" s="2" t="str">
        <f ca="1">IFERROR(__xludf.DUMMYFUNCTION("""COMPUTED_VALUE"""),"IN/001905")</f>
        <v>IN/001905</v>
      </c>
      <c r="E659" s="2" t="str">
        <f ca="1">IFERROR(__xludf.DUMMYFUNCTION("UNIQUE(FILTER('export kabinetdashboard 1210202'!N:P,'export kabinetdashboard 1210202'!M:M=D659))"),"haag vervangen door lage beplanting en gedeelte parkeerstrook opheffen")</f>
        <v>haag vervangen door lage beplanting en gedeelte parkeerstrook opheffen</v>
      </c>
      <c r="F659" s="2" t="str">
        <f ca="1">IFERROR(__xludf.DUMMYFUNCTION("""COMPUTED_VALUE"""),"2022 - Q3")</f>
        <v>2022 - Q3</v>
      </c>
      <c r="G659" s="2" t="str">
        <f ca="1">IFERROR(__xludf.DUMMYFUNCTION("""COMPUTED_VALUE"""),"n.t.b.")</f>
        <v>n.t.b.</v>
      </c>
      <c r="H659" s="2">
        <f ca="1">SUMIFS('bedragen KIM (budgettering &amp; pl'!S:S,'bedragen KIM (budgettering &amp; pl'!B:B,A659,'bedragen KIM (budgettering &amp; pl'!F:F,D659)</f>
        <v>1250</v>
      </c>
      <c r="I659" s="2" t="e">
        <f ca="1">SUMIFS(#REF!,#REF!,A659,#REF!,D659)</f>
        <v>#REF!</v>
      </c>
      <c r="J659" s="2" t="e">
        <f ca="1">SUMIFS(#REF!,#REF!,A659,#REF!,D659)</f>
        <v>#REF!</v>
      </c>
    </row>
    <row r="660" spans="1:10" ht="12.5" x14ac:dyDescent="0.25">
      <c r="A660" s="2" t="str">
        <f ca="1">IFERROR(__xludf.DUMMYFUNCTION("""COMPUTED_VALUE"""),"KP/001837")</f>
        <v>KP/001837</v>
      </c>
      <c r="B660" s="2" t="str">
        <f ca="1">IFERROR(__xludf.DUMMYFUNCTION("""COMPUTED_VALUE"""),"Verkeersveiligheid")</f>
        <v>Verkeersveiligheid</v>
      </c>
      <c r="C660" s="2" t="str">
        <f ca="1">IFERROR(__xludf.DUMMYFUNCTION("""COMPUTED_VALUE"""),"Schoolroute")</f>
        <v>Schoolroute</v>
      </c>
      <c r="D660" s="2" t="str">
        <f ca="1">IFERROR(__xludf.DUMMYFUNCTION("""COMPUTED_VALUE"""),"IN/001906")</f>
        <v>IN/001906</v>
      </c>
      <c r="E660" s="2" t="str">
        <f ca="1">IFERROR(__xludf.DUMMYFUNCTION("UNIQUE(FILTER('export kabinetdashboard 1210202'!N:P,'export kabinetdashboard 1210202'!M:M=D660))"),"#N/A")</f>
        <v>#N/A</v>
      </c>
      <c r="H660" s="2">
        <f ca="1">SUMIFS('bedragen KIM (budgettering &amp; pl'!S:S,'bedragen KIM (budgettering &amp; pl'!B:B,A660,'bedragen KIM (budgettering &amp; pl'!F:F,D660)</f>
        <v>75000</v>
      </c>
      <c r="I660" s="2" t="e">
        <f ca="1">SUMIFS(#REF!,#REF!,A660,#REF!,D660)</f>
        <v>#REF!</v>
      </c>
      <c r="J660" s="2" t="e">
        <f ca="1">SUMIFS(#REF!,#REF!,A660,#REF!,D660)</f>
        <v>#REF!</v>
      </c>
    </row>
    <row r="661" spans="1:10" ht="12.5" x14ac:dyDescent="0.25">
      <c r="A661" s="2" t="str">
        <f ca="1">IFERROR(__xludf.DUMMYFUNCTION("""COMPUTED_VALUE"""),"KP/001837")</f>
        <v>KP/001837</v>
      </c>
      <c r="B661" s="2" t="str">
        <f ca="1">IFERROR(__xludf.DUMMYFUNCTION("""COMPUTED_VALUE"""),"Verkeersveiligheid")</f>
        <v>Verkeersveiligheid</v>
      </c>
      <c r="C661" s="2" t="str">
        <f ca="1">IFERROR(__xludf.DUMMYFUNCTION("""COMPUTED_VALUE"""),"Schoolroute")</f>
        <v>Schoolroute</v>
      </c>
      <c r="D661" s="2" t="str">
        <f ca="1">IFERROR(__xludf.DUMMYFUNCTION("""COMPUTED_VALUE"""),"IN/001907")</f>
        <v>IN/001907</v>
      </c>
      <c r="E661" s="2" t="str">
        <f ca="1">IFERROR(__xludf.DUMMYFUNCTION("UNIQUE(FILTER('export kabinetdashboard 1210202'!N:P,'export kabinetdashboard 1210202'!M:M=D661))"),"")</f>
        <v/>
      </c>
      <c r="F661" s="2" t="str">
        <f ca="1">IFERROR(__xludf.DUMMYFUNCTION("""COMPUTED_VALUE"""),"2022 - Q3")</f>
        <v>2022 - Q3</v>
      </c>
      <c r="G661" s="2" t="str">
        <f ca="1">IFERROR(__xludf.DUMMYFUNCTION("""COMPUTED_VALUE"""),"n.t.b.")</f>
        <v>n.t.b.</v>
      </c>
      <c r="H661" s="2">
        <f ca="1">SUMIFS('bedragen KIM (budgettering &amp; pl'!S:S,'bedragen KIM (budgettering &amp; pl'!B:B,A661,'bedragen KIM (budgettering &amp; pl'!F:F,D661)</f>
        <v>25000</v>
      </c>
      <c r="I661" s="2" t="e">
        <f ca="1">SUMIFS(#REF!,#REF!,A661,#REF!,D661)</f>
        <v>#REF!</v>
      </c>
      <c r="J661" s="2" t="e">
        <f ca="1">SUMIFS(#REF!,#REF!,A661,#REF!,D661)</f>
        <v>#REF!</v>
      </c>
    </row>
    <row r="662" spans="1:10" ht="12.5" x14ac:dyDescent="0.25">
      <c r="A662" s="2" t="str">
        <f ca="1">IFERROR(__xludf.DUMMYFUNCTION("""COMPUTED_VALUE"""),"KP/001837")</f>
        <v>KP/001837</v>
      </c>
      <c r="B662" s="2" t="str">
        <f ca="1">IFERROR(__xludf.DUMMYFUNCTION("""COMPUTED_VALUE"""),"Verkeersveiligheid")</f>
        <v>Verkeersveiligheid</v>
      </c>
      <c r="C662" s="2" t="str">
        <f ca="1">IFERROR(__xludf.DUMMYFUNCTION("""COMPUTED_VALUE"""),"Schoolroute")</f>
        <v>Schoolroute</v>
      </c>
      <c r="D662" s="2" t="str">
        <f ca="1">IFERROR(__xludf.DUMMYFUNCTION("""COMPUTED_VALUE"""),"IN/001908")</f>
        <v>IN/001908</v>
      </c>
      <c r="E662" s="2" t="str">
        <f ca="1">IFERROR(__xludf.DUMMYFUNCTION("UNIQUE(FILTER('export kabinetdashboard 1210202'!N:P,'export kabinetdashboard 1210202'!M:M=D662))"),"#N/A")</f>
        <v>#N/A</v>
      </c>
      <c r="H662" s="2">
        <f ca="1">SUMIFS('bedragen KIM (budgettering &amp; pl'!S:S,'bedragen KIM (budgettering &amp; pl'!B:B,A662,'bedragen KIM (budgettering &amp; pl'!F:F,D662)</f>
        <v>0</v>
      </c>
      <c r="I662" s="2" t="e">
        <f ca="1">SUMIFS(#REF!,#REF!,A662,#REF!,D662)</f>
        <v>#REF!</v>
      </c>
      <c r="J662" s="2" t="e">
        <f ca="1">SUMIFS(#REF!,#REF!,A662,#REF!,D662)</f>
        <v>#REF!</v>
      </c>
    </row>
    <row r="663" spans="1:10" ht="12.5" x14ac:dyDescent="0.25">
      <c r="A663" s="2" t="str">
        <f ca="1">IFERROR(__xludf.DUMMYFUNCTION("""COMPUTED_VALUE"""),"KP/001837")</f>
        <v>KP/001837</v>
      </c>
      <c r="B663" s="2" t="str">
        <f ca="1">IFERROR(__xludf.DUMMYFUNCTION("""COMPUTED_VALUE"""),"Verkeersveiligheid")</f>
        <v>Verkeersveiligheid</v>
      </c>
      <c r="C663" s="2" t="str">
        <f ca="1">IFERROR(__xludf.DUMMYFUNCTION("""COMPUTED_VALUE"""),"Schoolroute")</f>
        <v>Schoolroute</v>
      </c>
      <c r="D663" s="2" t="str">
        <f ca="1">IFERROR(__xludf.DUMMYFUNCTION("""COMPUTED_VALUE"""),"IN/001909")</f>
        <v>IN/001909</v>
      </c>
      <c r="E663" s="2" t="str">
        <f ca="1">IFERROR(__xludf.DUMMYFUNCTION("UNIQUE(FILTER('export kabinetdashboard 1210202'!N:P,'export kabinetdashboard 1210202'!M:M=D663))"),"#N/A")</f>
        <v>#N/A</v>
      </c>
      <c r="H663" s="2">
        <f ca="1">SUMIFS('bedragen KIM (budgettering &amp; pl'!S:S,'bedragen KIM (budgettering &amp; pl'!B:B,A663,'bedragen KIM (budgettering &amp; pl'!F:F,D663)</f>
        <v>0</v>
      </c>
      <c r="I663" s="2" t="e">
        <f ca="1">SUMIFS(#REF!,#REF!,A663,#REF!,D663)</f>
        <v>#REF!</v>
      </c>
      <c r="J663" s="2" t="e">
        <f ca="1">SUMIFS(#REF!,#REF!,A663,#REF!,D663)</f>
        <v>#REF!</v>
      </c>
    </row>
    <row r="664" spans="1:10" ht="12.5" x14ac:dyDescent="0.25">
      <c r="A664" s="2" t="str">
        <f ca="1">IFERROR(__xludf.DUMMYFUNCTION("""COMPUTED_VALUE"""),"KP/001837")</f>
        <v>KP/001837</v>
      </c>
      <c r="B664" s="2" t="str">
        <f ca="1">IFERROR(__xludf.DUMMYFUNCTION("""COMPUTED_VALUE"""),"Verkeersveiligheid")</f>
        <v>Verkeersveiligheid</v>
      </c>
      <c r="C664" s="2" t="str">
        <f ca="1">IFERROR(__xludf.DUMMYFUNCTION("""COMPUTED_VALUE"""),"Schoolroute")</f>
        <v>Schoolroute</v>
      </c>
      <c r="D664" s="2" t="str">
        <f ca="1">IFERROR(__xludf.DUMMYFUNCTION("""COMPUTED_VALUE"""),"IN/001910")</f>
        <v>IN/001910</v>
      </c>
      <c r="E664" s="2" t="str">
        <f ca="1">IFERROR(__xludf.DUMMYFUNCTION("UNIQUE(FILTER('export kabinetdashboard 1210202'!N:P,'export kabinetdashboard 1210202'!M:M=D664))"),"")</f>
        <v/>
      </c>
      <c r="F664" s="2" t="str">
        <f ca="1">IFERROR(__xludf.DUMMYFUNCTION("""COMPUTED_VALUE"""),"2022 - Q3")</f>
        <v>2022 - Q3</v>
      </c>
      <c r="G664" s="2" t="str">
        <f ca="1">IFERROR(__xludf.DUMMYFUNCTION("""COMPUTED_VALUE"""),"n.t.b.")</f>
        <v>n.t.b.</v>
      </c>
      <c r="H664" s="2">
        <f ca="1">SUMIFS('bedragen KIM (budgettering &amp; pl'!S:S,'bedragen KIM (budgettering &amp; pl'!B:B,A664,'bedragen KIM (budgettering &amp; pl'!F:F,D664)</f>
        <v>110000</v>
      </c>
      <c r="I664" s="2" t="e">
        <f ca="1">SUMIFS(#REF!,#REF!,A664,#REF!,D664)</f>
        <v>#REF!</v>
      </c>
      <c r="J664" s="2" t="e">
        <f ca="1">SUMIFS(#REF!,#REF!,A664,#REF!,D664)</f>
        <v>#REF!</v>
      </c>
    </row>
    <row r="665" spans="1:10" ht="12.5" x14ac:dyDescent="0.25">
      <c r="A665" s="2" t="str">
        <f ca="1">IFERROR(__xludf.DUMMYFUNCTION("""COMPUTED_VALUE"""),"KP/001837")</f>
        <v>KP/001837</v>
      </c>
      <c r="B665" s="2" t="str">
        <f ca="1">IFERROR(__xludf.DUMMYFUNCTION("""COMPUTED_VALUE"""),"Verkeersveiligheid")</f>
        <v>Verkeersveiligheid</v>
      </c>
      <c r="C665" s="2" t="str">
        <f ca="1">IFERROR(__xludf.DUMMYFUNCTION("""COMPUTED_VALUE"""),"Schoolroute")</f>
        <v>Schoolroute</v>
      </c>
      <c r="D665" s="2" t="str">
        <f ca="1">IFERROR(__xludf.DUMMYFUNCTION("""COMPUTED_VALUE"""),"IN/001911")</f>
        <v>IN/001911</v>
      </c>
      <c r="E665" s="2" t="str">
        <f ca="1">IFERROR(__xludf.DUMMYFUNCTION("UNIQUE(FILTER('export kabinetdashboard 1210202'!N:P,'export kabinetdashboard 1210202'!M:M=D665))"),"#N/A")</f>
        <v>#N/A</v>
      </c>
      <c r="H665" s="2">
        <f ca="1">SUMIFS('bedragen KIM (budgettering &amp; pl'!S:S,'bedragen KIM (budgettering &amp; pl'!B:B,A665,'bedragen KIM (budgettering &amp; pl'!F:F,D665)</f>
        <v>0</v>
      </c>
      <c r="I665" s="2" t="e">
        <f ca="1">SUMIFS(#REF!,#REF!,A665,#REF!,D665)</f>
        <v>#REF!</v>
      </c>
      <c r="J665" s="2" t="e">
        <f ca="1">SUMIFS(#REF!,#REF!,A665,#REF!,D665)</f>
        <v>#REF!</v>
      </c>
    </row>
    <row r="666" spans="1:10" ht="12.5" x14ac:dyDescent="0.25">
      <c r="A666" s="2" t="str">
        <f ca="1">IFERROR(__xludf.DUMMYFUNCTION("""COMPUTED_VALUE"""),"KP/001079")</f>
        <v>KP/001079</v>
      </c>
      <c r="B666" s="2" t="str">
        <f ca="1">IFERROR(__xludf.DUMMYFUNCTION("""COMPUTED_VALUE"""),"Verkeersveiligheid")</f>
        <v>Verkeersveiligheid</v>
      </c>
      <c r="C666" s="2" t="str">
        <f ca="1">IFERROR(__xludf.DUMMYFUNCTION("""COMPUTED_VALUE"""),"Schoolroute")</f>
        <v>Schoolroute</v>
      </c>
      <c r="D666" s="2" t="str">
        <f ca="1">IFERROR(__xludf.DUMMYFUNCTION("""COMPUTED_VALUE"""),"IN/001923")</f>
        <v>IN/001923</v>
      </c>
      <c r="E666" s="2" t="str">
        <f ca="1">IFERROR(__xludf.DUMMYFUNCTION("UNIQUE(FILTER('export kabinetdashboard 1210202'!N:P,'export kabinetdashboard 1210202'!M:M=D666))"),"Stad Leuven stelt AR op voor invoeren van zone 30 die ruimer is dan enkel de gewestweg.")</f>
        <v>Stad Leuven stelt AR op voor invoeren van zone 30 die ruimer is dan enkel de gewestweg.</v>
      </c>
      <c r="F666" s="2" t="str">
        <f ca="1">IFERROR(__xludf.DUMMYFUNCTION("""COMPUTED_VALUE"""),"2022 - Q4")</f>
        <v>2022 - Q4</v>
      </c>
      <c r="G666" s="2" t="str">
        <f ca="1">IFERROR(__xludf.DUMMYFUNCTION("""COMPUTED_VALUE"""),"2022 - Q4")</f>
        <v>2022 - Q4</v>
      </c>
      <c r="H666" s="2">
        <f ca="1">SUMIFS('bedragen KIM (budgettering &amp; pl'!S:S,'bedragen KIM (budgettering &amp; pl'!B:B,A666,'bedragen KIM (budgettering &amp; pl'!F:F,D666)</f>
        <v>2500</v>
      </c>
      <c r="I666" s="2" t="e">
        <f ca="1">SUMIFS(#REF!,#REF!,A666,#REF!,D666)</f>
        <v>#REF!</v>
      </c>
      <c r="J666" s="2" t="e">
        <f ca="1">SUMIFS(#REF!,#REF!,A666,#REF!,D666)</f>
        <v>#REF!</v>
      </c>
    </row>
    <row r="667" spans="1:10" ht="12.5" x14ac:dyDescent="0.25">
      <c r="A667" s="2" t="str">
        <f ca="1">IFERROR(__xludf.DUMMYFUNCTION("""COMPUTED_VALUE"""),"KP/000918")</f>
        <v>KP/000918</v>
      </c>
      <c r="B667" s="2" t="str">
        <f ca="1">IFERROR(__xludf.DUMMYFUNCTION("""COMPUTED_VALUE"""),"Verkeersveiligheid")</f>
        <v>Verkeersveiligheid</v>
      </c>
      <c r="C667" s="2" t="str">
        <f ca="1">IFERROR(__xludf.DUMMYFUNCTION("""COMPUTED_VALUE"""),"Schoolroute")</f>
        <v>Schoolroute</v>
      </c>
      <c r="D667" s="2" t="str">
        <f ca="1">IFERROR(__xludf.DUMMYFUNCTION("""COMPUTED_VALUE"""),"IN/001929")</f>
        <v>IN/001929</v>
      </c>
      <c r="E667" s="2" t="str">
        <f ca="1">IFERROR(__xludf.DUMMYFUNCTION("UNIQUE(FILTER('export kabinetdashboard 1210202'!N:P,'export kabinetdashboard 1210202'!M:M=D667))"),"#N/A")</f>
        <v>#N/A</v>
      </c>
      <c r="H667" s="2">
        <f ca="1">SUMIFS('bedragen KIM (budgettering &amp; pl'!S:S,'bedragen KIM (budgettering &amp; pl'!B:B,A667,'bedragen KIM (budgettering &amp; pl'!F:F,D667)</f>
        <v>20000</v>
      </c>
      <c r="I667" s="2" t="e">
        <f ca="1">SUMIFS(#REF!,#REF!,A667,#REF!,D667)</f>
        <v>#REF!</v>
      </c>
      <c r="J667" s="2" t="e">
        <f ca="1">SUMIFS(#REF!,#REF!,A667,#REF!,D667)</f>
        <v>#REF!</v>
      </c>
    </row>
    <row r="668" spans="1:10" ht="12.5" x14ac:dyDescent="0.25">
      <c r="A668" s="2" t="str">
        <f ca="1">IFERROR(__xludf.DUMMYFUNCTION("""COMPUTED_VALUE"""),"KP/001566")</f>
        <v>KP/001566</v>
      </c>
      <c r="B668" s="2" t="str">
        <f ca="1">IFERROR(__xludf.DUMMYFUNCTION("""COMPUTED_VALUE"""),"Verkeersveiligheid")</f>
        <v>Verkeersveiligheid</v>
      </c>
      <c r="C668" s="2" t="str">
        <f ca="1">IFERROR(__xludf.DUMMYFUNCTION("""COMPUTED_VALUE"""),"Schoolroute")</f>
        <v>Schoolroute</v>
      </c>
      <c r="D668" s="2" t="str">
        <f ca="1">IFERROR(__xludf.DUMMYFUNCTION("""COMPUTED_VALUE"""),"IN/001939")</f>
        <v>IN/001939</v>
      </c>
      <c r="E668" s="2" t="str">
        <f ca="1">IFERROR(__xludf.DUMMYFUNCTION("UNIQUE(FILTER('export kabinetdashboard 1210202'!N:P,'export kabinetdashboard 1210202'!M:M=D668))"),"Markeringen op kuispunt N444 met Poelstraat en Potaardeberg aanpassen")</f>
        <v>Markeringen op kuispunt N444 met Poelstraat en Potaardeberg aanpassen</v>
      </c>
      <c r="F668" s="2" t="str">
        <f ca="1">IFERROR(__xludf.DUMMYFUNCTION("""COMPUTED_VALUE"""),"2022 - Q3")</f>
        <v>2022 - Q3</v>
      </c>
      <c r="G668" s="2" t="str">
        <f ca="1">IFERROR(__xludf.DUMMYFUNCTION("""COMPUTED_VALUE"""),"2022 - Q2")</f>
        <v>2022 - Q2</v>
      </c>
      <c r="H668" s="2">
        <f ca="1">SUMIFS('bedragen KIM (budgettering &amp; pl'!S:S,'bedragen KIM (budgettering &amp; pl'!B:B,A668,'bedragen KIM (budgettering &amp; pl'!F:F,D668)</f>
        <v>1300</v>
      </c>
      <c r="I668" s="2" t="e">
        <f ca="1">SUMIFS(#REF!,#REF!,A668,#REF!,D668)</f>
        <v>#REF!</v>
      </c>
      <c r="J668" s="2" t="e">
        <f ca="1">SUMIFS(#REF!,#REF!,A668,#REF!,D668)</f>
        <v>#REF!</v>
      </c>
    </row>
    <row r="669" spans="1:10" ht="12.5" x14ac:dyDescent="0.25">
      <c r="A669" s="2" t="str">
        <f ca="1">IFERROR(__xludf.DUMMYFUNCTION("""COMPUTED_VALUE"""),"KP/000865")</f>
        <v>KP/000865</v>
      </c>
      <c r="B669" s="2" t="str">
        <f ca="1">IFERROR(__xludf.DUMMYFUNCTION("""COMPUTED_VALUE"""),"Verkeersveiligheid")</f>
        <v>Verkeersveiligheid</v>
      </c>
      <c r="C669" s="2" t="str">
        <f ca="1">IFERROR(__xludf.DUMMYFUNCTION("""COMPUTED_VALUE"""),"Schoolroute")</f>
        <v>Schoolroute</v>
      </c>
      <c r="D669" s="2" t="str">
        <f ca="1">IFERROR(__xludf.DUMMYFUNCTION("""COMPUTED_VALUE"""),"IN/001942")</f>
        <v>IN/001942</v>
      </c>
      <c r="E669" s="2" t="str">
        <f ca="1">IFERROR(__xludf.DUMMYFUNCTION("UNIQUE(FILTER('export kabinetdashboard 1210202'!N:P,'export kabinetdashboard 1210202'!M:M=D669))"),"#N/A")</f>
        <v>#N/A</v>
      </c>
      <c r="H669" s="2">
        <f ca="1">SUMIFS('bedragen KIM (budgettering &amp; pl'!S:S,'bedragen KIM (budgettering &amp; pl'!B:B,A669,'bedragen KIM (budgettering &amp; pl'!F:F,D669)</f>
        <v>0</v>
      </c>
      <c r="I669" s="2" t="e">
        <f ca="1">SUMIFS(#REF!,#REF!,A669,#REF!,D669)</f>
        <v>#REF!</v>
      </c>
      <c r="J669" s="2" t="e">
        <f ca="1">SUMIFS(#REF!,#REF!,A669,#REF!,D669)</f>
        <v>#REF!</v>
      </c>
    </row>
    <row r="670" spans="1:10" ht="12.5" x14ac:dyDescent="0.25">
      <c r="A670" s="2" t="str">
        <f ca="1">IFERROR(__xludf.DUMMYFUNCTION("""COMPUTED_VALUE"""),"KP/001340")</f>
        <v>KP/001340</v>
      </c>
      <c r="B670" s="2" t="str">
        <f ca="1">IFERROR(__xludf.DUMMYFUNCTION("""COMPUTED_VALUE"""),"Verkeersveiligheid")</f>
        <v>Verkeersveiligheid</v>
      </c>
      <c r="C670" s="2" t="str">
        <f ca="1">IFERROR(__xludf.DUMMYFUNCTION("""COMPUTED_VALUE"""),"Schoolroute")</f>
        <v>Schoolroute</v>
      </c>
      <c r="D670" s="2" t="str">
        <f ca="1">IFERROR(__xludf.DUMMYFUNCTION("""COMPUTED_VALUE"""),"IN/001942")</f>
        <v>IN/001942</v>
      </c>
      <c r="E670" s="2" t="str">
        <f ca="1">IFERROR(__xludf.DUMMYFUNCTION("UNIQUE(FILTER('export kabinetdashboard 1210202'!N:P,'export kabinetdashboard 1210202'!M:M=D670))"),"#N/A")</f>
        <v>#N/A</v>
      </c>
      <c r="H670" s="2">
        <f ca="1">SUMIFS('bedragen KIM (budgettering &amp; pl'!S:S,'bedragen KIM (budgettering &amp; pl'!B:B,A670,'bedragen KIM (budgettering &amp; pl'!F:F,D670)</f>
        <v>0</v>
      </c>
      <c r="I670" s="2" t="e">
        <f ca="1">SUMIFS(#REF!,#REF!,A670,#REF!,D670)</f>
        <v>#REF!</v>
      </c>
      <c r="J670" s="2" t="e">
        <f ca="1">SUMIFS(#REF!,#REF!,A670,#REF!,D670)</f>
        <v>#REF!</v>
      </c>
    </row>
    <row r="671" spans="1:10" ht="12.5" x14ac:dyDescent="0.25">
      <c r="A671" s="2" t="str">
        <f ca="1">IFERROR(__xludf.DUMMYFUNCTION("""COMPUTED_VALUE"""),"KP/000894")</f>
        <v>KP/000894</v>
      </c>
      <c r="B671" s="2" t="str">
        <f ca="1">IFERROR(__xludf.DUMMYFUNCTION("""COMPUTED_VALUE"""),"Verkeersveiligheid")</f>
        <v>Verkeersveiligheid</v>
      </c>
      <c r="C671" s="2" t="str">
        <f ca="1">IFERROR(__xludf.DUMMYFUNCTION("""COMPUTED_VALUE"""),"Schoolroute")</f>
        <v>Schoolroute</v>
      </c>
      <c r="D671" s="2" t="str">
        <f ca="1">IFERROR(__xludf.DUMMYFUNCTION("""COMPUTED_VALUE"""),"IN/001970")</f>
        <v>IN/001970</v>
      </c>
      <c r="E671" s="2" t="str">
        <f ca="1">IFERROR(__xludf.DUMMYFUNCTION("UNIQUE(FILTER('export kabinetdashboard 1210202'!N:P,'export kabinetdashboard 1210202'!M:M=D671))"),"#N/A")</f>
        <v>#N/A</v>
      </c>
      <c r="H671" s="2">
        <f ca="1">SUMIFS('bedragen KIM (budgettering &amp; pl'!S:S,'bedragen KIM (budgettering &amp; pl'!B:B,A671,'bedragen KIM (budgettering &amp; pl'!F:F,D671)</f>
        <v>0</v>
      </c>
      <c r="I671" s="2" t="e">
        <f ca="1">SUMIFS(#REF!,#REF!,A671,#REF!,D671)</f>
        <v>#REF!</v>
      </c>
      <c r="J671" s="2" t="e">
        <f ca="1">SUMIFS(#REF!,#REF!,A671,#REF!,D671)</f>
        <v>#REF!</v>
      </c>
    </row>
    <row r="672" spans="1:10" ht="12.5" x14ac:dyDescent="0.25">
      <c r="A672" s="2" t="str">
        <f ca="1">IFERROR(__xludf.DUMMYFUNCTION("""COMPUTED_VALUE"""),"KP/000806")</f>
        <v>KP/000806</v>
      </c>
      <c r="B672" s="2" t="str">
        <f ca="1">IFERROR(__xludf.DUMMYFUNCTION("""COMPUTED_VALUE"""),"Verkeersveiligheid")</f>
        <v>Verkeersveiligheid</v>
      </c>
      <c r="C672" s="2" t="str">
        <f ca="1">IFERROR(__xludf.DUMMYFUNCTION("""COMPUTED_VALUE"""),"Schoolroute")</f>
        <v>Schoolroute</v>
      </c>
      <c r="D672" s="2" t="str">
        <f ca="1">IFERROR(__xludf.DUMMYFUNCTION("""COMPUTED_VALUE"""),"IN/001974")</f>
        <v>IN/001974</v>
      </c>
      <c r="E672" s="2" t="str">
        <f ca="1">IFERROR(__xludf.DUMMYFUNCTION("UNIQUE(FILTER('export kabinetdashboard 1210202'!N:P,'export kabinetdashboard 1210202'!M:M=D672))"),"")</f>
        <v/>
      </c>
      <c r="F672" s="2" t="str">
        <f ca="1">IFERROR(__xludf.DUMMYFUNCTION("""COMPUTED_VALUE"""),"2022 - Q4")</f>
        <v>2022 - Q4</v>
      </c>
      <c r="G672" s="2" t="str">
        <f ca="1">IFERROR(__xludf.DUMMYFUNCTION("""COMPUTED_VALUE"""),"n.t.b.")</f>
        <v>n.t.b.</v>
      </c>
      <c r="H672" s="2">
        <f ca="1">SUMIFS('bedragen KIM (budgettering &amp; pl'!S:S,'bedragen KIM (budgettering &amp; pl'!B:B,A672,'bedragen KIM (budgettering &amp; pl'!F:F,D672)</f>
        <v>10000</v>
      </c>
      <c r="I672" s="2" t="e">
        <f ca="1">SUMIFS(#REF!,#REF!,A672,#REF!,D672)</f>
        <v>#REF!</v>
      </c>
      <c r="J672" s="2" t="e">
        <f ca="1">SUMIFS(#REF!,#REF!,A672,#REF!,D672)</f>
        <v>#REF!</v>
      </c>
    </row>
    <row r="673" spans="1:10" ht="12.5" x14ac:dyDescent="0.25">
      <c r="A673" s="2" t="str">
        <f ca="1">IFERROR(__xludf.DUMMYFUNCTION("""COMPUTED_VALUE"""),"KP/000806")</f>
        <v>KP/000806</v>
      </c>
      <c r="B673" s="2" t="str">
        <f ca="1">IFERROR(__xludf.DUMMYFUNCTION("""COMPUTED_VALUE"""),"Verkeersveiligheid")</f>
        <v>Verkeersveiligheid</v>
      </c>
      <c r="C673" s="2" t="str">
        <f ca="1">IFERROR(__xludf.DUMMYFUNCTION("""COMPUTED_VALUE"""),"Schoolroute")</f>
        <v>Schoolroute</v>
      </c>
      <c r="D673" s="2" t="str">
        <f ca="1">IFERROR(__xludf.DUMMYFUNCTION("""COMPUTED_VALUE"""),"IN/001975")</f>
        <v>IN/001975</v>
      </c>
      <c r="E673" s="2" t="str">
        <f ca="1">IFERROR(__xludf.DUMMYFUNCTION("UNIQUE(FILTER('export kabinetdashboard 1210202'!N:P,'export kabinetdashboard 1210202'!M:M=D673))"),"")</f>
        <v/>
      </c>
      <c r="F673" s="2" t="str">
        <f ca="1">IFERROR(__xludf.DUMMYFUNCTION("""COMPUTED_VALUE"""),"2023 - Q3")</f>
        <v>2023 - Q3</v>
      </c>
      <c r="G673" s="2" t="str">
        <f ca="1">IFERROR(__xludf.DUMMYFUNCTION("""COMPUTED_VALUE"""),"n.t.b.")</f>
        <v>n.t.b.</v>
      </c>
      <c r="H673" s="2">
        <f ca="1">SUMIFS('bedragen KIM (budgettering &amp; pl'!S:S,'bedragen KIM (budgettering &amp; pl'!B:B,A673,'bedragen KIM (budgettering &amp; pl'!F:F,D673)</f>
        <v>300000</v>
      </c>
      <c r="I673" s="2" t="e">
        <f ca="1">SUMIFS(#REF!,#REF!,A673,#REF!,D673)</f>
        <v>#REF!</v>
      </c>
      <c r="J673" s="2" t="e">
        <f ca="1">SUMIFS(#REF!,#REF!,A673,#REF!,D673)</f>
        <v>#REF!</v>
      </c>
    </row>
    <row r="674" spans="1:10" ht="12.5" x14ac:dyDescent="0.25">
      <c r="A674" s="2" t="str">
        <f ca="1">IFERROR(__xludf.DUMMYFUNCTION("""COMPUTED_VALUE"""),"KP/003823")</f>
        <v>KP/003823</v>
      </c>
      <c r="B674" s="2" t="str">
        <f ca="1">IFERROR(__xludf.DUMMYFUNCTION("""COMPUTED_VALUE"""),"Verkeersveiligheid")</f>
        <v>Verkeersveiligheid</v>
      </c>
      <c r="C674" s="2" t="str">
        <f ca="1">IFERROR(__xludf.DUMMYFUNCTION("""COMPUTED_VALUE"""),"Schoolroute")</f>
        <v>Schoolroute</v>
      </c>
      <c r="D674" s="2" t="str">
        <f ca="1">IFERROR(__xludf.DUMMYFUNCTION("""COMPUTED_VALUE"""),"IN/001984")</f>
        <v>IN/001984</v>
      </c>
      <c r="E674" s="2" t="str">
        <f ca="1">IFERROR(__xludf.DUMMYFUNCTION("UNIQUE(FILTER('export kabinetdashboard 1210202'!N:P,'export kabinetdashboard 1210202'!M:M=D674))"),"TC2021_345 uit centraal regsiter
Uitvoerbaarheid te bekijken bij plaatsbezoek")</f>
        <v>TC2021_345 uit centraal regsiter
Uitvoerbaarheid te bekijken bij plaatsbezoek</v>
      </c>
      <c r="F674" s="2" t="str">
        <f ca="1">IFERROR(__xludf.DUMMYFUNCTION("""COMPUTED_VALUE"""),"2022 - Q4")</f>
        <v>2022 - Q4</v>
      </c>
      <c r="G674" s="2" t="str">
        <f ca="1">IFERROR(__xludf.DUMMYFUNCTION("""COMPUTED_VALUE"""),"n.t.b.")</f>
        <v>n.t.b.</v>
      </c>
      <c r="H674" s="2">
        <f ca="1">SUMIFS('bedragen KIM (budgettering &amp; pl'!S:S,'bedragen KIM (budgettering &amp; pl'!B:B,A674,'bedragen KIM (budgettering &amp; pl'!F:F,D674)</f>
        <v>165000</v>
      </c>
      <c r="I674" s="2" t="e">
        <f ca="1">SUMIFS(#REF!,#REF!,A674,#REF!,D674)</f>
        <v>#REF!</v>
      </c>
      <c r="J674" s="2" t="e">
        <f ca="1">SUMIFS(#REF!,#REF!,A674,#REF!,D674)</f>
        <v>#REF!</v>
      </c>
    </row>
    <row r="675" spans="1:10" ht="12.5" x14ac:dyDescent="0.25">
      <c r="A675" s="2" t="str">
        <f ca="1">IFERROR(__xludf.DUMMYFUNCTION("""COMPUTED_VALUE"""),"KP/001197")</f>
        <v>KP/001197</v>
      </c>
      <c r="B675" s="2" t="str">
        <f ca="1">IFERROR(__xludf.DUMMYFUNCTION("""COMPUTED_VALUE"""),"Verkeersveiligheid")</f>
        <v>Verkeersveiligheid</v>
      </c>
      <c r="C675" s="2" t="str">
        <f ca="1">IFERROR(__xludf.DUMMYFUNCTION("""COMPUTED_VALUE"""),"Schoolroute")</f>
        <v>Schoolroute</v>
      </c>
      <c r="D675" s="2" t="str">
        <f ca="1">IFERROR(__xludf.DUMMYFUNCTION("""COMPUTED_VALUE"""),"IN/001985")</f>
        <v>IN/001985</v>
      </c>
      <c r="E675" s="2" t="str">
        <f ca="1">IFERROR(__xludf.DUMMYFUNCTION("UNIQUE(FILTER('export kabinetdashboard 1210202'!N:P,'export kabinetdashboard 1210202'!M:M=D675))"),"#N/A")</f>
        <v>#N/A</v>
      </c>
      <c r="H675" s="2">
        <f ca="1">SUMIFS('bedragen KIM (budgettering &amp; pl'!S:S,'bedragen KIM (budgettering &amp; pl'!B:B,A675,'bedragen KIM (budgettering &amp; pl'!F:F,D675)</f>
        <v>165000</v>
      </c>
      <c r="I675" s="2" t="e">
        <f ca="1">SUMIFS(#REF!,#REF!,A675,#REF!,D675)</f>
        <v>#REF!</v>
      </c>
      <c r="J675" s="2" t="e">
        <f ca="1">SUMIFS(#REF!,#REF!,A675,#REF!,D675)</f>
        <v>#REF!</v>
      </c>
    </row>
    <row r="676" spans="1:10" ht="12.5" x14ac:dyDescent="0.25">
      <c r="A676" s="2" t="str">
        <f ca="1">IFERROR(__xludf.DUMMYFUNCTION("""COMPUTED_VALUE"""),"KP/001026")</f>
        <v>KP/001026</v>
      </c>
      <c r="B676" s="2" t="str">
        <f ca="1">IFERROR(__xludf.DUMMYFUNCTION("""COMPUTED_VALUE"""),"Verkeersveiligheid")</f>
        <v>Verkeersveiligheid</v>
      </c>
      <c r="C676" s="2" t="str">
        <f ca="1">IFERROR(__xludf.DUMMYFUNCTION("""COMPUTED_VALUE"""),"Schoolroute")</f>
        <v>Schoolroute</v>
      </c>
      <c r="D676" s="2" t="str">
        <f ca="1">IFERROR(__xludf.DUMMYFUNCTION("""COMPUTED_VALUE"""),"IN/001986")</f>
        <v>IN/001986</v>
      </c>
      <c r="E676" s="2" t="str">
        <f ca="1">IFERROR(__xludf.DUMMYFUNCTION("UNIQUE(FILTER('export kabinetdashboard 1210202'!N:P,'export kabinetdashboard 1210202'!M:M=D676))"),"#N/A")</f>
        <v>#N/A</v>
      </c>
      <c r="H676" s="2">
        <f ca="1">SUMIFS('bedragen KIM (budgettering &amp; pl'!S:S,'bedragen KIM (budgettering &amp; pl'!B:B,A676,'bedragen KIM (budgettering &amp; pl'!F:F,D676)</f>
        <v>165000</v>
      </c>
      <c r="I676" s="2" t="e">
        <f ca="1">SUMIFS(#REF!,#REF!,A676,#REF!,D676)</f>
        <v>#REF!</v>
      </c>
      <c r="J676" s="2" t="e">
        <f ca="1">SUMIFS(#REF!,#REF!,A676,#REF!,D676)</f>
        <v>#REF!</v>
      </c>
    </row>
    <row r="677" spans="1:10" ht="12.5" x14ac:dyDescent="0.25">
      <c r="A677" s="2" t="str">
        <f ca="1">IFERROR(__xludf.DUMMYFUNCTION("""COMPUTED_VALUE"""),"KP/001650")</f>
        <v>KP/001650</v>
      </c>
      <c r="B677" s="2" t="str">
        <f ca="1">IFERROR(__xludf.DUMMYFUNCTION("""COMPUTED_VALUE"""),"Verkeersveiligheid")</f>
        <v>Verkeersveiligheid</v>
      </c>
      <c r="C677" s="2" t="str">
        <f ca="1">IFERROR(__xludf.DUMMYFUNCTION("""COMPUTED_VALUE"""),"Schoolroute")</f>
        <v>Schoolroute</v>
      </c>
      <c r="D677" s="2" t="str">
        <f ca="1">IFERROR(__xludf.DUMMYFUNCTION("""COMPUTED_VALUE"""),"IN/001995")</f>
        <v>IN/001995</v>
      </c>
      <c r="E677" s="2" t="str">
        <f ca="1">IFERROR(__xludf.DUMMYFUNCTION("UNIQUE(FILTER('export kabinetdashboard 1210202'!N:P,'export kabinetdashboard 1210202'!M:M=D677))"),"Het kruispunt wordt (deels) voorzien van rechtsaf door rood + infrastructurele aanpassingen ter verbetering van de geleiding van en naar de Raapstraat (kant centrum) uit te voeren. De borden B22 zijn aangebracht, de infrastructurele aanpassingen zijn voor"&amp;"zien.")</f>
        <v>Het kruispunt wordt (deels) voorzien van rechtsaf door rood + infrastructurele aanpassingen ter verbetering van de geleiding van en naar de Raapstraat (kant centrum) uit te voeren. De borden B22 zijn aangebracht, de infrastructurele aanpassingen zijn voorzien.</v>
      </c>
      <c r="F677" s="2" t="str">
        <f ca="1">IFERROR(__xludf.DUMMYFUNCTION("""COMPUTED_VALUE"""),"2022 - Q1")</f>
        <v>2022 - Q1</v>
      </c>
      <c r="G677" s="2" t="str">
        <f ca="1">IFERROR(__xludf.DUMMYFUNCTION("""COMPUTED_VALUE"""),"2021 - Q4")</f>
        <v>2021 - Q4</v>
      </c>
      <c r="H677" s="2">
        <f ca="1">SUMIFS('bedragen KIM (budgettering &amp; pl'!S:S,'bedragen KIM (budgettering &amp; pl'!B:B,A677,'bedragen KIM (budgettering &amp; pl'!F:F,D677)</f>
        <v>250</v>
      </c>
      <c r="I677" s="2" t="e">
        <f ca="1">SUMIFS(#REF!,#REF!,A677,#REF!,D677)</f>
        <v>#REF!</v>
      </c>
      <c r="J677" s="2" t="e">
        <f ca="1">SUMIFS(#REF!,#REF!,A677,#REF!,D677)</f>
        <v>#REF!</v>
      </c>
    </row>
    <row r="678" spans="1:10" ht="12.5" x14ac:dyDescent="0.25">
      <c r="A678" s="2" t="str">
        <f ca="1">IFERROR(__xludf.DUMMYFUNCTION("""COMPUTED_VALUE"""),"KP/001613")</f>
        <v>KP/001613</v>
      </c>
      <c r="B678" s="2" t="str">
        <f ca="1">IFERROR(__xludf.DUMMYFUNCTION("""COMPUTED_VALUE"""),"Verkeersveiligheid")</f>
        <v>Verkeersveiligheid</v>
      </c>
      <c r="C678" s="2" t="str">
        <f ca="1">IFERROR(__xludf.DUMMYFUNCTION("""COMPUTED_VALUE"""),"Schoolroute")</f>
        <v>Schoolroute</v>
      </c>
      <c r="D678" s="2" t="str">
        <f ca="1">IFERROR(__xludf.DUMMYFUNCTION("""COMPUTED_VALUE"""),"IN/001996")</f>
        <v>IN/001996</v>
      </c>
      <c r="E678" s="2" t="str">
        <f ca="1">IFERROR(__xludf.DUMMYFUNCTION("UNIQUE(FILTER('export kabinetdashboard 1210202'!N:P,'export kabinetdashboard 1210202'!M:M=D678))"),"")</f>
        <v/>
      </c>
      <c r="F678" s="2" t="str">
        <f ca="1">IFERROR(__xludf.DUMMYFUNCTION("""COMPUTED_VALUE"""),"2022 - Q1")</f>
        <v>2022 - Q1</v>
      </c>
      <c r="G678" s="2" t="str">
        <f ca="1">IFERROR(__xludf.DUMMYFUNCTION("""COMPUTED_VALUE"""),"2021 - Q4")</f>
        <v>2021 - Q4</v>
      </c>
      <c r="H678" s="2">
        <f ca="1">SUMIFS('bedragen KIM (budgettering &amp; pl'!S:S,'bedragen KIM (budgettering &amp; pl'!B:B,A678,'bedragen KIM (budgettering &amp; pl'!F:F,D678)</f>
        <v>200</v>
      </c>
      <c r="I678" s="2" t="e">
        <f ca="1">SUMIFS(#REF!,#REF!,A678,#REF!,D678)</f>
        <v>#REF!</v>
      </c>
      <c r="J678" s="2" t="e">
        <f ca="1">SUMIFS(#REF!,#REF!,A678,#REF!,D678)</f>
        <v>#REF!</v>
      </c>
    </row>
    <row r="679" spans="1:10" ht="12.5" x14ac:dyDescent="0.25">
      <c r="A679" s="2" t="str">
        <f ca="1">IFERROR(__xludf.DUMMYFUNCTION("""COMPUTED_VALUE"""),"KP/001609")</f>
        <v>KP/001609</v>
      </c>
      <c r="B679" s="2" t="str">
        <f ca="1">IFERROR(__xludf.DUMMYFUNCTION("""COMPUTED_VALUE"""),"Verkeersveiligheid")</f>
        <v>Verkeersveiligheid</v>
      </c>
      <c r="C679" s="2" t="str">
        <f ca="1">IFERROR(__xludf.DUMMYFUNCTION("""COMPUTED_VALUE"""),"Schoolroute")</f>
        <v>Schoolroute</v>
      </c>
      <c r="D679" s="2" t="str">
        <f ca="1">IFERROR(__xludf.DUMMYFUNCTION("""COMPUTED_VALUE"""),"IN/001997")</f>
        <v>IN/001997</v>
      </c>
      <c r="E679" s="2" t="str">
        <f ca="1">IFERROR(__xludf.DUMMYFUNCTION("UNIQUE(FILTER('export kabinetdashboard 1210202'!N:P,'export kabinetdashboard 1210202'!M:M=D679))"),"")</f>
        <v/>
      </c>
      <c r="F679" s="2" t="str">
        <f ca="1">IFERROR(__xludf.DUMMYFUNCTION("""COMPUTED_VALUE"""),"2022 - Q1")</f>
        <v>2022 - Q1</v>
      </c>
      <c r="G679" s="2" t="str">
        <f ca="1">IFERROR(__xludf.DUMMYFUNCTION("""COMPUTED_VALUE"""),"2021 - Q1")</f>
        <v>2021 - Q1</v>
      </c>
      <c r="H679" s="2">
        <f ca="1">SUMIFS('bedragen KIM (budgettering &amp; pl'!S:S,'bedragen KIM (budgettering &amp; pl'!B:B,A679,'bedragen KIM (budgettering &amp; pl'!F:F,D679)</f>
        <v>700</v>
      </c>
      <c r="I679" s="2" t="e">
        <f ca="1">SUMIFS(#REF!,#REF!,A679,#REF!,D679)</f>
        <v>#REF!</v>
      </c>
      <c r="J679" s="2" t="e">
        <f ca="1">SUMIFS(#REF!,#REF!,A679,#REF!,D679)</f>
        <v>#REF!</v>
      </c>
    </row>
    <row r="680" spans="1:10" ht="12.5" x14ac:dyDescent="0.25">
      <c r="A680" s="2" t="str">
        <f ca="1">IFERROR(__xludf.DUMMYFUNCTION("""COMPUTED_VALUE"""),"KP/001604")</f>
        <v>KP/001604</v>
      </c>
      <c r="B680" s="2" t="str">
        <f ca="1">IFERROR(__xludf.DUMMYFUNCTION("""COMPUTED_VALUE"""),"Verkeersveiligheid")</f>
        <v>Verkeersveiligheid</v>
      </c>
      <c r="C680" s="2" t="str">
        <f ca="1">IFERROR(__xludf.DUMMYFUNCTION("""COMPUTED_VALUE"""),"Schoolroute")</f>
        <v>Schoolroute</v>
      </c>
      <c r="D680" s="2" t="str">
        <f ca="1">IFERROR(__xludf.DUMMYFUNCTION("""COMPUTED_VALUE"""),"IN/001998")</f>
        <v>IN/001998</v>
      </c>
      <c r="E680" s="2" t="str">
        <f ca="1">IFERROR(__xludf.DUMMYFUNCTION("UNIQUE(FILTER('export kabinetdashboard 1210202'!N:P,'export kabinetdashboard 1210202'!M:M=D680))"),"")</f>
        <v/>
      </c>
      <c r="F680" s="2" t="str">
        <f ca="1">IFERROR(__xludf.DUMMYFUNCTION("""COMPUTED_VALUE"""),"2022 - Q1")</f>
        <v>2022 - Q1</v>
      </c>
      <c r="G680" s="2" t="str">
        <f ca="1">IFERROR(__xludf.DUMMYFUNCTION("""COMPUTED_VALUE"""),"2021 - Q1")</f>
        <v>2021 - Q1</v>
      </c>
      <c r="H680" s="2">
        <f ca="1">SUMIFS('bedragen KIM (budgettering &amp; pl'!S:S,'bedragen KIM (budgettering &amp; pl'!B:B,A680,'bedragen KIM (budgettering &amp; pl'!F:F,D680)</f>
        <v>900</v>
      </c>
      <c r="I680" s="2" t="e">
        <f ca="1">SUMIFS(#REF!,#REF!,A680,#REF!,D680)</f>
        <v>#REF!</v>
      </c>
      <c r="J680" s="2" t="e">
        <f ca="1">SUMIFS(#REF!,#REF!,A680,#REF!,D680)</f>
        <v>#REF!</v>
      </c>
    </row>
    <row r="681" spans="1:10" ht="12.5" x14ac:dyDescent="0.25">
      <c r="A681" s="2" t="str">
        <f ca="1">IFERROR(__xludf.DUMMYFUNCTION("""COMPUTED_VALUE"""),"KP/001603")</f>
        <v>KP/001603</v>
      </c>
      <c r="B681" s="2" t="str">
        <f ca="1">IFERROR(__xludf.DUMMYFUNCTION("""COMPUTED_VALUE"""),"Verkeersveiligheid")</f>
        <v>Verkeersveiligheid</v>
      </c>
      <c r="C681" s="2" t="str">
        <f ca="1">IFERROR(__xludf.DUMMYFUNCTION("""COMPUTED_VALUE"""),"Schoolroute")</f>
        <v>Schoolroute</v>
      </c>
      <c r="D681" s="2" t="str">
        <f ca="1">IFERROR(__xludf.DUMMYFUNCTION("""COMPUTED_VALUE"""),"IN/001999")</f>
        <v>IN/001999</v>
      </c>
      <c r="E681" s="2" t="str">
        <f ca="1">IFERROR(__xludf.DUMMYFUNCTION("UNIQUE(FILTER('export kabinetdashboard 1210202'!N:P,'export kabinetdashboard 1210202'!M:M=D681))"),"SRK: Wegdek en oversteekmarkeringen")</f>
        <v>SRK: Wegdek en oversteekmarkeringen</v>
      </c>
      <c r="F681" s="2" t="str">
        <f ca="1">IFERROR(__xludf.DUMMYFUNCTION("""COMPUTED_VALUE"""),"2022 - Q1")</f>
        <v>2022 - Q1</v>
      </c>
      <c r="G681" s="2" t="str">
        <f ca="1">IFERROR(__xludf.DUMMYFUNCTION("""COMPUTED_VALUE"""),"2021 - Q4")</f>
        <v>2021 - Q4</v>
      </c>
      <c r="H681" s="2">
        <f ca="1">SUMIFS('bedragen KIM (budgettering &amp; pl'!S:S,'bedragen KIM (budgettering &amp; pl'!B:B,A681,'bedragen KIM (budgettering &amp; pl'!F:F,D681)</f>
        <v>2100</v>
      </c>
      <c r="I681" s="2" t="e">
        <f ca="1">SUMIFS(#REF!,#REF!,A681,#REF!,D681)</f>
        <v>#REF!</v>
      </c>
      <c r="J681" s="2" t="e">
        <f ca="1">SUMIFS(#REF!,#REF!,A681,#REF!,D681)</f>
        <v>#REF!</v>
      </c>
    </row>
    <row r="682" spans="1:10" ht="12.5" x14ac:dyDescent="0.25">
      <c r="A682" s="2" t="str">
        <f ca="1">IFERROR(__xludf.DUMMYFUNCTION("""COMPUTED_VALUE"""),"KP/001601")</f>
        <v>KP/001601</v>
      </c>
      <c r="B682" s="2" t="str">
        <f ca="1">IFERROR(__xludf.DUMMYFUNCTION("""COMPUTED_VALUE"""),"Verkeersveiligheid")</f>
        <v>Verkeersveiligheid</v>
      </c>
      <c r="C682" s="2" t="str">
        <f ca="1">IFERROR(__xludf.DUMMYFUNCTION("""COMPUTED_VALUE"""),"Schoolroute")</f>
        <v>Schoolroute</v>
      </c>
      <c r="D682" s="2" t="str">
        <f ca="1">IFERROR(__xludf.DUMMYFUNCTION("""COMPUTED_VALUE"""),"IN/002000")</f>
        <v>IN/002000</v>
      </c>
      <c r="E682" s="2" t="str">
        <f ca="1">IFERROR(__xludf.DUMMYFUNCTION("UNIQUE(FILTER('export kabinetdashboard 1210202'!N:P,'export kabinetdashboard 1210202'!M:M=D682))"),"")</f>
        <v/>
      </c>
      <c r="F682" s="2" t="str">
        <f ca="1">IFERROR(__xludf.DUMMYFUNCTION("""COMPUTED_VALUE"""),"2022 - Q1")</f>
        <v>2022 - Q1</v>
      </c>
      <c r="G682" s="2" t="str">
        <f ca="1">IFERROR(__xludf.DUMMYFUNCTION("""COMPUTED_VALUE"""),"2021 - Q4")</f>
        <v>2021 - Q4</v>
      </c>
      <c r="H682" s="2">
        <f ca="1">SUMIFS('bedragen KIM (budgettering &amp; pl'!S:S,'bedragen KIM (budgettering &amp; pl'!B:B,A682,'bedragen KIM (budgettering &amp; pl'!F:F,D682)</f>
        <v>1100</v>
      </c>
      <c r="I682" s="2" t="e">
        <f ca="1">SUMIFS(#REF!,#REF!,A682,#REF!,D682)</f>
        <v>#REF!</v>
      </c>
      <c r="J682" s="2" t="e">
        <f ca="1">SUMIFS(#REF!,#REF!,A682,#REF!,D682)</f>
        <v>#REF!</v>
      </c>
    </row>
    <row r="683" spans="1:10" ht="12.5" x14ac:dyDescent="0.25">
      <c r="A683" s="2" t="str">
        <f ca="1">IFERROR(__xludf.DUMMYFUNCTION("""COMPUTED_VALUE"""),"KP/001600")</f>
        <v>KP/001600</v>
      </c>
      <c r="B683" s="2" t="str">
        <f ca="1">IFERROR(__xludf.DUMMYFUNCTION("""COMPUTED_VALUE"""),"Verkeersveiligheid")</f>
        <v>Verkeersveiligheid</v>
      </c>
      <c r="C683" s="2" t="str">
        <f ca="1">IFERROR(__xludf.DUMMYFUNCTION("""COMPUTED_VALUE"""),"Schoolroute")</f>
        <v>Schoolroute</v>
      </c>
      <c r="D683" s="2" t="str">
        <f ca="1">IFERROR(__xludf.DUMMYFUNCTION("""COMPUTED_VALUE"""),"IN/002001")</f>
        <v>IN/002001</v>
      </c>
      <c r="E683" s="2" t="str">
        <f ca="1">IFERROR(__xludf.DUMMYFUNCTION("UNIQUE(FILTER('export kabinetdashboard 1210202'!N:P,'export kabinetdashboard 1210202'!M:M=D683))"),"")</f>
        <v/>
      </c>
      <c r="F683" s="2" t="str">
        <f ca="1">IFERROR(__xludf.DUMMYFUNCTION("""COMPUTED_VALUE"""),"2022 - Q4")</f>
        <v>2022 - Q4</v>
      </c>
      <c r="G683" s="2" t="str">
        <f ca="1">IFERROR(__xludf.DUMMYFUNCTION("""COMPUTED_VALUE"""),"2021 - Q4")</f>
        <v>2021 - Q4</v>
      </c>
      <c r="H683" s="2">
        <f ca="1">SUMIFS('bedragen KIM (budgettering &amp; pl'!S:S,'bedragen KIM (budgettering &amp; pl'!B:B,A683,'bedragen KIM (budgettering &amp; pl'!F:F,D683)</f>
        <v>1</v>
      </c>
      <c r="I683" s="2" t="e">
        <f ca="1">SUMIFS(#REF!,#REF!,A683,#REF!,D683)</f>
        <v>#REF!</v>
      </c>
      <c r="J683" s="2" t="e">
        <f ca="1">SUMIFS(#REF!,#REF!,A683,#REF!,D683)</f>
        <v>#REF!</v>
      </c>
    </row>
    <row r="684" spans="1:10" ht="12.5" x14ac:dyDescent="0.25">
      <c r="A684" s="2" t="str">
        <f ca="1">IFERROR(__xludf.DUMMYFUNCTION("""COMPUTED_VALUE"""),"KP/001587")</f>
        <v>KP/001587</v>
      </c>
      <c r="B684" s="2" t="str">
        <f ca="1">IFERROR(__xludf.DUMMYFUNCTION("""COMPUTED_VALUE"""),"Verkeersveiligheid")</f>
        <v>Verkeersveiligheid</v>
      </c>
      <c r="C684" s="2" t="str">
        <f ca="1">IFERROR(__xludf.DUMMYFUNCTION("""COMPUTED_VALUE"""),"Schoolroute")</f>
        <v>Schoolroute</v>
      </c>
      <c r="D684" s="2" t="str">
        <f ca="1">IFERROR(__xludf.DUMMYFUNCTION("""COMPUTED_VALUE"""),"IN/002002")</f>
        <v>IN/002002</v>
      </c>
      <c r="E684" s="2" t="str">
        <f ca="1">IFERROR(__xludf.DUMMYFUNCTION("UNIQUE(FILTER('export kabinetdashboard 1210202'!N:P,'export kabinetdashboard 1210202'!M:M=D684))"),"")</f>
        <v/>
      </c>
      <c r="F684" s="2" t="str">
        <f ca="1">IFERROR(__xludf.DUMMYFUNCTION("""COMPUTED_VALUE"""),"2022 - Q1")</f>
        <v>2022 - Q1</v>
      </c>
      <c r="G684" s="2" t="str">
        <f ca="1">IFERROR(__xludf.DUMMYFUNCTION("""COMPUTED_VALUE"""),"2021 - Q3")</f>
        <v>2021 - Q3</v>
      </c>
      <c r="H684" s="2">
        <f ca="1">SUMIFS('bedragen KIM (budgettering &amp; pl'!S:S,'bedragen KIM (budgettering &amp; pl'!B:B,A684,'bedragen KIM (budgettering &amp; pl'!F:F,D684)</f>
        <v>200</v>
      </c>
      <c r="I684" s="2" t="e">
        <f ca="1">SUMIFS(#REF!,#REF!,A684,#REF!,D684)</f>
        <v>#REF!</v>
      </c>
      <c r="J684" s="2" t="e">
        <f ca="1">SUMIFS(#REF!,#REF!,A684,#REF!,D684)</f>
        <v>#REF!</v>
      </c>
    </row>
    <row r="685" spans="1:10" ht="12.5" x14ac:dyDescent="0.25">
      <c r="A685" s="2" t="str">
        <f ca="1">IFERROR(__xludf.DUMMYFUNCTION("""COMPUTED_VALUE"""),"KP/001585")</f>
        <v>KP/001585</v>
      </c>
      <c r="B685" s="2" t="str">
        <f ca="1">IFERROR(__xludf.DUMMYFUNCTION("""COMPUTED_VALUE"""),"Verkeersveiligheid")</f>
        <v>Verkeersveiligheid</v>
      </c>
      <c r="C685" s="2" t="str">
        <f ca="1">IFERROR(__xludf.DUMMYFUNCTION("""COMPUTED_VALUE"""),"Schoolroute")</f>
        <v>Schoolroute</v>
      </c>
      <c r="D685" s="2" t="str">
        <f ca="1">IFERROR(__xludf.DUMMYFUNCTION("""COMPUTED_VALUE"""),"IN/002003")</f>
        <v>IN/002003</v>
      </c>
      <c r="E685" s="2" t="str">
        <f ca="1">IFERROR(__xludf.DUMMYFUNCTION("UNIQUE(FILTER('export kabinetdashboard 1210202'!N:P,'export kabinetdashboard 1210202'!M:M=D685))"),"")</f>
        <v/>
      </c>
      <c r="F685" s="2" t="str">
        <f ca="1">IFERROR(__xludf.DUMMYFUNCTION("""COMPUTED_VALUE"""),"2022 - Q1")</f>
        <v>2022 - Q1</v>
      </c>
      <c r="G685" s="2" t="str">
        <f ca="1">IFERROR(__xludf.DUMMYFUNCTION("""COMPUTED_VALUE"""),"2021 - Q3")</f>
        <v>2021 - Q3</v>
      </c>
      <c r="H685" s="2">
        <f ca="1">SUMIFS('bedragen KIM (budgettering &amp; pl'!S:S,'bedragen KIM (budgettering &amp; pl'!B:B,A685,'bedragen KIM (budgettering &amp; pl'!F:F,D685)</f>
        <v>800</v>
      </c>
      <c r="I685" s="2" t="e">
        <f ca="1">SUMIFS(#REF!,#REF!,A685,#REF!,D685)</f>
        <v>#REF!</v>
      </c>
      <c r="J685" s="2" t="e">
        <f ca="1">SUMIFS(#REF!,#REF!,A685,#REF!,D685)</f>
        <v>#REF!</v>
      </c>
    </row>
    <row r="686" spans="1:10" ht="12.5" x14ac:dyDescent="0.25">
      <c r="A686" s="2" t="str">
        <f ca="1">IFERROR(__xludf.DUMMYFUNCTION("""COMPUTED_VALUE"""),"KP/001584")</f>
        <v>KP/001584</v>
      </c>
      <c r="B686" s="2" t="str">
        <f ca="1">IFERROR(__xludf.DUMMYFUNCTION("""COMPUTED_VALUE"""),"Verkeersveiligheid")</f>
        <v>Verkeersveiligheid</v>
      </c>
      <c r="C686" s="2" t="str">
        <f ca="1">IFERROR(__xludf.DUMMYFUNCTION("""COMPUTED_VALUE"""),"Schoolroute")</f>
        <v>Schoolroute</v>
      </c>
      <c r="D686" s="2" t="str">
        <f ca="1">IFERROR(__xludf.DUMMYFUNCTION("""COMPUTED_VALUE"""),"IN/002004")</f>
        <v>IN/002004</v>
      </c>
      <c r="E686" s="2" t="str">
        <f ca="1">IFERROR(__xludf.DUMMYFUNCTION("UNIQUE(FILTER('export kabinetdashboard 1210202'!N:P,'export kabinetdashboard 1210202'!M:M=D686))"),"")</f>
        <v/>
      </c>
      <c r="F686" s="2" t="str">
        <f ca="1">IFERROR(__xludf.DUMMYFUNCTION("""COMPUTED_VALUE"""),"2022 - Q1")</f>
        <v>2022 - Q1</v>
      </c>
      <c r="G686" s="2" t="str">
        <f ca="1">IFERROR(__xludf.DUMMYFUNCTION("""COMPUTED_VALUE"""),"2021 - Q4")</f>
        <v>2021 - Q4</v>
      </c>
      <c r="H686" s="2">
        <f ca="1">SUMIFS('bedragen KIM (budgettering &amp; pl'!S:S,'bedragen KIM (budgettering &amp; pl'!B:B,A686,'bedragen KIM (budgettering &amp; pl'!F:F,D686)</f>
        <v>900</v>
      </c>
      <c r="I686" s="2" t="e">
        <f ca="1">SUMIFS(#REF!,#REF!,A686,#REF!,D686)</f>
        <v>#REF!</v>
      </c>
      <c r="J686" s="2" t="e">
        <f ca="1">SUMIFS(#REF!,#REF!,A686,#REF!,D686)</f>
        <v>#REF!</v>
      </c>
    </row>
    <row r="687" spans="1:10" ht="12.5" x14ac:dyDescent="0.25">
      <c r="A687" s="2" t="str">
        <f ca="1">IFERROR(__xludf.DUMMYFUNCTION("""COMPUTED_VALUE"""),"KP/001579")</f>
        <v>KP/001579</v>
      </c>
      <c r="B687" s="2" t="str">
        <f ca="1">IFERROR(__xludf.DUMMYFUNCTION("""COMPUTED_VALUE"""),"Verkeersveiligheid")</f>
        <v>Verkeersveiligheid</v>
      </c>
      <c r="C687" s="2" t="str">
        <f ca="1">IFERROR(__xludf.DUMMYFUNCTION("""COMPUTED_VALUE"""),"Schoolroute")</f>
        <v>Schoolroute</v>
      </c>
      <c r="D687" s="2" t="str">
        <f ca="1">IFERROR(__xludf.DUMMYFUNCTION("""COMPUTED_VALUE"""),"IN/002005")</f>
        <v>IN/002005</v>
      </c>
      <c r="E687" s="2" t="str">
        <f ca="1">IFERROR(__xludf.DUMMYFUNCTION("UNIQUE(FILTER('export kabinetdashboard 1210202'!N:P,'export kabinetdashboard 1210202'!M:M=D687))"),"")</f>
        <v/>
      </c>
      <c r="F687" s="2" t="str">
        <f ca="1">IFERROR(__xludf.DUMMYFUNCTION("""COMPUTED_VALUE"""),"2022 - Q1")</f>
        <v>2022 - Q1</v>
      </c>
      <c r="G687" s="2" t="str">
        <f ca="1">IFERROR(__xludf.DUMMYFUNCTION("""COMPUTED_VALUE"""),"2021 - Q4")</f>
        <v>2021 - Q4</v>
      </c>
      <c r="H687" s="2">
        <f ca="1">SUMIFS('bedragen KIM (budgettering &amp; pl'!S:S,'bedragen KIM (budgettering &amp; pl'!B:B,A687,'bedragen KIM (budgettering &amp; pl'!F:F,D687)</f>
        <v>1300</v>
      </c>
      <c r="I687" s="2" t="e">
        <f ca="1">SUMIFS(#REF!,#REF!,A687,#REF!,D687)</f>
        <v>#REF!</v>
      </c>
      <c r="J687" s="2" t="e">
        <f ca="1">SUMIFS(#REF!,#REF!,A687,#REF!,D687)</f>
        <v>#REF!</v>
      </c>
    </row>
    <row r="688" spans="1:10" ht="12.5" x14ac:dyDescent="0.25">
      <c r="A688" s="2" t="str">
        <f ca="1">IFERROR(__xludf.DUMMYFUNCTION("""COMPUTED_VALUE"""),"KP/001576")</f>
        <v>KP/001576</v>
      </c>
      <c r="B688" s="2" t="str">
        <f ca="1">IFERROR(__xludf.DUMMYFUNCTION("""COMPUTED_VALUE"""),"Verkeersveiligheid")</f>
        <v>Verkeersveiligheid</v>
      </c>
      <c r="C688" s="2" t="str">
        <f ca="1">IFERROR(__xludf.DUMMYFUNCTION("""COMPUTED_VALUE"""),"Schoolroute")</f>
        <v>Schoolroute</v>
      </c>
      <c r="D688" s="2" t="str">
        <f ca="1">IFERROR(__xludf.DUMMYFUNCTION("""COMPUTED_VALUE"""),"IN/002006")</f>
        <v>IN/002006</v>
      </c>
      <c r="E688" s="2" t="str">
        <f ca="1">IFERROR(__xludf.DUMMYFUNCTION("UNIQUE(FILTER('export kabinetdashboard 1210202'!N:P,'export kabinetdashboard 1210202'!M:M=D688))"),"")</f>
        <v/>
      </c>
      <c r="F688" s="2" t="str">
        <f ca="1">IFERROR(__xludf.DUMMYFUNCTION("""COMPUTED_VALUE"""),"2022 - Q1")</f>
        <v>2022 - Q1</v>
      </c>
      <c r="G688" s="2" t="str">
        <f ca="1">IFERROR(__xludf.DUMMYFUNCTION("""COMPUTED_VALUE"""),"2021 - Q3")</f>
        <v>2021 - Q3</v>
      </c>
      <c r="H688" s="2">
        <f ca="1">SUMIFS('bedragen KIM (budgettering &amp; pl'!S:S,'bedragen KIM (budgettering &amp; pl'!B:B,A688,'bedragen KIM (budgettering &amp; pl'!F:F,D688)</f>
        <v>1200</v>
      </c>
      <c r="I688" s="2" t="e">
        <f ca="1">SUMIFS(#REF!,#REF!,A688,#REF!,D688)</f>
        <v>#REF!</v>
      </c>
      <c r="J688" s="2" t="e">
        <f ca="1">SUMIFS(#REF!,#REF!,A688,#REF!,D688)</f>
        <v>#REF!</v>
      </c>
    </row>
    <row r="689" spans="1:10" ht="12.5" x14ac:dyDescent="0.25">
      <c r="A689" s="2" t="str">
        <f ca="1">IFERROR(__xludf.DUMMYFUNCTION("""COMPUTED_VALUE"""),"KP/001575")</f>
        <v>KP/001575</v>
      </c>
      <c r="B689" s="2" t="str">
        <f ca="1">IFERROR(__xludf.DUMMYFUNCTION("""COMPUTED_VALUE"""),"Verkeersveiligheid")</f>
        <v>Verkeersveiligheid</v>
      </c>
      <c r="C689" s="2" t="str">
        <f ca="1">IFERROR(__xludf.DUMMYFUNCTION("""COMPUTED_VALUE"""),"Schoolroute")</f>
        <v>Schoolroute</v>
      </c>
      <c r="D689" s="2" t="str">
        <f ca="1">IFERROR(__xludf.DUMMYFUNCTION("""COMPUTED_VALUE"""),"IN/002007")</f>
        <v>IN/002007</v>
      </c>
      <c r="E689" s="2" t="str">
        <f ca="1">IFERROR(__xludf.DUMMYFUNCTION("UNIQUE(FILTER('export kabinetdashboard 1210202'!N:P,'export kabinetdashboard 1210202'!M:M=D689))"),"")</f>
        <v/>
      </c>
      <c r="F689" s="2" t="str">
        <f ca="1">IFERROR(__xludf.DUMMYFUNCTION("""COMPUTED_VALUE"""),"2022 - Q1")</f>
        <v>2022 - Q1</v>
      </c>
      <c r="G689" s="2" t="str">
        <f ca="1">IFERROR(__xludf.DUMMYFUNCTION("""COMPUTED_VALUE"""),"2021 - Q3")</f>
        <v>2021 - Q3</v>
      </c>
      <c r="H689" s="2">
        <f ca="1">SUMIFS('bedragen KIM (budgettering &amp; pl'!S:S,'bedragen KIM (budgettering &amp; pl'!B:B,A689,'bedragen KIM (budgettering &amp; pl'!F:F,D689)</f>
        <v>500</v>
      </c>
      <c r="I689" s="2" t="e">
        <f ca="1">SUMIFS(#REF!,#REF!,A689,#REF!,D689)</f>
        <v>#REF!</v>
      </c>
      <c r="J689" s="2" t="e">
        <f ca="1">SUMIFS(#REF!,#REF!,A689,#REF!,D689)</f>
        <v>#REF!</v>
      </c>
    </row>
    <row r="690" spans="1:10" ht="12.5" x14ac:dyDescent="0.25">
      <c r="A690" s="2" t="str">
        <f ca="1">IFERROR(__xludf.DUMMYFUNCTION("""COMPUTED_VALUE"""),"KP/001574")</f>
        <v>KP/001574</v>
      </c>
      <c r="B690" s="2" t="str">
        <f ca="1">IFERROR(__xludf.DUMMYFUNCTION("""COMPUTED_VALUE"""),"Verkeersveiligheid")</f>
        <v>Verkeersveiligheid</v>
      </c>
      <c r="C690" s="2" t="str">
        <f ca="1">IFERROR(__xludf.DUMMYFUNCTION("""COMPUTED_VALUE"""),"Schoolroute")</f>
        <v>Schoolroute</v>
      </c>
      <c r="D690" s="2" t="str">
        <f ca="1">IFERROR(__xludf.DUMMYFUNCTION("""COMPUTED_VALUE"""),"IN/002008")</f>
        <v>IN/002008</v>
      </c>
      <c r="E690" s="2" t="str">
        <f ca="1">IFERROR(__xludf.DUMMYFUNCTION("UNIQUE(FILTER('export kabinetdashboard 1210202'!N:P,'export kabinetdashboard 1210202'!M:M=D690))"),"")</f>
        <v/>
      </c>
      <c r="F690" s="2" t="str">
        <f ca="1">IFERROR(__xludf.DUMMYFUNCTION("""COMPUTED_VALUE"""),"2022 - Q1")</f>
        <v>2022 - Q1</v>
      </c>
      <c r="G690" s="2" t="str">
        <f ca="1">IFERROR(__xludf.DUMMYFUNCTION("""COMPUTED_VALUE"""),"2021 - Q3")</f>
        <v>2021 - Q3</v>
      </c>
      <c r="H690" s="2">
        <f ca="1">SUMIFS('bedragen KIM (budgettering &amp; pl'!S:S,'bedragen KIM (budgettering &amp; pl'!B:B,A690,'bedragen KIM (budgettering &amp; pl'!F:F,D690)</f>
        <v>1500</v>
      </c>
      <c r="I690" s="2" t="e">
        <f ca="1">SUMIFS(#REF!,#REF!,A690,#REF!,D690)</f>
        <v>#REF!</v>
      </c>
      <c r="J690" s="2" t="e">
        <f ca="1">SUMIFS(#REF!,#REF!,A690,#REF!,D690)</f>
        <v>#REF!</v>
      </c>
    </row>
    <row r="691" spans="1:10" ht="12.5" x14ac:dyDescent="0.25">
      <c r="A691" s="2" t="str">
        <f ca="1">IFERROR(__xludf.DUMMYFUNCTION("""COMPUTED_VALUE"""),"KP/001556")</f>
        <v>KP/001556</v>
      </c>
      <c r="B691" s="2" t="str">
        <f ca="1">IFERROR(__xludf.DUMMYFUNCTION("""COMPUTED_VALUE"""),"Verkeersveiligheid")</f>
        <v>Verkeersveiligheid</v>
      </c>
      <c r="C691" s="2" t="str">
        <f ca="1">IFERROR(__xludf.DUMMYFUNCTION("""COMPUTED_VALUE"""),"Schoolroute")</f>
        <v>Schoolroute</v>
      </c>
      <c r="D691" s="2" t="str">
        <f ca="1">IFERROR(__xludf.DUMMYFUNCTION("""COMPUTED_VALUE"""),"IN/002009")</f>
        <v>IN/002009</v>
      </c>
      <c r="E691" s="2" t="str">
        <f ca="1">IFERROR(__xludf.DUMMYFUNCTION("UNIQUE(FILTER('export kabinetdashboard 1210202'!N:P,'export kabinetdashboard 1210202'!M:M=D691))"),"")</f>
        <v/>
      </c>
      <c r="F691" s="2" t="str">
        <f ca="1">IFERROR(__xludf.DUMMYFUNCTION("""COMPUTED_VALUE"""),"2022 - Q1")</f>
        <v>2022 - Q1</v>
      </c>
      <c r="G691" s="2" t="str">
        <f ca="1">IFERROR(__xludf.DUMMYFUNCTION("""COMPUTED_VALUE"""),"2021 - Q4")</f>
        <v>2021 - Q4</v>
      </c>
      <c r="H691" s="2">
        <f ca="1">SUMIFS('bedragen KIM (budgettering &amp; pl'!S:S,'bedragen KIM (budgettering &amp; pl'!B:B,A691,'bedragen KIM (budgettering &amp; pl'!F:F,D691)</f>
        <v>3000</v>
      </c>
      <c r="I691" s="2" t="e">
        <f ca="1">SUMIFS(#REF!,#REF!,A691,#REF!,D691)</f>
        <v>#REF!</v>
      </c>
      <c r="J691" s="2" t="e">
        <f ca="1">SUMIFS(#REF!,#REF!,A691,#REF!,D691)</f>
        <v>#REF!</v>
      </c>
    </row>
    <row r="692" spans="1:10" ht="12.5" x14ac:dyDescent="0.25">
      <c r="A692" s="2" t="str">
        <f ca="1">IFERROR(__xludf.DUMMYFUNCTION("""COMPUTED_VALUE"""),"KP/001527")</f>
        <v>KP/001527</v>
      </c>
      <c r="B692" s="2" t="str">
        <f ca="1">IFERROR(__xludf.DUMMYFUNCTION("""COMPUTED_VALUE"""),"Verkeersveiligheid")</f>
        <v>Verkeersveiligheid</v>
      </c>
      <c r="C692" s="2" t="str">
        <f ca="1">IFERROR(__xludf.DUMMYFUNCTION("""COMPUTED_VALUE"""),"Schoolroute")</f>
        <v>Schoolroute</v>
      </c>
      <c r="D692" s="2" t="str">
        <f ca="1">IFERROR(__xludf.DUMMYFUNCTION("""COMPUTED_VALUE"""),"IN/002011")</f>
        <v>IN/002011</v>
      </c>
      <c r="E692" s="2" t="str">
        <f ca="1">IFERROR(__xludf.DUMMYFUNCTION("UNIQUE(FILTER('export kabinetdashboard 1210202'!N:P,'export kabinetdashboard 1210202'!M:M=D692))"),"Werken zoals besproken in PCV")</f>
        <v>Werken zoals besproken in PCV</v>
      </c>
      <c r="F692" s="2" t="str">
        <f ca="1">IFERROR(__xludf.DUMMYFUNCTION("""COMPUTED_VALUE"""),"2022 - Q1")</f>
        <v>2022 - Q1</v>
      </c>
      <c r="G692" s="2" t="str">
        <f ca="1">IFERROR(__xludf.DUMMYFUNCTION("""COMPUTED_VALUE"""),"2021 - Q3")</f>
        <v>2021 - Q3</v>
      </c>
      <c r="H692" s="2">
        <f ca="1">SUMIFS('bedragen KIM (budgettering &amp; pl'!S:S,'bedragen KIM (budgettering &amp; pl'!B:B,A692,'bedragen KIM (budgettering &amp; pl'!F:F,D692)</f>
        <v>5000</v>
      </c>
      <c r="I692" s="2" t="e">
        <f ca="1">SUMIFS(#REF!,#REF!,A692,#REF!,D692)</f>
        <v>#REF!</v>
      </c>
      <c r="J692" s="2" t="e">
        <f ca="1">SUMIFS(#REF!,#REF!,A692,#REF!,D692)</f>
        <v>#REF!</v>
      </c>
    </row>
    <row r="693" spans="1:10" ht="12.5" x14ac:dyDescent="0.25">
      <c r="A693" s="2" t="str">
        <f ca="1">IFERROR(__xludf.DUMMYFUNCTION("""COMPUTED_VALUE"""),"KP/001432")</f>
        <v>KP/001432</v>
      </c>
      <c r="B693" s="2" t="str">
        <f ca="1">IFERROR(__xludf.DUMMYFUNCTION("""COMPUTED_VALUE"""),"Verkeersveiligheid")</f>
        <v>Verkeersveiligheid</v>
      </c>
      <c r="C693" s="2" t="str">
        <f ca="1">IFERROR(__xludf.DUMMYFUNCTION("""COMPUTED_VALUE"""),"Schoolroute")</f>
        <v>Schoolroute</v>
      </c>
      <c r="D693" s="2" t="str">
        <f ca="1">IFERROR(__xludf.DUMMYFUNCTION("""COMPUTED_VALUE"""),"IN/002012")</f>
        <v>IN/002012</v>
      </c>
      <c r="E693" s="2" t="str">
        <f ca="1">IFERROR(__xludf.DUMMYFUNCTION("UNIQUE(FILTER('export kabinetdashboard 1210202'!N:P,'export kabinetdashboard 1210202'!M:M=D693))"),"")</f>
        <v/>
      </c>
      <c r="F693" s="2" t="str">
        <f ca="1">IFERROR(__xludf.DUMMYFUNCTION("""COMPUTED_VALUE"""),"2022 - Q1")</f>
        <v>2022 - Q1</v>
      </c>
      <c r="G693" s="2" t="str">
        <f ca="1">IFERROR(__xludf.DUMMYFUNCTION("""COMPUTED_VALUE"""),"2021 - Q3")</f>
        <v>2021 - Q3</v>
      </c>
      <c r="H693" s="2">
        <f ca="1">SUMIFS('bedragen KIM (budgettering &amp; pl'!S:S,'bedragen KIM (budgettering &amp; pl'!B:B,A693,'bedragen KIM (budgettering &amp; pl'!F:F,D693)</f>
        <v>1</v>
      </c>
      <c r="I693" s="2" t="e">
        <f ca="1">SUMIFS(#REF!,#REF!,A693,#REF!,D693)</f>
        <v>#REF!</v>
      </c>
      <c r="J693" s="2" t="e">
        <f ca="1">SUMIFS(#REF!,#REF!,A693,#REF!,D693)</f>
        <v>#REF!</v>
      </c>
    </row>
    <row r="694" spans="1:10" ht="12.5" x14ac:dyDescent="0.25">
      <c r="A694" s="2" t="str">
        <f ca="1">IFERROR(__xludf.DUMMYFUNCTION("""COMPUTED_VALUE"""),"KP/000800")</f>
        <v>KP/000800</v>
      </c>
      <c r="B694" s="2" t="str">
        <f ca="1">IFERROR(__xludf.DUMMYFUNCTION("""COMPUTED_VALUE"""),"Verkeersveiligheid")</f>
        <v>Verkeersveiligheid</v>
      </c>
      <c r="C694" s="2" t="str">
        <f ca="1">IFERROR(__xludf.DUMMYFUNCTION("""COMPUTED_VALUE"""),"Schoolroute")</f>
        <v>Schoolroute</v>
      </c>
      <c r="D694" s="2" t="str">
        <f ca="1">IFERROR(__xludf.DUMMYFUNCTION("""COMPUTED_VALUE"""),"IN/002013")</f>
        <v>IN/002013</v>
      </c>
      <c r="E694" s="2" t="str">
        <f ca="1">IFERROR(__xludf.DUMMYFUNCTION("UNIQUE(FILTER('export kabinetdashboard 1210202'!N:P,'export kabinetdashboard 1210202'!M:M=D694))"),"")</f>
        <v/>
      </c>
      <c r="F694" s="2" t="str">
        <f ca="1">IFERROR(__xludf.DUMMYFUNCTION("""COMPUTED_VALUE"""),"2022 - Q1")</f>
        <v>2022 - Q1</v>
      </c>
      <c r="G694" s="2" t="str">
        <f ca="1">IFERROR(__xludf.DUMMYFUNCTION("""COMPUTED_VALUE"""),"2021 - Q4")</f>
        <v>2021 - Q4</v>
      </c>
      <c r="H694" s="2">
        <f ca="1">SUMIFS('bedragen KIM (budgettering &amp; pl'!S:S,'bedragen KIM (budgettering &amp; pl'!B:B,A694,'bedragen KIM (budgettering &amp; pl'!F:F,D694)</f>
        <v>1</v>
      </c>
      <c r="I694" s="2" t="e">
        <f ca="1">SUMIFS(#REF!,#REF!,A694,#REF!,D694)</f>
        <v>#REF!</v>
      </c>
      <c r="J694" s="2" t="e">
        <f ca="1">SUMIFS(#REF!,#REF!,A694,#REF!,D694)</f>
        <v>#REF!</v>
      </c>
    </row>
    <row r="695" spans="1:10" ht="12.5" x14ac:dyDescent="0.25">
      <c r="A695" s="2" t="str">
        <f ca="1">IFERROR(__xludf.DUMMYFUNCTION("""COMPUTED_VALUE"""),"KP/001342")</f>
        <v>KP/001342</v>
      </c>
      <c r="B695" s="2" t="str">
        <f ca="1">IFERROR(__xludf.DUMMYFUNCTION("""COMPUTED_VALUE"""),"Verkeersveiligheid")</f>
        <v>Verkeersveiligheid</v>
      </c>
      <c r="C695" s="2" t="str">
        <f ca="1">IFERROR(__xludf.DUMMYFUNCTION("""COMPUTED_VALUE"""),"Schoolroute")</f>
        <v>Schoolroute</v>
      </c>
      <c r="D695" s="2" t="str">
        <f ca="1">IFERROR(__xludf.DUMMYFUNCTION("""COMPUTED_VALUE"""),"IN/002014")</f>
        <v>IN/002014</v>
      </c>
      <c r="E695" s="2" t="str">
        <f ca="1">IFERROR(__xludf.DUMMYFUNCTION("UNIQUE(FILTER('export kabinetdashboard 1210202'!N:P,'export kabinetdashboard 1210202'!M:M=D695))"),"")</f>
        <v/>
      </c>
      <c r="F695" s="2" t="str">
        <f ca="1">IFERROR(__xludf.DUMMYFUNCTION("""COMPUTED_VALUE"""),"2022 - Q1")</f>
        <v>2022 - Q1</v>
      </c>
      <c r="G695" s="2" t="str">
        <f ca="1">IFERROR(__xludf.DUMMYFUNCTION("""COMPUTED_VALUE"""),"2021 - Q4")</f>
        <v>2021 - Q4</v>
      </c>
      <c r="H695" s="2">
        <f ca="1">SUMIFS('bedragen KIM (budgettering &amp; pl'!S:S,'bedragen KIM (budgettering &amp; pl'!B:B,A695,'bedragen KIM (budgettering &amp; pl'!F:F,D695)</f>
        <v>1</v>
      </c>
      <c r="I695" s="2" t="e">
        <f ca="1">SUMIFS(#REF!,#REF!,A695,#REF!,D695)</f>
        <v>#REF!</v>
      </c>
      <c r="J695" s="2" t="e">
        <f ca="1">SUMIFS(#REF!,#REF!,A695,#REF!,D695)</f>
        <v>#REF!</v>
      </c>
    </row>
    <row r="696" spans="1:10" ht="12.5" x14ac:dyDescent="0.25">
      <c r="A696" s="2" t="str">
        <f ca="1">IFERROR(__xludf.DUMMYFUNCTION("""COMPUTED_VALUE"""),"KP/001322")</f>
        <v>KP/001322</v>
      </c>
      <c r="B696" s="2" t="str">
        <f ca="1">IFERROR(__xludf.DUMMYFUNCTION("""COMPUTED_VALUE"""),"Verkeersveiligheid")</f>
        <v>Verkeersveiligheid</v>
      </c>
      <c r="C696" s="2" t="str">
        <f ca="1">IFERROR(__xludf.DUMMYFUNCTION("""COMPUTED_VALUE"""),"Schoolroute")</f>
        <v>Schoolroute</v>
      </c>
      <c r="D696" s="2" t="str">
        <f ca="1">IFERROR(__xludf.DUMMYFUNCTION("""COMPUTED_VALUE"""),"IN/002016")</f>
        <v>IN/002016</v>
      </c>
      <c r="E696" s="2" t="str">
        <f ca="1">IFERROR(__xludf.DUMMYFUNCTION("UNIQUE(FILTER('export kabinetdashboard 1210202'!N:P,'export kabinetdashboard 1210202'!M:M=D696))"),"er is een PCV dossier geweest om de middelste rijstrook weg te halen en die ruimte te gebruiken voor de fietspaden. Momenteel zijn er betonplaatherstellingen, vervolgens markeringen. Dit wordt meegenomen in het PCV dossier Sint-Bernard. Uitvoering in 2021"&amp;"-2022. 2/9 Uitvoering is lopend. Einde voorzien Q2 2022")</f>
        <v>er is een PCV dossier geweest om de middelste rijstrook weg te halen en die ruimte te gebruiken voor de fietspaden. Momenteel zijn er betonplaatherstellingen, vervolgens markeringen. Dit wordt meegenomen in het PCV dossier Sint-Bernard. Uitvoering in 2021-2022. 2/9 Uitvoering is lopend. Einde voorzien Q2 2022</v>
      </c>
      <c r="F696" s="2" t="str">
        <f ca="1">IFERROR(__xludf.DUMMYFUNCTION("""COMPUTED_VALUE"""),"2022 - Q2")</f>
        <v>2022 - Q2</v>
      </c>
      <c r="G696" s="2" t="str">
        <f ca="1">IFERROR(__xludf.DUMMYFUNCTION("""COMPUTED_VALUE"""),"2022 - Q2")</f>
        <v>2022 - Q2</v>
      </c>
      <c r="H696" s="2">
        <f ca="1">SUMIFS('bedragen KIM (budgettering &amp; pl'!S:S,'bedragen KIM (budgettering &amp; pl'!B:B,A696,'bedragen KIM (budgettering &amp; pl'!F:F,D696)</f>
        <v>1</v>
      </c>
      <c r="I696" s="2" t="e">
        <f ca="1">SUMIFS(#REF!,#REF!,A696,#REF!,D696)</f>
        <v>#REF!</v>
      </c>
      <c r="J696" s="2" t="e">
        <f ca="1">SUMIFS(#REF!,#REF!,A696,#REF!,D696)</f>
        <v>#REF!</v>
      </c>
    </row>
    <row r="697" spans="1:10" ht="12.5" x14ac:dyDescent="0.25">
      <c r="A697" s="2" t="str">
        <f ca="1">IFERROR(__xludf.DUMMYFUNCTION("""COMPUTED_VALUE"""),"KP/001300")</f>
        <v>KP/001300</v>
      </c>
      <c r="B697" s="2" t="str">
        <f ca="1">IFERROR(__xludf.DUMMYFUNCTION("""COMPUTED_VALUE"""),"Verkeersveiligheid")</f>
        <v>Verkeersveiligheid</v>
      </c>
      <c r="C697" s="2" t="str">
        <f ca="1">IFERROR(__xludf.DUMMYFUNCTION("""COMPUTED_VALUE"""),"Schoolroute")</f>
        <v>Schoolroute</v>
      </c>
      <c r="D697" s="2" t="str">
        <f ca="1">IFERROR(__xludf.DUMMYFUNCTION("""COMPUTED_VALUE"""),"IN/002017")</f>
        <v>IN/002017</v>
      </c>
      <c r="E697" s="2" t="str">
        <f ca="1">IFERROR(__xludf.DUMMYFUNCTION("UNIQUE(FILTER('export kabinetdashboard 1210202'!N:P,'export kabinetdashboard 1210202'!M:M=D697))"),"")</f>
        <v/>
      </c>
      <c r="F697" s="2" t="str">
        <f ca="1">IFERROR(__xludf.DUMMYFUNCTION("""COMPUTED_VALUE"""),"2022 - Q1")</f>
        <v>2022 - Q1</v>
      </c>
      <c r="G697" s="2" t="str">
        <f ca="1">IFERROR(__xludf.DUMMYFUNCTION("""COMPUTED_VALUE"""),"2021 - Q2")</f>
        <v>2021 - Q2</v>
      </c>
      <c r="H697" s="2">
        <f ca="1">SUMIFS('bedragen KIM (budgettering &amp; pl'!S:S,'bedragen KIM (budgettering &amp; pl'!B:B,A697,'bedragen KIM (budgettering &amp; pl'!F:F,D697)</f>
        <v>6279.8</v>
      </c>
      <c r="I697" s="2" t="e">
        <f ca="1">SUMIFS(#REF!,#REF!,A697,#REF!,D697)</f>
        <v>#REF!</v>
      </c>
      <c r="J697" s="2" t="e">
        <f ca="1">SUMIFS(#REF!,#REF!,A697,#REF!,D697)</f>
        <v>#REF!</v>
      </c>
    </row>
    <row r="698" spans="1:10" ht="12.5" x14ac:dyDescent="0.25">
      <c r="A698" s="2" t="str">
        <f ca="1">IFERROR(__xludf.DUMMYFUNCTION("""COMPUTED_VALUE"""),"KP/001247")</f>
        <v>KP/001247</v>
      </c>
      <c r="B698" s="2" t="str">
        <f ca="1">IFERROR(__xludf.DUMMYFUNCTION("""COMPUTED_VALUE"""),"Verkeersveiligheid")</f>
        <v>Verkeersveiligheid</v>
      </c>
      <c r="C698" s="2" t="str">
        <f ca="1">IFERROR(__xludf.DUMMYFUNCTION("""COMPUTED_VALUE"""),"Schoolroute")</f>
        <v>Schoolroute</v>
      </c>
      <c r="D698" s="2" t="str">
        <f ca="1">IFERROR(__xludf.DUMMYFUNCTION("""COMPUTED_VALUE"""),"IN/002018")</f>
        <v>IN/002018</v>
      </c>
      <c r="E698" s="2" t="str">
        <f ca="1">IFERROR(__xludf.DUMMYFUNCTION("UNIQUE(FILTER('export kabinetdashboard 1210202'!N:P,'export kabinetdashboard 1210202'!M:M=D698))"),"")</f>
        <v/>
      </c>
      <c r="F698" s="2" t="str">
        <f ca="1">IFERROR(__xludf.DUMMYFUNCTION("""COMPUTED_VALUE"""),"2022 - Q1")</f>
        <v>2022 - Q1</v>
      </c>
      <c r="G698" s="2" t="str">
        <f ca="1">IFERROR(__xludf.DUMMYFUNCTION("""COMPUTED_VALUE"""),"2021 - Q4")</f>
        <v>2021 - Q4</v>
      </c>
      <c r="H698" s="2">
        <f ca="1">SUMIFS('bedragen KIM (budgettering &amp; pl'!S:S,'bedragen KIM (budgettering &amp; pl'!B:B,A698,'bedragen KIM (budgettering &amp; pl'!F:F,D698)</f>
        <v>1</v>
      </c>
      <c r="I698" s="2" t="e">
        <f ca="1">SUMIFS(#REF!,#REF!,A698,#REF!,D698)</f>
        <v>#REF!</v>
      </c>
      <c r="J698" s="2" t="e">
        <f ca="1">SUMIFS(#REF!,#REF!,A698,#REF!,D698)</f>
        <v>#REF!</v>
      </c>
    </row>
    <row r="699" spans="1:10" ht="12.5" x14ac:dyDescent="0.25">
      <c r="A699" s="2" t="str">
        <f ca="1">IFERROR(__xludf.DUMMYFUNCTION("""COMPUTED_VALUE"""),"KP/001244")</f>
        <v>KP/001244</v>
      </c>
      <c r="B699" s="2" t="str">
        <f ca="1">IFERROR(__xludf.DUMMYFUNCTION("""COMPUTED_VALUE"""),"Verkeersveiligheid")</f>
        <v>Verkeersveiligheid</v>
      </c>
      <c r="C699" s="2" t="str">
        <f ca="1">IFERROR(__xludf.DUMMYFUNCTION("""COMPUTED_VALUE"""),"Schoolroute")</f>
        <v>Schoolroute</v>
      </c>
      <c r="D699" s="2" t="str">
        <f ca="1">IFERROR(__xludf.DUMMYFUNCTION("""COMPUTED_VALUE"""),"IN/002019")</f>
        <v>IN/002019</v>
      </c>
      <c r="E699" s="2" t="str">
        <f ca="1">IFERROR(__xludf.DUMMYFUNCTION("UNIQUE(FILTER('export kabinetdashboard 1210202'!N:P,'export kabinetdashboard 1210202'!M:M=D699))"),"om tegemoet te komen aan de vraag werden fietssuggestiestroken toegevoegd en werd heel deze zone toegevoegd aan een vaste zone 30.")</f>
        <v>om tegemoet te komen aan de vraag werden fietssuggestiestroken toegevoegd en werd heel deze zone toegevoegd aan een vaste zone 30.</v>
      </c>
      <c r="F699" s="2" t="str">
        <f ca="1">IFERROR(__xludf.DUMMYFUNCTION("""COMPUTED_VALUE"""),"2022 - Q1")</f>
        <v>2022 - Q1</v>
      </c>
      <c r="G699" s="2" t="str">
        <f ca="1">IFERROR(__xludf.DUMMYFUNCTION("""COMPUTED_VALUE"""),"2021 - Q4")</f>
        <v>2021 - Q4</v>
      </c>
      <c r="H699" s="2">
        <f ca="1">SUMIFS('bedragen KIM (budgettering &amp; pl'!S:S,'bedragen KIM (budgettering &amp; pl'!B:B,A699,'bedragen KIM (budgettering &amp; pl'!F:F,D699)</f>
        <v>1</v>
      </c>
      <c r="I699" s="2" t="e">
        <f ca="1">SUMIFS(#REF!,#REF!,A699,#REF!,D699)</f>
        <v>#REF!</v>
      </c>
      <c r="J699" s="2" t="e">
        <f ca="1">SUMIFS(#REF!,#REF!,A699,#REF!,D699)</f>
        <v>#REF!</v>
      </c>
    </row>
    <row r="700" spans="1:10" ht="12.5" x14ac:dyDescent="0.25">
      <c r="A700" s="2" t="str">
        <f ca="1">IFERROR(__xludf.DUMMYFUNCTION("""COMPUTED_VALUE"""),"KP/001196")</f>
        <v>KP/001196</v>
      </c>
      <c r="B700" s="2" t="str">
        <f ca="1">IFERROR(__xludf.DUMMYFUNCTION("""COMPUTED_VALUE"""),"Verkeersveiligheid")</f>
        <v>Verkeersveiligheid</v>
      </c>
      <c r="C700" s="2" t="str">
        <f ca="1">IFERROR(__xludf.DUMMYFUNCTION("""COMPUTED_VALUE"""),"Schoolroute")</f>
        <v>Schoolroute</v>
      </c>
      <c r="D700" s="2" t="str">
        <f ca="1">IFERROR(__xludf.DUMMYFUNCTION("""COMPUTED_VALUE"""),"IN/002020")</f>
        <v>IN/002020</v>
      </c>
      <c r="E700" s="2" t="str">
        <f ca="1">IFERROR(__xludf.DUMMYFUNCTION("UNIQUE(FILTER('export kabinetdashboard 1210202'!N:P,'export kabinetdashboard 1210202'!M:M=D700))"),"reeds uitgevoerd")</f>
        <v>reeds uitgevoerd</v>
      </c>
      <c r="F700" s="2" t="str">
        <f ca="1">IFERROR(__xludf.DUMMYFUNCTION("""COMPUTED_VALUE"""),"2022 - Q1")</f>
        <v>2022 - Q1</v>
      </c>
      <c r="G700" s="2" t="str">
        <f ca="1">IFERROR(__xludf.DUMMYFUNCTION("""COMPUTED_VALUE"""),"2021 - Q2")</f>
        <v>2021 - Q2</v>
      </c>
      <c r="H700" s="2">
        <f ca="1">SUMIFS('bedragen KIM (budgettering &amp; pl'!S:S,'bedragen KIM (budgettering &amp; pl'!B:B,A700,'bedragen KIM (budgettering &amp; pl'!F:F,D700)</f>
        <v>4000</v>
      </c>
      <c r="I700" s="2" t="e">
        <f ca="1">SUMIFS(#REF!,#REF!,A700,#REF!,D700)</f>
        <v>#REF!</v>
      </c>
      <c r="J700" s="2" t="e">
        <f ca="1">SUMIFS(#REF!,#REF!,A700,#REF!,D700)</f>
        <v>#REF!</v>
      </c>
    </row>
    <row r="701" spans="1:10" ht="12.5" x14ac:dyDescent="0.25">
      <c r="A701" s="2" t="str">
        <f ca="1">IFERROR(__xludf.DUMMYFUNCTION("""COMPUTED_VALUE"""),"KP/001192")</f>
        <v>KP/001192</v>
      </c>
      <c r="B701" s="2" t="str">
        <f ca="1">IFERROR(__xludf.DUMMYFUNCTION("""COMPUTED_VALUE"""),"Verkeersveiligheid")</f>
        <v>Verkeersveiligheid</v>
      </c>
      <c r="C701" s="2" t="str">
        <f ca="1">IFERROR(__xludf.DUMMYFUNCTION("""COMPUTED_VALUE"""),"Schoolroute")</f>
        <v>Schoolroute</v>
      </c>
      <c r="D701" s="2" t="str">
        <f ca="1">IFERROR(__xludf.DUMMYFUNCTION("""COMPUTED_VALUE"""),"IN/002021")</f>
        <v>IN/002021</v>
      </c>
      <c r="E701" s="2" t="str">
        <f ca="1">IFERROR(__xludf.DUMMYFUNCTION("UNIQUE(FILTER('export kabinetdashboard 1210202'!N:P,'export kabinetdashboard 1210202'!M:M=D701))"),"")</f>
        <v/>
      </c>
      <c r="F701" s="2" t="str">
        <f ca="1">IFERROR(__xludf.DUMMYFUNCTION("""COMPUTED_VALUE"""),"2022 - Q1")</f>
        <v>2022 - Q1</v>
      </c>
      <c r="G701" s="2" t="str">
        <f ca="1">IFERROR(__xludf.DUMMYFUNCTION("""COMPUTED_VALUE"""),"2021 - Q3")</f>
        <v>2021 - Q3</v>
      </c>
      <c r="H701" s="2">
        <f ca="1">SUMIFS('bedragen KIM (budgettering &amp; pl'!S:S,'bedragen KIM (budgettering &amp; pl'!B:B,A701,'bedragen KIM (budgettering &amp; pl'!F:F,D701)</f>
        <v>1</v>
      </c>
      <c r="I701" s="2" t="e">
        <f ca="1">SUMIFS(#REF!,#REF!,A701,#REF!,D701)</f>
        <v>#REF!</v>
      </c>
      <c r="J701" s="2" t="e">
        <f ca="1">SUMIFS(#REF!,#REF!,A701,#REF!,D701)</f>
        <v>#REF!</v>
      </c>
    </row>
    <row r="702" spans="1:10" ht="12.5" x14ac:dyDescent="0.25">
      <c r="A702" s="2" t="str">
        <f ca="1">IFERROR(__xludf.DUMMYFUNCTION("""COMPUTED_VALUE"""),"KP/001177")</f>
        <v>KP/001177</v>
      </c>
      <c r="B702" s="2" t="str">
        <f ca="1">IFERROR(__xludf.DUMMYFUNCTION("""COMPUTED_VALUE"""),"Verkeersveiligheid")</f>
        <v>Verkeersveiligheid</v>
      </c>
      <c r="C702" s="2" t="str">
        <f ca="1">IFERROR(__xludf.DUMMYFUNCTION("""COMPUTED_VALUE"""),"Schoolroute")</f>
        <v>Schoolroute</v>
      </c>
      <c r="D702" s="2" t="str">
        <f ca="1">IFERROR(__xludf.DUMMYFUNCTION("""COMPUTED_VALUE"""),"IN/002022")</f>
        <v>IN/002022</v>
      </c>
      <c r="E702" s="2" t="str">
        <f ca="1">IFERROR(__xludf.DUMMYFUNCTION("UNIQUE(FILTER('export kabinetdashboard 1210202'!N:P,'export kabinetdashboard 1210202'!M:M=D702))"),"")</f>
        <v/>
      </c>
      <c r="F702" s="2" t="str">
        <f ca="1">IFERROR(__xludf.DUMMYFUNCTION("""COMPUTED_VALUE"""),"2022 - Q1")</f>
        <v>2022 - Q1</v>
      </c>
      <c r="G702" s="2" t="str">
        <f ca="1">IFERROR(__xludf.DUMMYFUNCTION("""COMPUTED_VALUE"""),"2021 - Q3")</f>
        <v>2021 - Q3</v>
      </c>
      <c r="H702" s="2">
        <f ca="1">SUMIFS('bedragen KIM (budgettering &amp; pl'!S:S,'bedragen KIM (budgettering &amp; pl'!B:B,A702,'bedragen KIM (budgettering &amp; pl'!F:F,D702)</f>
        <v>1</v>
      </c>
      <c r="I702" s="2" t="e">
        <f ca="1">SUMIFS(#REF!,#REF!,A702,#REF!,D702)</f>
        <v>#REF!</v>
      </c>
      <c r="J702" s="2" t="e">
        <f ca="1">SUMIFS(#REF!,#REF!,A702,#REF!,D702)</f>
        <v>#REF!</v>
      </c>
    </row>
    <row r="703" spans="1:10" ht="12.5" x14ac:dyDescent="0.25">
      <c r="A703" s="2" t="str">
        <f ca="1">IFERROR(__xludf.DUMMYFUNCTION("""COMPUTED_VALUE"""),"KP/001159")</f>
        <v>KP/001159</v>
      </c>
      <c r="B703" s="2" t="str">
        <f ca="1">IFERROR(__xludf.DUMMYFUNCTION("""COMPUTED_VALUE"""),"Verkeersveiligheid")</f>
        <v>Verkeersveiligheid</v>
      </c>
      <c r="C703" s="2" t="str">
        <f ca="1">IFERROR(__xludf.DUMMYFUNCTION("""COMPUTED_VALUE"""),"Schoolroute")</f>
        <v>Schoolroute</v>
      </c>
      <c r="D703" s="2" t="str">
        <f ca="1">IFERROR(__xludf.DUMMYFUNCTION("""COMPUTED_VALUE"""),"IN/002023")</f>
        <v>IN/002023</v>
      </c>
      <c r="E703" s="2" t="str">
        <f ca="1">IFERROR(__xludf.DUMMYFUNCTION("UNIQUE(FILTER('export kabinetdashboard 1210202'!N:P,'export kabinetdashboard 1210202'!M:M=D703))"),"")</f>
        <v/>
      </c>
      <c r="F703" s="2" t="str">
        <f ca="1">IFERROR(__xludf.DUMMYFUNCTION("""COMPUTED_VALUE"""),"2022 - Q1")</f>
        <v>2022 - Q1</v>
      </c>
      <c r="G703" s="2" t="str">
        <f ca="1">IFERROR(__xludf.DUMMYFUNCTION("""COMPUTED_VALUE"""),"2021 - Q3")</f>
        <v>2021 - Q3</v>
      </c>
      <c r="H703" s="2">
        <f ca="1">SUMIFS('bedragen KIM (budgettering &amp; pl'!S:S,'bedragen KIM (budgettering &amp; pl'!B:B,A703,'bedragen KIM (budgettering &amp; pl'!F:F,D703)</f>
        <v>1</v>
      </c>
      <c r="I703" s="2" t="e">
        <f ca="1">SUMIFS(#REF!,#REF!,A703,#REF!,D703)</f>
        <v>#REF!</v>
      </c>
      <c r="J703" s="2" t="e">
        <f ca="1">SUMIFS(#REF!,#REF!,A703,#REF!,D703)</f>
        <v>#REF!</v>
      </c>
    </row>
    <row r="704" spans="1:10" ht="12.5" x14ac:dyDescent="0.25">
      <c r="A704" s="2" t="str">
        <f ca="1">IFERROR(__xludf.DUMMYFUNCTION("""COMPUTED_VALUE"""),"KP/001150")</f>
        <v>KP/001150</v>
      </c>
      <c r="B704" s="2" t="str">
        <f ca="1">IFERROR(__xludf.DUMMYFUNCTION("""COMPUTED_VALUE"""),"Verkeersveiligheid")</f>
        <v>Verkeersveiligheid</v>
      </c>
      <c r="C704" s="2" t="str">
        <f ca="1">IFERROR(__xludf.DUMMYFUNCTION("""COMPUTED_VALUE"""),"Schoolroute")</f>
        <v>Schoolroute</v>
      </c>
      <c r="D704" s="2" t="str">
        <f ca="1">IFERROR(__xludf.DUMMYFUNCTION("""COMPUTED_VALUE"""),"IN/002024")</f>
        <v>IN/002024</v>
      </c>
      <c r="E704" s="2" t="str">
        <f ca="1">IFERROR(__xludf.DUMMYFUNCTION("UNIQUE(FILTER('export kabinetdashboard 1210202'!N:P,'export kabinetdashboard 1210202'!M:M=D704))"),"PCV dossier uitgevoerd")</f>
        <v>PCV dossier uitgevoerd</v>
      </c>
      <c r="F704" s="2" t="str">
        <f ca="1">IFERROR(__xludf.DUMMYFUNCTION("""COMPUTED_VALUE"""),"2022 - Q1")</f>
        <v>2022 - Q1</v>
      </c>
      <c r="G704" s="2" t="str">
        <f ca="1">IFERROR(__xludf.DUMMYFUNCTION("""COMPUTED_VALUE"""),"2021 - Q4")</f>
        <v>2021 - Q4</v>
      </c>
      <c r="H704" s="2">
        <f ca="1">SUMIFS('bedragen KIM (budgettering &amp; pl'!S:S,'bedragen KIM (budgettering &amp; pl'!B:B,A704,'bedragen KIM (budgettering &amp; pl'!F:F,D704)</f>
        <v>1</v>
      </c>
      <c r="I704" s="2" t="e">
        <f ca="1">SUMIFS(#REF!,#REF!,A704,#REF!,D704)</f>
        <v>#REF!</v>
      </c>
      <c r="J704" s="2" t="e">
        <f ca="1">SUMIFS(#REF!,#REF!,A704,#REF!,D704)</f>
        <v>#REF!</v>
      </c>
    </row>
    <row r="705" spans="1:10" ht="12.5" x14ac:dyDescent="0.25">
      <c r="A705" s="2" t="str">
        <f ca="1">IFERROR(__xludf.DUMMYFUNCTION("""COMPUTED_VALUE"""),"KP/001149")</f>
        <v>KP/001149</v>
      </c>
      <c r="B705" s="2" t="str">
        <f ca="1">IFERROR(__xludf.DUMMYFUNCTION("""COMPUTED_VALUE"""),"Verkeersveiligheid")</f>
        <v>Verkeersveiligheid</v>
      </c>
      <c r="C705" s="2" t="str">
        <f ca="1">IFERROR(__xludf.DUMMYFUNCTION("""COMPUTED_VALUE"""),"Schoolroute")</f>
        <v>Schoolroute</v>
      </c>
      <c r="D705" s="2" t="str">
        <f ca="1">IFERROR(__xludf.DUMMYFUNCTION("""COMPUTED_VALUE"""),"IN/002025")</f>
        <v>IN/002025</v>
      </c>
      <c r="E705" s="2" t="str">
        <f ca="1">IFERROR(__xludf.DUMMYFUNCTION("UNIQUE(FILTER('export kabinetdashboard 1210202'!N:P,'export kabinetdashboard 1210202'!M:M=D705))"),"PCV dossier werd reeds voorafgaand uitgevoerd")</f>
        <v>PCV dossier werd reeds voorafgaand uitgevoerd</v>
      </c>
      <c r="F705" s="2" t="str">
        <f ca="1">IFERROR(__xludf.DUMMYFUNCTION("""COMPUTED_VALUE"""),"2022 - Q1")</f>
        <v>2022 - Q1</v>
      </c>
      <c r="G705" s="2" t="str">
        <f ca="1">IFERROR(__xludf.DUMMYFUNCTION("""COMPUTED_VALUE"""),"2021 - Q2")</f>
        <v>2021 - Q2</v>
      </c>
      <c r="H705" s="2">
        <f ca="1">SUMIFS('bedragen KIM (budgettering &amp; pl'!S:S,'bedragen KIM (budgettering &amp; pl'!B:B,A705,'bedragen KIM (budgettering &amp; pl'!F:F,D705)</f>
        <v>1</v>
      </c>
      <c r="I705" s="2" t="e">
        <f ca="1">SUMIFS(#REF!,#REF!,A705,#REF!,D705)</f>
        <v>#REF!</v>
      </c>
      <c r="J705" s="2" t="e">
        <f ca="1">SUMIFS(#REF!,#REF!,A705,#REF!,D705)</f>
        <v>#REF!</v>
      </c>
    </row>
    <row r="706" spans="1:10" ht="12.5" x14ac:dyDescent="0.25">
      <c r="A706" s="2" t="str">
        <f ca="1">IFERROR(__xludf.DUMMYFUNCTION("""COMPUTED_VALUE"""),"KP/001104")</f>
        <v>KP/001104</v>
      </c>
      <c r="B706" s="2" t="str">
        <f ca="1">IFERROR(__xludf.DUMMYFUNCTION("""COMPUTED_VALUE"""),"Verkeersveiligheid")</f>
        <v>Verkeersveiligheid</v>
      </c>
      <c r="C706" s="2" t="str">
        <f ca="1">IFERROR(__xludf.DUMMYFUNCTION("""COMPUTED_VALUE"""),"Schoolroute")</f>
        <v>Schoolroute</v>
      </c>
      <c r="D706" s="2" t="str">
        <f ca="1">IFERROR(__xludf.DUMMYFUNCTION("""COMPUTED_VALUE"""),"IN/002026")</f>
        <v>IN/002026</v>
      </c>
      <c r="E706" s="2" t="str">
        <f ca="1">IFERROR(__xludf.DUMMYFUNCTION("UNIQUE(FILTER('export kabinetdashboard 1210202'!N:P,'export kabinetdashboard 1210202'!M:M=D706))"),"")</f>
        <v/>
      </c>
      <c r="F706" s="2" t="str">
        <f ca="1">IFERROR(__xludf.DUMMYFUNCTION("""COMPUTED_VALUE"""),"2022 - Q2")</f>
        <v>2022 - Q2</v>
      </c>
      <c r="G706" s="2" t="str">
        <f ca="1">IFERROR(__xludf.DUMMYFUNCTION("""COMPUTED_VALUE"""),"2022 - Q2")</f>
        <v>2022 - Q2</v>
      </c>
      <c r="H706" s="2">
        <f ca="1">SUMIFS('bedragen KIM (budgettering &amp; pl'!S:S,'bedragen KIM (budgettering &amp; pl'!B:B,A706,'bedragen KIM (budgettering &amp; pl'!F:F,D706)</f>
        <v>1</v>
      </c>
      <c r="I706" s="2" t="e">
        <f ca="1">SUMIFS(#REF!,#REF!,A706,#REF!,D706)</f>
        <v>#REF!</v>
      </c>
      <c r="J706" s="2" t="e">
        <f ca="1">SUMIFS(#REF!,#REF!,A706,#REF!,D706)</f>
        <v>#REF!</v>
      </c>
    </row>
    <row r="707" spans="1:10" ht="12.5" x14ac:dyDescent="0.25">
      <c r="A707" s="2" t="str">
        <f ca="1">IFERROR(__xludf.DUMMYFUNCTION("""COMPUTED_VALUE"""),"KP/001085")</f>
        <v>KP/001085</v>
      </c>
      <c r="B707" s="2" t="str">
        <f ca="1">IFERROR(__xludf.DUMMYFUNCTION("""COMPUTED_VALUE"""),"Verkeersveiligheid")</f>
        <v>Verkeersveiligheid</v>
      </c>
      <c r="C707" s="2" t="str">
        <f ca="1">IFERROR(__xludf.DUMMYFUNCTION("""COMPUTED_VALUE"""),"Schoolroute")</f>
        <v>Schoolroute</v>
      </c>
      <c r="D707" s="2" t="str">
        <f ca="1">IFERROR(__xludf.DUMMYFUNCTION("""COMPUTED_VALUE"""),"IN/002027")</f>
        <v>IN/002027</v>
      </c>
      <c r="E707" s="2" t="str">
        <f ca="1">IFERROR(__xludf.DUMMYFUNCTION("UNIQUE(FILTER('export kabinetdashboard 1210202'!N:P,'export kabinetdashboard 1210202'!M:M=D707))"),"")</f>
        <v/>
      </c>
      <c r="F707" s="2" t="str">
        <f ca="1">IFERROR(__xludf.DUMMYFUNCTION("""COMPUTED_VALUE"""),"2022 - Q1")</f>
        <v>2022 - Q1</v>
      </c>
      <c r="G707" s="2" t="str">
        <f ca="1">IFERROR(__xludf.DUMMYFUNCTION("""COMPUTED_VALUE"""),"2021 - Q4")</f>
        <v>2021 - Q4</v>
      </c>
      <c r="H707" s="2">
        <f ca="1">SUMIFS('bedragen KIM (budgettering &amp; pl'!S:S,'bedragen KIM (budgettering &amp; pl'!B:B,A707,'bedragen KIM (budgettering &amp; pl'!F:F,D707)</f>
        <v>1</v>
      </c>
      <c r="I707" s="2" t="e">
        <f ca="1">SUMIFS(#REF!,#REF!,A707,#REF!,D707)</f>
        <v>#REF!</v>
      </c>
      <c r="J707" s="2" t="e">
        <f ca="1">SUMIFS(#REF!,#REF!,A707,#REF!,D707)</f>
        <v>#REF!</v>
      </c>
    </row>
    <row r="708" spans="1:10" ht="12.5" x14ac:dyDescent="0.25">
      <c r="A708" s="2" t="str">
        <f ca="1">IFERROR(__xludf.DUMMYFUNCTION("""COMPUTED_VALUE"""),"KP/001023")</f>
        <v>KP/001023</v>
      </c>
      <c r="B708" s="2" t="str">
        <f ca="1">IFERROR(__xludf.DUMMYFUNCTION("""COMPUTED_VALUE"""),"Verkeersveiligheid")</f>
        <v>Verkeersveiligheid</v>
      </c>
      <c r="C708" s="2" t="str">
        <f ca="1">IFERROR(__xludf.DUMMYFUNCTION("""COMPUTED_VALUE"""),"Schoolroute")</f>
        <v>Schoolroute</v>
      </c>
      <c r="D708" s="2" t="str">
        <f ca="1">IFERROR(__xludf.DUMMYFUNCTION("""COMPUTED_VALUE"""),"IN/002028")</f>
        <v>IN/002028</v>
      </c>
      <c r="E708" s="2" t="str">
        <f ca="1">IFERROR(__xludf.DUMMYFUNCTION("UNIQUE(FILTER('export kabinetdashboard 1210202'!N:P,'export kabinetdashboard 1210202'!M:M=D708))"),"")</f>
        <v/>
      </c>
      <c r="F708" s="2" t="str">
        <f ca="1">IFERROR(__xludf.DUMMYFUNCTION("""COMPUTED_VALUE"""),"2022 - Q1")</f>
        <v>2022 - Q1</v>
      </c>
      <c r="G708" s="2" t="str">
        <f ca="1">IFERROR(__xludf.DUMMYFUNCTION("""COMPUTED_VALUE"""),"2021 - Q3")</f>
        <v>2021 - Q3</v>
      </c>
      <c r="H708" s="2">
        <f ca="1">SUMIFS('bedragen KIM (budgettering &amp; pl'!S:S,'bedragen KIM (budgettering &amp; pl'!B:B,A708,'bedragen KIM (budgettering &amp; pl'!F:F,D708)</f>
        <v>1</v>
      </c>
      <c r="I708" s="2" t="e">
        <f ca="1">SUMIFS(#REF!,#REF!,A708,#REF!,D708)</f>
        <v>#REF!</v>
      </c>
      <c r="J708" s="2" t="e">
        <f ca="1">SUMIFS(#REF!,#REF!,A708,#REF!,D708)</f>
        <v>#REF!</v>
      </c>
    </row>
    <row r="709" spans="1:10" ht="12.5" x14ac:dyDescent="0.25">
      <c r="A709" s="2" t="str">
        <f ca="1">IFERROR(__xludf.DUMMYFUNCTION("""COMPUTED_VALUE"""),"KP/001021")</f>
        <v>KP/001021</v>
      </c>
      <c r="B709" s="2" t="str">
        <f ca="1">IFERROR(__xludf.DUMMYFUNCTION("""COMPUTED_VALUE"""),"Verkeersveiligheid")</f>
        <v>Verkeersveiligheid</v>
      </c>
      <c r="C709" s="2" t="str">
        <f ca="1">IFERROR(__xludf.DUMMYFUNCTION("""COMPUTED_VALUE"""),"Schoolroute")</f>
        <v>Schoolroute</v>
      </c>
      <c r="D709" s="2" t="str">
        <f ca="1">IFERROR(__xludf.DUMMYFUNCTION("""COMPUTED_VALUE"""),"IN/002029")</f>
        <v>IN/002029</v>
      </c>
      <c r="E709" s="2" t="str">
        <f ca="1">IFERROR(__xludf.DUMMYFUNCTION("UNIQUE(FILTER('export kabinetdashboard 1210202'!N:P,'export kabinetdashboard 1210202'!M:M=D709))"),"")</f>
        <v/>
      </c>
      <c r="F709" s="2" t="str">
        <f ca="1">IFERROR(__xludf.DUMMYFUNCTION("""COMPUTED_VALUE"""),"2022 - Q1")</f>
        <v>2022 - Q1</v>
      </c>
      <c r="G709" s="2" t="str">
        <f ca="1">IFERROR(__xludf.DUMMYFUNCTION("""COMPUTED_VALUE"""),"2021 - Q3")</f>
        <v>2021 - Q3</v>
      </c>
      <c r="H709" s="2">
        <f ca="1">SUMIFS('bedragen KIM (budgettering &amp; pl'!S:S,'bedragen KIM (budgettering &amp; pl'!B:B,A709,'bedragen KIM (budgettering &amp; pl'!F:F,D709)</f>
        <v>1</v>
      </c>
      <c r="I709" s="2" t="e">
        <f ca="1">SUMIFS(#REF!,#REF!,A709,#REF!,D709)</f>
        <v>#REF!</v>
      </c>
      <c r="J709" s="2" t="e">
        <f ca="1">SUMIFS(#REF!,#REF!,A709,#REF!,D709)</f>
        <v>#REF!</v>
      </c>
    </row>
    <row r="710" spans="1:10" ht="12.5" x14ac:dyDescent="0.25">
      <c r="A710" s="2" t="str">
        <f ca="1">IFERROR(__xludf.DUMMYFUNCTION("""COMPUTED_VALUE"""),"KP/000946")</f>
        <v>KP/000946</v>
      </c>
      <c r="B710" s="2" t="str">
        <f ca="1">IFERROR(__xludf.DUMMYFUNCTION("""COMPUTED_VALUE"""),"Verkeersveiligheid")</f>
        <v>Verkeersveiligheid</v>
      </c>
      <c r="C710" s="2" t="str">
        <f ca="1">IFERROR(__xludf.DUMMYFUNCTION("""COMPUTED_VALUE"""),"Schoolroute")</f>
        <v>Schoolroute</v>
      </c>
      <c r="D710" s="2" t="str">
        <f ca="1">IFERROR(__xludf.DUMMYFUNCTION("""COMPUTED_VALUE"""),"IN/002030")</f>
        <v>IN/002030</v>
      </c>
      <c r="E710" s="2" t="str">
        <f ca="1">IFERROR(__xludf.DUMMYFUNCTION("UNIQUE(FILTER('export kabinetdashboard 1210202'!N:P,'export kabinetdashboard 1210202'!M:M=D710))"),"")</f>
        <v/>
      </c>
      <c r="F710" s="2" t="str">
        <f ca="1">IFERROR(__xludf.DUMMYFUNCTION("""COMPUTED_VALUE"""),"2022 - Q1")</f>
        <v>2022 - Q1</v>
      </c>
      <c r="G710" s="2" t="str">
        <f ca="1">IFERROR(__xludf.DUMMYFUNCTION("""COMPUTED_VALUE"""),"2021 - Q2")</f>
        <v>2021 - Q2</v>
      </c>
      <c r="H710" s="2">
        <f ca="1">SUMIFS('bedragen KIM (budgettering &amp; pl'!S:S,'bedragen KIM (budgettering &amp; pl'!B:B,A710,'bedragen KIM (budgettering &amp; pl'!F:F,D710)</f>
        <v>1</v>
      </c>
      <c r="I710" s="2" t="e">
        <f ca="1">SUMIFS(#REF!,#REF!,A710,#REF!,D710)</f>
        <v>#REF!</v>
      </c>
      <c r="J710" s="2" t="e">
        <f ca="1">SUMIFS(#REF!,#REF!,A710,#REF!,D710)</f>
        <v>#REF!</v>
      </c>
    </row>
    <row r="711" spans="1:10" ht="12.5" x14ac:dyDescent="0.25">
      <c r="A711" s="2" t="str">
        <f ca="1">IFERROR(__xludf.DUMMYFUNCTION("""COMPUTED_VALUE"""),"KP/000938")</f>
        <v>KP/000938</v>
      </c>
      <c r="B711" s="2" t="str">
        <f ca="1">IFERROR(__xludf.DUMMYFUNCTION("""COMPUTED_VALUE"""),"Verkeersveiligheid")</f>
        <v>Verkeersveiligheid</v>
      </c>
      <c r="C711" s="2" t="str">
        <f ca="1">IFERROR(__xludf.DUMMYFUNCTION("""COMPUTED_VALUE"""),"Schoolroute")</f>
        <v>Schoolroute</v>
      </c>
      <c r="D711" s="2" t="str">
        <f ca="1">IFERROR(__xludf.DUMMYFUNCTION("""COMPUTED_VALUE"""),"IN/002031")</f>
        <v>IN/002031</v>
      </c>
      <c r="E711" s="2" t="str">
        <f ca="1">IFERROR(__xludf.DUMMYFUNCTION("UNIQUE(FILTER('export kabinetdashboard 1210202'!N:P,'export kabinetdashboard 1210202'!M:M=D711))"),"")</f>
        <v/>
      </c>
      <c r="F711" s="2" t="str">
        <f ca="1">IFERROR(__xludf.DUMMYFUNCTION("""COMPUTED_VALUE"""),"2022 - Q1")</f>
        <v>2022 - Q1</v>
      </c>
      <c r="G711" s="2" t="str">
        <f ca="1">IFERROR(__xludf.DUMMYFUNCTION("""COMPUTED_VALUE"""),"2021 - Q3")</f>
        <v>2021 - Q3</v>
      </c>
      <c r="H711" s="2">
        <f ca="1">SUMIFS('bedragen KIM (budgettering &amp; pl'!S:S,'bedragen KIM (budgettering &amp; pl'!B:B,A711,'bedragen KIM (budgettering &amp; pl'!F:F,D711)</f>
        <v>1</v>
      </c>
      <c r="I711" s="2" t="e">
        <f ca="1">SUMIFS(#REF!,#REF!,A711,#REF!,D711)</f>
        <v>#REF!</v>
      </c>
      <c r="J711" s="2" t="e">
        <f ca="1">SUMIFS(#REF!,#REF!,A711,#REF!,D711)</f>
        <v>#REF!</v>
      </c>
    </row>
    <row r="712" spans="1:10" ht="12.5" x14ac:dyDescent="0.25">
      <c r="A712" s="2" t="str">
        <f ca="1">IFERROR(__xludf.DUMMYFUNCTION("""COMPUTED_VALUE"""),"KP/000876")</f>
        <v>KP/000876</v>
      </c>
      <c r="B712" s="2" t="str">
        <f ca="1">IFERROR(__xludf.DUMMYFUNCTION("""COMPUTED_VALUE"""),"Verkeersveiligheid")</f>
        <v>Verkeersveiligheid</v>
      </c>
      <c r="C712" s="2" t="str">
        <f ca="1">IFERROR(__xludf.DUMMYFUNCTION("""COMPUTED_VALUE"""),"Schoolroute")</f>
        <v>Schoolroute</v>
      </c>
      <c r="D712" s="2" t="str">
        <f ca="1">IFERROR(__xludf.DUMMYFUNCTION("""COMPUTED_VALUE"""),"IN/002032")</f>
        <v>IN/002032</v>
      </c>
      <c r="E712" s="2" t="str">
        <f ca="1">IFERROR(__xludf.DUMMYFUNCTION("UNIQUE(FILTER('export kabinetdashboard 1210202'!N:P,'export kabinetdashboard 1210202'!M:M=D712))"),"")</f>
        <v/>
      </c>
      <c r="F712" s="2" t="str">
        <f ca="1">IFERROR(__xludf.DUMMYFUNCTION("""COMPUTED_VALUE"""),"2022 - Q1")</f>
        <v>2022 - Q1</v>
      </c>
      <c r="G712" s="2" t="str">
        <f ca="1">IFERROR(__xludf.DUMMYFUNCTION("""COMPUTED_VALUE"""),"2021 - Q3")</f>
        <v>2021 - Q3</v>
      </c>
      <c r="H712" s="2">
        <f ca="1">SUMIFS('bedragen KIM (budgettering &amp; pl'!S:S,'bedragen KIM (budgettering &amp; pl'!B:B,A712,'bedragen KIM (budgettering &amp; pl'!F:F,D712)</f>
        <v>1</v>
      </c>
      <c r="I712" s="2" t="e">
        <f ca="1">SUMIFS(#REF!,#REF!,A712,#REF!,D712)</f>
        <v>#REF!</v>
      </c>
      <c r="J712" s="2" t="e">
        <f ca="1">SUMIFS(#REF!,#REF!,A712,#REF!,D712)</f>
        <v>#REF!</v>
      </c>
    </row>
    <row r="713" spans="1:10" ht="12.5" x14ac:dyDescent="0.25">
      <c r="A713" s="2" t="str">
        <f ca="1">IFERROR(__xludf.DUMMYFUNCTION("""COMPUTED_VALUE"""),"KP/000840")</f>
        <v>KP/000840</v>
      </c>
      <c r="B713" s="2" t="str">
        <f ca="1">IFERROR(__xludf.DUMMYFUNCTION("""COMPUTED_VALUE"""),"Verkeersveiligheid")</f>
        <v>Verkeersveiligheid</v>
      </c>
      <c r="C713" s="2" t="str">
        <f ca="1">IFERROR(__xludf.DUMMYFUNCTION("""COMPUTED_VALUE"""),"Schoolroute")</f>
        <v>Schoolroute</v>
      </c>
      <c r="D713" s="2" t="str">
        <f ca="1">IFERROR(__xludf.DUMMYFUNCTION("""COMPUTED_VALUE"""),"IN/002033")</f>
        <v>IN/002033</v>
      </c>
      <c r="E713" s="2" t="str">
        <f ca="1">IFERROR(__xludf.DUMMYFUNCTION("UNIQUE(FILTER('export kabinetdashboard 1210202'!N:P,'export kabinetdashboard 1210202'!M:M=D713))"),"Oversteekplaats beveiligen. Is uitgevoerd")</f>
        <v>Oversteekplaats beveiligen. Is uitgevoerd</v>
      </c>
      <c r="F713" s="2" t="str">
        <f ca="1">IFERROR(__xludf.DUMMYFUNCTION("""COMPUTED_VALUE"""),"2022 - Q1")</f>
        <v>2022 - Q1</v>
      </c>
      <c r="G713" s="2" t="str">
        <f ca="1">IFERROR(__xludf.DUMMYFUNCTION("""COMPUTED_VALUE"""),"2021 - Q2")</f>
        <v>2021 - Q2</v>
      </c>
      <c r="H713" s="2">
        <f ca="1">SUMIFS('bedragen KIM (budgettering &amp; pl'!S:S,'bedragen KIM (budgettering &amp; pl'!B:B,A713,'bedragen KIM (budgettering &amp; pl'!F:F,D713)</f>
        <v>5750.25</v>
      </c>
      <c r="I713" s="2" t="e">
        <f ca="1">SUMIFS(#REF!,#REF!,A713,#REF!,D713)</f>
        <v>#REF!</v>
      </c>
      <c r="J713" s="2" t="e">
        <f ca="1">SUMIFS(#REF!,#REF!,A713,#REF!,D713)</f>
        <v>#REF!</v>
      </c>
    </row>
    <row r="714" spans="1:10" ht="12.5" x14ac:dyDescent="0.25">
      <c r="A714" s="2" t="str">
        <f ca="1">IFERROR(__xludf.DUMMYFUNCTION("""COMPUTED_VALUE"""),"KP/000867")</f>
        <v>KP/000867</v>
      </c>
      <c r="B714" s="2" t="str">
        <f ca="1">IFERROR(__xludf.DUMMYFUNCTION("""COMPUTED_VALUE"""),"Verkeersveiligheid")</f>
        <v>Verkeersveiligheid</v>
      </c>
      <c r="C714" s="2" t="str">
        <f ca="1">IFERROR(__xludf.DUMMYFUNCTION("""COMPUTED_VALUE"""),"Schoolroute")</f>
        <v>Schoolroute</v>
      </c>
      <c r="D714" s="2" t="str">
        <f ca="1">IFERROR(__xludf.DUMMYFUNCTION("""COMPUTED_VALUE"""),"IN/002034")</f>
        <v>IN/002034</v>
      </c>
      <c r="E714" s="2" t="str">
        <f ca="1">IFERROR(__xludf.DUMMYFUNCTION("UNIQUE(FILTER('export kabinetdashboard 1210202'!N:P,'export kabinetdashboard 1210202'!M:M=D714))"),"verschillende werken in 1, dus meerdere contactpersonen")</f>
        <v>verschillende werken in 1, dus meerdere contactpersonen</v>
      </c>
      <c r="F714" s="2" t="str">
        <f ca="1">IFERROR(__xludf.DUMMYFUNCTION("""COMPUTED_VALUE"""),"2022 - Q1")</f>
        <v>2022 - Q1</v>
      </c>
      <c r="G714" s="2" t="str">
        <f ca="1">IFERROR(__xludf.DUMMYFUNCTION("""COMPUTED_VALUE"""),"2021 - Q4")</f>
        <v>2021 - Q4</v>
      </c>
      <c r="H714" s="2">
        <f ca="1">SUMIFS('bedragen KIM (budgettering &amp; pl'!S:S,'bedragen KIM (budgettering &amp; pl'!B:B,A714,'bedragen KIM (budgettering &amp; pl'!F:F,D714)</f>
        <v>3500</v>
      </c>
      <c r="I714" s="2" t="e">
        <f ca="1">SUMIFS(#REF!,#REF!,A714,#REF!,D714)</f>
        <v>#REF!</v>
      </c>
      <c r="J714" s="2" t="e">
        <f ca="1">SUMIFS(#REF!,#REF!,A714,#REF!,D714)</f>
        <v>#REF!</v>
      </c>
    </row>
    <row r="715" spans="1:10" ht="12.5" x14ac:dyDescent="0.25">
      <c r="A715" s="2" t="str">
        <f ca="1">IFERROR(__xludf.DUMMYFUNCTION("""COMPUTED_VALUE"""),"KP/000860")</f>
        <v>KP/000860</v>
      </c>
      <c r="B715" s="2" t="str">
        <f ca="1">IFERROR(__xludf.DUMMYFUNCTION("""COMPUTED_VALUE"""),"Verkeersveiligheid")</f>
        <v>Verkeersveiligheid</v>
      </c>
      <c r="C715" s="2" t="str">
        <f ca="1">IFERROR(__xludf.DUMMYFUNCTION("""COMPUTED_VALUE"""),"Schoolroute")</f>
        <v>Schoolroute</v>
      </c>
      <c r="D715" s="2" t="str">
        <f ca="1">IFERROR(__xludf.DUMMYFUNCTION("""COMPUTED_VALUE"""),"IN/002058")</f>
        <v>IN/002058</v>
      </c>
      <c r="E715" s="2" t="str">
        <f ca="1">IFERROR(__xludf.DUMMYFUNCTION("UNIQUE(FILTER('export kabinetdashboard 1210202'!N:P,'export kabinetdashboard 1210202'!M:M=D715))"),"")</f>
        <v/>
      </c>
      <c r="F715" s="2" t="str">
        <f ca="1">IFERROR(__xludf.DUMMYFUNCTION("""COMPUTED_VALUE"""),"2022 - Q4")</f>
        <v>2022 - Q4</v>
      </c>
      <c r="G715" s="2" t="str">
        <f ca="1">IFERROR(__xludf.DUMMYFUNCTION("""COMPUTED_VALUE"""),"n.t.b.")</f>
        <v>n.t.b.</v>
      </c>
      <c r="H715" s="2">
        <f ca="1">SUMIFS('bedragen KIM (budgettering &amp; pl'!S:S,'bedragen KIM (budgettering &amp; pl'!B:B,A715,'bedragen KIM (budgettering &amp; pl'!F:F,D715)</f>
        <v>10000</v>
      </c>
      <c r="I715" s="2" t="e">
        <f ca="1">SUMIFS(#REF!,#REF!,A715,#REF!,D715)</f>
        <v>#REF!</v>
      </c>
      <c r="J715" s="2" t="e">
        <f ca="1">SUMIFS(#REF!,#REF!,A715,#REF!,D715)</f>
        <v>#REF!</v>
      </c>
    </row>
    <row r="716" spans="1:10" ht="12.5" x14ac:dyDescent="0.25">
      <c r="A716" s="2" t="str">
        <f ca="1">IFERROR(__xludf.DUMMYFUNCTION("""COMPUTED_VALUE"""),"KP/001310")</f>
        <v>KP/001310</v>
      </c>
      <c r="B716" s="2" t="str">
        <f ca="1">IFERROR(__xludf.DUMMYFUNCTION("""COMPUTED_VALUE"""),"Verkeersveiligheid")</f>
        <v>Verkeersveiligheid</v>
      </c>
      <c r="C716" s="2" t="str">
        <f ca="1">IFERROR(__xludf.DUMMYFUNCTION("""COMPUTED_VALUE"""),"Schoolroute")</f>
        <v>Schoolroute</v>
      </c>
      <c r="D716" s="2" t="str">
        <f ca="1">IFERROR(__xludf.DUMMYFUNCTION("""COMPUTED_VALUE"""),"IN/002147")</f>
        <v>IN/002147</v>
      </c>
      <c r="E716" s="2" t="str">
        <f ca="1">IFERROR(__xludf.DUMMYFUNCTION("UNIQUE(FILTER('export kabinetdashboard 1210202'!N:P,'export kabinetdashboard 1210202'!M:M=D716))"),"")</f>
        <v/>
      </c>
      <c r="F716" s="2" t="str">
        <f ca="1">IFERROR(__xludf.DUMMYFUNCTION("""COMPUTED_VALUE"""),"n.t.b.")</f>
        <v>n.t.b.</v>
      </c>
      <c r="G716" s="2" t="str">
        <f ca="1">IFERROR(__xludf.DUMMYFUNCTION("""COMPUTED_VALUE"""),"n.t.b.")</f>
        <v>n.t.b.</v>
      </c>
      <c r="H716" s="2">
        <f ca="1">SUMIFS('bedragen KIM (budgettering &amp; pl'!S:S,'bedragen KIM (budgettering &amp; pl'!B:B,A716,'bedragen KIM (budgettering &amp; pl'!F:F,D716)</f>
        <v>0</v>
      </c>
      <c r="I716" s="2" t="e">
        <f ca="1">SUMIFS(#REF!,#REF!,A716,#REF!,D716)</f>
        <v>#REF!</v>
      </c>
      <c r="J716" s="2" t="e">
        <f ca="1">SUMIFS(#REF!,#REF!,A716,#REF!,D716)</f>
        <v>#REF!</v>
      </c>
    </row>
    <row r="717" spans="1:10" ht="12.5" x14ac:dyDescent="0.25">
      <c r="A717" s="2" t="str">
        <f ca="1">IFERROR(__xludf.DUMMYFUNCTION("""COMPUTED_VALUE"""),"KP/001025")</f>
        <v>KP/001025</v>
      </c>
      <c r="B717" s="2" t="str">
        <f ca="1">IFERROR(__xludf.DUMMYFUNCTION("""COMPUTED_VALUE"""),"Verkeersveiligheid")</f>
        <v>Verkeersveiligheid</v>
      </c>
      <c r="C717" s="2" t="str">
        <f ca="1">IFERROR(__xludf.DUMMYFUNCTION("""COMPUTED_VALUE"""),"Schoolroute")</f>
        <v>Schoolroute</v>
      </c>
      <c r="D717" s="2" t="str">
        <f ca="1">IFERROR(__xludf.DUMMYFUNCTION("""COMPUTED_VALUE"""),"IN/002157")</f>
        <v>IN/002157</v>
      </c>
      <c r="E717" s="2" t="str">
        <f ca="1">IFERROR(__xludf.DUMMYFUNCTION("UNIQUE(FILTER('export kabinetdashboard 1210202'!N:P,'export kabinetdashboard 1210202'!M:M=D717))"),"#N/A")</f>
        <v>#N/A</v>
      </c>
      <c r="H717" s="2">
        <f ca="1">SUMIFS('bedragen KIM (budgettering &amp; pl'!S:S,'bedragen KIM (budgettering &amp; pl'!B:B,A717,'bedragen KIM (budgettering &amp; pl'!F:F,D717)</f>
        <v>0</v>
      </c>
      <c r="I717" s="2" t="e">
        <f ca="1">SUMIFS(#REF!,#REF!,A717,#REF!,D717)</f>
        <v>#REF!</v>
      </c>
      <c r="J717" s="2" t="e">
        <f ca="1">SUMIFS(#REF!,#REF!,A717,#REF!,D717)</f>
        <v>#REF!</v>
      </c>
    </row>
    <row r="718" spans="1:10" ht="12.5" x14ac:dyDescent="0.25">
      <c r="A718" s="2" t="str">
        <f ca="1">IFERROR(__xludf.DUMMYFUNCTION("""COMPUTED_VALUE"""),"KP/001317")</f>
        <v>KP/001317</v>
      </c>
      <c r="B718" s="2" t="str">
        <f ca="1">IFERROR(__xludf.DUMMYFUNCTION("""COMPUTED_VALUE"""),"Verkeersveiligheid")</f>
        <v>Verkeersveiligheid</v>
      </c>
      <c r="C718" s="2" t="str">
        <f ca="1">IFERROR(__xludf.DUMMYFUNCTION("""COMPUTED_VALUE"""),"Schoolroute")</f>
        <v>Schoolroute</v>
      </c>
      <c r="D718" s="2" t="str">
        <f ca="1">IFERROR(__xludf.DUMMYFUNCTION("""COMPUTED_VALUE"""),"IN/002160")</f>
        <v>IN/002160</v>
      </c>
      <c r="E718" s="2" t="str">
        <f ca="1">IFERROR(__xludf.DUMMYFUNCTION("UNIQUE(FILTER('export kabinetdashboard 1210202'!N:P,'export kabinetdashboard 1210202'!M:M=D718))"),"- aanpassen VRI
- FOP toevoegen
- FOP verplaatsen naar trageweg
- voetpad voorzien achter bomen (gracht inbuizen?)")</f>
        <v>- aanpassen VRI
- FOP toevoegen
- FOP verplaatsen naar trageweg
- voetpad voorzien achter bomen (gracht inbuizen?)</v>
      </c>
      <c r="F718" s="2" t="str">
        <f ca="1">IFERROR(__xludf.DUMMYFUNCTION("""COMPUTED_VALUE"""),"2022 - Q4")</f>
        <v>2022 - Q4</v>
      </c>
      <c r="G718" s="2" t="str">
        <f ca="1">IFERROR(__xludf.DUMMYFUNCTION("""COMPUTED_VALUE"""),"n.t.b.")</f>
        <v>n.t.b.</v>
      </c>
      <c r="H718" s="2">
        <f ca="1">SUMIFS('bedragen KIM (budgettering &amp; pl'!S:S,'bedragen KIM (budgettering &amp; pl'!B:B,A718,'bedragen KIM (budgettering &amp; pl'!F:F,D718)</f>
        <v>95000</v>
      </c>
      <c r="I718" s="2" t="e">
        <f ca="1">SUMIFS(#REF!,#REF!,A718,#REF!,D718)</f>
        <v>#REF!</v>
      </c>
      <c r="J718" s="2" t="e">
        <f ca="1">SUMIFS(#REF!,#REF!,A718,#REF!,D718)</f>
        <v>#REF!</v>
      </c>
    </row>
    <row r="719" spans="1:10" ht="12.5" x14ac:dyDescent="0.25">
      <c r="A719" s="2" t="str">
        <f ca="1">IFERROR(__xludf.DUMMYFUNCTION("""COMPUTED_VALUE"""),"KP/000970")</f>
        <v>KP/000970</v>
      </c>
      <c r="B719" s="2" t="str">
        <f ca="1">IFERROR(__xludf.DUMMYFUNCTION("""COMPUTED_VALUE"""),"Verkeersveiligheid")</f>
        <v>Verkeersveiligheid</v>
      </c>
      <c r="C719" s="2" t="str">
        <f ca="1">IFERROR(__xludf.DUMMYFUNCTION("""COMPUTED_VALUE"""),"Schoolroute")</f>
        <v>Schoolroute</v>
      </c>
      <c r="D719" s="2" t="str">
        <f ca="1">IFERROR(__xludf.DUMMYFUNCTION("""COMPUTED_VALUE"""),"IN/002163")</f>
        <v>IN/002163</v>
      </c>
      <c r="E719" s="2" t="str">
        <f ca="1">IFERROR(__xludf.DUMMYFUNCTION("UNIQUE(FILTER('export kabinetdashboard 1210202'!N:P,'export kabinetdashboard 1210202'!M:M=D719))"),"")</f>
        <v/>
      </c>
      <c r="F719" s="2" t="str">
        <f ca="1">IFERROR(__xludf.DUMMYFUNCTION("""COMPUTED_VALUE"""),"2022 - Q4")</f>
        <v>2022 - Q4</v>
      </c>
      <c r="G719" s="2" t="str">
        <f ca="1">IFERROR(__xludf.DUMMYFUNCTION("""COMPUTED_VALUE"""),"n.t.b.")</f>
        <v>n.t.b.</v>
      </c>
      <c r="H719" s="2">
        <f ca="1">SUMIFS('bedragen KIM (budgettering &amp; pl'!S:S,'bedragen KIM (budgettering &amp; pl'!B:B,A719,'bedragen KIM (budgettering &amp; pl'!F:F,D719)</f>
        <v>3500</v>
      </c>
      <c r="I719" s="2" t="e">
        <f ca="1">SUMIFS(#REF!,#REF!,A719,#REF!,D719)</f>
        <v>#REF!</v>
      </c>
      <c r="J719" s="2" t="e">
        <f ca="1">SUMIFS(#REF!,#REF!,A719,#REF!,D719)</f>
        <v>#REF!</v>
      </c>
    </row>
    <row r="720" spans="1:10" ht="12.5" x14ac:dyDescent="0.25">
      <c r="A720" s="2" t="str">
        <f ca="1">IFERROR(__xludf.DUMMYFUNCTION("""COMPUTED_VALUE"""),"KP/000824")</f>
        <v>KP/000824</v>
      </c>
      <c r="B720" s="2" t="str">
        <f ca="1">IFERROR(__xludf.DUMMYFUNCTION("""COMPUTED_VALUE"""),"Verkeersveiligheid")</f>
        <v>Verkeersveiligheid</v>
      </c>
      <c r="C720" s="2" t="str">
        <f ca="1">IFERROR(__xludf.DUMMYFUNCTION("""COMPUTED_VALUE"""),"Schoolroute")</f>
        <v>Schoolroute</v>
      </c>
      <c r="D720" s="2" t="str">
        <f ca="1">IFERROR(__xludf.DUMMYFUNCTION("""COMPUTED_VALUE"""),"IN/002164")</f>
        <v>IN/002164</v>
      </c>
      <c r="E720" s="2" t="str">
        <f ca="1">IFERROR(__xludf.DUMMYFUNCTION("UNIQUE(FILTER('export kabinetdashboard 1210202'!N:P,'export kabinetdashboard 1210202'!M:M=D720))"),"")</f>
        <v/>
      </c>
      <c r="F720" s="2" t="str">
        <f ca="1">IFERROR(__xludf.DUMMYFUNCTION("""COMPUTED_VALUE"""),"n.t.b.")</f>
        <v>n.t.b.</v>
      </c>
      <c r="G720" s="2" t="str">
        <f ca="1">IFERROR(__xludf.DUMMYFUNCTION("""COMPUTED_VALUE"""),"n.t.b.")</f>
        <v>n.t.b.</v>
      </c>
      <c r="H720" s="2">
        <f ca="1">SUMIFS('bedragen KIM (budgettering &amp; pl'!S:S,'bedragen KIM (budgettering &amp; pl'!B:B,A720,'bedragen KIM (budgettering &amp; pl'!F:F,D720)</f>
        <v>0</v>
      </c>
      <c r="I720" s="2" t="e">
        <f ca="1">SUMIFS(#REF!,#REF!,A720,#REF!,D720)</f>
        <v>#REF!</v>
      </c>
      <c r="J720" s="2" t="e">
        <f ca="1">SUMIFS(#REF!,#REF!,A720,#REF!,D720)</f>
        <v>#REF!</v>
      </c>
    </row>
    <row r="721" spans="1:10" ht="12.5" x14ac:dyDescent="0.25">
      <c r="A721" s="2" t="str">
        <f ca="1">IFERROR(__xludf.DUMMYFUNCTION("""COMPUTED_VALUE"""),"KP/001380")</f>
        <v>KP/001380</v>
      </c>
      <c r="B721" s="2" t="str">
        <f ca="1">IFERROR(__xludf.DUMMYFUNCTION("""COMPUTED_VALUE"""),"Verkeersveiligheid")</f>
        <v>Verkeersveiligheid</v>
      </c>
      <c r="C721" s="2" t="str">
        <f ca="1">IFERROR(__xludf.DUMMYFUNCTION("""COMPUTED_VALUE"""),"Schoolroute")</f>
        <v>Schoolroute</v>
      </c>
      <c r="D721" s="2" t="str">
        <f ca="1">IFERROR(__xludf.DUMMYFUNCTION("""COMPUTED_VALUE"""),"IN/002172")</f>
        <v>IN/002172</v>
      </c>
      <c r="E721" s="2" t="str">
        <f ca="1">IFERROR(__xludf.DUMMYFUNCTION("UNIQUE(FILTER('export kabinetdashboard 1210202'!N:P,'export kabinetdashboard 1210202'!M:M=D721))"),"")</f>
        <v/>
      </c>
      <c r="F721" s="2" t="str">
        <f ca="1">IFERROR(__xludf.DUMMYFUNCTION("""COMPUTED_VALUE"""),"2023 - Q4")</f>
        <v>2023 - Q4</v>
      </c>
      <c r="G721" s="2" t="str">
        <f ca="1">IFERROR(__xludf.DUMMYFUNCTION("""COMPUTED_VALUE"""),"n.t.b.")</f>
        <v>n.t.b.</v>
      </c>
      <c r="H721" s="2">
        <f ca="1">SUMIFS('bedragen KIM (budgettering &amp; pl'!S:S,'bedragen KIM (budgettering &amp; pl'!B:B,A721,'bedragen KIM (budgettering &amp; pl'!F:F,D721)</f>
        <v>0</v>
      </c>
      <c r="I721" s="2" t="e">
        <f ca="1">SUMIFS(#REF!,#REF!,A721,#REF!,D721)</f>
        <v>#REF!</v>
      </c>
      <c r="J721" s="2" t="e">
        <f ca="1">SUMIFS(#REF!,#REF!,A721,#REF!,D721)</f>
        <v>#REF!</v>
      </c>
    </row>
    <row r="722" spans="1:10" ht="12.5" x14ac:dyDescent="0.25">
      <c r="A722" s="2" t="str">
        <f ca="1">IFERROR(__xludf.DUMMYFUNCTION("""COMPUTED_VALUE"""),"KP/001145")</f>
        <v>KP/001145</v>
      </c>
      <c r="B722" s="2" t="str">
        <f ca="1">IFERROR(__xludf.DUMMYFUNCTION("""COMPUTED_VALUE"""),"Verkeersveiligheid")</f>
        <v>Verkeersveiligheid</v>
      </c>
      <c r="C722" s="2" t="str">
        <f ca="1">IFERROR(__xludf.DUMMYFUNCTION("""COMPUTED_VALUE"""),"Schoolroute")</f>
        <v>Schoolroute</v>
      </c>
      <c r="D722" s="2" t="str">
        <f ca="1">IFERROR(__xludf.DUMMYFUNCTION("""COMPUTED_VALUE"""),"IN/002173")</f>
        <v>IN/002173</v>
      </c>
      <c r="E722" s="2" t="str">
        <f ca="1">IFERROR(__xludf.DUMMYFUNCTION("UNIQUE(FILTER('export kabinetdashboard 1210202'!N:P,'export kabinetdashboard 1210202'!M:M=D722))"),"")</f>
        <v/>
      </c>
      <c r="F722" s="2" t="str">
        <f ca="1">IFERROR(__xludf.DUMMYFUNCTION("""COMPUTED_VALUE"""),"2023 - Q1")</f>
        <v>2023 - Q1</v>
      </c>
      <c r="G722" s="2" t="str">
        <f ca="1">IFERROR(__xludf.DUMMYFUNCTION("""COMPUTED_VALUE"""),"n.t.b.")</f>
        <v>n.t.b.</v>
      </c>
      <c r="H722" s="2">
        <f ca="1">SUMIFS('bedragen KIM (budgettering &amp; pl'!S:S,'bedragen KIM (budgettering &amp; pl'!B:B,A722,'bedragen KIM (budgettering &amp; pl'!F:F,D722)</f>
        <v>250000</v>
      </c>
      <c r="I722" s="2" t="e">
        <f ca="1">SUMIFS(#REF!,#REF!,A722,#REF!,D722)</f>
        <v>#REF!</v>
      </c>
      <c r="J722" s="2" t="e">
        <f ca="1">SUMIFS(#REF!,#REF!,A722,#REF!,D722)</f>
        <v>#REF!</v>
      </c>
    </row>
    <row r="723" spans="1:10" ht="12.5" x14ac:dyDescent="0.25">
      <c r="A723" s="2" t="str">
        <f ca="1">IFERROR(__xludf.DUMMYFUNCTION("""COMPUTED_VALUE"""),"KP/001478")</f>
        <v>KP/001478</v>
      </c>
      <c r="B723" s="2" t="str">
        <f ca="1">IFERROR(__xludf.DUMMYFUNCTION("""COMPUTED_VALUE"""),"Verkeersveiligheid")</f>
        <v>Verkeersveiligheid</v>
      </c>
      <c r="C723" s="2" t="str">
        <f ca="1">IFERROR(__xludf.DUMMYFUNCTION("""COMPUTED_VALUE"""),"Schoolroute")</f>
        <v>Schoolroute</v>
      </c>
      <c r="D723" s="2" t="str">
        <f ca="1">IFERROR(__xludf.DUMMYFUNCTION("""COMPUTED_VALUE"""),"IN/002179")</f>
        <v>IN/002179</v>
      </c>
      <c r="E723" s="2" t="str">
        <f ca="1">IFERROR(__xludf.DUMMYFUNCTION("UNIQUE(FILTER('export kabinetdashboard 1210202'!N:P,'export kabinetdashboard 1210202'!M:M=D723))"),"Asfalt ipv klinkers op fietspad in doortocht Berlare")</f>
        <v>Asfalt ipv klinkers op fietspad in doortocht Berlare</v>
      </c>
      <c r="F723" s="2" t="str">
        <f ca="1">IFERROR(__xludf.DUMMYFUNCTION("""COMPUTED_VALUE"""),"2022 - Q2")</f>
        <v>2022 - Q2</v>
      </c>
      <c r="G723" s="2" t="str">
        <f ca="1">IFERROR(__xludf.DUMMYFUNCTION("""COMPUTED_VALUE"""),"2022 - Q2")</f>
        <v>2022 - Q2</v>
      </c>
      <c r="H723" s="2">
        <f ca="1">SUMIFS('bedragen KIM (budgettering &amp; pl'!S:S,'bedragen KIM (budgettering &amp; pl'!B:B,A723,'bedragen KIM (budgettering &amp; pl'!F:F,D723)</f>
        <v>35000</v>
      </c>
      <c r="I723" s="2" t="e">
        <f ca="1">SUMIFS(#REF!,#REF!,A723,#REF!,D723)</f>
        <v>#REF!</v>
      </c>
      <c r="J723" s="2" t="e">
        <f ca="1">SUMIFS(#REF!,#REF!,A723,#REF!,D723)</f>
        <v>#REF!</v>
      </c>
    </row>
    <row r="724" spans="1:10" ht="12.5" x14ac:dyDescent="0.25">
      <c r="A724" s="2" t="str">
        <f ca="1">IFERROR(__xludf.DUMMYFUNCTION("""COMPUTED_VALUE"""),"KP/000856")</f>
        <v>KP/000856</v>
      </c>
      <c r="B724" s="2" t="str">
        <f ca="1">IFERROR(__xludf.DUMMYFUNCTION("""COMPUTED_VALUE"""),"Verkeersveiligheid")</f>
        <v>Verkeersveiligheid</v>
      </c>
      <c r="C724" s="2" t="str">
        <f ca="1">IFERROR(__xludf.DUMMYFUNCTION("""COMPUTED_VALUE"""),"Schoolroute")</f>
        <v>Schoolroute</v>
      </c>
      <c r="D724" s="2" t="str">
        <f ca="1">IFERROR(__xludf.DUMMYFUNCTION("""COMPUTED_VALUE"""),"IN/002180")</f>
        <v>IN/002180</v>
      </c>
      <c r="E724" s="2" t="str">
        <f ca="1">IFERROR(__xludf.DUMMYFUNCTION("UNIQUE(FILTER('export kabinetdashboard 1210202'!N:P,'export kabinetdashboard 1210202'!M:M=D724))"),"")</f>
        <v/>
      </c>
      <c r="F724" s="2" t="str">
        <f ca="1">IFERROR(__xludf.DUMMYFUNCTION("""COMPUTED_VALUE"""),"2022 - Q4")</f>
        <v>2022 - Q4</v>
      </c>
      <c r="G724" s="2" t="str">
        <f ca="1">IFERROR(__xludf.DUMMYFUNCTION("""COMPUTED_VALUE"""),"n.t.b.")</f>
        <v>n.t.b.</v>
      </c>
      <c r="H724" s="2">
        <f ca="1">SUMIFS('bedragen KIM (budgettering &amp; pl'!S:S,'bedragen KIM (budgettering &amp; pl'!B:B,A724,'bedragen KIM (budgettering &amp; pl'!F:F,D724)</f>
        <v>0</v>
      </c>
      <c r="I724" s="2" t="e">
        <f ca="1">SUMIFS(#REF!,#REF!,A724,#REF!,D724)</f>
        <v>#REF!</v>
      </c>
      <c r="J724" s="2" t="e">
        <f ca="1">SUMIFS(#REF!,#REF!,A724,#REF!,D724)</f>
        <v>#REF!</v>
      </c>
    </row>
    <row r="725" spans="1:10" ht="12.5" x14ac:dyDescent="0.25">
      <c r="A725" s="2" t="str">
        <f ca="1">IFERROR(__xludf.DUMMYFUNCTION("""COMPUTED_VALUE"""),"KP/001493")</f>
        <v>KP/001493</v>
      </c>
      <c r="B725" s="2" t="str">
        <f ca="1">IFERROR(__xludf.DUMMYFUNCTION("""COMPUTED_VALUE"""),"Verkeersveiligheid")</f>
        <v>Verkeersveiligheid</v>
      </c>
      <c r="C725" s="2" t="str">
        <f ca="1">IFERROR(__xludf.DUMMYFUNCTION("""COMPUTED_VALUE"""),"Schoolroute")</f>
        <v>Schoolroute</v>
      </c>
      <c r="D725" s="2" t="str">
        <f ca="1">IFERROR(__xludf.DUMMYFUNCTION("""COMPUTED_VALUE"""),"IN/002185")</f>
        <v>IN/002185</v>
      </c>
      <c r="E725" s="2" t="str">
        <f ca="1">IFERROR(__xludf.DUMMYFUNCTION("UNIQUE(FILTER('export kabinetdashboard 1210202'!N:P,'export kabinetdashboard 1210202'!M:M=D725))"),"aanbrengen suggestiestroken aan beide zijden van het kruispunt")</f>
        <v>aanbrengen suggestiestroken aan beide zijden van het kruispunt</v>
      </c>
      <c r="F725" s="2" t="str">
        <f ca="1">IFERROR(__xludf.DUMMYFUNCTION("""COMPUTED_VALUE"""),"2022 - Q3")</f>
        <v>2022 - Q3</v>
      </c>
      <c r="G725" s="2" t="str">
        <f ca="1">IFERROR(__xludf.DUMMYFUNCTION("""COMPUTED_VALUE"""),"n.t.b.")</f>
        <v>n.t.b.</v>
      </c>
      <c r="H725" s="2">
        <f ca="1">SUMIFS('bedragen KIM (budgettering &amp; pl'!S:S,'bedragen KIM (budgettering &amp; pl'!B:B,A725,'bedragen KIM (budgettering &amp; pl'!F:F,D725)</f>
        <v>3300</v>
      </c>
      <c r="I725" s="2" t="e">
        <f ca="1">SUMIFS(#REF!,#REF!,A725,#REF!,D725)</f>
        <v>#REF!</v>
      </c>
      <c r="J725" s="2" t="e">
        <f ca="1">SUMIFS(#REF!,#REF!,A725,#REF!,D725)</f>
        <v>#REF!</v>
      </c>
    </row>
    <row r="726" spans="1:10" ht="12.5" x14ac:dyDescent="0.25">
      <c r="A726" s="2" t="str">
        <f ca="1">IFERROR(__xludf.DUMMYFUNCTION("""COMPUTED_VALUE"""),"KP/001514")</f>
        <v>KP/001514</v>
      </c>
      <c r="B726" s="2" t="str">
        <f ca="1">IFERROR(__xludf.DUMMYFUNCTION("""COMPUTED_VALUE"""),"Verkeersveiligheid")</f>
        <v>Verkeersveiligheid</v>
      </c>
      <c r="C726" s="2" t="str">
        <f ca="1">IFERROR(__xludf.DUMMYFUNCTION("""COMPUTED_VALUE"""),"Schoolroute")</f>
        <v>Schoolroute</v>
      </c>
      <c r="D726" s="2" t="str">
        <f ca="1">IFERROR(__xludf.DUMMYFUNCTION("""COMPUTED_VALUE"""),"IN/002186")</f>
        <v>IN/002186</v>
      </c>
      <c r="E726" s="2" t="str">
        <f ca="1">IFERROR(__xludf.DUMMYFUNCTION("UNIQUE(FILTER('export kabinetdashboard 1210202'!N:P,'export kabinetdashboard 1210202'!M:M=D726))"),"SRK Overledebrug plateaumarkering (KS370); aangebracht tijdens vernieuwing dorpskern")</f>
        <v>SRK Overledebrug plateaumarkering (KS370); aangebracht tijdens vernieuwing dorpskern</v>
      </c>
      <c r="F726" s="2" t="str">
        <f ca="1">IFERROR(__xludf.DUMMYFUNCTION("""COMPUTED_VALUE"""),"2022 - Q2")</f>
        <v>2022 - Q2</v>
      </c>
      <c r="G726" s="2" t="str">
        <f ca="1">IFERROR(__xludf.DUMMYFUNCTION("""COMPUTED_VALUE"""),"2022 - Q2")</f>
        <v>2022 - Q2</v>
      </c>
      <c r="H726" s="2">
        <f ca="1">SUMIFS('bedragen KIM (budgettering &amp; pl'!S:S,'bedragen KIM (budgettering &amp; pl'!B:B,A726,'bedragen KIM (budgettering &amp; pl'!F:F,D726)</f>
        <v>2000</v>
      </c>
      <c r="I726" s="2" t="e">
        <f ca="1">SUMIFS(#REF!,#REF!,A726,#REF!,D726)</f>
        <v>#REF!</v>
      </c>
      <c r="J726" s="2" t="e">
        <f ca="1">SUMIFS(#REF!,#REF!,A726,#REF!,D726)</f>
        <v>#REF!</v>
      </c>
    </row>
    <row r="727" spans="1:10" ht="12.5" x14ac:dyDescent="0.25">
      <c r="A727" s="2" t="str">
        <f ca="1">IFERROR(__xludf.DUMMYFUNCTION("""COMPUTED_VALUE"""),"KP/001405")</f>
        <v>KP/001405</v>
      </c>
      <c r="B727" s="2" t="str">
        <f ca="1">IFERROR(__xludf.DUMMYFUNCTION("""COMPUTED_VALUE"""),"Verkeersveiligheid")</f>
        <v>Verkeersveiligheid</v>
      </c>
      <c r="C727" s="2" t="str">
        <f ca="1">IFERROR(__xludf.DUMMYFUNCTION("""COMPUTED_VALUE"""),"Schoolroute")</f>
        <v>Schoolroute</v>
      </c>
      <c r="D727" s="2" t="str">
        <f ca="1">IFERROR(__xludf.DUMMYFUNCTION("""COMPUTED_VALUE"""),"IN/002223")</f>
        <v>IN/002223</v>
      </c>
      <c r="E727" s="2" t="str">
        <f ca="1">IFERROR(__xludf.DUMMYFUNCTION("UNIQUE(FILTER('export kabinetdashboard 1210202'!N:P,'export kabinetdashboard 1210202'!M:M=D727))"),"Ombouw afgestemd op herinrichting Sabbestraat door de stad.")</f>
        <v>Ombouw afgestemd op herinrichting Sabbestraat door de stad.</v>
      </c>
      <c r="F727" s="2" t="str">
        <f ca="1">IFERROR(__xludf.DUMMYFUNCTION("""COMPUTED_VALUE"""),"2022 - Q4")</f>
        <v>2022 - Q4</v>
      </c>
      <c r="G727" s="2" t="str">
        <f ca="1">IFERROR(__xludf.DUMMYFUNCTION("""COMPUTED_VALUE"""),"n.t.b.")</f>
        <v>n.t.b.</v>
      </c>
      <c r="H727" s="2">
        <f ca="1">SUMIFS('bedragen KIM (budgettering &amp; pl'!S:S,'bedragen KIM (budgettering &amp; pl'!B:B,A727,'bedragen KIM (budgettering &amp; pl'!F:F,D727)</f>
        <v>0</v>
      </c>
      <c r="I727" s="2" t="e">
        <f ca="1">SUMIFS(#REF!,#REF!,A727,#REF!,D727)</f>
        <v>#REF!</v>
      </c>
      <c r="J727" s="2" t="e">
        <f ca="1">SUMIFS(#REF!,#REF!,A727,#REF!,D727)</f>
        <v>#REF!</v>
      </c>
    </row>
    <row r="728" spans="1:10" ht="12.5" x14ac:dyDescent="0.25">
      <c r="A728" s="2" t="str">
        <f ca="1">IFERROR(__xludf.DUMMYFUNCTION("""COMPUTED_VALUE"""),"KP/000874")</f>
        <v>KP/000874</v>
      </c>
      <c r="B728" s="2" t="str">
        <f ca="1">IFERROR(__xludf.DUMMYFUNCTION("""COMPUTED_VALUE"""),"Verkeersveiligheid")</f>
        <v>Verkeersveiligheid</v>
      </c>
      <c r="C728" s="2" t="str">
        <f ca="1">IFERROR(__xludf.DUMMYFUNCTION("""COMPUTED_VALUE"""),"Schoolroute")</f>
        <v>Schoolroute</v>
      </c>
      <c r="D728" s="2" t="str">
        <f ca="1">IFERROR(__xludf.DUMMYFUNCTION("""COMPUTED_VALUE"""),"IN/002224")</f>
        <v>IN/002224</v>
      </c>
      <c r="E728" s="2" t="str">
        <f ca="1">IFERROR(__xludf.DUMMYFUNCTION("UNIQUE(FILTER('export kabinetdashboard 1210202'!N:P,'export kabinetdashboard 1210202'!M:M=D728))"),"")</f>
        <v/>
      </c>
      <c r="F728" s="2" t="str">
        <f ca="1">IFERROR(__xludf.DUMMYFUNCTION("""COMPUTED_VALUE"""),"2023 - Q1")</f>
        <v>2023 - Q1</v>
      </c>
      <c r="G728" s="2" t="str">
        <f ca="1">IFERROR(__xludf.DUMMYFUNCTION("""COMPUTED_VALUE"""),"n.t.b.")</f>
        <v>n.t.b.</v>
      </c>
      <c r="H728" s="2">
        <f ca="1">SUMIFS('bedragen KIM (budgettering &amp; pl'!S:S,'bedragen KIM (budgettering &amp; pl'!B:B,A728,'bedragen KIM (budgettering &amp; pl'!F:F,D728)</f>
        <v>0</v>
      </c>
      <c r="I728" s="2" t="e">
        <f ca="1">SUMIFS(#REF!,#REF!,A728,#REF!,D728)</f>
        <v>#REF!</v>
      </c>
      <c r="J728" s="2" t="e">
        <f ca="1">SUMIFS(#REF!,#REF!,A728,#REF!,D728)</f>
        <v>#REF!</v>
      </c>
    </row>
    <row r="729" spans="1:10" ht="12.5" x14ac:dyDescent="0.25">
      <c r="A729" s="2" t="str">
        <f ca="1">IFERROR(__xludf.DUMMYFUNCTION("""COMPUTED_VALUE"""),"KP/000875")</f>
        <v>KP/000875</v>
      </c>
      <c r="B729" s="2" t="str">
        <f ca="1">IFERROR(__xludf.DUMMYFUNCTION("""COMPUTED_VALUE"""),"Verkeersveiligheid")</f>
        <v>Verkeersveiligheid</v>
      </c>
      <c r="C729" s="2" t="str">
        <f ca="1">IFERROR(__xludf.DUMMYFUNCTION("""COMPUTED_VALUE"""),"Schoolroute")</f>
        <v>Schoolroute</v>
      </c>
      <c r="D729" s="2" t="str">
        <f ca="1">IFERROR(__xludf.DUMMYFUNCTION("""COMPUTED_VALUE"""),"IN/002224")</f>
        <v>IN/002224</v>
      </c>
      <c r="E729" s="2" t="str">
        <f ca="1">IFERROR(__xludf.DUMMYFUNCTION("UNIQUE(FILTER('export kabinetdashboard 1210202'!N:P,'export kabinetdashboard 1210202'!M:M=D729))"),"")</f>
        <v/>
      </c>
      <c r="F729" s="2" t="str">
        <f ca="1">IFERROR(__xludf.DUMMYFUNCTION("""COMPUTED_VALUE"""),"2023 - Q1")</f>
        <v>2023 - Q1</v>
      </c>
      <c r="G729" s="2" t="str">
        <f ca="1">IFERROR(__xludf.DUMMYFUNCTION("""COMPUTED_VALUE"""),"n.t.b.")</f>
        <v>n.t.b.</v>
      </c>
      <c r="H729" s="2">
        <f ca="1">SUMIFS('bedragen KIM (budgettering &amp; pl'!S:S,'bedragen KIM (budgettering &amp; pl'!B:B,A729,'bedragen KIM (budgettering &amp; pl'!F:F,D729)</f>
        <v>0</v>
      </c>
      <c r="I729" s="2" t="e">
        <f ca="1">SUMIFS(#REF!,#REF!,A729,#REF!,D729)</f>
        <v>#REF!</v>
      </c>
      <c r="J729" s="2" t="e">
        <f ca="1">SUMIFS(#REF!,#REF!,A729,#REF!,D729)</f>
        <v>#REF!</v>
      </c>
    </row>
    <row r="730" spans="1:10" ht="12.5" x14ac:dyDescent="0.25">
      <c r="A730" s="2" t="str">
        <f ca="1">IFERROR(__xludf.DUMMYFUNCTION("""COMPUTED_VALUE"""),"KP/001612")</f>
        <v>KP/001612</v>
      </c>
      <c r="B730" s="2" t="str">
        <f ca="1">IFERROR(__xludf.DUMMYFUNCTION("""COMPUTED_VALUE"""),"Verkeersveiligheid")</f>
        <v>Verkeersveiligheid</v>
      </c>
      <c r="C730" s="2" t="str">
        <f ca="1">IFERROR(__xludf.DUMMYFUNCTION("""COMPUTED_VALUE"""),"Schoolroute")</f>
        <v>Schoolroute</v>
      </c>
      <c r="D730" s="2" t="str">
        <f ca="1">IFERROR(__xludf.DUMMYFUNCTION("""COMPUTED_VALUE"""),"IN/002225")</f>
        <v>IN/002225</v>
      </c>
      <c r="E730" s="2" t="str">
        <f ca="1">IFERROR(__xludf.DUMMYFUNCTION("UNIQUE(FILTER('export kabinetdashboard 1210202'!N:P,'export kabinetdashboard 1210202'!M:M=D730))"),"Tweede rij paaltjes wordt aangebracht dichter bij de N415 om het afsnijden van de bocht komende van de N444 zuidzijde te vermijden")</f>
        <v>Tweede rij paaltjes wordt aangebracht dichter bij de N415 om het afsnijden van de bocht komende van de N444 zuidzijde te vermijden</v>
      </c>
      <c r="F730" s="2" t="str">
        <f ca="1">IFERROR(__xludf.DUMMYFUNCTION("""COMPUTED_VALUE"""),"2022 - Q2")</f>
        <v>2022 - Q2</v>
      </c>
      <c r="G730" s="2" t="str">
        <f ca="1">IFERROR(__xludf.DUMMYFUNCTION("""COMPUTED_VALUE"""),"2022 - Q2")</f>
        <v>2022 - Q2</v>
      </c>
      <c r="H730" s="2">
        <f ca="1">SUMIFS('bedragen KIM (budgettering &amp; pl'!S:S,'bedragen KIM (budgettering &amp; pl'!B:B,A730,'bedragen KIM (budgettering &amp; pl'!F:F,D730)</f>
        <v>1000</v>
      </c>
      <c r="I730" s="2" t="e">
        <f ca="1">SUMIFS(#REF!,#REF!,A730,#REF!,D730)</f>
        <v>#REF!</v>
      </c>
      <c r="J730" s="2" t="e">
        <f ca="1">SUMIFS(#REF!,#REF!,A730,#REF!,D730)</f>
        <v>#REF!</v>
      </c>
    </row>
    <row r="731" spans="1:10" ht="12.5" x14ac:dyDescent="0.25">
      <c r="A731" s="2" t="str">
        <f ca="1">IFERROR(__xludf.DUMMYFUNCTION("""COMPUTED_VALUE"""),"KP/001457")</f>
        <v>KP/001457</v>
      </c>
      <c r="B731" s="2" t="str">
        <f ca="1">IFERROR(__xludf.DUMMYFUNCTION("""COMPUTED_VALUE"""),"Verkeersveiligheid")</f>
        <v>Verkeersveiligheid</v>
      </c>
      <c r="C731" s="2" t="str">
        <f ca="1">IFERROR(__xludf.DUMMYFUNCTION("""COMPUTED_VALUE"""),"Schoolroute")</f>
        <v>Schoolroute</v>
      </c>
      <c r="D731" s="2" t="str">
        <f ca="1">IFERROR(__xludf.DUMMYFUNCTION("""COMPUTED_VALUE"""),"IN/002226")</f>
        <v>IN/002226</v>
      </c>
      <c r="E731" s="2" t="str">
        <f ca="1">IFERROR(__xludf.DUMMYFUNCTION("UNIQUE(FILTER('export kabinetdashboard 1210202'!N:P,'export kabinetdashboard 1210202'!M:M=D731))"),"- Het AWV verwijdert de asmarkering, daar waar er geen fietspaden aanwezig zijn.
- Het AWV brengt fietssuggestiestroken aan met een breedte van 1,75 m, daar waar er geen fietspaden aanwezig zijn.
- Het AWV brengt het opschrift SCHOOL aan op de rijweg ter "&amp;"hoogte van de school")</f>
        <v>- Het AWV verwijdert de asmarkering, daar waar er geen fietspaden aanwezig zijn.
- Het AWV brengt fietssuggestiestroken aan met een breedte van 1,75 m, daar waar er geen fietspaden aanwezig zijn.
- Het AWV brengt het opschrift SCHOOL aan op de rijweg ter hoogte van de school</v>
      </c>
      <c r="F731" s="2" t="str">
        <f ca="1">IFERROR(__xludf.DUMMYFUNCTION("""COMPUTED_VALUE"""),"2022 - Q4")</f>
        <v>2022 - Q4</v>
      </c>
      <c r="G731" s="2" t="str">
        <f ca="1">IFERROR(__xludf.DUMMYFUNCTION("""COMPUTED_VALUE"""),"n.t.b.")</f>
        <v>n.t.b.</v>
      </c>
      <c r="H731" s="2">
        <f ca="1">SUMIFS('bedragen KIM (budgettering &amp; pl'!S:S,'bedragen KIM (budgettering &amp; pl'!B:B,A731,'bedragen KIM (budgettering &amp; pl'!F:F,D731)</f>
        <v>28500</v>
      </c>
      <c r="I731" s="2" t="e">
        <f ca="1">SUMIFS(#REF!,#REF!,A731,#REF!,D731)</f>
        <v>#REF!</v>
      </c>
      <c r="J731" s="2" t="e">
        <f ca="1">SUMIFS(#REF!,#REF!,A731,#REF!,D731)</f>
        <v>#REF!</v>
      </c>
    </row>
    <row r="732" spans="1:10" ht="12.5" x14ac:dyDescent="0.25">
      <c r="A732" s="2" t="str">
        <f ca="1">IFERROR(__xludf.DUMMYFUNCTION("""COMPUTED_VALUE"""),"KP/001539")</f>
        <v>KP/001539</v>
      </c>
      <c r="B732" s="2" t="str">
        <f ca="1">IFERROR(__xludf.DUMMYFUNCTION("""COMPUTED_VALUE"""),"Verkeersveiligheid")</f>
        <v>Verkeersveiligheid</v>
      </c>
      <c r="C732" s="2" t="str">
        <f ca="1">IFERROR(__xludf.DUMMYFUNCTION("""COMPUTED_VALUE"""),"Schoolroute")</f>
        <v>Schoolroute</v>
      </c>
      <c r="D732" s="2" t="str">
        <f ca="1">IFERROR(__xludf.DUMMYFUNCTION("""COMPUTED_VALUE"""),"IN/002227")</f>
        <v>IN/002227</v>
      </c>
      <c r="E732" s="2" t="str">
        <f ca="1">IFERROR(__xludf.DUMMYFUNCTION("UNIQUE(FILTER('export kabinetdashboard 1210202'!N:P,'export kabinetdashboard 1210202'!M:M=D732))"),"- Het aanbrengen van bijkomende signalisatie in de vorm van aanwijzingsborden zodat de te volgen fietsroute duidelijker wordt.
- Vernieuwen van de rode slemlagen op het kruispunt.")</f>
        <v>- Het aanbrengen van bijkomende signalisatie in de vorm van aanwijzingsborden zodat de te volgen fietsroute duidelijker wordt.
- Vernieuwen van de rode slemlagen op het kruispunt.</v>
      </c>
      <c r="F732" s="2" t="str">
        <f ca="1">IFERROR(__xludf.DUMMYFUNCTION("""COMPUTED_VALUE"""),"2022 - Q4")</f>
        <v>2022 - Q4</v>
      </c>
      <c r="G732" s="2" t="str">
        <f ca="1">IFERROR(__xludf.DUMMYFUNCTION("""COMPUTED_VALUE"""),"n.t.b.")</f>
        <v>n.t.b.</v>
      </c>
      <c r="H732" s="2">
        <f ca="1">SUMIFS('bedragen KIM (budgettering &amp; pl'!S:S,'bedragen KIM (budgettering &amp; pl'!B:B,A732,'bedragen KIM (budgettering &amp; pl'!F:F,D732)</f>
        <v>5000</v>
      </c>
      <c r="I732" s="2" t="e">
        <f ca="1">SUMIFS(#REF!,#REF!,A732,#REF!,D732)</f>
        <v>#REF!</v>
      </c>
      <c r="J732" s="2" t="e">
        <f ca="1">SUMIFS(#REF!,#REF!,A732,#REF!,D732)</f>
        <v>#REF!</v>
      </c>
    </row>
    <row r="733" spans="1:10" ht="12.5" x14ac:dyDescent="0.25">
      <c r="A733" s="2" t="str">
        <f ca="1">IFERROR(__xludf.DUMMYFUNCTION("""COMPUTED_VALUE"""),"KP/001644")</f>
        <v>KP/001644</v>
      </c>
      <c r="B733" s="2" t="str">
        <f ca="1">IFERROR(__xludf.DUMMYFUNCTION("""COMPUTED_VALUE"""),"Verkeersveiligheid")</f>
        <v>Verkeersveiligheid</v>
      </c>
      <c r="C733" s="2" t="str">
        <f ca="1">IFERROR(__xludf.DUMMYFUNCTION("""COMPUTED_VALUE"""),"Schoolroute")</f>
        <v>Schoolroute</v>
      </c>
      <c r="D733" s="2" t="str">
        <f ca="1">IFERROR(__xludf.DUMMYFUNCTION("""COMPUTED_VALUE"""),"IN/002240")</f>
        <v>IN/002240</v>
      </c>
      <c r="E733" s="2" t="str">
        <f ca="1">IFERROR(__xludf.DUMMYFUNCTION("UNIQUE(FILTER('export kabinetdashboard 1210202'!N:P,'export kabinetdashboard 1210202'!M:M=D733))"),"Vernieuwen en verbreden van de fietspaden, aanleg van voetpaden in functie van de zwakke weggebruiker")</f>
        <v>Vernieuwen en verbreden van de fietspaden, aanleg van voetpaden in functie van de zwakke weggebruiker</v>
      </c>
      <c r="F733" s="2" t="str">
        <f ca="1">IFERROR(__xludf.DUMMYFUNCTION("""COMPUTED_VALUE"""),"2023 - Q1")</f>
        <v>2023 - Q1</v>
      </c>
      <c r="G733" s="2" t="str">
        <f ca="1">IFERROR(__xludf.DUMMYFUNCTION("""COMPUTED_VALUE"""),"n.t.b.")</f>
        <v>n.t.b.</v>
      </c>
      <c r="H733" s="2">
        <f ca="1">SUMIFS('bedragen KIM (budgettering &amp; pl'!S:S,'bedragen KIM (budgettering &amp; pl'!B:B,A733,'bedragen KIM (budgettering &amp; pl'!F:F,D733)</f>
        <v>250000</v>
      </c>
      <c r="I733" s="2" t="e">
        <f ca="1">SUMIFS(#REF!,#REF!,A733,#REF!,D733)</f>
        <v>#REF!</v>
      </c>
      <c r="J733" s="2" t="e">
        <f ca="1">SUMIFS(#REF!,#REF!,A733,#REF!,D733)</f>
        <v>#REF!</v>
      </c>
    </row>
    <row r="734" spans="1:10" ht="12.5" x14ac:dyDescent="0.25">
      <c r="A734" s="2" t="str">
        <f ca="1">IFERROR(__xludf.DUMMYFUNCTION("""COMPUTED_VALUE"""),"KP/001459")</f>
        <v>KP/001459</v>
      </c>
      <c r="B734" s="2" t="str">
        <f ca="1">IFERROR(__xludf.DUMMYFUNCTION("""COMPUTED_VALUE"""),"Verkeersveiligheid")</f>
        <v>Verkeersveiligheid</v>
      </c>
      <c r="C734" s="2" t="str">
        <f ca="1">IFERROR(__xludf.DUMMYFUNCTION("""COMPUTED_VALUE"""),"Schoolroute")</f>
        <v>Schoolroute</v>
      </c>
      <c r="D734" s="2" t="str">
        <f ca="1">IFERROR(__xludf.DUMMYFUNCTION("""COMPUTED_VALUE"""),"IN/002241")</f>
        <v>IN/002241</v>
      </c>
      <c r="E734" s="2" t="str">
        <f ca="1">IFERROR(__xludf.DUMMYFUNCTION("UNIQUE(FILTER('export kabinetdashboard 1210202'!N:P,'export kabinetdashboard 1210202'!M:M=D734))"),"#N/A")</f>
        <v>#N/A</v>
      </c>
      <c r="H734" s="2">
        <f ca="1">SUMIFS('bedragen KIM (budgettering &amp; pl'!S:S,'bedragen KIM (budgettering &amp; pl'!B:B,A734,'bedragen KIM (budgettering &amp; pl'!F:F,D734)</f>
        <v>25000</v>
      </c>
      <c r="I734" s="2" t="e">
        <f ca="1">SUMIFS(#REF!,#REF!,A734,#REF!,D734)</f>
        <v>#REF!</v>
      </c>
      <c r="J734" s="2" t="e">
        <f ca="1">SUMIFS(#REF!,#REF!,A734,#REF!,D734)</f>
        <v>#REF!</v>
      </c>
    </row>
    <row r="735" spans="1:10" ht="12.5" x14ac:dyDescent="0.25">
      <c r="A735" s="2" t="str">
        <f ca="1">IFERROR(__xludf.DUMMYFUNCTION("""COMPUTED_VALUE"""),"KP/001591")</f>
        <v>KP/001591</v>
      </c>
      <c r="B735" s="2" t="str">
        <f ca="1">IFERROR(__xludf.DUMMYFUNCTION("""COMPUTED_VALUE"""),"Verkeersveiligheid")</f>
        <v>Verkeersveiligheid</v>
      </c>
      <c r="C735" s="2" t="str">
        <f ca="1">IFERROR(__xludf.DUMMYFUNCTION("""COMPUTED_VALUE"""),"Schoolroute")</f>
        <v>Schoolroute</v>
      </c>
      <c r="D735" s="2" t="str">
        <f ca="1">IFERROR(__xludf.DUMMYFUNCTION("""COMPUTED_VALUE"""),"IN/002243")</f>
        <v>IN/002243</v>
      </c>
      <c r="E735" s="2" t="str">
        <f ca="1">IFERROR(__xludf.DUMMYFUNCTION("UNIQUE(FILTER('export kabinetdashboard 1210202'!N:P,'export kabinetdashboard 1210202'!M:M=D735))"),"Plaatsen van punctuele verlichting")</f>
        <v>Plaatsen van punctuele verlichting</v>
      </c>
      <c r="F735" s="2" t="str">
        <f ca="1">IFERROR(__xludf.DUMMYFUNCTION("""COMPUTED_VALUE"""),"2022 - Q4")</f>
        <v>2022 - Q4</v>
      </c>
      <c r="G735" s="2" t="str">
        <f ca="1">IFERROR(__xludf.DUMMYFUNCTION("""COMPUTED_VALUE"""),"n.t.b.")</f>
        <v>n.t.b.</v>
      </c>
      <c r="H735" s="2">
        <f ca="1">SUMIFS('bedragen KIM (budgettering &amp; pl'!S:S,'bedragen KIM (budgettering &amp; pl'!B:B,A735,'bedragen KIM (budgettering &amp; pl'!F:F,D735)</f>
        <v>35000</v>
      </c>
      <c r="I735" s="2" t="e">
        <f ca="1">SUMIFS(#REF!,#REF!,A735,#REF!,D735)</f>
        <v>#REF!</v>
      </c>
      <c r="J735" s="2" t="e">
        <f ca="1">SUMIFS(#REF!,#REF!,A735,#REF!,D735)</f>
        <v>#REF!</v>
      </c>
    </row>
    <row r="736" spans="1:10" ht="12.5" x14ac:dyDescent="0.25">
      <c r="A736" s="2" t="str">
        <f ca="1">IFERROR(__xludf.DUMMYFUNCTION("""COMPUTED_VALUE"""),"KP/001545")</f>
        <v>KP/001545</v>
      </c>
      <c r="B736" s="2" t="str">
        <f ca="1">IFERROR(__xludf.DUMMYFUNCTION("""COMPUTED_VALUE"""),"Verkeersveiligheid")</f>
        <v>Verkeersveiligheid</v>
      </c>
      <c r="C736" s="2" t="str">
        <f ca="1">IFERROR(__xludf.DUMMYFUNCTION("""COMPUTED_VALUE"""),"Schoolroute")</f>
        <v>Schoolroute</v>
      </c>
      <c r="D736" s="2" t="str">
        <f ca="1">IFERROR(__xludf.DUMMYFUNCTION("""COMPUTED_VALUE"""),"IN/002244")</f>
        <v>IN/002244</v>
      </c>
      <c r="E736" s="2" t="str">
        <f ca="1">IFERROR(__xludf.DUMMYFUNCTION("UNIQUE(FILTER('export kabinetdashboard 1210202'!N:P,'export kabinetdashboard 1210202'!M:M=D736))"),"#N/A")</f>
        <v>#N/A</v>
      </c>
      <c r="H736" s="2">
        <f ca="1">SUMIFS('bedragen KIM (budgettering &amp; pl'!S:S,'bedragen KIM (budgettering &amp; pl'!B:B,A736,'bedragen KIM (budgettering &amp; pl'!F:F,D736)</f>
        <v>35000</v>
      </c>
      <c r="I736" s="2" t="e">
        <f ca="1">SUMIFS(#REF!,#REF!,A736,#REF!,D736)</f>
        <v>#REF!</v>
      </c>
      <c r="J736" s="2" t="e">
        <f ca="1">SUMIFS(#REF!,#REF!,A736,#REF!,D736)</f>
        <v>#REF!</v>
      </c>
    </row>
    <row r="737" spans="1:10" ht="12.5" x14ac:dyDescent="0.25">
      <c r="A737" s="2" t="str">
        <f ca="1">IFERROR(__xludf.DUMMYFUNCTION("""COMPUTED_VALUE"""),"KP/001635")</f>
        <v>KP/001635</v>
      </c>
      <c r="B737" s="2" t="str">
        <f ca="1">IFERROR(__xludf.DUMMYFUNCTION("""COMPUTED_VALUE"""),"Verkeersveiligheid")</f>
        <v>Verkeersveiligheid</v>
      </c>
      <c r="C737" s="2" t="str">
        <f ca="1">IFERROR(__xludf.DUMMYFUNCTION("""COMPUTED_VALUE"""),"Schoolroute")</f>
        <v>Schoolroute</v>
      </c>
      <c r="D737" s="2" t="str">
        <f ca="1">IFERROR(__xludf.DUMMYFUNCTION("""COMPUTED_VALUE"""),"IN/002245")</f>
        <v>IN/002245</v>
      </c>
      <c r="E737" s="2" t="str">
        <f ca="1">IFERROR(__xludf.DUMMYFUNCTION("UNIQUE(FILTER('export kabinetdashboard 1210202'!N:P,'export kabinetdashboard 1210202'!M:M=D737))"),"")</f>
        <v/>
      </c>
      <c r="F737" s="2" t="str">
        <f ca="1">IFERROR(__xludf.DUMMYFUNCTION("""COMPUTED_VALUE"""),"2023 - Q1")</f>
        <v>2023 - Q1</v>
      </c>
      <c r="G737" s="2" t="str">
        <f ca="1">IFERROR(__xludf.DUMMYFUNCTION("""COMPUTED_VALUE"""),"n.t.b.")</f>
        <v>n.t.b.</v>
      </c>
      <c r="H737" s="2">
        <f ca="1">SUMIFS('bedragen KIM (budgettering &amp; pl'!S:S,'bedragen KIM (budgettering &amp; pl'!B:B,A737,'bedragen KIM (budgettering &amp; pl'!F:F,D737)</f>
        <v>50000</v>
      </c>
      <c r="I737" s="2" t="e">
        <f ca="1">SUMIFS(#REF!,#REF!,A737,#REF!,D737)</f>
        <v>#REF!</v>
      </c>
      <c r="J737" s="2" t="e">
        <f ca="1">SUMIFS(#REF!,#REF!,A737,#REF!,D737)</f>
        <v>#REF!</v>
      </c>
    </row>
    <row r="738" spans="1:10" ht="12.5" x14ac:dyDescent="0.25">
      <c r="A738" s="2" t="str">
        <f ca="1">IFERROR(__xludf.DUMMYFUNCTION("""COMPUTED_VALUE"""),"KP/001642")</f>
        <v>KP/001642</v>
      </c>
      <c r="B738" s="2" t="str">
        <f ca="1">IFERROR(__xludf.DUMMYFUNCTION("""COMPUTED_VALUE"""),"Verkeersveiligheid")</f>
        <v>Verkeersveiligheid</v>
      </c>
      <c r="C738" s="2" t="str">
        <f ca="1">IFERROR(__xludf.DUMMYFUNCTION("""COMPUTED_VALUE"""),"Schoolroute")</f>
        <v>Schoolroute</v>
      </c>
      <c r="D738" s="2" t="str">
        <f ca="1">IFERROR(__xludf.DUMMYFUNCTION("""COMPUTED_VALUE"""),"IN/002247")</f>
        <v>IN/002247</v>
      </c>
      <c r="E738" s="2" t="str">
        <f ca="1">IFERROR(__xludf.DUMMYFUNCTION("UNIQUE(FILTER('export kabinetdashboard 1210202'!N:P,'export kabinetdashboard 1210202'!M:M=D738))"),"aanpassen markeringen ter hoogte van Zonnebloemlaan en Gentweg")</f>
        <v>aanpassen markeringen ter hoogte van Zonnebloemlaan en Gentweg</v>
      </c>
      <c r="F738" s="2" t="str">
        <f ca="1">IFERROR(__xludf.DUMMYFUNCTION("""COMPUTED_VALUE"""),"2022 - Q4")</f>
        <v>2022 - Q4</v>
      </c>
      <c r="G738" s="2" t="str">
        <f ca="1">IFERROR(__xludf.DUMMYFUNCTION("""COMPUTED_VALUE"""),"n.t.b.")</f>
        <v>n.t.b.</v>
      </c>
      <c r="H738" s="2">
        <f ca="1">SUMIFS('bedragen KIM (budgettering &amp; pl'!S:S,'bedragen KIM (budgettering &amp; pl'!B:B,A738,'bedragen KIM (budgettering &amp; pl'!F:F,D738)</f>
        <v>11000</v>
      </c>
      <c r="I738" s="2" t="e">
        <f ca="1">SUMIFS(#REF!,#REF!,A738,#REF!,D738)</f>
        <v>#REF!</v>
      </c>
      <c r="J738" s="2" t="e">
        <f ca="1">SUMIFS(#REF!,#REF!,A738,#REF!,D738)</f>
        <v>#REF!</v>
      </c>
    </row>
    <row r="739" spans="1:10" ht="12.5" x14ac:dyDescent="0.25">
      <c r="A739" s="2" t="str">
        <f ca="1">IFERROR(__xludf.DUMMYFUNCTION("""COMPUTED_VALUE"""),"KP/001641")</f>
        <v>KP/001641</v>
      </c>
      <c r="B739" s="2" t="str">
        <f ca="1">IFERROR(__xludf.DUMMYFUNCTION("""COMPUTED_VALUE"""),"Verkeersveiligheid")</f>
        <v>Verkeersveiligheid</v>
      </c>
      <c r="C739" s="2" t="str">
        <f ca="1">IFERROR(__xludf.DUMMYFUNCTION("""COMPUTED_VALUE"""),"Schoolroute")</f>
        <v>Schoolroute</v>
      </c>
      <c r="D739" s="2" t="str">
        <f ca="1">IFERROR(__xludf.DUMMYFUNCTION("""COMPUTED_VALUE"""),"IN/002248")</f>
        <v>IN/002248</v>
      </c>
      <c r="E739" s="2" t="str">
        <f ca="1">IFERROR(__xludf.DUMMYFUNCTION("UNIQUE(FILTER('export kabinetdashboard 1210202'!N:P,'export kabinetdashboard 1210202'!M:M=D739))"),"aanbrengen fietspadmarkering en verwijderen afslagstrook")</f>
        <v>aanbrengen fietspadmarkering en verwijderen afslagstrook</v>
      </c>
      <c r="F739" s="2" t="str">
        <f ca="1">IFERROR(__xludf.DUMMYFUNCTION("""COMPUTED_VALUE"""),"2022 - Q4")</f>
        <v>2022 - Q4</v>
      </c>
      <c r="G739" s="2" t="str">
        <f ca="1">IFERROR(__xludf.DUMMYFUNCTION("""COMPUTED_VALUE"""),"n.t.b.")</f>
        <v>n.t.b.</v>
      </c>
      <c r="H739" s="2">
        <f ca="1">SUMIFS('bedragen KIM (budgettering &amp; pl'!S:S,'bedragen KIM (budgettering &amp; pl'!B:B,A739,'bedragen KIM (budgettering &amp; pl'!F:F,D739)</f>
        <v>5000</v>
      </c>
      <c r="I739" s="2" t="e">
        <f ca="1">SUMIFS(#REF!,#REF!,A739,#REF!,D739)</f>
        <v>#REF!</v>
      </c>
      <c r="J739" s="2" t="e">
        <f ca="1">SUMIFS(#REF!,#REF!,A739,#REF!,D739)</f>
        <v>#REF!</v>
      </c>
    </row>
    <row r="740" spans="1:10" ht="12.5" x14ac:dyDescent="0.25">
      <c r="A740" s="2" t="str">
        <f ca="1">IFERROR(__xludf.DUMMYFUNCTION("""COMPUTED_VALUE"""),"KP/001417")</f>
        <v>KP/001417</v>
      </c>
      <c r="B740" s="2" t="str">
        <f ca="1">IFERROR(__xludf.DUMMYFUNCTION("""COMPUTED_VALUE"""),"Verkeersveiligheid")</f>
        <v>Verkeersveiligheid</v>
      </c>
      <c r="C740" s="2" t="str">
        <f ca="1">IFERROR(__xludf.DUMMYFUNCTION("""COMPUTED_VALUE"""),"Schoolroute")</f>
        <v>Schoolroute</v>
      </c>
      <c r="D740" s="2" t="str">
        <f ca="1">IFERROR(__xludf.DUMMYFUNCTION("""COMPUTED_VALUE"""),"IN/002250")</f>
        <v>IN/002250</v>
      </c>
      <c r="E740" s="2" t="str">
        <f ca="1">IFERROR(__xludf.DUMMYFUNCTION("UNIQUE(FILTER('export kabinetdashboard 1210202'!N:P,'export kabinetdashboard 1210202'!M:M=D740))"),"")</f>
        <v/>
      </c>
      <c r="F740" s="2" t="str">
        <f ca="1">IFERROR(__xludf.DUMMYFUNCTION("""COMPUTED_VALUE"""),"2022 - Q4")</f>
        <v>2022 - Q4</v>
      </c>
      <c r="G740" s="2" t="str">
        <f ca="1">IFERROR(__xludf.DUMMYFUNCTION("""COMPUTED_VALUE"""),"n.t.b.")</f>
        <v>n.t.b.</v>
      </c>
      <c r="H740" s="2">
        <f ca="1">SUMIFS('bedragen KIM (budgettering &amp; pl'!S:S,'bedragen KIM (budgettering &amp; pl'!B:B,A740,'bedragen KIM (budgettering &amp; pl'!F:F,D740)</f>
        <v>0</v>
      </c>
      <c r="I740" s="2" t="e">
        <f ca="1">SUMIFS(#REF!,#REF!,A740,#REF!,D740)</f>
        <v>#REF!</v>
      </c>
      <c r="J740" s="2" t="e">
        <f ca="1">SUMIFS(#REF!,#REF!,A740,#REF!,D740)</f>
        <v>#REF!</v>
      </c>
    </row>
    <row r="741" spans="1:10" ht="12.5" x14ac:dyDescent="0.25">
      <c r="A741" s="2" t="str">
        <f ca="1">IFERROR(__xludf.DUMMYFUNCTION("""COMPUTED_VALUE"""),"KP/001416")</f>
        <v>KP/001416</v>
      </c>
      <c r="B741" s="2" t="str">
        <f ca="1">IFERROR(__xludf.DUMMYFUNCTION("""COMPUTED_VALUE"""),"Verkeersveiligheid")</f>
        <v>Verkeersveiligheid</v>
      </c>
      <c r="C741" s="2" t="str">
        <f ca="1">IFERROR(__xludf.DUMMYFUNCTION("""COMPUTED_VALUE"""),"Schoolroute")</f>
        <v>Schoolroute</v>
      </c>
      <c r="D741" s="2" t="str">
        <f ca="1">IFERROR(__xludf.DUMMYFUNCTION("""COMPUTED_VALUE"""),"IN/002251")</f>
        <v>IN/002251</v>
      </c>
      <c r="E741" s="2" t="str">
        <f ca="1">IFERROR(__xludf.DUMMYFUNCTION("UNIQUE(FILTER('export kabinetdashboard 1210202'!N:P,'export kabinetdashboard 1210202'!M:M=D741))"),"")</f>
        <v/>
      </c>
      <c r="F741" s="2" t="str">
        <f ca="1">IFERROR(__xludf.DUMMYFUNCTION("""COMPUTED_VALUE"""),"2022 - Q4")</f>
        <v>2022 - Q4</v>
      </c>
      <c r="G741" s="2" t="str">
        <f ca="1">IFERROR(__xludf.DUMMYFUNCTION("""COMPUTED_VALUE"""),"n.t.b.")</f>
        <v>n.t.b.</v>
      </c>
      <c r="H741" s="2">
        <f ca="1">SUMIFS('bedragen KIM (budgettering &amp; pl'!S:S,'bedragen KIM (budgettering &amp; pl'!B:B,A741,'bedragen KIM (budgettering &amp; pl'!F:F,D741)</f>
        <v>0</v>
      </c>
      <c r="I741" s="2" t="e">
        <f ca="1">SUMIFS(#REF!,#REF!,A741,#REF!,D741)</f>
        <v>#REF!</v>
      </c>
      <c r="J741" s="2" t="e">
        <f ca="1">SUMIFS(#REF!,#REF!,A741,#REF!,D741)</f>
        <v>#REF!</v>
      </c>
    </row>
    <row r="742" spans="1:10" ht="12.5" x14ac:dyDescent="0.25">
      <c r="A742" s="2" t="str">
        <f ca="1">IFERROR(__xludf.DUMMYFUNCTION("""COMPUTED_VALUE"""),"KP/001415")</f>
        <v>KP/001415</v>
      </c>
      <c r="B742" s="2" t="str">
        <f ca="1">IFERROR(__xludf.DUMMYFUNCTION("""COMPUTED_VALUE"""),"Verkeersveiligheid")</f>
        <v>Verkeersveiligheid</v>
      </c>
      <c r="C742" s="2" t="str">
        <f ca="1">IFERROR(__xludf.DUMMYFUNCTION("""COMPUTED_VALUE"""),"Schoolroute")</f>
        <v>Schoolroute</v>
      </c>
      <c r="D742" s="2" t="str">
        <f ca="1">IFERROR(__xludf.DUMMYFUNCTION("""COMPUTED_VALUE"""),"IN/002252")</f>
        <v>IN/002252</v>
      </c>
      <c r="E742" s="2" t="str">
        <f ca="1">IFERROR(__xludf.DUMMYFUNCTION("UNIQUE(FILTER('export kabinetdashboard 1210202'!N:P,'export kabinetdashboard 1210202'!M:M=D742))"),"")</f>
        <v/>
      </c>
      <c r="F742" s="2" t="str">
        <f ca="1">IFERROR(__xludf.DUMMYFUNCTION("""COMPUTED_VALUE"""),"2022 - Q4")</f>
        <v>2022 - Q4</v>
      </c>
      <c r="G742" s="2" t="str">
        <f ca="1">IFERROR(__xludf.DUMMYFUNCTION("""COMPUTED_VALUE"""),"n.t.b.")</f>
        <v>n.t.b.</v>
      </c>
      <c r="H742" s="2">
        <f ca="1">SUMIFS('bedragen KIM (budgettering &amp; pl'!S:S,'bedragen KIM (budgettering &amp; pl'!B:B,A742,'bedragen KIM (budgettering &amp; pl'!F:F,D742)</f>
        <v>0</v>
      </c>
      <c r="I742" s="2" t="e">
        <f ca="1">SUMIFS(#REF!,#REF!,A742,#REF!,D742)</f>
        <v>#REF!</v>
      </c>
      <c r="J742" s="2" t="e">
        <f ca="1">SUMIFS(#REF!,#REF!,A742,#REF!,D742)</f>
        <v>#REF!</v>
      </c>
    </row>
    <row r="743" spans="1:10" ht="12.5" x14ac:dyDescent="0.25">
      <c r="A743" s="2" t="str">
        <f ca="1">IFERROR(__xludf.DUMMYFUNCTION("""COMPUTED_VALUE"""),"KP/000809")</f>
        <v>KP/000809</v>
      </c>
      <c r="B743" s="2" t="str">
        <f ca="1">IFERROR(__xludf.DUMMYFUNCTION("""COMPUTED_VALUE"""),"Verkeersveiligheid")</f>
        <v>Verkeersveiligheid</v>
      </c>
      <c r="C743" s="2" t="str">
        <f ca="1">IFERROR(__xludf.DUMMYFUNCTION("""COMPUTED_VALUE"""),"Schoolroute")</f>
        <v>Schoolroute</v>
      </c>
      <c r="D743" s="2" t="str">
        <f ca="1">IFERROR(__xludf.DUMMYFUNCTION("""COMPUTED_VALUE"""),"IN/002253")</f>
        <v>IN/002253</v>
      </c>
      <c r="E743" s="2" t="str">
        <f ca="1">IFERROR(__xludf.DUMMYFUNCTION("UNIQUE(FILTER('export kabinetdashboard 1210202'!N:P,'export kabinetdashboard 1210202'!M:M=D743))"),"")</f>
        <v/>
      </c>
      <c r="F743" s="2" t="str">
        <f ca="1">IFERROR(__xludf.DUMMYFUNCTION("""COMPUTED_VALUE"""),"2022 - Q2")</f>
        <v>2022 - Q2</v>
      </c>
      <c r="G743" s="2" t="str">
        <f ca="1">IFERROR(__xludf.DUMMYFUNCTION("""COMPUTED_VALUE"""),"2022 - Q2")</f>
        <v>2022 - Q2</v>
      </c>
      <c r="H743" s="2">
        <f ca="1">SUMIFS('bedragen KIM (budgettering &amp; pl'!S:S,'bedragen KIM (budgettering &amp; pl'!B:B,A743,'bedragen KIM (budgettering &amp; pl'!F:F,D743)</f>
        <v>88115.67</v>
      </c>
      <c r="I743" s="2" t="e">
        <f ca="1">SUMIFS(#REF!,#REF!,A743,#REF!,D743)</f>
        <v>#REF!</v>
      </c>
      <c r="J743" s="2" t="e">
        <f ca="1">SUMIFS(#REF!,#REF!,A743,#REF!,D743)</f>
        <v>#REF!</v>
      </c>
    </row>
    <row r="744" spans="1:10" ht="12.5" x14ac:dyDescent="0.25">
      <c r="A744" s="2" t="str">
        <f ca="1">IFERROR(__xludf.DUMMYFUNCTION("""COMPUTED_VALUE"""),"KP/000952")</f>
        <v>KP/000952</v>
      </c>
      <c r="B744" s="2" t="str">
        <f ca="1">IFERROR(__xludf.DUMMYFUNCTION("""COMPUTED_VALUE"""),"Verkeersveiligheid")</f>
        <v>Verkeersveiligheid</v>
      </c>
      <c r="C744" s="2" t="str">
        <f ca="1">IFERROR(__xludf.DUMMYFUNCTION("""COMPUTED_VALUE"""),"Schoolroute")</f>
        <v>Schoolroute</v>
      </c>
      <c r="D744" s="2" t="str">
        <f ca="1">IFERROR(__xludf.DUMMYFUNCTION("""COMPUTED_VALUE"""),"IN/002304")</f>
        <v>IN/002304</v>
      </c>
      <c r="E744" s="2" t="str">
        <f ca="1">IFERROR(__xludf.DUMMYFUNCTION("UNIQUE(FILTER('export kabinetdashboard 1210202'!N:P,'export kabinetdashboard 1210202'!M:M=D744))"),"Aanvullen ontbrekende markeringen")</f>
        <v>Aanvullen ontbrekende markeringen</v>
      </c>
      <c r="F744" s="2" t="str">
        <f ca="1">IFERROR(__xludf.DUMMYFUNCTION("""COMPUTED_VALUE"""),"2022 - Q4")</f>
        <v>2022 - Q4</v>
      </c>
      <c r="G744" s="2" t="str">
        <f ca="1">IFERROR(__xludf.DUMMYFUNCTION("""COMPUTED_VALUE"""),"2021 - Q4")</f>
        <v>2021 - Q4</v>
      </c>
      <c r="H744" s="2">
        <f ca="1">SUMIFS('bedragen KIM (budgettering &amp; pl'!S:S,'bedragen KIM (budgettering &amp; pl'!B:B,A744,'bedragen KIM (budgettering &amp; pl'!F:F,D744)</f>
        <v>1</v>
      </c>
      <c r="I744" s="2" t="e">
        <f ca="1">SUMIFS(#REF!,#REF!,A744,#REF!,D744)</f>
        <v>#REF!</v>
      </c>
      <c r="J744" s="2" t="e">
        <f ca="1">SUMIFS(#REF!,#REF!,A744,#REF!,D744)</f>
        <v>#REF!</v>
      </c>
    </row>
    <row r="745" spans="1:10" ht="12.5" x14ac:dyDescent="0.25">
      <c r="A745" s="2" t="str">
        <f ca="1">IFERROR(__xludf.DUMMYFUNCTION("""COMPUTED_VALUE"""),"KP/000954")</f>
        <v>KP/000954</v>
      </c>
      <c r="B745" s="2" t="str">
        <f ca="1">IFERROR(__xludf.DUMMYFUNCTION("""COMPUTED_VALUE"""),"Verkeersveiligheid")</f>
        <v>Verkeersveiligheid</v>
      </c>
      <c r="C745" s="2" t="str">
        <f ca="1">IFERROR(__xludf.DUMMYFUNCTION("""COMPUTED_VALUE"""),"Schoolroute")</f>
        <v>Schoolroute</v>
      </c>
      <c r="D745" s="2" t="str">
        <f ca="1">IFERROR(__xludf.DUMMYFUNCTION("""COMPUTED_VALUE"""),"IN/002305")</f>
        <v>IN/002305</v>
      </c>
      <c r="E745" s="2" t="str">
        <f ca="1">IFERROR(__xludf.DUMMYFUNCTION("UNIQUE(FILTER('export kabinetdashboard 1210202'!N:P,'export kabinetdashboard 1210202'!M:M=D745))"),"")</f>
        <v/>
      </c>
      <c r="F745" s="2" t="str">
        <f ca="1">IFERROR(__xludf.DUMMYFUNCTION("""COMPUTED_VALUE"""),"2022 - Q4")</f>
        <v>2022 - Q4</v>
      </c>
      <c r="G745" s="2" t="str">
        <f ca="1">IFERROR(__xludf.DUMMYFUNCTION("""COMPUTED_VALUE"""),"2021 - Q2")</f>
        <v>2021 - Q2</v>
      </c>
      <c r="H745" s="2">
        <f ca="1">SUMIFS('bedragen KIM (budgettering &amp; pl'!S:S,'bedragen KIM (budgettering &amp; pl'!B:B,A745,'bedragen KIM (budgettering &amp; pl'!F:F,D745)</f>
        <v>1</v>
      </c>
      <c r="I745" s="2" t="e">
        <f ca="1">SUMIFS(#REF!,#REF!,A745,#REF!,D745)</f>
        <v>#REF!</v>
      </c>
      <c r="J745" s="2" t="e">
        <f ca="1">SUMIFS(#REF!,#REF!,A745,#REF!,D745)</f>
        <v>#REF!</v>
      </c>
    </row>
    <row r="746" spans="1:10" ht="12.5" x14ac:dyDescent="0.25">
      <c r="A746" s="2" t="str">
        <f ca="1">IFERROR(__xludf.DUMMYFUNCTION("""COMPUTED_VALUE"""),"KP/000925")</f>
        <v>KP/000925</v>
      </c>
      <c r="B746" s="2" t="str">
        <f ca="1">IFERROR(__xludf.DUMMYFUNCTION("""COMPUTED_VALUE"""),"Verkeersveiligheid")</f>
        <v>Verkeersveiligheid</v>
      </c>
      <c r="C746" s="2" t="str">
        <f ca="1">IFERROR(__xludf.DUMMYFUNCTION("""COMPUTED_VALUE"""),"Schoolroute")</f>
        <v>Schoolroute</v>
      </c>
      <c r="D746" s="2" t="str">
        <f ca="1">IFERROR(__xludf.DUMMYFUNCTION("""COMPUTED_VALUE"""),"IN/002312")</f>
        <v>IN/002312</v>
      </c>
      <c r="E746" s="2" t="str">
        <f ca="1">IFERROR(__xludf.DUMMYFUNCTION("UNIQUE(FILTER('export kabinetdashboard 1210202'!N:P,'export kabinetdashboard 1210202'!M:M=D746))"),"")</f>
        <v/>
      </c>
      <c r="F746" s="2" t="str">
        <f ca="1">IFERROR(__xludf.DUMMYFUNCTION("""COMPUTED_VALUE"""),"n.t.b.")</f>
        <v>n.t.b.</v>
      </c>
      <c r="G746" s="2" t="str">
        <f ca="1">IFERROR(__xludf.DUMMYFUNCTION("""COMPUTED_VALUE"""),"n.t.b.")</f>
        <v>n.t.b.</v>
      </c>
      <c r="H746" s="2">
        <f ca="1">SUMIFS('bedragen KIM (budgettering &amp; pl'!S:S,'bedragen KIM (budgettering &amp; pl'!B:B,A746,'bedragen KIM (budgettering &amp; pl'!F:F,D746)</f>
        <v>0</v>
      </c>
      <c r="I746" s="2" t="e">
        <f ca="1">SUMIFS(#REF!,#REF!,A746,#REF!,D746)</f>
        <v>#REF!</v>
      </c>
      <c r="J746" s="2" t="e">
        <f ca="1">SUMIFS(#REF!,#REF!,A746,#REF!,D746)</f>
        <v>#REF!</v>
      </c>
    </row>
    <row r="747" spans="1:10" ht="12.5" x14ac:dyDescent="0.25">
      <c r="A747" s="2" t="str">
        <f ca="1">IFERROR(__xludf.DUMMYFUNCTION("""COMPUTED_VALUE"""),"KP/001080")</f>
        <v>KP/001080</v>
      </c>
      <c r="B747" s="2" t="str">
        <f ca="1">IFERROR(__xludf.DUMMYFUNCTION("""COMPUTED_VALUE"""),"Verkeersveiligheid")</f>
        <v>Verkeersveiligheid</v>
      </c>
      <c r="C747" s="2" t="str">
        <f ca="1">IFERROR(__xludf.DUMMYFUNCTION("""COMPUTED_VALUE"""),"Schoolroute")</f>
        <v>Schoolroute</v>
      </c>
      <c r="D747" s="2" t="str">
        <f ca="1">IFERROR(__xludf.DUMMYFUNCTION("""COMPUTED_VALUE"""),"IN/002316")</f>
        <v>IN/002316</v>
      </c>
      <c r="E747" s="2" t="str">
        <f ca="1">IFERROR(__xludf.DUMMYFUNCTION("UNIQUE(FILTER('export kabinetdashboard 1210202'!N:P,'export kabinetdashboard 1210202'!M:M=D747))"),"Instellen zone 30, aanbrengen fietslogo's, verwijderen asmarkering")</f>
        <v>Instellen zone 30, aanbrengen fietslogo's, verwijderen asmarkering</v>
      </c>
      <c r="F747" s="2" t="str">
        <f ca="1">IFERROR(__xludf.DUMMYFUNCTION("""COMPUTED_VALUE"""),"2022 - Q4")</f>
        <v>2022 - Q4</v>
      </c>
      <c r="G747" s="2" t="str">
        <f ca="1">IFERROR(__xludf.DUMMYFUNCTION("""COMPUTED_VALUE"""),"2022 - Q3")</f>
        <v>2022 - Q3</v>
      </c>
      <c r="H747" s="2">
        <f ca="1">SUMIFS('bedragen KIM (budgettering &amp; pl'!S:S,'bedragen KIM (budgettering &amp; pl'!B:B,A747,'bedragen KIM (budgettering &amp; pl'!F:F,D747)</f>
        <v>15000</v>
      </c>
      <c r="I747" s="2" t="e">
        <f ca="1">SUMIFS(#REF!,#REF!,A747,#REF!,D747)</f>
        <v>#REF!</v>
      </c>
      <c r="J747" s="2" t="e">
        <f ca="1">SUMIFS(#REF!,#REF!,A747,#REF!,D747)</f>
        <v>#REF!</v>
      </c>
    </row>
    <row r="748" spans="1:10" ht="12.5" x14ac:dyDescent="0.25">
      <c r="A748" s="2" t="str">
        <f ca="1">IFERROR(__xludf.DUMMYFUNCTION("""COMPUTED_VALUE"""),"KP/001000")</f>
        <v>KP/001000</v>
      </c>
      <c r="B748" s="2" t="str">
        <f ca="1">IFERROR(__xludf.DUMMYFUNCTION("""COMPUTED_VALUE"""),"Verkeersveiligheid")</f>
        <v>Verkeersveiligheid</v>
      </c>
      <c r="C748" s="2" t="str">
        <f ca="1">IFERROR(__xludf.DUMMYFUNCTION("""COMPUTED_VALUE"""),"Schoolroute")</f>
        <v>Schoolroute</v>
      </c>
      <c r="D748" s="2" t="str">
        <f ca="1">IFERROR(__xludf.DUMMYFUNCTION("""COMPUTED_VALUE"""),"IN/002317")</f>
        <v>IN/002317</v>
      </c>
      <c r="E748" s="2" t="str">
        <f ca="1">IFERROR(__xludf.DUMMYFUNCTION("UNIQUE(FILTER('export kabinetdashboard 1210202'!N:P,'export kabinetdashboard 1210202'!M:M=D748))"),"Gemeente vraagt of dit kruispunt zal worden uitgerust met verkeerslichten, mits  flankerende maatregelen zoals door AWV reeds werd toegelicht 
en besproken op 9 november ll. Tijdens dit overleg werd 
duidelijk dat een globalere aanpak van de zuidelijk doo"&amp;"rtocht 
van Eppegem wenselijk is. april 22: overleg met Colruyt aug 22 verdere bespreking met ZEM, ook Iveco contacteren")</f>
        <v>Gemeente vraagt of dit kruispunt zal worden uitgerust met verkeerslichten, mits  flankerende maatregelen zoals door AWV reeds werd toegelicht 
en besproken op 9 november ll. Tijdens dit overleg werd 
duidelijk dat een globalere aanpak van de zuidelijk doortocht 
van Eppegem wenselijk is. april 22: overleg met Colruyt aug 22 verdere bespreking met ZEM, ook Iveco contacteren</v>
      </c>
      <c r="F748" s="2" t="str">
        <f ca="1">IFERROR(__xludf.DUMMYFUNCTION("""COMPUTED_VALUE"""),"2023 - Q4")</f>
        <v>2023 - Q4</v>
      </c>
      <c r="G748" s="2" t="str">
        <f ca="1">IFERROR(__xludf.DUMMYFUNCTION("""COMPUTED_VALUE"""),"n.t.b.")</f>
        <v>n.t.b.</v>
      </c>
      <c r="H748" s="2">
        <f ca="1">SUMIFS('bedragen KIM (budgettering &amp; pl'!S:S,'bedragen KIM (budgettering &amp; pl'!B:B,A748,'bedragen KIM (budgettering &amp; pl'!F:F,D748)</f>
        <v>230000</v>
      </c>
      <c r="I748" s="2" t="e">
        <f ca="1">SUMIFS(#REF!,#REF!,A748,#REF!,D748)</f>
        <v>#REF!</v>
      </c>
      <c r="J748" s="2" t="e">
        <f ca="1">SUMIFS(#REF!,#REF!,A748,#REF!,D748)</f>
        <v>#REF!</v>
      </c>
    </row>
    <row r="749" spans="1:10" ht="12.5" x14ac:dyDescent="0.25">
      <c r="A749" s="2" t="str">
        <f ca="1">IFERROR(__xludf.DUMMYFUNCTION("""COMPUTED_VALUE"""),"KP/001536")</f>
        <v>KP/001536</v>
      </c>
      <c r="B749" s="2" t="str">
        <f ca="1">IFERROR(__xludf.DUMMYFUNCTION("""COMPUTED_VALUE"""),"Verkeersveiligheid")</f>
        <v>Verkeersveiligheid</v>
      </c>
      <c r="C749" s="2" t="str">
        <f ca="1">IFERROR(__xludf.DUMMYFUNCTION("""COMPUTED_VALUE"""),"Schoolroute")</f>
        <v>Schoolroute</v>
      </c>
      <c r="D749" s="2" t="str">
        <f ca="1">IFERROR(__xludf.DUMMYFUNCTION("""COMPUTED_VALUE"""),"IN/002335")</f>
        <v>IN/002335</v>
      </c>
      <c r="E749" s="2" t="str">
        <f ca="1">IFERROR(__xludf.DUMMYFUNCTION("UNIQUE(FILTER('export kabinetdashboard 1210202'!N:P,'export kabinetdashboard 1210202'!M:M=D749))"),"")</f>
        <v/>
      </c>
      <c r="F749" s="2" t="str">
        <f ca="1">IFERROR(__xludf.DUMMYFUNCTION("""COMPUTED_VALUE"""),"n.t.b.")</f>
        <v>n.t.b.</v>
      </c>
      <c r="G749" s="2" t="str">
        <f ca="1">IFERROR(__xludf.DUMMYFUNCTION("""COMPUTED_VALUE"""),"n.t.b.")</f>
        <v>n.t.b.</v>
      </c>
      <c r="H749" s="2">
        <f ca="1">SUMIFS('bedragen KIM (budgettering &amp; pl'!S:S,'bedragen KIM (budgettering &amp; pl'!B:B,A749,'bedragen KIM (budgettering &amp; pl'!F:F,D749)</f>
        <v>0</v>
      </c>
      <c r="I749" s="2" t="e">
        <f ca="1">SUMIFS(#REF!,#REF!,A749,#REF!,D749)</f>
        <v>#REF!</v>
      </c>
      <c r="J749" s="2" t="e">
        <f ca="1">SUMIFS(#REF!,#REF!,A749,#REF!,D749)</f>
        <v>#REF!</v>
      </c>
    </row>
    <row r="750" spans="1:10" ht="12.5" x14ac:dyDescent="0.25">
      <c r="A750" s="2" t="str">
        <f ca="1">IFERROR(__xludf.DUMMYFUNCTION("""COMPUTED_VALUE"""),"KP/001056")</f>
        <v>KP/001056</v>
      </c>
      <c r="B750" s="2" t="str">
        <f ca="1">IFERROR(__xludf.DUMMYFUNCTION("""COMPUTED_VALUE"""),"Verkeersveiligheid")</f>
        <v>Verkeersveiligheid</v>
      </c>
      <c r="C750" s="2" t="str">
        <f ca="1">IFERROR(__xludf.DUMMYFUNCTION("""COMPUTED_VALUE"""),"Schoolroute")</f>
        <v>Schoolroute</v>
      </c>
      <c r="D750" s="2" t="str">
        <f ca="1">IFERROR(__xludf.DUMMYFUNCTION("""COMPUTED_VALUE"""),"IN/002339")</f>
        <v>IN/002339</v>
      </c>
      <c r="E750" s="2" t="str">
        <f ca="1">IFERROR(__xludf.DUMMYFUNCTION("UNIQUE(FILTER('export kabinetdashboard 1210202'!N:P,'export kabinetdashboard 1210202'!M:M=D750))"),"Aanbrengen fietssuggestiestrook")</f>
        <v>Aanbrengen fietssuggestiestrook</v>
      </c>
      <c r="F750" s="2" t="str">
        <f ca="1">IFERROR(__xludf.DUMMYFUNCTION("""COMPUTED_VALUE"""),"2022 - Q2")</f>
        <v>2022 - Q2</v>
      </c>
      <c r="G750" s="2" t="str">
        <f ca="1">IFERROR(__xludf.DUMMYFUNCTION("""COMPUTED_VALUE"""),"2022 - Q2")</f>
        <v>2022 - Q2</v>
      </c>
      <c r="H750" s="2">
        <f ca="1">SUMIFS('bedragen KIM (budgettering &amp; pl'!S:S,'bedragen KIM (budgettering &amp; pl'!B:B,A750,'bedragen KIM (budgettering &amp; pl'!F:F,D750)</f>
        <v>10000</v>
      </c>
      <c r="I750" s="2" t="e">
        <f ca="1">SUMIFS(#REF!,#REF!,A750,#REF!,D750)</f>
        <v>#REF!</v>
      </c>
      <c r="J750" s="2" t="e">
        <f ca="1">SUMIFS(#REF!,#REF!,A750,#REF!,D750)</f>
        <v>#REF!</v>
      </c>
    </row>
    <row r="751" spans="1:10" ht="12.5" x14ac:dyDescent="0.25">
      <c r="A751" s="2" t="str">
        <f ca="1">IFERROR(__xludf.DUMMYFUNCTION("""COMPUTED_VALUE"""),"KP/001082")</f>
        <v>KP/001082</v>
      </c>
      <c r="B751" s="2" t="str">
        <f ca="1">IFERROR(__xludf.DUMMYFUNCTION("""COMPUTED_VALUE"""),"Verkeersveiligheid")</f>
        <v>Verkeersveiligheid</v>
      </c>
      <c r="C751" s="2" t="str">
        <f ca="1">IFERROR(__xludf.DUMMYFUNCTION("""COMPUTED_VALUE"""),"Schoolroute")</f>
        <v>Schoolroute</v>
      </c>
      <c r="D751" s="2" t="str">
        <f ca="1">IFERROR(__xludf.DUMMYFUNCTION("""COMPUTED_VALUE"""),"IN/002340")</f>
        <v>IN/002340</v>
      </c>
      <c r="E751" s="2" t="str">
        <f ca="1">IFERROR(__xludf.DUMMYFUNCTION("UNIQUE(FILTER('export kabinetdashboard 1210202'!N:P,'export kabinetdashboard 1210202'!M:M=D751))"),"Aanpassen naar zone 30.")</f>
        <v>Aanpassen naar zone 30.</v>
      </c>
      <c r="F751" s="2" t="str">
        <f ca="1">IFERROR(__xludf.DUMMYFUNCTION("""COMPUTED_VALUE"""),"2022 - Q4")</f>
        <v>2022 - Q4</v>
      </c>
      <c r="G751" s="2" t="str">
        <f ca="1">IFERROR(__xludf.DUMMYFUNCTION("""COMPUTED_VALUE"""),"n.t.b.")</f>
        <v>n.t.b.</v>
      </c>
      <c r="H751" s="2">
        <f ca="1">SUMIFS('bedragen KIM (budgettering &amp; pl'!S:S,'bedragen KIM (budgettering &amp; pl'!B:B,A751,'bedragen KIM (budgettering &amp; pl'!F:F,D751)</f>
        <v>2000</v>
      </c>
      <c r="I751" s="2" t="e">
        <f ca="1">SUMIFS(#REF!,#REF!,A751,#REF!,D751)</f>
        <v>#REF!</v>
      </c>
      <c r="J751" s="2" t="e">
        <f ca="1">SUMIFS(#REF!,#REF!,A751,#REF!,D751)</f>
        <v>#REF!</v>
      </c>
    </row>
    <row r="752" spans="1:10" ht="12.5" x14ac:dyDescent="0.25">
      <c r="A752" s="2" t="str">
        <f ca="1">IFERROR(__xludf.DUMMYFUNCTION("""COMPUTED_VALUE"""),"KP/000922")</f>
        <v>KP/000922</v>
      </c>
      <c r="B752" s="2" t="str">
        <f ca="1">IFERROR(__xludf.DUMMYFUNCTION("""COMPUTED_VALUE"""),"Verkeersveiligheid")</f>
        <v>Verkeersveiligheid</v>
      </c>
      <c r="C752" s="2" t="str">
        <f ca="1">IFERROR(__xludf.DUMMYFUNCTION("""COMPUTED_VALUE"""),"Schoolroute")</f>
        <v>Schoolroute</v>
      </c>
      <c r="D752" s="2" t="str">
        <f ca="1">IFERROR(__xludf.DUMMYFUNCTION("""COMPUTED_VALUE"""),"IN/002341")</f>
        <v>IN/002341</v>
      </c>
      <c r="E752" s="2" t="str">
        <f ca="1">IFERROR(__xludf.DUMMYFUNCTION("UNIQUE(FILTER('export kabinetdashboard 1210202'!N:P,'export kabinetdashboard 1210202'!M:M=D752))"),"#N/A")</f>
        <v>#N/A</v>
      </c>
      <c r="H752" s="2">
        <f ca="1">SUMIFS('bedragen KIM (budgettering &amp; pl'!S:S,'bedragen KIM (budgettering &amp; pl'!B:B,A752,'bedragen KIM (budgettering &amp; pl'!F:F,D752)</f>
        <v>150000</v>
      </c>
      <c r="I752" s="2" t="e">
        <f ca="1">SUMIFS(#REF!,#REF!,A752,#REF!,D752)</f>
        <v>#REF!</v>
      </c>
      <c r="J752" s="2" t="e">
        <f ca="1">SUMIFS(#REF!,#REF!,A752,#REF!,D752)</f>
        <v>#REF!</v>
      </c>
    </row>
    <row r="753" spans="1:10" ht="12.5" x14ac:dyDescent="0.25">
      <c r="A753" s="2" t="str">
        <f ca="1">IFERROR(__xludf.DUMMYFUNCTION("""COMPUTED_VALUE"""),"KP/001321")</f>
        <v>KP/001321</v>
      </c>
      <c r="B753" s="2" t="str">
        <f ca="1">IFERROR(__xludf.DUMMYFUNCTION("""COMPUTED_VALUE"""),"Verkeersveiligheid")</f>
        <v>Verkeersveiligheid</v>
      </c>
      <c r="C753" s="2" t="str">
        <f ca="1">IFERROR(__xludf.DUMMYFUNCTION("""COMPUTED_VALUE"""),"Schoolroute")</f>
        <v>Schoolroute</v>
      </c>
      <c r="D753" s="2" t="str">
        <f ca="1">IFERROR(__xludf.DUMMYFUNCTION("""COMPUTED_VALUE"""),"IN/002342")</f>
        <v>IN/002342</v>
      </c>
      <c r="E753" s="2" t="str">
        <f ca="1">IFERROR(__xludf.DUMMYFUNCTION("UNIQUE(FILTER('export kabinetdashboard 1210202'!N:P,'export kabinetdashboard 1210202'!M:M=D753))"),"Lubbeek wenst een oversteek ter hoogte van Rozenstraat. In onmiddelijke nabeijheid liggen 2 andere oversteken. 
Besproken op PCV van december 2021. 
Volgende acties: gemeente maakt AR op voor uitbreiding snelheidsregime 50km/u en voor schrappen zebrapad "&amp;"wolvendreef en nieuw te plaatsen zebrapad aan Rozenstraat. 
AWV verwijderd zebrapad Wolvendreef en bijhorende bi-flash. 
AWV brengt middeneiland aan ter hoogte van Rozenweg Lubbeek
AWV brengt zebrapad aan
AWV past borden snelheidsregime aan")</f>
        <v>Lubbeek wenst een oversteek ter hoogte van Rozenstraat. In onmiddelijke nabeijheid liggen 2 andere oversteken. 
Besproken op PCV van december 2021. 
Volgende acties: gemeente maakt AR op voor uitbreiding snelheidsregime 50km/u en voor schrappen zebrapad wolvendreef en nieuw te plaatsen zebrapad aan Rozenstraat. 
AWV verwijderd zebrapad Wolvendreef en bijhorende bi-flash. 
AWV brengt middeneiland aan ter hoogte van Rozenweg Lubbeek
AWV brengt zebrapad aan
AWV past borden snelheidsregime aan</v>
      </c>
      <c r="F753" s="2" t="str">
        <f ca="1">IFERROR(__xludf.DUMMYFUNCTION("""COMPUTED_VALUE"""),"2023 - Q2")</f>
        <v>2023 - Q2</v>
      </c>
      <c r="G753" s="2" t="str">
        <f ca="1">IFERROR(__xludf.DUMMYFUNCTION("""COMPUTED_VALUE"""),"n.t.b.")</f>
        <v>n.t.b.</v>
      </c>
      <c r="H753" s="2">
        <f ca="1">SUMIFS('bedragen KIM (budgettering &amp; pl'!S:S,'bedragen KIM (budgettering &amp; pl'!B:B,A753,'bedragen KIM (budgettering &amp; pl'!F:F,D753)</f>
        <v>15000</v>
      </c>
      <c r="I753" s="2" t="e">
        <f ca="1">SUMIFS(#REF!,#REF!,A753,#REF!,D753)</f>
        <v>#REF!</v>
      </c>
      <c r="J753" s="2" t="e">
        <f ca="1">SUMIFS(#REF!,#REF!,A753,#REF!,D753)</f>
        <v>#REF!</v>
      </c>
    </row>
    <row r="754" spans="1:10" ht="12.5" x14ac:dyDescent="0.25">
      <c r="A754" s="2" t="str">
        <f ca="1">IFERROR(__xludf.DUMMYFUNCTION("""COMPUTED_VALUE"""),"KP/000891")</f>
        <v>KP/000891</v>
      </c>
      <c r="B754" s="2" t="str">
        <f ca="1">IFERROR(__xludf.DUMMYFUNCTION("""COMPUTED_VALUE"""),"Verkeersveiligheid")</f>
        <v>Verkeersveiligheid</v>
      </c>
      <c r="C754" s="2" t="str">
        <f ca="1">IFERROR(__xludf.DUMMYFUNCTION("""COMPUTED_VALUE"""),"Schoolroute")</f>
        <v>Schoolroute</v>
      </c>
      <c r="D754" s="2" t="str">
        <f ca="1">IFERROR(__xludf.DUMMYFUNCTION("""COMPUTED_VALUE"""),"IN/002343")</f>
        <v>IN/002343</v>
      </c>
      <c r="E754" s="2" t="str">
        <f ca="1">IFERROR(__xludf.DUMMYFUNCTION("UNIQUE(FILTER('export kabinetdashboard 1210202'!N:P,'export kabinetdashboard 1210202'!M:M=D754))"),"#N/A")</f>
        <v>#N/A</v>
      </c>
      <c r="H754" s="2">
        <f ca="1">SUMIFS('bedragen KIM (budgettering &amp; pl'!S:S,'bedragen KIM (budgettering &amp; pl'!B:B,A754,'bedragen KIM (budgettering &amp; pl'!F:F,D754)</f>
        <v>0</v>
      </c>
      <c r="I754" s="2" t="e">
        <f ca="1">SUMIFS(#REF!,#REF!,A754,#REF!,D754)</f>
        <v>#REF!</v>
      </c>
      <c r="J754" s="2" t="e">
        <f ca="1">SUMIFS(#REF!,#REF!,A754,#REF!,D754)</f>
        <v>#REF!</v>
      </c>
    </row>
    <row r="755" spans="1:10" ht="12.5" x14ac:dyDescent="0.25">
      <c r="A755" s="2" t="str">
        <f ca="1">IFERROR(__xludf.DUMMYFUNCTION("""COMPUTED_VALUE"""),"KP/001055")</f>
        <v>KP/001055</v>
      </c>
      <c r="B755" s="2" t="str">
        <f ca="1">IFERROR(__xludf.DUMMYFUNCTION("""COMPUTED_VALUE"""),"Verkeersveiligheid")</f>
        <v>Verkeersveiligheid</v>
      </c>
      <c r="C755" s="2" t="str">
        <f ca="1">IFERROR(__xludf.DUMMYFUNCTION("""COMPUTED_VALUE"""),"Schoolroute")</f>
        <v>Schoolroute</v>
      </c>
      <c r="D755" s="2" t="str">
        <f ca="1">IFERROR(__xludf.DUMMYFUNCTION("""COMPUTED_VALUE"""),"IN/002346")</f>
        <v>IN/002346</v>
      </c>
      <c r="E755" s="2" t="str">
        <f ca="1">IFERROR(__xludf.DUMMYFUNCTION("UNIQUE(FILTER('export kabinetdashboard 1210202'!N:P,'export kabinetdashboard 1210202'!M:M=D755))"),"Vernieuwen van bestaande fietssuggestiestroken en doortrekken van de fietssuggestiestroken tot waar fietspad start.")</f>
        <v>Vernieuwen van bestaande fietssuggestiestroken en doortrekken van de fietssuggestiestroken tot waar fietspad start.</v>
      </c>
      <c r="F755" s="2" t="str">
        <f ca="1">IFERROR(__xludf.DUMMYFUNCTION("""COMPUTED_VALUE"""),"2022 - Q2")</f>
        <v>2022 - Q2</v>
      </c>
      <c r="G755" s="2" t="str">
        <f ca="1">IFERROR(__xludf.DUMMYFUNCTION("""COMPUTED_VALUE"""),"2022 - Q2")</f>
        <v>2022 - Q2</v>
      </c>
      <c r="H755" s="2">
        <f ca="1">SUMIFS('bedragen KIM (budgettering &amp; pl'!S:S,'bedragen KIM (budgettering &amp; pl'!B:B,A755,'bedragen KIM (budgettering &amp; pl'!F:F,D755)</f>
        <v>20000</v>
      </c>
      <c r="I755" s="2" t="e">
        <f ca="1">SUMIFS(#REF!,#REF!,A755,#REF!,D755)</f>
        <v>#REF!</v>
      </c>
      <c r="J755" s="2" t="e">
        <f ca="1">SUMIFS(#REF!,#REF!,A755,#REF!,D755)</f>
        <v>#REF!</v>
      </c>
    </row>
    <row r="756" spans="1:10" ht="12.5" x14ac:dyDescent="0.25">
      <c r="A756" s="2" t="str">
        <f ca="1">IFERROR(__xludf.DUMMYFUNCTION("""COMPUTED_VALUE"""),"KP/001285")</f>
        <v>KP/001285</v>
      </c>
      <c r="B756" s="2" t="str">
        <f ca="1">IFERROR(__xludf.DUMMYFUNCTION("""COMPUTED_VALUE"""),"Verkeersveiligheid")</f>
        <v>Verkeersveiligheid</v>
      </c>
      <c r="C756" s="2" t="str">
        <f ca="1">IFERROR(__xludf.DUMMYFUNCTION("""COMPUTED_VALUE"""),"Schoolroute")</f>
        <v>Schoolroute</v>
      </c>
      <c r="D756" s="2" t="str">
        <f ca="1">IFERROR(__xludf.DUMMYFUNCTION("""COMPUTED_VALUE"""),"IN/002347")</f>
        <v>IN/002347</v>
      </c>
      <c r="E756" s="2" t="str">
        <f ca="1">IFERROR(__xludf.DUMMYFUNCTION("UNIQUE(FILTER('export kabinetdashboard 1210202'!N:P,'export kabinetdashboard 1210202'!M:M=D756))"),"Smalle aanliggende fietspaden ombouwen tot verhoogde (indien mogelijk bredere) fietspaden, aansluitend op deze aan het kruispunt van de Grote Baan.")</f>
        <v>Smalle aanliggende fietspaden ombouwen tot verhoogde (indien mogelijk bredere) fietspaden, aansluitend op deze aan het kruispunt van de Grote Baan.</v>
      </c>
      <c r="F756" s="2" t="str">
        <f ca="1">IFERROR(__xludf.DUMMYFUNCTION("""COMPUTED_VALUE"""),"2023 - Q4")</f>
        <v>2023 - Q4</v>
      </c>
      <c r="G756" s="2" t="str">
        <f ca="1">IFERROR(__xludf.DUMMYFUNCTION("""COMPUTED_VALUE"""),"n.t.b.")</f>
        <v>n.t.b.</v>
      </c>
      <c r="H756" s="2">
        <f ca="1">SUMIFS('bedragen KIM (budgettering &amp; pl'!S:S,'bedragen KIM (budgettering &amp; pl'!B:B,A756,'bedragen KIM (budgettering &amp; pl'!F:F,D756)</f>
        <v>0</v>
      </c>
      <c r="I756" s="2" t="e">
        <f ca="1">SUMIFS(#REF!,#REF!,A756,#REF!,D756)</f>
        <v>#REF!</v>
      </c>
      <c r="J756" s="2" t="e">
        <f ca="1">SUMIFS(#REF!,#REF!,A756,#REF!,D756)</f>
        <v>#REF!</v>
      </c>
    </row>
    <row r="757" spans="1:10" ht="12.5" x14ac:dyDescent="0.25">
      <c r="A757" s="2" t="str">
        <f ca="1">IFERROR(__xludf.DUMMYFUNCTION("""COMPUTED_VALUE"""),"KP/001111")</f>
        <v>KP/001111</v>
      </c>
      <c r="B757" s="2" t="str">
        <f ca="1">IFERROR(__xludf.DUMMYFUNCTION("""COMPUTED_VALUE"""),"Verkeersveiligheid")</f>
        <v>Verkeersveiligheid</v>
      </c>
      <c r="C757" s="2" t="str">
        <f ca="1">IFERROR(__xludf.DUMMYFUNCTION("""COMPUTED_VALUE"""),"Schoolroute")</f>
        <v>Schoolroute</v>
      </c>
      <c r="D757" s="2" t="str">
        <f ca="1">IFERROR(__xludf.DUMMYFUNCTION("""COMPUTED_VALUE"""),"IN/002348")</f>
        <v>IN/002348</v>
      </c>
      <c r="E757" s="2" t="str">
        <f ca="1">IFERROR(__xludf.DUMMYFUNCTION("UNIQUE(FILTER('export kabinetdashboard 1210202'!N:P,'export kabinetdashboard 1210202'!M:M=D757))"),"Lange oversteektijd voor voetgangers en fietsers. Voetgangers kunnen vaak niet in één beweging de Tervurenlaan kruisen en hebben daarvoor vaak twee groenfasen nodig")</f>
        <v>Lange oversteektijd voor voetgangers en fietsers. Voetgangers kunnen vaak niet in één beweging de Tervurenlaan kruisen en hebben daarvoor vaak twee groenfasen nodig</v>
      </c>
      <c r="F757" s="2" t="str">
        <f ca="1">IFERROR(__xludf.DUMMYFUNCTION("""COMPUTED_VALUE"""),"2023 - Q2")</f>
        <v>2023 - Q2</v>
      </c>
      <c r="G757" s="2" t="str">
        <f ca="1">IFERROR(__xludf.DUMMYFUNCTION("""COMPUTED_VALUE"""),"n.t.b.")</f>
        <v>n.t.b.</v>
      </c>
      <c r="H757" s="2">
        <f ca="1">SUMIFS('bedragen KIM (budgettering &amp; pl'!S:S,'bedragen KIM (budgettering &amp; pl'!B:B,A757,'bedragen KIM (budgettering &amp; pl'!F:F,D757)</f>
        <v>0</v>
      </c>
      <c r="I757" s="2" t="e">
        <f ca="1">SUMIFS(#REF!,#REF!,A757,#REF!,D757)</f>
        <v>#REF!</v>
      </c>
      <c r="J757" s="2" t="e">
        <f ca="1">SUMIFS(#REF!,#REF!,A757,#REF!,D757)</f>
        <v>#REF!</v>
      </c>
    </row>
    <row r="758" spans="1:10" ht="12.5" x14ac:dyDescent="0.25">
      <c r="A758" s="2" t="str">
        <f ca="1">IFERROR(__xludf.DUMMYFUNCTION("""COMPUTED_VALUE"""),"KP/000994")</f>
        <v>KP/000994</v>
      </c>
      <c r="B758" s="2" t="str">
        <f ca="1">IFERROR(__xludf.DUMMYFUNCTION("""COMPUTED_VALUE"""),"Verkeersveiligheid")</f>
        <v>Verkeersveiligheid</v>
      </c>
      <c r="C758" s="2" t="str">
        <f ca="1">IFERROR(__xludf.DUMMYFUNCTION("""COMPUTED_VALUE"""),"Schoolroute")</f>
        <v>Schoolroute</v>
      </c>
      <c r="D758" s="2" t="str">
        <f ca="1">IFERROR(__xludf.DUMMYFUNCTION("""COMPUTED_VALUE"""),"IN/002349")</f>
        <v>IN/002349</v>
      </c>
      <c r="E758" s="2" t="str">
        <f ca="1">IFERROR(__xludf.DUMMYFUNCTION("UNIQUE(FILTER('export kabinetdashboard 1210202'!N:P,'export kabinetdashboard 1210202'!M:M=D758))"),"Zone 30 in dorpskern.")</f>
        <v>Zone 30 in dorpskern.</v>
      </c>
      <c r="F758" s="2" t="str">
        <f ca="1">IFERROR(__xludf.DUMMYFUNCTION("""COMPUTED_VALUE"""),"2023 - Q1")</f>
        <v>2023 - Q1</v>
      </c>
      <c r="G758" s="2" t="str">
        <f ca="1">IFERROR(__xludf.DUMMYFUNCTION("""COMPUTED_VALUE"""),"n.t.b.")</f>
        <v>n.t.b.</v>
      </c>
      <c r="H758" s="2">
        <f ca="1">SUMIFS('bedragen KIM (budgettering &amp; pl'!S:S,'bedragen KIM (budgettering &amp; pl'!B:B,A758,'bedragen KIM (budgettering &amp; pl'!F:F,D758)</f>
        <v>0</v>
      </c>
      <c r="I758" s="2" t="e">
        <f ca="1">SUMIFS(#REF!,#REF!,A758,#REF!,D758)</f>
        <v>#REF!</v>
      </c>
      <c r="J758" s="2" t="e">
        <f ca="1">SUMIFS(#REF!,#REF!,A758,#REF!,D758)</f>
        <v>#REF!</v>
      </c>
    </row>
    <row r="759" spans="1:10" ht="12.5" x14ac:dyDescent="0.25">
      <c r="A759" s="2" t="str">
        <f ca="1">IFERROR(__xludf.DUMMYFUNCTION("""COMPUTED_VALUE"""),"KP/000831")</f>
        <v>KP/000831</v>
      </c>
      <c r="B759" s="2" t="str">
        <f ca="1">IFERROR(__xludf.DUMMYFUNCTION("""COMPUTED_VALUE"""),"Verkeersveiligheid")</f>
        <v>Verkeersveiligheid</v>
      </c>
      <c r="C759" s="2" t="str">
        <f ca="1">IFERROR(__xludf.DUMMYFUNCTION("""COMPUTED_VALUE"""),"Schoolroute")</f>
        <v>Schoolroute</v>
      </c>
      <c r="D759" s="2" t="str">
        <f ca="1">IFERROR(__xludf.DUMMYFUNCTION("""COMPUTED_VALUE"""),"IN/002350")</f>
        <v>IN/002350</v>
      </c>
      <c r="E759" s="2" t="str">
        <f ca="1">IFERROR(__xludf.DUMMYFUNCTION("UNIQUE(FILTER('export kabinetdashboard 1210202'!N:P,'export kabinetdashboard 1210202'!M:M=D759))"),"Aanpassen kruispunt N8 met Ramerstraat / Daalbeekstraat.
Via SWO met Roosdaal (grotere werken in Ramerstraat incl. rioleringen)
PCV VB-220")</f>
        <v>Aanpassen kruispunt N8 met Ramerstraat / Daalbeekstraat.
Via SWO met Roosdaal (grotere werken in Ramerstraat incl. rioleringen)
PCV VB-220</v>
      </c>
      <c r="F759" s="2" t="str">
        <f ca="1">IFERROR(__xludf.DUMMYFUNCTION("""COMPUTED_VALUE"""),"2023 - Q2")</f>
        <v>2023 - Q2</v>
      </c>
      <c r="G759" s="2" t="str">
        <f ca="1">IFERROR(__xludf.DUMMYFUNCTION("""COMPUTED_VALUE"""),"n.t.b.")</f>
        <v>n.t.b.</v>
      </c>
      <c r="H759" s="2">
        <f ca="1">SUMIFS('bedragen KIM (budgettering &amp; pl'!S:S,'bedragen KIM (budgettering &amp; pl'!B:B,A759,'bedragen KIM (budgettering &amp; pl'!F:F,D759)</f>
        <v>400000</v>
      </c>
      <c r="I759" s="2" t="e">
        <f ca="1">SUMIFS(#REF!,#REF!,A759,#REF!,D759)</f>
        <v>#REF!</v>
      </c>
      <c r="J759" s="2" t="e">
        <f ca="1">SUMIFS(#REF!,#REF!,A759,#REF!,D759)</f>
        <v>#REF!</v>
      </c>
    </row>
    <row r="760" spans="1:10" ht="12.5" x14ac:dyDescent="0.25">
      <c r="A760" s="2" t="str">
        <f ca="1">IFERROR(__xludf.DUMMYFUNCTION("""COMPUTED_VALUE"""),"KP/001489")</f>
        <v>KP/001489</v>
      </c>
      <c r="B760" s="2" t="str">
        <f ca="1">IFERROR(__xludf.DUMMYFUNCTION("""COMPUTED_VALUE"""),"Verkeersveiligheid")</f>
        <v>Verkeersveiligheid</v>
      </c>
      <c r="C760" s="2" t="str">
        <f ca="1">IFERROR(__xludf.DUMMYFUNCTION("""COMPUTED_VALUE"""),"Schoolroute")</f>
        <v>Schoolroute</v>
      </c>
      <c r="D760" s="2" t="str">
        <f ca="1">IFERROR(__xludf.DUMMYFUNCTION("""COMPUTED_VALUE"""),"IN/002403")</f>
        <v>IN/002403</v>
      </c>
      <c r="E760" s="2" t="str">
        <f ca="1">IFERROR(__xludf.DUMMYFUNCTION("UNIQUE(FILTER('export kabinetdashboard 1210202'!N:P,'export kabinetdashboard 1210202'!M:M=D760))"),"#N/A")</f>
        <v>#N/A</v>
      </c>
      <c r="H760" s="2">
        <f ca="1">SUMIFS('bedragen KIM (budgettering &amp; pl'!S:S,'bedragen KIM (budgettering &amp; pl'!B:B,A760,'bedragen KIM (budgettering &amp; pl'!F:F,D760)</f>
        <v>0</v>
      </c>
      <c r="I760" s="2" t="e">
        <f ca="1">SUMIFS(#REF!,#REF!,A760,#REF!,D760)</f>
        <v>#REF!</v>
      </c>
      <c r="J760" s="2" t="e">
        <f ca="1">SUMIFS(#REF!,#REF!,A760,#REF!,D760)</f>
        <v>#REF!</v>
      </c>
    </row>
    <row r="761" spans="1:10" ht="12.5" x14ac:dyDescent="0.25">
      <c r="A761" s="2" t="str">
        <f ca="1">IFERROR(__xludf.DUMMYFUNCTION("""COMPUTED_VALUE"""),"KP/001588")</f>
        <v>KP/001588</v>
      </c>
      <c r="B761" s="2" t="str">
        <f ca="1">IFERROR(__xludf.DUMMYFUNCTION("""COMPUTED_VALUE"""),"Verkeersveiligheid")</f>
        <v>Verkeersveiligheid</v>
      </c>
      <c r="C761" s="2" t="str">
        <f ca="1">IFERROR(__xludf.DUMMYFUNCTION("""COMPUTED_VALUE"""),"Schoolroute")</f>
        <v>Schoolroute</v>
      </c>
      <c r="D761" s="2" t="str">
        <f ca="1">IFERROR(__xludf.DUMMYFUNCTION("""COMPUTED_VALUE"""),"IN/002412")</f>
        <v>IN/002412</v>
      </c>
      <c r="E761" s="2" t="str">
        <f ca="1">IFERROR(__xludf.DUMMYFUNCTION("UNIQUE(FILTER('export kabinetdashboard 1210202'!N:P,'export kabinetdashboard 1210202'!M:M=D761))"),"SRK: N405 Ninove: fietsoversteek thv Snoeckgrachtweg")</f>
        <v>SRK: N405 Ninove: fietsoversteek thv Snoeckgrachtweg</v>
      </c>
      <c r="F761" s="2" t="str">
        <f ca="1">IFERROR(__xludf.DUMMYFUNCTION("""COMPUTED_VALUE"""),"2022 - Q4")</f>
        <v>2022 - Q4</v>
      </c>
      <c r="G761" s="2" t="str">
        <f ca="1">IFERROR(__xludf.DUMMYFUNCTION("""COMPUTED_VALUE"""),"n.t.b.")</f>
        <v>n.t.b.</v>
      </c>
      <c r="H761" s="2">
        <f ca="1">SUMIFS('bedragen KIM (budgettering &amp; pl'!S:S,'bedragen KIM (budgettering &amp; pl'!B:B,A761,'bedragen KIM (budgettering &amp; pl'!F:F,D761)</f>
        <v>12500</v>
      </c>
      <c r="I761" s="2" t="e">
        <f ca="1">SUMIFS(#REF!,#REF!,A761,#REF!,D761)</f>
        <v>#REF!</v>
      </c>
      <c r="J761" s="2" t="e">
        <f ca="1">SUMIFS(#REF!,#REF!,A761,#REF!,D761)</f>
        <v>#REF!</v>
      </c>
    </row>
    <row r="762" spans="1:10" ht="12.5" x14ac:dyDescent="0.25">
      <c r="A762" s="2" t="str">
        <f ca="1">IFERROR(__xludf.DUMMYFUNCTION("""COMPUTED_VALUE"""),"KP/001506")</f>
        <v>KP/001506</v>
      </c>
      <c r="B762" s="2" t="str">
        <f ca="1">IFERROR(__xludf.DUMMYFUNCTION("""COMPUTED_VALUE"""),"Verkeersveiligheid")</f>
        <v>Verkeersveiligheid</v>
      </c>
      <c r="C762" s="2" t="str">
        <f ca="1">IFERROR(__xludf.DUMMYFUNCTION("""COMPUTED_VALUE"""),"Schoolroute")</f>
        <v>Schoolroute</v>
      </c>
      <c r="D762" s="2" t="str">
        <f ca="1">IFERROR(__xludf.DUMMYFUNCTION("""COMPUTED_VALUE"""),"IN/002422")</f>
        <v>IN/002422</v>
      </c>
      <c r="E762" s="2" t="str">
        <f ca="1">IFERROR(__xludf.DUMMYFUNCTION("UNIQUE(FILTER('export kabinetdashboard 1210202'!N:P,'export kabinetdashboard 1210202'!M:M=D762))"),"SRK: N436 Assenede: aanleggen fietssuggestiestroken")</f>
        <v>SRK: N436 Assenede: aanleggen fietssuggestiestroken</v>
      </c>
      <c r="F762" s="2" t="str">
        <f ca="1">IFERROR(__xludf.DUMMYFUNCTION("""COMPUTED_VALUE"""),"2022 - Q4")</f>
        <v>2022 - Q4</v>
      </c>
      <c r="G762" s="2" t="str">
        <f ca="1">IFERROR(__xludf.DUMMYFUNCTION("""COMPUTED_VALUE"""),"n.t.b.")</f>
        <v>n.t.b.</v>
      </c>
      <c r="H762" s="2">
        <f ca="1">SUMIFS('bedragen KIM (budgettering &amp; pl'!S:S,'bedragen KIM (budgettering &amp; pl'!B:B,A762,'bedragen KIM (budgettering &amp; pl'!F:F,D762)</f>
        <v>24000</v>
      </c>
      <c r="I762" s="2" t="e">
        <f ca="1">SUMIFS(#REF!,#REF!,A762,#REF!,D762)</f>
        <v>#REF!</v>
      </c>
      <c r="J762" s="2" t="e">
        <f ca="1">SUMIFS(#REF!,#REF!,A762,#REF!,D762)</f>
        <v>#REF!</v>
      </c>
    </row>
    <row r="763" spans="1:10" ht="12.5" x14ac:dyDescent="0.25">
      <c r="A763" s="2" t="str">
        <f ca="1">IFERROR(__xludf.DUMMYFUNCTION("""COMPUTED_VALUE"""),"KP/001625")</f>
        <v>KP/001625</v>
      </c>
      <c r="B763" s="2" t="str">
        <f ca="1">IFERROR(__xludf.DUMMYFUNCTION("""COMPUTED_VALUE"""),"Verkeersveiligheid")</f>
        <v>Verkeersveiligheid</v>
      </c>
      <c r="C763" s="2" t="str">
        <f ca="1">IFERROR(__xludf.DUMMYFUNCTION("""COMPUTED_VALUE"""),"Schoolroute")</f>
        <v>Schoolroute</v>
      </c>
      <c r="D763" s="2" t="str">
        <f ca="1">IFERROR(__xludf.DUMMYFUNCTION("""COMPUTED_VALUE"""),"IN/002423")</f>
        <v>IN/002423</v>
      </c>
      <c r="E763" s="2" t="str">
        <f ca="1">IFERROR(__xludf.DUMMYFUNCTION("UNIQUE(FILTER('export kabinetdashboard 1210202'!N:P,'export kabinetdashboard 1210202'!M:M=D763))"),"SRK: N458 Assenede: aanbrengen fietslogo-markeringen")</f>
        <v>SRK: N458 Assenede: aanbrengen fietslogo-markeringen</v>
      </c>
      <c r="F763" s="2" t="str">
        <f ca="1">IFERROR(__xludf.DUMMYFUNCTION("""COMPUTED_VALUE"""),"2022 - Q4")</f>
        <v>2022 - Q4</v>
      </c>
      <c r="G763" s="2" t="str">
        <f ca="1">IFERROR(__xludf.DUMMYFUNCTION("""COMPUTED_VALUE"""),"n.t.b.")</f>
        <v>n.t.b.</v>
      </c>
      <c r="H763" s="2">
        <f ca="1">SUMIFS('bedragen KIM (budgettering &amp; pl'!S:S,'bedragen KIM (budgettering &amp; pl'!B:B,A763,'bedragen KIM (budgettering &amp; pl'!F:F,D763)</f>
        <v>1700</v>
      </c>
      <c r="I763" s="2" t="e">
        <f ca="1">SUMIFS(#REF!,#REF!,A763,#REF!,D763)</f>
        <v>#REF!</v>
      </c>
      <c r="J763" s="2" t="e">
        <f ca="1">SUMIFS(#REF!,#REF!,A763,#REF!,D763)</f>
        <v>#REF!</v>
      </c>
    </row>
    <row r="764" spans="1:10" ht="12.5" x14ac:dyDescent="0.25">
      <c r="A764" s="2" t="str">
        <f ca="1">IFERROR(__xludf.DUMMYFUNCTION("""COMPUTED_VALUE"""),"KP/001012")</f>
        <v>KP/001012</v>
      </c>
      <c r="B764" s="2" t="str">
        <f ca="1">IFERROR(__xludf.DUMMYFUNCTION("""COMPUTED_VALUE"""),"Verkeersveiligheid")</f>
        <v>Verkeersveiligheid</v>
      </c>
      <c r="C764" s="2" t="str">
        <f ca="1">IFERROR(__xludf.DUMMYFUNCTION("""COMPUTED_VALUE"""),"Schoolroute")</f>
        <v>Schoolroute</v>
      </c>
      <c r="D764" s="2" t="str">
        <f ca="1">IFERROR(__xludf.DUMMYFUNCTION("""COMPUTED_VALUE"""),"IN/002442")</f>
        <v>IN/002442</v>
      </c>
      <c r="E764" s="2" t="str">
        <f ca="1">IFERROR(__xludf.DUMMYFUNCTION("UNIQUE(FILTER('export kabinetdashboard 1210202'!N:P,'export kabinetdashboard 1210202'!M:M=D764))"),"#N/A")</f>
        <v>#N/A</v>
      </c>
      <c r="H764" s="2">
        <f ca="1">SUMIFS('bedragen KIM (budgettering &amp; pl'!S:S,'bedragen KIM (budgettering &amp; pl'!B:B,A764,'bedragen KIM (budgettering &amp; pl'!F:F,D764)</f>
        <v>0</v>
      </c>
      <c r="I764" s="2" t="e">
        <f ca="1">SUMIFS(#REF!,#REF!,A764,#REF!,D764)</f>
        <v>#REF!</v>
      </c>
      <c r="J764" s="2" t="e">
        <f ca="1">SUMIFS(#REF!,#REF!,A764,#REF!,D764)</f>
        <v>#REF!</v>
      </c>
    </row>
    <row r="765" spans="1:10" ht="12.5" x14ac:dyDescent="0.25">
      <c r="A765" s="2" t="str">
        <f ca="1">IFERROR(__xludf.DUMMYFUNCTION("""COMPUTED_VALUE"""),"KP/001073")</f>
        <v>KP/001073</v>
      </c>
      <c r="B765" s="2" t="str">
        <f ca="1">IFERROR(__xludf.DUMMYFUNCTION("""COMPUTED_VALUE"""),"Verkeersveiligheid")</f>
        <v>Verkeersveiligheid</v>
      </c>
      <c r="C765" s="2" t="str">
        <f ca="1">IFERROR(__xludf.DUMMYFUNCTION("""COMPUTED_VALUE"""),"Schoolroute")</f>
        <v>Schoolroute</v>
      </c>
      <c r="D765" s="2" t="str">
        <f ca="1">IFERROR(__xludf.DUMMYFUNCTION("""COMPUTED_VALUE"""),"IN/002446")</f>
        <v>IN/002446</v>
      </c>
      <c r="E765" s="2" t="str">
        <f ca="1">IFERROR(__xludf.DUMMYFUNCTION("UNIQUE(FILTER('export kabinetdashboard 1210202'!N:P,'export kabinetdashboard 1210202'!M:M=D765))"),"")</f>
        <v/>
      </c>
      <c r="F765" s="2" t="str">
        <f ca="1">IFERROR(__xludf.DUMMYFUNCTION("""COMPUTED_VALUE"""),"n.t.b.")</f>
        <v>n.t.b.</v>
      </c>
      <c r="G765" s="2" t="str">
        <f ca="1">IFERROR(__xludf.DUMMYFUNCTION("""COMPUTED_VALUE"""),"n.t.b.")</f>
        <v>n.t.b.</v>
      </c>
      <c r="H765" s="2">
        <f ca="1">SUMIFS('bedragen KIM (budgettering &amp; pl'!S:S,'bedragen KIM (budgettering &amp; pl'!B:B,A765,'bedragen KIM (budgettering &amp; pl'!F:F,D765)</f>
        <v>0</v>
      </c>
      <c r="I765" s="2" t="e">
        <f ca="1">SUMIFS(#REF!,#REF!,A765,#REF!,D765)</f>
        <v>#REF!</v>
      </c>
      <c r="J765" s="2" t="e">
        <f ca="1">SUMIFS(#REF!,#REF!,A765,#REF!,D765)</f>
        <v>#REF!</v>
      </c>
    </row>
    <row r="766" spans="1:10" ht="12.5" x14ac:dyDescent="0.25">
      <c r="A766" s="2" t="str">
        <f ca="1">IFERROR(__xludf.DUMMYFUNCTION("""COMPUTED_VALUE"""),"KP/001138")</f>
        <v>KP/001138</v>
      </c>
      <c r="B766" s="2" t="str">
        <f ca="1">IFERROR(__xludf.DUMMYFUNCTION("""COMPUTED_VALUE"""),"Verkeersveiligheid")</f>
        <v>Verkeersveiligheid</v>
      </c>
      <c r="C766" s="2" t="str">
        <f ca="1">IFERROR(__xludf.DUMMYFUNCTION("""COMPUTED_VALUE"""),"Schoolroute")</f>
        <v>Schoolroute</v>
      </c>
      <c r="D766" s="2" t="str">
        <f ca="1">IFERROR(__xludf.DUMMYFUNCTION("""COMPUTED_VALUE"""),"IN/002454")</f>
        <v>IN/002454</v>
      </c>
      <c r="E766" s="2" t="str">
        <f ca="1">IFERROR(__xludf.DUMMYFUNCTION("UNIQUE(FILTER('export kabinetdashboard 1210202'!N:P,'export kabinetdashboard 1210202'!M:M=D766))"),"#N/A")</f>
        <v>#N/A</v>
      </c>
      <c r="H766" s="2">
        <f ca="1">SUMIFS('bedragen KIM (budgettering &amp; pl'!S:S,'bedragen KIM (budgettering &amp; pl'!B:B,A766,'bedragen KIM (budgettering &amp; pl'!F:F,D766)</f>
        <v>0</v>
      </c>
      <c r="I766" s="2" t="e">
        <f ca="1">SUMIFS(#REF!,#REF!,A766,#REF!,D766)</f>
        <v>#REF!</v>
      </c>
      <c r="J766" s="2" t="e">
        <f ca="1">SUMIFS(#REF!,#REF!,A766,#REF!,D766)</f>
        <v>#REF!</v>
      </c>
    </row>
    <row r="767" spans="1:10" ht="12.5" x14ac:dyDescent="0.25">
      <c r="A767" s="2" t="str">
        <f ca="1">IFERROR(__xludf.DUMMYFUNCTION("""COMPUTED_VALUE"""),"KP/001138")</f>
        <v>KP/001138</v>
      </c>
      <c r="B767" s="2" t="str">
        <f ca="1">IFERROR(__xludf.DUMMYFUNCTION("""COMPUTED_VALUE"""),"Verkeersveiligheid")</f>
        <v>Verkeersveiligheid</v>
      </c>
      <c r="C767" s="2" t="str">
        <f ca="1">IFERROR(__xludf.DUMMYFUNCTION("""COMPUTED_VALUE"""),"Schoolroute")</f>
        <v>Schoolroute</v>
      </c>
      <c r="D767" s="2" t="str">
        <f ca="1">IFERROR(__xludf.DUMMYFUNCTION("""COMPUTED_VALUE"""),"IN/002483")</f>
        <v>IN/002483</v>
      </c>
      <c r="E767" s="2" t="str">
        <f ca="1">IFERROR(__xludf.DUMMYFUNCTION("UNIQUE(FILTER('export kabinetdashboard 1210202'!N:P,'export kabinetdashboard 1210202'!M:M=D767))"),"")</f>
        <v/>
      </c>
      <c r="F767" s="2" t="str">
        <f ca="1">IFERROR(__xludf.DUMMYFUNCTION("""COMPUTED_VALUE"""),"n.t.b.")</f>
        <v>n.t.b.</v>
      </c>
      <c r="G767" s="2" t="str">
        <f ca="1">IFERROR(__xludf.DUMMYFUNCTION("""COMPUTED_VALUE"""),"n.t.b.")</f>
        <v>n.t.b.</v>
      </c>
      <c r="H767" s="2">
        <f ca="1">SUMIFS('bedragen KIM (budgettering &amp; pl'!S:S,'bedragen KIM (budgettering &amp; pl'!B:B,A767,'bedragen KIM (budgettering &amp; pl'!F:F,D767)</f>
        <v>0</v>
      </c>
      <c r="I767" s="2" t="e">
        <f ca="1">SUMIFS(#REF!,#REF!,A767,#REF!,D767)</f>
        <v>#REF!</v>
      </c>
      <c r="J767" s="2" t="e">
        <f ca="1">SUMIFS(#REF!,#REF!,A767,#REF!,D767)</f>
        <v>#REF!</v>
      </c>
    </row>
    <row r="768" spans="1:10" ht="12.5" x14ac:dyDescent="0.25">
      <c r="A768" s="2" t="str">
        <f ca="1">IFERROR(__xludf.DUMMYFUNCTION("""COMPUTED_VALUE"""),"KP/001390")</f>
        <v>KP/001390</v>
      </c>
      <c r="B768" s="2" t="str">
        <f ca="1">IFERROR(__xludf.DUMMYFUNCTION("""COMPUTED_VALUE"""),"Verkeersveiligheid")</f>
        <v>Verkeersveiligheid</v>
      </c>
      <c r="C768" s="2" t="str">
        <f ca="1">IFERROR(__xludf.DUMMYFUNCTION("""COMPUTED_VALUE"""),"Schoolroute")</f>
        <v>Schoolroute</v>
      </c>
      <c r="D768" s="2" t="str">
        <f ca="1">IFERROR(__xludf.DUMMYFUNCTION("""COMPUTED_VALUE"""),"IN/002483")</f>
        <v>IN/002483</v>
      </c>
      <c r="E768" s="2" t="str">
        <f ca="1">IFERROR(__xludf.DUMMYFUNCTION("UNIQUE(FILTER('export kabinetdashboard 1210202'!N:P,'export kabinetdashboard 1210202'!M:M=D768))"),"")</f>
        <v/>
      </c>
      <c r="F768" s="2" t="str">
        <f ca="1">IFERROR(__xludf.DUMMYFUNCTION("""COMPUTED_VALUE"""),"n.t.b.")</f>
        <v>n.t.b.</v>
      </c>
      <c r="G768" s="2" t="str">
        <f ca="1">IFERROR(__xludf.DUMMYFUNCTION("""COMPUTED_VALUE"""),"n.t.b.")</f>
        <v>n.t.b.</v>
      </c>
      <c r="H768" s="2">
        <f ca="1">SUMIFS('bedragen KIM (budgettering &amp; pl'!S:S,'bedragen KIM (budgettering &amp; pl'!B:B,A768,'bedragen KIM (budgettering &amp; pl'!F:F,D768)</f>
        <v>0</v>
      </c>
      <c r="I768" s="2" t="e">
        <f ca="1">SUMIFS(#REF!,#REF!,A768,#REF!,D768)</f>
        <v>#REF!</v>
      </c>
      <c r="J768" s="2" t="e">
        <f ca="1">SUMIFS(#REF!,#REF!,A768,#REF!,D768)</f>
        <v>#REF!</v>
      </c>
    </row>
    <row r="769" spans="1:10" ht="12.5" x14ac:dyDescent="0.25">
      <c r="A769" s="2" t="str">
        <f ca="1">IFERROR(__xludf.DUMMYFUNCTION("""COMPUTED_VALUE"""),"KP/001140")</f>
        <v>KP/001140</v>
      </c>
      <c r="B769" s="2" t="str">
        <f ca="1">IFERROR(__xludf.DUMMYFUNCTION("""COMPUTED_VALUE"""),"Verkeersveiligheid")</f>
        <v>Verkeersveiligheid</v>
      </c>
      <c r="C769" s="2" t="str">
        <f ca="1">IFERROR(__xludf.DUMMYFUNCTION("""COMPUTED_VALUE"""),"Schoolroute")</f>
        <v>Schoolroute</v>
      </c>
      <c r="D769" s="2" t="str">
        <f ca="1">IFERROR(__xludf.DUMMYFUNCTION("""COMPUTED_VALUE"""),"IN/002485")</f>
        <v>IN/002485</v>
      </c>
      <c r="E769" s="2" t="str">
        <f ca="1">IFERROR(__xludf.DUMMYFUNCTION("UNIQUE(FILTER('export kabinetdashboard 1210202'!N:P,'export kabinetdashboard 1210202'!M:M=D769))"),"")</f>
        <v/>
      </c>
      <c r="F769" s="2" t="str">
        <f ca="1">IFERROR(__xludf.DUMMYFUNCTION("""COMPUTED_VALUE"""),"n.t.b.")</f>
        <v>n.t.b.</v>
      </c>
      <c r="G769" s="2" t="str">
        <f ca="1">IFERROR(__xludf.DUMMYFUNCTION("""COMPUTED_VALUE"""),"n.t.b.")</f>
        <v>n.t.b.</v>
      </c>
      <c r="H769" s="2">
        <f ca="1">SUMIFS('bedragen KIM (budgettering &amp; pl'!S:S,'bedragen KIM (budgettering &amp; pl'!B:B,A769,'bedragen KIM (budgettering &amp; pl'!F:F,D769)</f>
        <v>0</v>
      </c>
      <c r="I769" s="2" t="e">
        <f ca="1">SUMIFS(#REF!,#REF!,A769,#REF!,D769)</f>
        <v>#REF!</v>
      </c>
      <c r="J769" s="2" t="e">
        <f ca="1">SUMIFS(#REF!,#REF!,A769,#REF!,D769)</f>
        <v>#REF!</v>
      </c>
    </row>
    <row r="770" spans="1:10" ht="12.5" x14ac:dyDescent="0.25">
      <c r="A770" s="2" t="str">
        <f ca="1">IFERROR(__xludf.DUMMYFUNCTION("""COMPUTED_VALUE"""),"KP/003965")</f>
        <v>KP/003965</v>
      </c>
      <c r="B770" s="2" t="str">
        <f ca="1">IFERROR(__xludf.DUMMYFUNCTION("""COMPUTED_VALUE"""),"Verkeersveiligheid")</f>
        <v>Verkeersveiligheid</v>
      </c>
      <c r="C770" s="2" t="str">
        <f ca="1">IFERROR(__xludf.DUMMYFUNCTION("""COMPUTED_VALUE"""),"Schoolroute")</f>
        <v>Schoolroute</v>
      </c>
      <c r="D770" s="2" t="str">
        <f ca="1">IFERROR(__xludf.DUMMYFUNCTION("""COMPUTED_VALUE"""),"IN/002522")</f>
        <v>IN/002522</v>
      </c>
      <c r="E770" s="2" t="str">
        <f ca="1">IFERROR(__xludf.DUMMYFUNCTION("UNIQUE(FILTER('export kabinetdashboard 1210202'!N:P,'export kabinetdashboard 1210202'!M:M=D770))"),"Aanpassen VRI geregeld kruispunt voor oversteek van fietsers.
Eventueel bushaltes vlakbij dit kruispunt mee aanpakken?")</f>
        <v>Aanpassen VRI geregeld kruispunt voor oversteek van fietsers.
Eventueel bushaltes vlakbij dit kruispunt mee aanpakken?</v>
      </c>
      <c r="F770" s="2" t="str">
        <f ca="1">IFERROR(__xludf.DUMMYFUNCTION("""COMPUTED_VALUE"""),"2023 - Q2")</f>
        <v>2023 - Q2</v>
      </c>
      <c r="G770" s="2" t="str">
        <f ca="1">IFERROR(__xludf.DUMMYFUNCTION("""COMPUTED_VALUE"""),"n.t.b.")</f>
        <v>n.t.b.</v>
      </c>
      <c r="H770" s="2">
        <f ca="1">SUMIFS('bedragen KIM (budgettering &amp; pl'!S:S,'bedragen KIM (budgettering &amp; pl'!B:B,A770,'bedragen KIM (budgettering &amp; pl'!F:F,D770)</f>
        <v>150000</v>
      </c>
      <c r="I770" s="2" t="e">
        <f ca="1">SUMIFS(#REF!,#REF!,A770,#REF!,D770)</f>
        <v>#REF!</v>
      </c>
      <c r="J770" s="2" t="e">
        <f ca="1">SUMIFS(#REF!,#REF!,A770,#REF!,D770)</f>
        <v>#REF!</v>
      </c>
    </row>
    <row r="771" spans="1:10" ht="12.5" x14ac:dyDescent="0.25">
      <c r="A771" s="2" t="str">
        <f ca="1">IFERROR(__xludf.DUMMYFUNCTION("""COMPUTED_VALUE"""),"KP/001216")</f>
        <v>KP/001216</v>
      </c>
      <c r="B771" s="2" t="str">
        <f ca="1">IFERROR(__xludf.DUMMYFUNCTION("""COMPUTED_VALUE"""),"Verkeersveiligheid")</f>
        <v>Verkeersveiligheid</v>
      </c>
      <c r="C771" s="2" t="str">
        <f ca="1">IFERROR(__xludf.DUMMYFUNCTION("""COMPUTED_VALUE"""),"Schoolroute")</f>
        <v>Schoolroute</v>
      </c>
      <c r="D771" s="2" t="str">
        <f ca="1">IFERROR(__xludf.DUMMYFUNCTION("""COMPUTED_VALUE"""),"IN/002556")</f>
        <v>IN/002556</v>
      </c>
      <c r="E771" s="2" t="str">
        <f ca="1">IFERROR(__xludf.DUMMYFUNCTION("UNIQUE(FILTER('export kabinetdashboard 1210202'!N:P,'export kabinetdashboard 1210202'!M:M=D771))"),"")</f>
        <v/>
      </c>
      <c r="F771" s="2" t="str">
        <f ca="1">IFERROR(__xludf.DUMMYFUNCTION("""COMPUTED_VALUE"""),"2023 - Q4")</f>
        <v>2023 - Q4</v>
      </c>
      <c r="G771" s="2" t="str">
        <f ca="1">IFERROR(__xludf.DUMMYFUNCTION("""COMPUTED_VALUE"""),"n.t.b.")</f>
        <v>n.t.b.</v>
      </c>
      <c r="H771" s="2">
        <f ca="1">SUMIFS('bedragen KIM (budgettering &amp; pl'!S:S,'bedragen KIM (budgettering &amp; pl'!B:B,A771,'bedragen KIM (budgettering &amp; pl'!F:F,D771)</f>
        <v>0</v>
      </c>
      <c r="I771" s="2" t="e">
        <f ca="1">SUMIFS(#REF!,#REF!,A771,#REF!,D771)</f>
        <v>#REF!</v>
      </c>
      <c r="J771" s="2" t="e">
        <f ca="1">SUMIFS(#REF!,#REF!,A771,#REF!,D771)</f>
        <v>#REF!</v>
      </c>
    </row>
    <row r="772" spans="1:10" ht="12.5" x14ac:dyDescent="0.25">
      <c r="A772" s="2" t="str">
        <f ca="1">IFERROR(__xludf.DUMMYFUNCTION("""COMPUTED_VALUE"""),"KP/001161")</f>
        <v>KP/001161</v>
      </c>
      <c r="B772" s="2" t="str">
        <f ca="1">IFERROR(__xludf.DUMMYFUNCTION("""COMPUTED_VALUE"""),"Verkeersveiligheid")</f>
        <v>Verkeersveiligheid</v>
      </c>
      <c r="C772" s="2" t="str">
        <f ca="1">IFERROR(__xludf.DUMMYFUNCTION("""COMPUTED_VALUE"""),"Schoolroute")</f>
        <v>Schoolroute</v>
      </c>
      <c r="D772" s="2" t="str">
        <f ca="1">IFERROR(__xludf.DUMMYFUNCTION("""COMPUTED_VALUE"""),"IN/002557")</f>
        <v>IN/002557</v>
      </c>
      <c r="E772" s="2" t="str">
        <f ca="1">IFERROR(__xludf.DUMMYFUNCTION("UNIQUE(FILTER('export kabinetdashboard 1210202'!N:P,'export kabinetdashboard 1210202'!M:M=D772))"),"")</f>
        <v/>
      </c>
      <c r="F772" s="2" t="str">
        <f ca="1">IFERROR(__xludf.DUMMYFUNCTION("""COMPUTED_VALUE"""),"2023 - Q4")</f>
        <v>2023 - Q4</v>
      </c>
      <c r="G772" s="2" t="str">
        <f ca="1">IFERROR(__xludf.DUMMYFUNCTION("""COMPUTED_VALUE"""),"n.t.b.")</f>
        <v>n.t.b.</v>
      </c>
      <c r="H772" s="2">
        <f ca="1">SUMIFS('bedragen KIM (budgettering &amp; pl'!S:S,'bedragen KIM (budgettering &amp; pl'!B:B,A772,'bedragen KIM (budgettering &amp; pl'!F:F,D772)</f>
        <v>0</v>
      </c>
      <c r="I772" s="2" t="e">
        <f ca="1">SUMIFS(#REF!,#REF!,A772,#REF!,D772)</f>
        <v>#REF!</v>
      </c>
      <c r="J772" s="2" t="e">
        <f ca="1">SUMIFS(#REF!,#REF!,A772,#REF!,D772)</f>
        <v>#REF!</v>
      </c>
    </row>
    <row r="773" spans="1:10" ht="12.5" x14ac:dyDescent="0.25">
      <c r="A773" s="2" t="str">
        <f ca="1">IFERROR(__xludf.DUMMYFUNCTION("""COMPUTED_VALUE"""),"KP/000927")</f>
        <v>KP/000927</v>
      </c>
      <c r="B773" s="2" t="str">
        <f ca="1">IFERROR(__xludf.DUMMYFUNCTION("""COMPUTED_VALUE"""),"Verkeersveiligheid")</f>
        <v>Verkeersveiligheid</v>
      </c>
      <c r="C773" s="2" t="str">
        <f ca="1">IFERROR(__xludf.DUMMYFUNCTION("""COMPUTED_VALUE"""),"Schoolroute")</f>
        <v>Schoolroute</v>
      </c>
      <c r="D773" s="2" t="str">
        <f ca="1">IFERROR(__xludf.DUMMYFUNCTION("""COMPUTED_VALUE"""),"IN/002558")</f>
        <v>IN/002558</v>
      </c>
      <c r="E773" s="2" t="str">
        <f ca="1">IFERROR(__xludf.DUMMYFUNCTION("UNIQUE(FILTER('export kabinetdashboard 1210202'!N:P,'export kabinetdashboard 1210202'!M:M=D773))"),"(tijdelijk kleine ingreep ingevoerd, in afwachting van koppeling aan Enterprise One")</f>
        <v>(tijdelijk kleine ingreep ingevoerd, in afwachting van koppeling aan Enterprise One</v>
      </c>
      <c r="F773" s="2" t="str">
        <f ca="1">IFERROR(__xludf.DUMMYFUNCTION("""COMPUTED_VALUE"""),"2023 - Q4")</f>
        <v>2023 - Q4</v>
      </c>
      <c r="G773" s="2" t="str">
        <f ca="1">IFERROR(__xludf.DUMMYFUNCTION("""COMPUTED_VALUE"""),"n.t.b.")</f>
        <v>n.t.b.</v>
      </c>
      <c r="H773" s="2">
        <f ca="1">SUMIFS('bedragen KIM (budgettering &amp; pl'!S:S,'bedragen KIM (budgettering &amp; pl'!B:B,A773,'bedragen KIM (budgettering &amp; pl'!F:F,D773)</f>
        <v>0</v>
      </c>
      <c r="I773" s="2" t="e">
        <f ca="1">SUMIFS(#REF!,#REF!,A773,#REF!,D773)</f>
        <v>#REF!</v>
      </c>
      <c r="J773" s="2" t="e">
        <f ca="1">SUMIFS(#REF!,#REF!,A773,#REF!,D773)</f>
        <v>#REF!</v>
      </c>
    </row>
    <row r="774" spans="1:10" ht="12.5" x14ac:dyDescent="0.25">
      <c r="A774" s="2" t="str">
        <f ca="1">IFERROR(__xludf.DUMMYFUNCTION("""COMPUTED_VALUE"""),"KP/001477")</f>
        <v>KP/001477</v>
      </c>
      <c r="B774" s="2" t="str">
        <f ca="1">IFERROR(__xludf.DUMMYFUNCTION("""COMPUTED_VALUE"""),"Verkeersveiligheid")</f>
        <v>Verkeersveiligheid</v>
      </c>
      <c r="C774" s="2" t="str">
        <f ca="1">IFERROR(__xludf.DUMMYFUNCTION("""COMPUTED_VALUE"""),"Schoolroute")</f>
        <v>Schoolroute</v>
      </c>
      <c r="D774" s="2" t="str">
        <f ca="1">IFERROR(__xludf.DUMMYFUNCTION("""COMPUTED_VALUE"""),"IN/002560")</f>
        <v>IN/002560</v>
      </c>
      <c r="E774" s="2" t="str">
        <f ca="1">IFERROR(__xludf.DUMMYFUNCTION("UNIQUE(FILTER('export kabinetdashboard 1210202'!N:P,'export kabinetdashboard 1210202'!M:M=D774))"),"SRK : Brakel N8 : Kruispunt N8-Haeyershoek te voorzien van een verkeersplateau")</f>
        <v>SRK : Brakel N8 : Kruispunt N8-Haeyershoek te voorzien van een verkeersplateau</v>
      </c>
      <c r="F774" s="2" t="str">
        <f ca="1">IFERROR(__xludf.DUMMYFUNCTION("""COMPUTED_VALUE"""),"2023 - Q2")</f>
        <v>2023 - Q2</v>
      </c>
      <c r="G774" s="2" t="str">
        <f ca="1">IFERROR(__xludf.DUMMYFUNCTION("""COMPUTED_VALUE"""),"n.t.b.")</f>
        <v>n.t.b.</v>
      </c>
      <c r="H774" s="2">
        <f ca="1">SUMIFS('bedragen KIM (budgettering &amp; pl'!S:S,'bedragen KIM (budgettering &amp; pl'!B:B,A774,'bedragen KIM (budgettering &amp; pl'!F:F,D774)</f>
        <v>0</v>
      </c>
      <c r="I774" s="2" t="e">
        <f ca="1">SUMIFS(#REF!,#REF!,A774,#REF!,D774)</f>
        <v>#REF!</v>
      </c>
      <c r="J774" s="2" t="e">
        <f ca="1">SUMIFS(#REF!,#REF!,A774,#REF!,D774)</f>
        <v>#REF!</v>
      </c>
    </row>
    <row r="775" spans="1:10" ht="12.5" x14ac:dyDescent="0.25">
      <c r="A775" s="2" t="str">
        <f ca="1">IFERROR(__xludf.DUMMYFUNCTION("""COMPUTED_VALUE"""),"KP/001577")</f>
        <v>KP/001577</v>
      </c>
      <c r="B775" s="2" t="str">
        <f ca="1">IFERROR(__xludf.DUMMYFUNCTION("""COMPUTED_VALUE"""),"Verkeersveiligheid")</f>
        <v>Verkeersveiligheid</v>
      </c>
      <c r="C775" s="2" t="str">
        <f ca="1">IFERROR(__xludf.DUMMYFUNCTION("""COMPUTED_VALUE"""),"Schoolroute")</f>
        <v>Schoolroute</v>
      </c>
      <c r="D775" s="2" t="str">
        <f ca="1">IFERROR(__xludf.DUMMYFUNCTION("""COMPUTED_VALUE"""),"IN/002562")</f>
        <v>IN/002562</v>
      </c>
      <c r="E775" s="2" t="str">
        <f ca="1">IFERROR(__xludf.DUMMYFUNCTION("UNIQUE(FILTER('export kabinetdashboard 1210202'!N:P,'export kabinetdashboard 1210202'!M:M=D775))"),"")</f>
        <v/>
      </c>
      <c r="F775" s="2" t="str">
        <f ca="1">IFERROR(__xludf.DUMMYFUNCTION("""COMPUTED_VALUE"""),"2022 - Q1")</f>
        <v>2022 - Q1</v>
      </c>
      <c r="G775" s="2" t="str">
        <f ca="1">IFERROR(__xludf.DUMMYFUNCTION("""COMPUTED_VALUE"""),"2021 - Q3")</f>
        <v>2021 - Q3</v>
      </c>
      <c r="H775" s="2">
        <f ca="1">SUMIFS('bedragen KIM (budgettering &amp; pl'!S:S,'bedragen KIM (budgettering &amp; pl'!B:B,A775,'bedragen KIM (budgettering &amp; pl'!F:F,D775)</f>
        <v>1</v>
      </c>
      <c r="I775" s="2" t="e">
        <f ca="1">SUMIFS(#REF!,#REF!,A775,#REF!,D775)</f>
        <v>#REF!</v>
      </c>
      <c r="J775" s="2" t="e">
        <f ca="1">SUMIFS(#REF!,#REF!,A775,#REF!,D775)</f>
        <v>#REF!</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780"/>
  <sheetViews>
    <sheetView tabSelected="1" topLeftCell="A708" workbookViewId="0">
      <selection activeCell="A3" sqref="A3"/>
    </sheetView>
  </sheetViews>
  <sheetFormatPr defaultRowHeight="12.5" x14ac:dyDescent="0.25"/>
  <cols>
    <col min="1" max="1" width="13.81640625" bestFit="1" customWidth="1"/>
    <col min="2" max="2" width="255.6328125" bestFit="1" customWidth="1"/>
    <col min="3" max="3" width="19.453125" bestFit="1" customWidth="1"/>
  </cols>
  <sheetData>
    <row r="1" spans="1:3" x14ac:dyDescent="0.25">
      <c r="A1" t="s">
        <v>1</v>
      </c>
      <c r="B1" t="s">
        <v>6</v>
      </c>
      <c r="C1" t="s">
        <v>13</v>
      </c>
    </row>
    <row r="2" spans="1:3" x14ac:dyDescent="0.25">
      <c r="A2" t="s">
        <v>151</v>
      </c>
      <c r="B2" t="s">
        <v>149</v>
      </c>
      <c r="C2">
        <v>20000</v>
      </c>
    </row>
    <row r="3" spans="1:3" x14ac:dyDescent="0.25">
      <c r="A3" t="s">
        <v>234</v>
      </c>
      <c r="B3" t="s">
        <v>231</v>
      </c>
      <c r="C3">
        <v>0</v>
      </c>
    </row>
    <row r="4" spans="1:3" x14ac:dyDescent="0.25">
      <c r="A4" t="s">
        <v>236</v>
      </c>
      <c r="B4" t="s">
        <v>231</v>
      </c>
      <c r="C4">
        <v>0</v>
      </c>
    </row>
    <row r="5" spans="1:3" x14ac:dyDescent="0.25">
      <c r="A5" t="s">
        <v>238</v>
      </c>
      <c r="B5" t="s">
        <v>231</v>
      </c>
      <c r="C5">
        <v>0</v>
      </c>
    </row>
    <row r="6" spans="1:3" x14ac:dyDescent="0.25">
      <c r="A6" t="s">
        <v>240</v>
      </c>
      <c r="B6" t="s">
        <v>231</v>
      </c>
      <c r="C6">
        <v>0</v>
      </c>
    </row>
    <row r="7" spans="1:3" x14ac:dyDescent="0.25">
      <c r="A7" t="s">
        <v>666</v>
      </c>
      <c r="B7" t="s">
        <v>663</v>
      </c>
      <c r="C7">
        <v>65165.366999999998</v>
      </c>
    </row>
    <row r="8" spans="1:3" x14ac:dyDescent="0.25">
      <c r="A8" t="s">
        <v>716</v>
      </c>
      <c r="B8" t="s">
        <v>713</v>
      </c>
      <c r="C8">
        <v>0</v>
      </c>
    </row>
    <row r="9" spans="1:3" x14ac:dyDescent="0.25">
      <c r="A9" t="s">
        <v>718</v>
      </c>
      <c r="B9" t="s">
        <v>713</v>
      </c>
      <c r="C9">
        <v>0</v>
      </c>
    </row>
    <row r="10" spans="1:3" x14ac:dyDescent="0.25">
      <c r="A10" t="s">
        <v>720</v>
      </c>
      <c r="B10" t="s">
        <v>713</v>
      </c>
      <c r="C10">
        <v>0</v>
      </c>
    </row>
    <row r="11" spans="1:3" x14ac:dyDescent="0.25">
      <c r="A11" t="s">
        <v>757</v>
      </c>
      <c r="B11" t="s">
        <v>755</v>
      </c>
      <c r="C11">
        <v>0</v>
      </c>
    </row>
    <row r="12" spans="1:3" x14ac:dyDescent="0.25">
      <c r="A12" t="s">
        <v>786</v>
      </c>
      <c r="B12" t="s">
        <v>783</v>
      </c>
      <c r="C12">
        <v>0</v>
      </c>
    </row>
    <row r="13" spans="1:3" x14ac:dyDescent="0.25">
      <c r="A13" t="s">
        <v>788</v>
      </c>
      <c r="B13" t="s">
        <v>783</v>
      </c>
      <c r="C13">
        <v>0</v>
      </c>
    </row>
    <row r="14" spans="1:3" x14ac:dyDescent="0.25">
      <c r="A14" t="s">
        <v>795</v>
      </c>
      <c r="B14" t="s">
        <v>792</v>
      </c>
      <c r="C14">
        <v>0</v>
      </c>
    </row>
    <row r="15" spans="1:3" x14ac:dyDescent="0.25">
      <c r="A15" t="s">
        <v>821</v>
      </c>
      <c r="B15" t="s">
        <v>818</v>
      </c>
      <c r="C15">
        <v>17487.814493000002</v>
      </c>
    </row>
    <row r="16" spans="1:3" x14ac:dyDescent="0.25">
      <c r="A16" t="s">
        <v>828</v>
      </c>
      <c r="B16" t="s">
        <v>825</v>
      </c>
      <c r="C16">
        <v>0</v>
      </c>
    </row>
    <row r="17" spans="1:3" x14ac:dyDescent="0.25">
      <c r="A17" t="s">
        <v>1214</v>
      </c>
      <c r="B17" t="s">
        <v>1213</v>
      </c>
      <c r="C17">
        <v>0</v>
      </c>
    </row>
    <row r="18" spans="1:3" x14ac:dyDescent="0.25">
      <c r="A18" t="s">
        <v>1261</v>
      </c>
      <c r="B18" t="s">
        <v>1258</v>
      </c>
      <c r="C18">
        <v>25000</v>
      </c>
    </row>
    <row r="19" spans="1:3" x14ac:dyDescent="0.25">
      <c r="A19" t="s">
        <v>1284</v>
      </c>
      <c r="B19" t="s">
        <v>1279</v>
      </c>
      <c r="C19">
        <v>0</v>
      </c>
    </row>
    <row r="20" spans="1:3" x14ac:dyDescent="0.25">
      <c r="A20" t="s">
        <v>1310</v>
      </c>
      <c r="B20" t="s">
        <v>1306</v>
      </c>
      <c r="C20">
        <v>0</v>
      </c>
    </row>
    <row r="21" spans="1:3" x14ac:dyDescent="0.25">
      <c r="A21" t="s">
        <v>1333</v>
      </c>
      <c r="B21" t="s">
        <v>1330</v>
      </c>
      <c r="C21">
        <v>0</v>
      </c>
    </row>
    <row r="22" spans="1:3" x14ac:dyDescent="0.25">
      <c r="A22" t="s">
        <v>1558</v>
      </c>
      <c r="B22" t="s">
        <v>1556</v>
      </c>
      <c r="C22">
        <v>0</v>
      </c>
    </row>
    <row r="23" spans="1:3" x14ac:dyDescent="0.25">
      <c r="A23" t="s">
        <v>2280</v>
      </c>
      <c r="B23" t="s">
        <v>2276</v>
      </c>
      <c r="C23">
        <v>360000</v>
      </c>
    </row>
    <row r="24" spans="1:3" x14ac:dyDescent="0.25">
      <c r="A24" t="s">
        <v>2747</v>
      </c>
      <c r="B24" t="s">
        <v>2744</v>
      </c>
      <c r="C24">
        <v>1000</v>
      </c>
    </row>
    <row r="25" spans="1:3" x14ac:dyDescent="0.25">
      <c r="A25" t="s">
        <v>2782</v>
      </c>
      <c r="B25" t="s">
        <v>2779</v>
      </c>
      <c r="C25">
        <v>0</v>
      </c>
    </row>
    <row r="26" spans="1:3" x14ac:dyDescent="0.25">
      <c r="A26" t="s">
        <v>2997</v>
      </c>
      <c r="B26" t="s">
        <v>2995</v>
      </c>
    </row>
    <row r="27" spans="1:3" x14ac:dyDescent="0.25">
      <c r="A27" t="s">
        <v>3013</v>
      </c>
      <c r="B27" t="s">
        <v>3009</v>
      </c>
      <c r="C27">
        <v>0</v>
      </c>
    </row>
    <row r="28" spans="1:3" x14ac:dyDescent="0.25">
      <c r="A28" t="s">
        <v>3015</v>
      </c>
      <c r="B28" t="s">
        <v>3009</v>
      </c>
      <c r="C28">
        <v>0</v>
      </c>
    </row>
    <row r="29" spans="1:3" x14ac:dyDescent="0.25">
      <c r="A29" t="s">
        <v>3017</v>
      </c>
      <c r="B29" t="s">
        <v>3009</v>
      </c>
      <c r="C29">
        <v>0</v>
      </c>
    </row>
    <row r="30" spans="1:3" x14ac:dyDescent="0.25">
      <c r="A30" t="s">
        <v>3019</v>
      </c>
      <c r="B30" t="s">
        <v>3009</v>
      </c>
      <c r="C30">
        <v>0</v>
      </c>
    </row>
    <row r="31" spans="1:3" x14ac:dyDescent="0.25">
      <c r="A31" t="s">
        <v>3021</v>
      </c>
      <c r="B31" t="s">
        <v>3009</v>
      </c>
      <c r="C31">
        <v>0</v>
      </c>
    </row>
    <row r="32" spans="1:3" x14ac:dyDescent="0.25">
      <c r="A32" t="s">
        <v>3068</v>
      </c>
      <c r="B32" t="s">
        <v>3071</v>
      </c>
      <c r="C32">
        <v>61500</v>
      </c>
    </row>
    <row r="33" spans="1:3" x14ac:dyDescent="0.25">
      <c r="A33" t="s">
        <v>3073</v>
      </c>
      <c r="B33" t="s">
        <v>3076</v>
      </c>
      <c r="C33">
        <v>5000</v>
      </c>
    </row>
    <row r="34" spans="1:3" x14ac:dyDescent="0.25">
      <c r="A34" t="s">
        <v>3078</v>
      </c>
      <c r="B34" t="s">
        <v>3080</v>
      </c>
      <c r="C34">
        <v>60000</v>
      </c>
    </row>
    <row r="35" spans="1:3" x14ac:dyDescent="0.25">
      <c r="A35" t="s">
        <v>3082</v>
      </c>
      <c r="B35" t="s">
        <v>3085</v>
      </c>
      <c r="C35">
        <v>200000</v>
      </c>
    </row>
    <row r="36" spans="1:3" x14ac:dyDescent="0.25">
      <c r="A36" t="s">
        <v>3086</v>
      </c>
      <c r="B36" t="s">
        <v>3089</v>
      </c>
      <c r="C36">
        <v>75000</v>
      </c>
    </row>
    <row r="37" spans="1:3" x14ac:dyDescent="0.25">
      <c r="A37" t="s">
        <v>3091</v>
      </c>
      <c r="B37" t="s">
        <v>3094</v>
      </c>
      <c r="C37">
        <v>75000</v>
      </c>
    </row>
    <row r="38" spans="1:3" x14ac:dyDescent="0.25">
      <c r="A38" t="s">
        <v>828</v>
      </c>
      <c r="B38" t="s">
        <v>3097</v>
      </c>
      <c r="C38">
        <v>0</v>
      </c>
    </row>
    <row r="39" spans="1:3" x14ac:dyDescent="0.25">
      <c r="A39" t="s">
        <v>3098</v>
      </c>
      <c r="B39" t="s">
        <v>3101</v>
      </c>
      <c r="C39">
        <v>33341</v>
      </c>
    </row>
    <row r="40" spans="1:3" x14ac:dyDescent="0.25">
      <c r="A40" t="s">
        <v>3103</v>
      </c>
      <c r="B40" t="s">
        <v>3106</v>
      </c>
    </row>
    <row r="41" spans="1:3" x14ac:dyDescent="0.25">
      <c r="A41" t="s">
        <v>3108</v>
      </c>
      <c r="B41" t="s">
        <v>3111</v>
      </c>
      <c r="C41">
        <v>100000</v>
      </c>
    </row>
    <row r="42" spans="1:3" x14ac:dyDescent="0.25">
      <c r="A42" t="s">
        <v>3113</v>
      </c>
      <c r="B42" t="s">
        <v>3116</v>
      </c>
      <c r="C42">
        <v>33527.19</v>
      </c>
    </row>
    <row r="43" spans="1:3" x14ac:dyDescent="0.25">
      <c r="A43" t="s">
        <v>3119</v>
      </c>
      <c r="B43" t="s">
        <v>3122</v>
      </c>
      <c r="C43">
        <v>55000</v>
      </c>
    </row>
    <row r="44" spans="1:3" x14ac:dyDescent="0.25">
      <c r="A44" t="s">
        <v>3124</v>
      </c>
      <c r="B44" t="s">
        <v>3126</v>
      </c>
      <c r="C44">
        <v>300000</v>
      </c>
    </row>
    <row r="45" spans="1:3" x14ac:dyDescent="0.25">
      <c r="A45" t="s">
        <v>3128</v>
      </c>
      <c r="B45" t="s">
        <v>3131</v>
      </c>
      <c r="C45">
        <v>0</v>
      </c>
    </row>
    <row r="46" spans="1:3" x14ac:dyDescent="0.25">
      <c r="A46" t="s">
        <v>3133</v>
      </c>
      <c r="B46" t="s">
        <v>3136</v>
      </c>
      <c r="C46">
        <v>1000</v>
      </c>
    </row>
    <row r="47" spans="1:3" x14ac:dyDescent="0.25">
      <c r="A47" t="s">
        <v>3138</v>
      </c>
      <c r="B47" t="s">
        <v>3141</v>
      </c>
      <c r="C47">
        <v>26235.96</v>
      </c>
    </row>
    <row r="48" spans="1:3" x14ac:dyDescent="0.25">
      <c r="A48" t="s">
        <v>3143</v>
      </c>
      <c r="B48" t="s">
        <v>3146</v>
      </c>
      <c r="C48">
        <v>50000</v>
      </c>
    </row>
    <row r="49" spans="1:3" x14ac:dyDescent="0.25">
      <c r="A49" t="s">
        <v>3148</v>
      </c>
      <c r="B49" t="s">
        <v>3151</v>
      </c>
      <c r="C49">
        <v>71330</v>
      </c>
    </row>
    <row r="50" spans="1:3" x14ac:dyDescent="0.25">
      <c r="A50" t="s">
        <v>3154</v>
      </c>
      <c r="B50" t="s">
        <v>3157</v>
      </c>
      <c r="C50">
        <v>420</v>
      </c>
    </row>
    <row r="51" spans="1:3" x14ac:dyDescent="0.25">
      <c r="A51" t="s">
        <v>3160</v>
      </c>
      <c r="B51" t="s">
        <v>3163</v>
      </c>
      <c r="C51">
        <v>7500</v>
      </c>
    </row>
    <row r="52" spans="1:3" x14ac:dyDescent="0.25">
      <c r="A52" t="s">
        <v>3165</v>
      </c>
      <c r="B52" t="s">
        <v>3163</v>
      </c>
      <c r="C52">
        <v>0</v>
      </c>
    </row>
    <row r="53" spans="1:3" x14ac:dyDescent="0.25">
      <c r="A53" t="s">
        <v>3169</v>
      </c>
      <c r="B53" t="s">
        <v>3172</v>
      </c>
      <c r="C53">
        <v>7500</v>
      </c>
    </row>
    <row r="54" spans="1:3" x14ac:dyDescent="0.25">
      <c r="A54" t="s">
        <v>3174</v>
      </c>
      <c r="B54" t="s">
        <v>3177</v>
      </c>
      <c r="C54">
        <v>20000</v>
      </c>
    </row>
    <row r="55" spans="1:3" x14ac:dyDescent="0.25">
      <c r="A55" t="s">
        <v>3180</v>
      </c>
      <c r="B55" t="s">
        <v>3183</v>
      </c>
      <c r="C55">
        <v>10000</v>
      </c>
    </row>
    <row r="56" spans="1:3" x14ac:dyDescent="0.25">
      <c r="A56" t="s">
        <v>3185</v>
      </c>
      <c r="B56" t="s">
        <v>3188</v>
      </c>
      <c r="C56">
        <v>50000</v>
      </c>
    </row>
    <row r="57" spans="1:3" x14ac:dyDescent="0.25">
      <c r="A57" t="s">
        <v>3191</v>
      </c>
      <c r="B57" t="s">
        <v>3194</v>
      </c>
      <c r="C57">
        <v>230</v>
      </c>
    </row>
    <row r="58" spans="1:3" x14ac:dyDescent="0.25">
      <c r="A58" t="s">
        <v>3196</v>
      </c>
      <c r="B58" t="s">
        <v>3199</v>
      </c>
      <c r="C58">
        <v>18555</v>
      </c>
    </row>
    <row r="59" spans="1:3" x14ac:dyDescent="0.25">
      <c r="A59" t="s">
        <v>3202</v>
      </c>
      <c r="B59" t="s">
        <v>3205</v>
      </c>
      <c r="C59">
        <v>170000</v>
      </c>
    </row>
    <row r="60" spans="1:3" x14ac:dyDescent="0.25">
      <c r="A60" t="s">
        <v>3208</v>
      </c>
      <c r="B60" t="s">
        <v>3211</v>
      </c>
      <c r="C60">
        <v>1500000</v>
      </c>
    </row>
    <row r="61" spans="1:3" x14ac:dyDescent="0.25">
      <c r="A61" t="s">
        <v>3213</v>
      </c>
      <c r="B61" t="s">
        <v>3215</v>
      </c>
      <c r="C61">
        <v>1000</v>
      </c>
    </row>
    <row r="62" spans="1:3" x14ac:dyDescent="0.25">
      <c r="A62" t="s">
        <v>3217</v>
      </c>
      <c r="B62" t="s">
        <v>3219</v>
      </c>
      <c r="C62">
        <v>35000</v>
      </c>
    </row>
    <row r="63" spans="1:3" x14ac:dyDescent="0.25">
      <c r="A63" t="s">
        <v>3221</v>
      </c>
      <c r="B63" t="s">
        <v>3224</v>
      </c>
      <c r="C63">
        <v>297500</v>
      </c>
    </row>
    <row r="64" spans="1:3" x14ac:dyDescent="0.25">
      <c r="A64" t="s">
        <v>3226</v>
      </c>
      <c r="B64" t="s">
        <v>3228</v>
      </c>
      <c r="C64">
        <v>35000</v>
      </c>
    </row>
    <row r="65" spans="1:3" x14ac:dyDescent="0.25">
      <c r="A65" t="s">
        <v>3230</v>
      </c>
      <c r="B65" t="s">
        <v>3232</v>
      </c>
      <c r="C65">
        <v>75000</v>
      </c>
    </row>
    <row r="66" spans="1:3" x14ac:dyDescent="0.25">
      <c r="A66" t="s">
        <v>3236</v>
      </c>
      <c r="B66" t="s">
        <v>3239</v>
      </c>
      <c r="C66">
        <v>150000</v>
      </c>
    </row>
    <row r="67" spans="1:3" x14ac:dyDescent="0.25">
      <c r="A67" t="s">
        <v>3241</v>
      </c>
      <c r="B67" t="s">
        <v>3244</v>
      </c>
      <c r="C67">
        <v>0</v>
      </c>
    </row>
    <row r="68" spans="1:3" x14ac:dyDescent="0.25">
      <c r="A68" t="s">
        <v>3246</v>
      </c>
      <c r="B68" t="s">
        <v>3249</v>
      </c>
      <c r="C68">
        <v>2105</v>
      </c>
    </row>
    <row r="69" spans="1:3" x14ac:dyDescent="0.25">
      <c r="A69" t="s">
        <v>3251</v>
      </c>
      <c r="B69" t="s">
        <v>3254</v>
      </c>
      <c r="C69">
        <v>1</v>
      </c>
    </row>
    <row r="70" spans="1:3" x14ac:dyDescent="0.25">
      <c r="A70" t="s">
        <v>3257</v>
      </c>
      <c r="B70" t="s">
        <v>3260</v>
      </c>
      <c r="C70">
        <v>40000</v>
      </c>
    </row>
    <row r="71" spans="1:3" x14ac:dyDescent="0.25">
      <c r="A71" t="s">
        <v>3263</v>
      </c>
      <c r="B71" t="s">
        <v>3266</v>
      </c>
      <c r="C71">
        <v>100000</v>
      </c>
    </row>
    <row r="72" spans="1:3" x14ac:dyDescent="0.25">
      <c r="A72" t="s">
        <v>3269</v>
      </c>
      <c r="B72" t="s">
        <v>3272</v>
      </c>
      <c r="C72">
        <v>7500</v>
      </c>
    </row>
    <row r="73" spans="1:3" x14ac:dyDescent="0.25">
      <c r="A73" t="s">
        <v>3273</v>
      </c>
      <c r="B73" t="s">
        <v>3276</v>
      </c>
      <c r="C73">
        <v>105000</v>
      </c>
    </row>
    <row r="74" spans="1:3" x14ac:dyDescent="0.25">
      <c r="A74" t="s">
        <v>3278</v>
      </c>
      <c r="B74" t="s">
        <v>3281</v>
      </c>
      <c r="C74">
        <v>35000</v>
      </c>
    </row>
    <row r="75" spans="1:3" x14ac:dyDescent="0.25">
      <c r="A75" t="s">
        <v>3283</v>
      </c>
      <c r="B75" t="s">
        <v>3285</v>
      </c>
      <c r="C75">
        <v>27800</v>
      </c>
    </row>
    <row r="76" spans="1:3" x14ac:dyDescent="0.25">
      <c r="A76" t="s">
        <v>3288</v>
      </c>
      <c r="B76" t="s">
        <v>3290</v>
      </c>
      <c r="C76">
        <v>4000</v>
      </c>
    </row>
    <row r="77" spans="1:3" x14ac:dyDescent="0.25">
      <c r="A77" t="s">
        <v>3292</v>
      </c>
      <c r="B77" t="s">
        <v>3295</v>
      </c>
      <c r="C77">
        <v>0</v>
      </c>
    </row>
    <row r="78" spans="1:3" x14ac:dyDescent="0.25">
      <c r="A78" t="s">
        <v>3297</v>
      </c>
      <c r="B78" t="s">
        <v>3300</v>
      </c>
      <c r="C78">
        <v>10467</v>
      </c>
    </row>
    <row r="79" spans="1:3" x14ac:dyDescent="0.25">
      <c r="A79" t="s">
        <v>3303</v>
      </c>
      <c r="B79" t="s">
        <v>3306</v>
      </c>
      <c r="C79">
        <v>0</v>
      </c>
    </row>
    <row r="80" spans="1:3" x14ac:dyDescent="0.25">
      <c r="A80" t="s">
        <v>3308</v>
      </c>
      <c r="B80" t="s">
        <v>3311</v>
      </c>
      <c r="C80">
        <v>225</v>
      </c>
    </row>
    <row r="81" spans="1:3" x14ac:dyDescent="0.25">
      <c r="A81" t="s">
        <v>3314</v>
      </c>
      <c r="B81" t="s">
        <v>3317</v>
      </c>
      <c r="C81">
        <v>125</v>
      </c>
    </row>
    <row r="82" spans="1:3" x14ac:dyDescent="0.25">
      <c r="A82" t="s">
        <v>3320</v>
      </c>
      <c r="B82" t="s">
        <v>3322</v>
      </c>
      <c r="C82">
        <v>35382</v>
      </c>
    </row>
    <row r="83" spans="1:3" x14ac:dyDescent="0.25">
      <c r="A83" t="s">
        <v>3324</v>
      </c>
      <c r="B83" t="s">
        <v>3327</v>
      </c>
      <c r="C83">
        <v>138</v>
      </c>
    </row>
    <row r="84" spans="1:3" x14ac:dyDescent="0.25">
      <c r="A84" t="s">
        <v>3329</v>
      </c>
      <c r="B84" t="s">
        <v>3327</v>
      </c>
      <c r="C84">
        <v>138</v>
      </c>
    </row>
    <row r="85" spans="1:3" x14ac:dyDescent="0.25">
      <c r="A85" t="s">
        <v>3333</v>
      </c>
      <c r="B85" t="s">
        <v>3336</v>
      </c>
      <c r="C85">
        <v>75000</v>
      </c>
    </row>
    <row r="86" spans="1:3" x14ac:dyDescent="0.25">
      <c r="A86" t="s">
        <v>3338</v>
      </c>
      <c r="B86" t="s">
        <v>3341</v>
      </c>
      <c r="C86">
        <v>5000</v>
      </c>
    </row>
    <row r="87" spans="1:3" x14ac:dyDescent="0.25">
      <c r="A87" t="s">
        <v>3343</v>
      </c>
      <c r="B87" t="s">
        <v>3346</v>
      </c>
      <c r="C87">
        <v>15000</v>
      </c>
    </row>
    <row r="88" spans="1:3" x14ac:dyDescent="0.25">
      <c r="A88" t="s">
        <v>3349</v>
      </c>
      <c r="B88" t="s">
        <v>3351</v>
      </c>
      <c r="C88">
        <v>36000</v>
      </c>
    </row>
    <row r="89" spans="1:3" x14ac:dyDescent="0.25">
      <c r="A89" t="s">
        <v>3353</v>
      </c>
      <c r="B89" t="s">
        <v>3356</v>
      </c>
      <c r="C89">
        <v>31000</v>
      </c>
    </row>
    <row r="90" spans="1:3" x14ac:dyDescent="0.25">
      <c r="A90" t="s">
        <v>3359</v>
      </c>
      <c r="B90" t="s">
        <v>3361</v>
      </c>
      <c r="C90">
        <v>180000</v>
      </c>
    </row>
    <row r="91" spans="1:3" x14ac:dyDescent="0.25">
      <c r="A91" t="s">
        <v>3363</v>
      </c>
      <c r="B91" t="s">
        <v>3365</v>
      </c>
      <c r="C91">
        <v>3750</v>
      </c>
    </row>
    <row r="92" spans="1:3" x14ac:dyDescent="0.25">
      <c r="A92" t="s">
        <v>3367</v>
      </c>
      <c r="B92" t="s">
        <v>3365</v>
      </c>
      <c r="C92">
        <v>3750</v>
      </c>
    </row>
    <row r="93" spans="1:3" x14ac:dyDescent="0.25">
      <c r="A93" t="s">
        <v>3369</v>
      </c>
      <c r="B93" t="s">
        <v>3371</v>
      </c>
      <c r="C93">
        <v>0</v>
      </c>
    </row>
    <row r="94" spans="1:3" x14ac:dyDescent="0.25">
      <c r="A94" t="s">
        <v>3372</v>
      </c>
      <c r="B94" t="s">
        <v>3374</v>
      </c>
      <c r="C94">
        <v>100000</v>
      </c>
    </row>
    <row r="95" spans="1:3" x14ac:dyDescent="0.25">
      <c r="A95" t="s">
        <v>3376</v>
      </c>
      <c r="B95" t="s">
        <v>3378</v>
      </c>
      <c r="C95">
        <v>140</v>
      </c>
    </row>
    <row r="96" spans="1:3" x14ac:dyDescent="0.25">
      <c r="A96" t="s">
        <v>3381</v>
      </c>
      <c r="B96" t="s">
        <v>3383</v>
      </c>
      <c r="C96">
        <v>11583</v>
      </c>
    </row>
    <row r="97" spans="1:3" x14ac:dyDescent="0.25">
      <c r="A97" t="s">
        <v>3386</v>
      </c>
      <c r="B97" t="s">
        <v>3389</v>
      </c>
      <c r="C97">
        <v>47841.84</v>
      </c>
    </row>
    <row r="98" spans="1:3" x14ac:dyDescent="0.25">
      <c r="A98" t="s">
        <v>3392</v>
      </c>
      <c r="B98" t="s">
        <v>3395</v>
      </c>
      <c r="C98">
        <v>30000</v>
      </c>
    </row>
    <row r="99" spans="1:3" x14ac:dyDescent="0.25">
      <c r="A99" t="s">
        <v>3397</v>
      </c>
      <c r="B99" t="s">
        <v>3399</v>
      </c>
      <c r="C99">
        <v>0</v>
      </c>
    </row>
    <row r="100" spans="1:3" x14ac:dyDescent="0.25">
      <c r="A100" t="s">
        <v>3401</v>
      </c>
      <c r="B100" t="s">
        <v>3404</v>
      </c>
      <c r="C100">
        <v>526.20000000000005</v>
      </c>
    </row>
    <row r="101" spans="1:3" x14ac:dyDescent="0.25">
      <c r="A101" t="s">
        <v>3407</v>
      </c>
      <c r="B101" t="s">
        <v>3410</v>
      </c>
      <c r="C101">
        <v>5320</v>
      </c>
    </row>
    <row r="102" spans="1:3" x14ac:dyDescent="0.25">
      <c r="A102" t="s">
        <v>3413</v>
      </c>
      <c r="B102" t="s">
        <v>3416</v>
      </c>
      <c r="C102">
        <v>12652</v>
      </c>
    </row>
    <row r="103" spans="1:3" x14ac:dyDescent="0.25">
      <c r="A103" t="s">
        <v>3419</v>
      </c>
      <c r="B103" t="s">
        <v>3422</v>
      </c>
      <c r="C103">
        <v>10000</v>
      </c>
    </row>
    <row r="104" spans="1:3" x14ac:dyDescent="0.25">
      <c r="A104" t="s">
        <v>3424</v>
      </c>
      <c r="B104" t="s">
        <v>3427</v>
      </c>
      <c r="C104">
        <v>828</v>
      </c>
    </row>
    <row r="105" spans="1:3" x14ac:dyDescent="0.25">
      <c r="A105" t="s">
        <v>3430</v>
      </c>
      <c r="B105" t="s">
        <v>3433</v>
      </c>
      <c r="C105">
        <v>0</v>
      </c>
    </row>
    <row r="106" spans="1:3" x14ac:dyDescent="0.25">
      <c r="A106" t="s">
        <v>3435</v>
      </c>
      <c r="B106" t="s">
        <v>3438</v>
      </c>
      <c r="C106">
        <v>10000</v>
      </c>
    </row>
    <row r="107" spans="1:3" x14ac:dyDescent="0.25">
      <c r="A107" t="s">
        <v>3441</v>
      </c>
      <c r="B107" t="s">
        <v>3444</v>
      </c>
      <c r="C107">
        <v>100000</v>
      </c>
    </row>
    <row r="108" spans="1:3" x14ac:dyDescent="0.25">
      <c r="A108" t="s">
        <v>3446</v>
      </c>
      <c r="B108" t="s">
        <v>3448</v>
      </c>
      <c r="C108">
        <v>837</v>
      </c>
    </row>
    <row r="109" spans="1:3" x14ac:dyDescent="0.25">
      <c r="A109" t="s">
        <v>3450</v>
      </c>
      <c r="B109" t="s">
        <v>3452</v>
      </c>
      <c r="C109">
        <v>30000</v>
      </c>
    </row>
    <row r="110" spans="1:3" x14ac:dyDescent="0.25">
      <c r="A110" t="s">
        <v>3454</v>
      </c>
      <c r="B110" t="s">
        <v>3457</v>
      </c>
      <c r="C110">
        <v>200000</v>
      </c>
    </row>
    <row r="111" spans="1:3" x14ac:dyDescent="0.25">
      <c r="A111" t="s">
        <v>3460</v>
      </c>
      <c r="B111" t="s">
        <v>3457</v>
      </c>
    </row>
    <row r="112" spans="1:3" x14ac:dyDescent="0.25">
      <c r="A112" t="s">
        <v>3464</v>
      </c>
      <c r="B112" t="s">
        <v>3457</v>
      </c>
    </row>
    <row r="113" spans="1:3" x14ac:dyDescent="0.25">
      <c r="A113" t="s">
        <v>3466</v>
      </c>
      <c r="B113" t="s">
        <v>3469</v>
      </c>
      <c r="C113">
        <v>150000</v>
      </c>
    </row>
    <row r="114" spans="1:3" x14ac:dyDescent="0.25">
      <c r="A114" t="s">
        <v>3472</v>
      </c>
      <c r="B114" t="s">
        <v>3475</v>
      </c>
      <c r="C114">
        <v>500</v>
      </c>
    </row>
    <row r="115" spans="1:3" x14ac:dyDescent="0.25">
      <c r="A115" t="s">
        <v>3477</v>
      </c>
      <c r="B115" t="s">
        <v>3480</v>
      </c>
      <c r="C115">
        <v>35000</v>
      </c>
    </row>
    <row r="116" spans="1:3" x14ac:dyDescent="0.25">
      <c r="A116" t="s">
        <v>3482</v>
      </c>
      <c r="B116" t="s">
        <v>3485</v>
      </c>
      <c r="C116">
        <v>35000</v>
      </c>
    </row>
    <row r="117" spans="1:3" x14ac:dyDescent="0.25">
      <c r="A117" t="s">
        <v>3487</v>
      </c>
      <c r="B117" t="s">
        <v>3490</v>
      </c>
      <c r="C117">
        <v>35000</v>
      </c>
    </row>
    <row r="118" spans="1:3" x14ac:dyDescent="0.25">
      <c r="A118" t="s">
        <v>3492</v>
      </c>
      <c r="B118" t="s">
        <v>3494</v>
      </c>
      <c r="C118">
        <v>500</v>
      </c>
    </row>
    <row r="119" spans="1:3" x14ac:dyDescent="0.25">
      <c r="A119" t="s">
        <v>3496</v>
      </c>
      <c r="B119" t="s">
        <v>3499</v>
      </c>
      <c r="C119">
        <v>2500</v>
      </c>
    </row>
    <row r="120" spans="1:3" x14ac:dyDescent="0.25">
      <c r="A120" t="s">
        <v>3501</v>
      </c>
      <c r="B120" t="s">
        <v>3504</v>
      </c>
      <c r="C120">
        <v>4000</v>
      </c>
    </row>
    <row r="121" spans="1:3" x14ac:dyDescent="0.25">
      <c r="A121" t="s">
        <v>3505</v>
      </c>
      <c r="B121" t="s">
        <v>3508</v>
      </c>
      <c r="C121">
        <v>51000</v>
      </c>
    </row>
    <row r="122" spans="1:3" x14ac:dyDescent="0.25">
      <c r="A122" t="s">
        <v>3509</v>
      </c>
      <c r="B122" t="s">
        <v>3508</v>
      </c>
      <c r="C122">
        <v>49500</v>
      </c>
    </row>
    <row r="123" spans="1:3" x14ac:dyDescent="0.25">
      <c r="A123" t="s">
        <v>3511</v>
      </c>
      <c r="B123" t="s">
        <v>3508</v>
      </c>
      <c r="C123">
        <v>49500</v>
      </c>
    </row>
    <row r="124" spans="1:3" x14ac:dyDescent="0.25">
      <c r="A124" t="s">
        <v>3513</v>
      </c>
      <c r="B124" t="s">
        <v>3516</v>
      </c>
      <c r="C124">
        <v>2500</v>
      </c>
    </row>
    <row r="125" spans="1:3" x14ac:dyDescent="0.25">
      <c r="A125" t="s">
        <v>3518</v>
      </c>
      <c r="B125" t="s">
        <v>3521</v>
      </c>
      <c r="C125">
        <v>206745</v>
      </c>
    </row>
    <row r="126" spans="1:3" x14ac:dyDescent="0.25">
      <c r="A126" t="s">
        <v>3524</v>
      </c>
      <c r="B126" t="s">
        <v>3527</v>
      </c>
      <c r="C126">
        <v>150000</v>
      </c>
    </row>
    <row r="127" spans="1:3" x14ac:dyDescent="0.25">
      <c r="A127" t="s">
        <v>3530</v>
      </c>
      <c r="B127" t="s">
        <v>3532</v>
      </c>
      <c r="C127">
        <v>20000</v>
      </c>
    </row>
    <row r="128" spans="1:3" x14ac:dyDescent="0.25">
      <c r="A128" t="s">
        <v>3534</v>
      </c>
      <c r="B128" t="s">
        <v>3532</v>
      </c>
      <c r="C128">
        <v>0</v>
      </c>
    </row>
    <row r="129" spans="1:3" x14ac:dyDescent="0.25">
      <c r="A129" t="s">
        <v>3536</v>
      </c>
      <c r="B129" t="s">
        <v>3538</v>
      </c>
      <c r="C129">
        <v>12000</v>
      </c>
    </row>
    <row r="130" spans="1:3" x14ac:dyDescent="0.25">
      <c r="A130" t="s">
        <v>3543</v>
      </c>
      <c r="B130" t="s">
        <v>3546</v>
      </c>
      <c r="C130">
        <v>7730</v>
      </c>
    </row>
    <row r="131" spans="1:3" x14ac:dyDescent="0.25">
      <c r="A131" t="s">
        <v>3548</v>
      </c>
      <c r="B131" t="s">
        <v>3551</v>
      </c>
      <c r="C131">
        <v>2500</v>
      </c>
    </row>
    <row r="132" spans="1:3" x14ac:dyDescent="0.25">
      <c r="A132" t="s">
        <v>3553</v>
      </c>
      <c r="B132" t="s">
        <v>3551</v>
      </c>
      <c r="C132">
        <v>4000</v>
      </c>
    </row>
    <row r="133" spans="1:3" x14ac:dyDescent="0.25">
      <c r="A133" t="s">
        <v>3560</v>
      </c>
      <c r="B133" t="s">
        <v>3563</v>
      </c>
      <c r="C133">
        <v>14168</v>
      </c>
    </row>
    <row r="134" spans="1:3" x14ac:dyDescent="0.25">
      <c r="A134" t="s">
        <v>3566</v>
      </c>
      <c r="B134" t="s">
        <v>3569</v>
      </c>
      <c r="C134">
        <v>292727</v>
      </c>
    </row>
    <row r="135" spans="1:3" x14ac:dyDescent="0.25">
      <c r="A135" t="s">
        <v>3571</v>
      </c>
      <c r="B135" t="s">
        <v>3574</v>
      </c>
      <c r="C135">
        <v>282200</v>
      </c>
    </row>
    <row r="136" spans="1:3" x14ac:dyDescent="0.25">
      <c r="A136" t="s">
        <v>3576</v>
      </c>
      <c r="B136" t="s">
        <v>3579</v>
      </c>
      <c r="C136">
        <v>25000</v>
      </c>
    </row>
    <row r="137" spans="1:3" x14ac:dyDescent="0.25">
      <c r="A137" t="s">
        <v>3581</v>
      </c>
      <c r="B137" t="s">
        <v>3584</v>
      </c>
      <c r="C137">
        <v>25000</v>
      </c>
    </row>
    <row r="138" spans="1:3" x14ac:dyDescent="0.25">
      <c r="A138" t="s">
        <v>3586</v>
      </c>
      <c r="B138" t="s">
        <v>3589</v>
      </c>
      <c r="C138">
        <v>25000</v>
      </c>
    </row>
    <row r="139" spans="1:3" x14ac:dyDescent="0.25">
      <c r="A139" t="s">
        <v>3591</v>
      </c>
      <c r="B139" t="s">
        <v>3594</v>
      </c>
      <c r="C139">
        <v>25000</v>
      </c>
    </row>
    <row r="140" spans="1:3" x14ac:dyDescent="0.25">
      <c r="A140" t="s">
        <v>3596</v>
      </c>
      <c r="B140" t="s">
        <v>3599</v>
      </c>
      <c r="C140">
        <v>15440</v>
      </c>
    </row>
    <row r="141" spans="1:3" x14ac:dyDescent="0.25">
      <c r="A141" t="s">
        <v>3601</v>
      </c>
      <c r="B141" t="s">
        <v>3604</v>
      </c>
      <c r="C141">
        <v>4000</v>
      </c>
    </row>
    <row r="142" spans="1:3" x14ac:dyDescent="0.25">
      <c r="A142" t="s">
        <v>3606</v>
      </c>
      <c r="B142" t="s">
        <v>3609</v>
      </c>
      <c r="C142">
        <v>35000</v>
      </c>
    </row>
    <row r="143" spans="1:3" x14ac:dyDescent="0.25">
      <c r="A143" t="s">
        <v>3611</v>
      </c>
      <c r="B143" t="s">
        <v>3614</v>
      </c>
      <c r="C143">
        <v>3000</v>
      </c>
    </row>
    <row r="144" spans="1:3" x14ac:dyDescent="0.25">
      <c r="A144" t="s">
        <v>3616</v>
      </c>
      <c r="B144" t="s">
        <v>3619</v>
      </c>
      <c r="C144">
        <v>3000</v>
      </c>
    </row>
    <row r="145" spans="1:3" x14ac:dyDescent="0.25">
      <c r="A145" t="s">
        <v>3621</v>
      </c>
      <c r="B145" t="s">
        <v>3624</v>
      </c>
      <c r="C145">
        <v>3500</v>
      </c>
    </row>
    <row r="146" spans="1:3" x14ac:dyDescent="0.25">
      <c r="A146" t="s">
        <v>3626</v>
      </c>
      <c r="B146" t="s">
        <v>3629</v>
      </c>
      <c r="C146">
        <v>50000</v>
      </c>
    </row>
    <row r="147" spans="1:3" x14ac:dyDescent="0.25">
      <c r="A147" t="s">
        <v>3631</v>
      </c>
      <c r="B147" t="s">
        <v>3634</v>
      </c>
      <c r="C147">
        <v>50000</v>
      </c>
    </row>
    <row r="148" spans="1:3" x14ac:dyDescent="0.25">
      <c r="A148" t="s">
        <v>3637</v>
      </c>
      <c r="B148" t="s">
        <v>3640</v>
      </c>
      <c r="C148">
        <v>54225</v>
      </c>
    </row>
    <row r="149" spans="1:3" x14ac:dyDescent="0.25">
      <c r="A149" t="s">
        <v>3643</v>
      </c>
      <c r="B149" t="s">
        <v>3646</v>
      </c>
      <c r="C149">
        <v>680</v>
      </c>
    </row>
    <row r="150" spans="1:3" x14ac:dyDescent="0.25">
      <c r="A150" t="s">
        <v>3649</v>
      </c>
      <c r="B150" t="s">
        <v>3652</v>
      </c>
      <c r="C150">
        <v>250000</v>
      </c>
    </row>
    <row r="151" spans="1:3" x14ac:dyDescent="0.25">
      <c r="A151" t="s">
        <v>3654</v>
      </c>
      <c r="B151" t="s">
        <v>3657</v>
      </c>
      <c r="C151">
        <v>15000</v>
      </c>
    </row>
    <row r="152" spans="1:3" x14ac:dyDescent="0.25">
      <c r="A152" t="s">
        <v>3659</v>
      </c>
      <c r="B152" t="s">
        <v>3662</v>
      </c>
      <c r="C152">
        <v>7500</v>
      </c>
    </row>
    <row r="153" spans="1:3" x14ac:dyDescent="0.25">
      <c r="A153" t="s">
        <v>3663</v>
      </c>
      <c r="B153" t="s">
        <v>3666</v>
      </c>
    </row>
    <row r="154" spans="1:3" x14ac:dyDescent="0.25">
      <c r="A154" t="s">
        <v>3668</v>
      </c>
      <c r="B154" t="s">
        <v>3671</v>
      </c>
      <c r="C154">
        <v>50000</v>
      </c>
    </row>
    <row r="155" spans="1:3" x14ac:dyDescent="0.25">
      <c r="A155" t="s">
        <v>3673</v>
      </c>
      <c r="B155" t="s">
        <v>3676</v>
      </c>
      <c r="C155">
        <v>50000</v>
      </c>
    </row>
    <row r="156" spans="1:3" x14ac:dyDescent="0.25">
      <c r="A156" t="s">
        <v>3679</v>
      </c>
      <c r="B156" t="s">
        <v>3682</v>
      </c>
      <c r="C156">
        <v>35000</v>
      </c>
    </row>
    <row r="157" spans="1:3" x14ac:dyDescent="0.25">
      <c r="A157" t="s">
        <v>3684</v>
      </c>
      <c r="B157" t="s">
        <v>3687</v>
      </c>
      <c r="C157">
        <v>0</v>
      </c>
    </row>
    <row r="158" spans="1:3" x14ac:dyDescent="0.25">
      <c r="A158" t="s">
        <v>3690</v>
      </c>
      <c r="B158" t="s">
        <v>3693</v>
      </c>
    </row>
    <row r="159" spans="1:3" x14ac:dyDescent="0.25">
      <c r="A159" t="s">
        <v>3694</v>
      </c>
      <c r="B159" t="s">
        <v>3697</v>
      </c>
      <c r="C159">
        <v>35000</v>
      </c>
    </row>
    <row r="160" spans="1:3" x14ac:dyDescent="0.25">
      <c r="A160" t="s">
        <v>3699</v>
      </c>
      <c r="B160" t="s">
        <v>3702</v>
      </c>
      <c r="C160">
        <v>40000</v>
      </c>
    </row>
    <row r="161" spans="1:3" x14ac:dyDescent="0.25">
      <c r="A161" t="s">
        <v>3705</v>
      </c>
      <c r="B161" t="s">
        <v>3708</v>
      </c>
      <c r="C161">
        <v>24494.38</v>
      </c>
    </row>
    <row r="162" spans="1:3" x14ac:dyDescent="0.25">
      <c r="A162" t="s">
        <v>3710</v>
      </c>
      <c r="B162" t="s">
        <v>3713</v>
      </c>
      <c r="C162">
        <v>78565</v>
      </c>
    </row>
    <row r="163" spans="1:3" x14ac:dyDescent="0.25">
      <c r="A163" t="s">
        <v>3715</v>
      </c>
      <c r="B163" t="s">
        <v>3717</v>
      </c>
      <c r="C163">
        <v>567982.84</v>
      </c>
    </row>
    <row r="164" spans="1:3" x14ac:dyDescent="0.25">
      <c r="A164" t="s">
        <v>3721</v>
      </c>
      <c r="B164" t="s">
        <v>3724</v>
      </c>
      <c r="C164">
        <v>20367.03</v>
      </c>
    </row>
    <row r="165" spans="1:3" x14ac:dyDescent="0.25">
      <c r="A165" t="s">
        <v>3727</v>
      </c>
      <c r="B165" t="s">
        <v>3730</v>
      </c>
      <c r="C165">
        <v>40000</v>
      </c>
    </row>
    <row r="166" spans="1:3" x14ac:dyDescent="0.25">
      <c r="A166" t="s">
        <v>3732</v>
      </c>
      <c r="B166" t="s">
        <v>3735</v>
      </c>
      <c r="C166">
        <v>6000</v>
      </c>
    </row>
    <row r="167" spans="1:3" x14ac:dyDescent="0.25">
      <c r="A167" t="s">
        <v>3738</v>
      </c>
      <c r="B167" t="s">
        <v>3741</v>
      </c>
      <c r="C167">
        <v>50000</v>
      </c>
    </row>
    <row r="168" spans="1:3" x14ac:dyDescent="0.25">
      <c r="A168" t="s">
        <v>3743</v>
      </c>
      <c r="B168" t="s">
        <v>3746</v>
      </c>
      <c r="C168">
        <v>65000</v>
      </c>
    </row>
    <row r="169" spans="1:3" x14ac:dyDescent="0.25">
      <c r="A169" t="s">
        <v>3748</v>
      </c>
      <c r="B169" t="s">
        <v>3751</v>
      </c>
      <c r="C169">
        <v>5000</v>
      </c>
    </row>
    <row r="170" spans="1:3" x14ac:dyDescent="0.25">
      <c r="A170" t="s">
        <v>3753</v>
      </c>
      <c r="B170" t="s">
        <v>3756</v>
      </c>
      <c r="C170">
        <v>34540</v>
      </c>
    </row>
    <row r="171" spans="1:3" x14ac:dyDescent="0.25">
      <c r="A171" t="s">
        <v>3759</v>
      </c>
      <c r="B171" t="s">
        <v>3762</v>
      </c>
      <c r="C171">
        <v>75000</v>
      </c>
    </row>
    <row r="172" spans="1:3" x14ac:dyDescent="0.25">
      <c r="A172" t="s">
        <v>3764</v>
      </c>
      <c r="B172" t="s">
        <v>3762</v>
      </c>
      <c r="C172">
        <v>75000</v>
      </c>
    </row>
    <row r="173" spans="1:3" x14ac:dyDescent="0.25">
      <c r="A173" t="s">
        <v>3768</v>
      </c>
      <c r="B173" t="s">
        <v>3762</v>
      </c>
      <c r="C173">
        <v>75000</v>
      </c>
    </row>
    <row r="174" spans="1:3" x14ac:dyDescent="0.25">
      <c r="A174" t="s">
        <v>3772</v>
      </c>
      <c r="B174" t="s">
        <v>3775</v>
      </c>
      <c r="C174">
        <v>0</v>
      </c>
    </row>
    <row r="175" spans="1:3" x14ac:dyDescent="0.25">
      <c r="A175" t="s">
        <v>3777</v>
      </c>
      <c r="B175" t="s">
        <v>3780</v>
      </c>
      <c r="C175">
        <v>2500</v>
      </c>
    </row>
    <row r="176" spans="1:3" x14ac:dyDescent="0.25">
      <c r="A176" t="s">
        <v>3782</v>
      </c>
      <c r="B176" t="s">
        <v>3785</v>
      </c>
    </row>
    <row r="177" spans="1:3" x14ac:dyDescent="0.25">
      <c r="A177" t="s">
        <v>3788</v>
      </c>
      <c r="B177" t="s">
        <v>3791</v>
      </c>
      <c r="C177">
        <v>1000</v>
      </c>
    </row>
    <row r="178" spans="1:3" x14ac:dyDescent="0.25">
      <c r="A178" t="s">
        <v>3793</v>
      </c>
      <c r="B178" t="s">
        <v>3796</v>
      </c>
      <c r="C178">
        <v>120000</v>
      </c>
    </row>
    <row r="179" spans="1:3" x14ac:dyDescent="0.25">
      <c r="A179" t="s">
        <v>3798</v>
      </c>
      <c r="B179" t="s">
        <v>3801</v>
      </c>
      <c r="C179">
        <v>45000</v>
      </c>
    </row>
    <row r="180" spans="1:3" x14ac:dyDescent="0.25">
      <c r="A180" t="s">
        <v>3013</v>
      </c>
      <c r="B180" t="s">
        <v>3805</v>
      </c>
      <c r="C180">
        <v>0</v>
      </c>
    </row>
    <row r="181" spans="1:3" x14ac:dyDescent="0.25">
      <c r="A181" t="s">
        <v>3015</v>
      </c>
      <c r="B181" t="s">
        <v>3807</v>
      </c>
      <c r="C181">
        <v>0</v>
      </c>
    </row>
    <row r="182" spans="1:3" x14ac:dyDescent="0.25">
      <c r="A182" t="s">
        <v>3017</v>
      </c>
      <c r="B182" t="s">
        <v>3809</v>
      </c>
      <c r="C182">
        <v>0</v>
      </c>
    </row>
    <row r="183" spans="1:3" x14ac:dyDescent="0.25">
      <c r="A183" t="s">
        <v>3810</v>
      </c>
      <c r="B183" t="s">
        <v>3813</v>
      </c>
      <c r="C183">
        <v>0</v>
      </c>
    </row>
    <row r="184" spans="1:3" x14ac:dyDescent="0.25">
      <c r="A184" t="s">
        <v>3815</v>
      </c>
      <c r="B184" t="s">
        <v>3818</v>
      </c>
      <c r="C184">
        <v>43542</v>
      </c>
    </row>
    <row r="185" spans="1:3" x14ac:dyDescent="0.25">
      <c r="A185" t="s">
        <v>821</v>
      </c>
      <c r="B185" t="s">
        <v>3822</v>
      </c>
      <c r="C185">
        <v>10000</v>
      </c>
    </row>
    <row r="186" spans="1:3" x14ac:dyDescent="0.25">
      <c r="A186" t="s">
        <v>3824</v>
      </c>
      <c r="B186" t="s">
        <v>3827</v>
      </c>
      <c r="C186">
        <v>10000</v>
      </c>
    </row>
    <row r="187" spans="1:3" x14ac:dyDescent="0.25">
      <c r="A187" t="s">
        <v>3829</v>
      </c>
      <c r="B187" t="s">
        <v>3832</v>
      </c>
      <c r="C187">
        <v>0</v>
      </c>
    </row>
    <row r="188" spans="1:3" x14ac:dyDescent="0.25">
      <c r="A188" t="s">
        <v>234</v>
      </c>
      <c r="B188" t="s">
        <v>3835</v>
      </c>
      <c r="C188">
        <v>0</v>
      </c>
    </row>
    <row r="189" spans="1:3" x14ac:dyDescent="0.25">
      <c r="A189" t="s">
        <v>236</v>
      </c>
      <c r="B189" t="s">
        <v>3837</v>
      </c>
    </row>
    <row r="190" spans="1:3" x14ac:dyDescent="0.25">
      <c r="A190" t="s">
        <v>3839</v>
      </c>
      <c r="B190" t="s">
        <v>3842</v>
      </c>
      <c r="C190">
        <v>150000</v>
      </c>
    </row>
    <row r="191" spans="1:3" x14ac:dyDescent="0.25">
      <c r="A191" t="s">
        <v>3844</v>
      </c>
      <c r="B191" t="s">
        <v>3846</v>
      </c>
      <c r="C191">
        <v>14245</v>
      </c>
    </row>
    <row r="192" spans="1:3" x14ac:dyDescent="0.25">
      <c r="A192" t="s">
        <v>3849</v>
      </c>
      <c r="B192" t="s">
        <v>3851</v>
      </c>
      <c r="C192">
        <v>80000</v>
      </c>
    </row>
    <row r="193" spans="1:3" x14ac:dyDescent="0.25">
      <c r="A193" t="s">
        <v>3854</v>
      </c>
      <c r="B193" t="s">
        <v>3857</v>
      </c>
      <c r="C193">
        <v>50000</v>
      </c>
    </row>
    <row r="194" spans="1:3" x14ac:dyDescent="0.25">
      <c r="A194" t="s">
        <v>3859</v>
      </c>
      <c r="B194" t="s">
        <v>3861</v>
      </c>
      <c r="C194">
        <v>2000</v>
      </c>
    </row>
    <row r="195" spans="1:3" x14ac:dyDescent="0.25">
      <c r="A195" t="s">
        <v>3863</v>
      </c>
      <c r="B195" t="s">
        <v>3866</v>
      </c>
      <c r="C195">
        <v>35000</v>
      </c>
    </row>
    <row r="196" spans="1:3" x14ac:dyDescent="0.25">
      <c r="A196" t="s">
        <v>3868</v>
      </c>
      <c r="B196" t="s">
        <v>3871</v>
      </c>
      <c r="C196">
        <v>35000</v>
      </c>
    </row>
    <row r="197" spans="1:3" x14ac:dyDescent="0.25">
      <c r="A197" t="s">
        <v>3873</v>
      </c>
      <c r="B197" t="s">
        <v>3876</v>
      </c>
      <c r="C197">
        <v>27200</v>
      </c>
    </row>
    <row r="198" spans="1:3" x14ac:dyDescent="0.25">
      <c r="A198" t="s">
        <v>3878</v>
      </c>
      <c r="B198" t="s">
        <v>3881</v>
      </c>
      <c r="C198">
        <v>2500</v>
      </c>
    </row>
    <row r="199" spans="1:3" x14ac:dyDescent="0.25">
      <c r="A199" t="s">
        <v>3883</v>
      </c>
      <c r="B199" t="s">
        <v>3886</v>
      </c>
      <c r="C199">
        <v>2500</v>
      </c>
    </row>
    <row r="200" spans="1:3" x14ac:dyDescent="0.25">
      <c r="A200" t="s">
        <v>3888</v>
      </c>
      <c r="B200" t="s">
        <v>3891</v>
      </c>
      <c r="C200">
        <v>4000</v>
      </c>
    </row>
    <row r="201" spans="1:3" x14ac:dyDescent="0.25">
      <c r="A201" t="s">
        <v>3892</v>
      </c>
      <c r="B201" t="s">
        <v>3895</v>
      </c>
      <c r="C201">
        <v>193</v>
      </c>
    </row>
    <row r="202" spans="1:3" x14ac:dyDescent="0.25">
      <c r="A202" t="s">
        <v>3897</v>
      </c>
      <c r="B202" t="s">
        <v>3900</v>
      </c>
      <c r="C202">
        <v>150000</v>
      </c>
    </row>
    <row r="203" spans="1:3" x14ac:dyDescent="0.25">
      <c r="A203" t="s">
        <v>3902</v>
      </c>
      <c r="B203" t="s">
        <v>3905</v>
      </c>
      <c r="C203">
        <v>63701</v>
      </c>
    </row>
    <row r="204" spans="1:3" x14ac:dyDescent="0.25">
      <c r="A204" t="s">
        <v>3907</v>
      </c>
      <c r="B204" t="s">
        <v>3910</v>
      </c>
      <c r="C204">
        <v>110000</v>
      </c>
    </row>
    <row r="205" spans="1:3" x14ac:dyDescent="0.25">
      <c r="A205" t="s">
        <v>3912</v>
      </c>
      <c r="B205" t="s">
        <v>3915</v>
      </c>
      <c r="C205">
        <v>40000</v>
      </c>
    </row>
    <row r="206" spans="1:3" x14ac:dyDescent="0.25">
      <c r="A206" t="s">
        <v>3917</v>
      </c>
      <c r="B206" t="s">
        <v>3920</v>
      </c>
      <c r="C206">
        <v>0</v>
      </c>
    </row>
    <row r="207" spans="1:3" x14ac:dyDescent="0.25">
      <c r="A207" t="s">
        <v>3921</v>
      </c>
      <c r="B207" t="s">
        <v>3923</v>
      </c>
      <c r="C207">
        <v>61000</v>
      </c>
    </row>
    <row r="208" spans="1:3" x14ac:dyDescent="0.25">
      <c r="A208" t="s">
        <v>3925</v>
      </c>
      <c r="B208" t="s">
        <v>3928</v>
      </c>
      <c r="C208">
        <v>25000</v>
      </c>
    </row>
    <row r="209" spans="1:3" x14ac:dyDescent="0.25">
      <c r="A209" t="s">
        <v>3930</v>
      </c>
      <c r="B209" t="s">
        <v>3094</v>
      </c>
      <c r="C209">
        <v>75000</v>
      </c>
    </row>
    <row r="210" spans="1:3" x14ac:dyDescent="0.25">
      <c r="A210" t="s">
        <v>3934</v>
      </c>
      <c r="B210" t="s">
        <v>3937</v>
      </c>
      <c r="C210">
        <v>25000</v>
      </c>
    </row>
    <row r="211" spans="1:3" x14ac:dyDescent="0.25">
      <c r="A211" t="s">
        <v>3939</v>
      </c>
      <c r="B211" t="s">
        <v>3942</v>
      </c>
      <c r="C211">
        <v>13541</v>
      </c>
    </row>
    <row r="212" spans="1:3" x14ac:dyDescent="0.25">
      <c r="A212" t="s">
        <v>3944</v>
      </c>
      <c r="B212" t="s">
        <v>3947</v>
      </c>
      <c r="C212">
        <v>35000</v>
      </c>
    </row>
    <row r="213" spans="1:3" x14ac:dyDescent="0.25">
      <c r="A213" t="s">
        <v>3951</v>
      </c>
      <c r="B213" t="s">
        <v>3094</v>
      </c>
      <c r="C213">
        <v>75000</v>
      </c>
    </row>
    <row r="214" spans="1:3" x14ac:dyDescent="0.25">
      <c r="A214" t="s">
        <v>3955</v>
      </c>
      <c r="B214" t="s">
        <v>3958</v>
      </c>
      <c r="C214">
        <v>20000</v>
      </c>
    </row>
    <row r="215" spans="1:3" x14ac:dyDescent="0.25">
      <c r="A215" t="s">
        <v>3960</v>
      </c>
      <c r="B215" t="s">
        <v>3963</v>
      </c>
      <c r="C215">
        <v>33358</v>
      </c>
    </row>
    <row r="216" spans="1:3" x14ac:dyDescent="0.25">
      <c r="A216" t="s">
        <v>3965</v>
      </c>
      <c r="B216" t="s">
        <v>3968</v>
      </c>
      <c r="C216">
        <v>1500</v>
      </c>
    </row>
    <row r="217" spans="1:3" x14ac:dyDescent="0.25">
      <c r="A217" t="s">
        <v>3970</v>
      </c>
      <c r="B217" t="s">
        <v>3973</v>
      </c>
      <c r="C217">
        <v>200000</v>
      </c>
    </row>
    <row r="218" spans="1:3" x14ac:dyDescent="0.25">
      <c r="A218" t="s">
        <v>716</v>
      </c>
      <c r="B218" t="s">
        <v>3976</v>
      </c>
      <c r="C218">
        <v>0</v>
      </c>
    </row>
    <row r="219" spans="1:3" x14ac:dyDescent="0.25">
      <c r="A219" t="s">
        <v>3977</v>
      </c>
      <c r="B219" t="s">
        <v>3980</v>
      </c>
    </row>
    <row r="220" spans="1:3" x14ac:dyDescent="0.25">
      <c r="A220" t="s">
        <v>3982</v>
      </c>
      <c r="B220" t="s">
        <v>3985</v>
      </c>
      <c r="C220">
        <v>0</v>
      </c>
    </row>
    <row r="221" spans="1:3" x14ac:dyDescent="0.25">
      <c r="A221" t="s">
        <v>3987</v>
      </c>
      <c r="B221" t="s">
        <v>3990</v>
      </c>
      <c r="C221">
        <v>2500</v>
      </c>
    </row>
    <row r="222" spans="1:3" x14ac:dyDescent="0.25">
      <c r="A222" t="s">
        <v>3996</v>
      </c>
      <c r="B222" t="s">
        <v>3994</v>
      </c>
      <c r="C222">
        <v>25000</v>
      </c>
    </row>
    <row r="223" spans="1:3" x14ac:dyDescent="0.25">
      <c r="A223" t="s">
        <v>3998</v>
      </c>
      <c r="B223" t="s">
        <v>4000</v>
      </c>
      <c r="C223">
        <v>100000</v>
      </c>
    </row>
    <row r="224" spans="1:3" x14ac:dyDescent="0.25">
      <c r="A224" t="s">
        <v>4002</v>
      </c>
      <c r="B224" t="s">
        <v>4005</v>
      </c>
      <c r="C224">
        <v>256476</v>
      </c>
    </row>
    <row r="225" spans="1:3" x14ac:dyDescent="0.25">
      <c r="A225" t="s">
        <v>4007</v>
      </c>
      <c r="B225" t="s">
        <v>4010</v>
      </c>
      <c r="C225">
        <v>20625</v>
      </c>
    </row>
    <row r="226" spans="1:3" x14ac:dyDescent="0.25">
      <c r="A226" t="s">
        <v>4012</v>
      </c>
      <c r="B226" t="s">
        <v>4015</v>
      </c>
      <c r="C226">
        <v>50000</v>
      </c>
    </row>
    <row r="227" spans="1:3" x14ac:dyDescent="0.25">
      <c r="A227" t="s">
        <v>4017</v>
      </c>
      <c r="B227" t="s">
        <v>4020</v>
      </c>
      <c r="C227">
        <v>1227</v>
      </c>
    </row>
    <row r="228" spans="1:3" x14ac:dyDescent="0.25">
      <c r="A228" t="s">
        <v>4022</v>
      </c>
      <c r="B228" t="s">
        <v>4025</v>
      </c>
      <c r="C228">
        <v>1500</v>
      </c>
    </row>
    <row r="229" spans="1:3" x14ac:dyDescent="0.25">
      <c r="A229" t="s">
        <v>238</v>
      </c>
      <c r="B229" t="s">
        <v>4028</v>
      </c>
      <c r="C229">
        <v>0</v>
      </c>
    </row>
    <row r="230" spans="1:3" x14ac:dyDescent="0.25">
      <c r="A230" t="s">
        <v>4029</v>
      </c>
      <c r="B230" t="s">
        <v>4032</v>
      </c>
      <c r="C230">
        <v>1000</v>
      </c>
    </row>
    <row r="231" spans="1:3" x14ac:dyDescent="0.25">
      <c r="A231" t="s">
        <v>4034</v>
      </c>
      <c r="B231" t="s">
        <v>4037</v>
      </c>
      <c r="C231">
        <v>2500</v>
      </c>
    </row>
    <row r="232" spans="1:3" x14ac:dyDescent="0.25">
      <c r="A232" t="s">
        <v>4038</v>
      </c>
      <c r="B232" t="s">
        <v>4041</v>
      </c>
      <c r="C232">
        <v>1000</v>
      </c>
    </row>
    <row r="233" spans="1:3" x14ac:dyDescent="0.25">
      <c r="A233" t="s">
        <v>4043</v>
      </c>
      <c r="B233" t="s">
        <v>4046</v>
      </c>
      <c r="C233">
        <v>50000</v>
      </c>
    </row>
    <row r="234" spans="1:3" x14ac:dyDescent="0.25">
      <c r="A234" t="s">
        <v>4047</v>
      </c>
      <c r="B234" t="s">
        <v>4050</v>
      </c>
      <c r="C234">
        <v>10000</v>
      </c>
    </row>
    <row r="235" spans="1:3" x14ac:dyDescent="0.25">
      <c r="A235" t="s">
        <v>4051</v>
      </c>
      <c r="B235" t="s">
        <v>4054</v>
      </c>
      <c r="C235">
        <v>0</v>
      </c>
    </row>
    <row r="236" spans="1:3" x14ac:dyDescent="0.25">
      <c r="A236" t="s">
        <v>4056</v>
      </c>
      <c r="B236" t="s">
        <v>4058</v>
      </c>
      <c r="C236">
        <v>300000</v>
      </c>
    </row>
    <row r="237" spans="1:3" x14ac:dyDescent="0.25">
      <c r="A237" t="s">
        <v>4060</v>
      </c>
      <c r="B237" t="s">
        <v>4063</v>
      </c>
      <c r="C237">
        <v>100000</v>
      </c>
    </row>
    <row r="238" spans="1:3" x14ac:dyDescent="0.25">
      <c r="A238" t="s">
        <v>4065</v>
      </c>
      <c r="B238" t="s">
        <v>4068</v>
      </c>
      <c r="C238">
        <v>7000</v>
      </c>
    </row>
    <row r="239" spans="1:3" x14ac:dyDescent="0.25">
      <c r="A239" t="s">
        <v>4070</v>
      </c>
      <c r="B239" t="s">
        <v>4073</v>
      </c>
      <c r="C239">
        <v>26235.96</v>
      </c>
    </row>
    <row r="240" spans="1:3" x14ac:dyDescent="0.25">
      <c r="A240" t="s">
        <v>4075</v>
      </c>
      <c r="B240" t="s">
        <v>4077</v>
      </c>
      <c r="C240">
        <v>2000</v>
      </c>
    </row>
    <row r="241" spans="1:3" x14ac:dyDescent="0.25">
      <c r="A241" t="s">
        <v>4079</v>
      </c>
      <c r="B241" t="s">
        <v>4081</v>
      </c>
      <c r="C241">
        <v>27226</v>
      </c>
    </row>
    <row r="242" spans="1:3" x14ac:dyDescent="0.25">
      <c r="A242" t="s">
        <v>4083</v>
      </c>
      <c r="B242" t="s">
        <v>4086</v>
      </c>
      <c r="C242">
        <v>34000</v>
      </c>
    </row>
    <row r="243" spans="1:3" x14ac:dyDescent="0.25">
      <c r="A243" t="s">
        <v>4088</v>
      </c>
      <c r="B243" t="s">
        <v>4091</v>
      </c>
      <c r="C243">
        <v>1000</v>
      </c>
    </row>
    <row r="244" spans="1:3" x14ac:dyDescent="0.25">
      <c r="A244" t="s">
        <v>4093</v>
      </c>
      <c r="B244" t="s">
        <v>4096</v>
      </c>
      <c r="C244">
        <v>0</v>
      </c>
    </row>
    <row r="245" spans="1:3" x14ac:dyDescent="0.25">
      <c r="A245" t="s">
        <v>4097</v>
      </c>
      <c r="B245" t="s">
        <v>4099</v>
      </c>
      <c r="C245">
        <v>40000</v>
      </c>
    </row>
    <row r="246" spans="1:3" x14ac:dyDescent="0.25">
      <c r="A246" t="s">
        <v>4101</v>
      </c>
      <c r="B246" t="s">
        <v>4104</v>
      </c>
      <c r="C246">
        <v>10000</v>
      </c>
    </row>
    <row r="247" spans="1:3" x14ac:dyDescent="0.25">
      <c r="A247" t="s">
        <v>4107</v>
      </c>
      <c r="B247" t="s">
        <v>4110</v>
      </c>
      <c r="C247">
        <v>5594</v>
      </c>
    </row>
    <row r="248" spans="1:3" x14ac:dyDescent="0.25">
      <c r="A248" t="s">
        <v>4113</v>
      </c>
      <c r="B248" t="s">
        <v>4116</v>
      </c>
      <c r="C248">
        <v>1000</v>
      </c>
    </row>
    <row r="249" spans="1:3" x14ac:dyDescent="0.25">
      <c r="A249" t="s">
        <v>4118</v>
      </c>
      <c r="B249" t="s">
        <v>4121</v>
      </c>
      <c r="C249">
        <v>65000</v>
      </c>
    </row>
    <row r="250" spans="1:3" x14ac:dyDescent="0.25">
      <c r="A250" t="s">
        <v>4123</v>
      </c>
      <c r="B250" t="s">
        <v>4126</v>
      </c>
      <c r="C250">
        <v>15000</v>
      </c>
    </row>
    <row r="251" spans="1:3" x14ac:dyDescent="0.25">
      <c r="A251" t="s">
        <v>4128</v>
      </c>
      <c r="B251" t="s">
        <v>4131</v>
      </c>
      <c r="C251">
        <v>20000</v>
      </c>
    </row>
    <row r="252" spans="1:3" x14ac:dyDescent="0.25">
      <c r="A252" t="s">
        <v>4133</v>
      </c>
      <c r="B252" t="s">
        <v>4136</v>
      </c>
      <c r="C252">
        <v>100000</v>
      </c>
    </row>
    <row r="253" spans="1:3" x14ac:dyDescent="0.25">
      <c r="A253" t="s">
        <v>4141</v>
      </c>
      <c r="B253" t="s">
        <v>4144</v>
      </c>
      <c r="C253">
        <v>383</v>
      </c>
    </row>
    <row r="254" spans="1:3" x14ac:dyDescent="0.25">
      <c r="A254" t="s">
        <v>4147</v>
      </c>
      <c r="B254" t="s">
        <v>4150</v>
      </c>
      <c r="C254">
        <v>33771.300000000003</v>
      </c>
    </row>
    <row r="255" spans="1:3" x14ac:dyDescent="0.25">
      <c r="A255" t="s">
        <v>4157</v>
      </c>
      <c r="B255" t="s">
        <v>4160</v>
      </c>
      <c r="C255">
        <v>4000</v>
      </c>
    </row>
    <row r="256" spans="1:3" x14ac:dyDescent="0.25">
      <c r="A256" t="s">
        <v>4162</v>
      </c>
      <c r="B256" t="s">
        <v>4165</v>
      </c>
      <c r="C256">
        <v>28000</v>
      </c>
    </row>
    <row r="257" spans="1:3" x14ac:dyDescent="0.25">
      <c r="A257" t="s">
        <v>4167</v>
      </c>
      <c r="B257" t="s">
        <v>4170</v>
      </c>
      <c r="C257">
        <v>30000</v>
      </c>
    </row>
    <row r="258" spans="1:3" x14ac:dyDescent="0.25">
      <c r="A258" t="s">
        <v>4173</v>
      </c>
      <c r="B258" t="s">
        <v>4176</v>
      </c>
      <c r="C258">
        <v>7500</v>
      </c>
    </row>
    <row r="259" spans="1:3" x14ac:dyDescent="0.25">
      <c r="A259" t="s">
        <v>4178</v>
      </c>
      <c r="B259" t="s">
        <v>4180</v>
      </c>
      <c r="C259">
        <v>150000</v>
      </c>
    </row>
    <row r="260" spans="1:3" x14ac:dyDescent="0.25">
      <c r="A260" t="s">
        <v>4182</v>
      </c>
      <c r="B260" t="s">
        <v>4185</v>
      </c>
      <c r="C260">
        <v>30000</v>
      </c>
    </row>
    <row r="261" spans="1:3" x14ac:dyDescent="0.25">
      <c r="A261" t="s">
        <v>4187</v>
      </c>
      <c r="B261" t="s">
        <v>4190</v>
      </c>
      <c r="C261">
        <v>28000</v>
      </c>
    </row>
    <row r="262" spans="1:3" x14ac:dyDescent="0.25">
      <c r="A262" t="s">
        <v>4192</v>
      </c>
      <c r="B262" t="s">
        <v>4195</v>
      </c>
      <c r="C262">
        <v>60000</v>
      </c>
    </row>
    <row r="263" spans="1:3" x14ac:dyDescent="0.25">
      <c r="A263" t="s">
        <v>4197</v>
      </c>
      <c r="B263" t="s">
        <v>4200</v>
      </c>
      <c r="C263">
        <v>765000</v>
      </c>
    </row>
    <row r="264" spans="1:3" x14ac:dyDescent="0.25">
      <c r="A264" t="s">
        <v>4202</v>
      </c>
      <c r="B264" t="s">
        <v>4204</v>
      </c>
      <c r="C264">
        <v>600000</v>
      </c>
    </row>
    <row r="265" spans="1:3" x14ac:dyDescent="0.25">
      <c r="A265" t="s">
        <v>4205</v>
      </c>
      <c r="B265" t="s">
        <v>4208</v>
      </c>
      <c r="C265">
        <v>600000</v>
      </c>
    </row>
    <row r="266" spans="1:3" x14ac:dyDescent="0.25">
      <c r="A266" t="s">
        <v>4210</v>
      </c>
      <c r="B266" t="s">
        <v>4213</v>
      </c>
      <c r="C266">
        <v>431</v>
      </c>
    </row>
    <row r="267" spans="1:3" x14ac:dyDescent="0.25">
      <c r="A267" t="s">
        <v>4216</v>
      </c>
      <c r="B267" t="s">
        <v>4219</v>
      </c>
    </row>
    <row r="268" spans="1:3" x14ac:dyDescent="0.25">
      <c r="A268" t="s">
        <v>4221</v>
      </c>
      <c r="B268" t="s">
        <v>4224</v>
      </c>
      <c r="C268">
        <v>45000</v>
      </c>
    </row>
    <row r="269" spans="1:3" x14ac:dyDescent="0.25">
      <c r="A269" t="s">
        <v>4226</v>
      </c>
      <c r="B269" t="s">
        <v>4229</v>
      </c>
      <c r="C269">
        <v>35000</v>
      </c>
    </row>
    <row r="270" spans="1:3" x14ac:dyDescent="0.25">
      <c r="A270" t="s">
        <v>4231</v>
      </c>
      <c r="B270" t="s">
        <v>4234</v>
      </c>
      <c r="C270">
        <v>100000</v>
      </c>
    </row>
    <row r="271" spans="1:3" x14ac:dyDescent="0.25">
      <c r="A271" t="s">
        <v>1333</v>
      </c>
      <c r="B271" t="s">
        <v>4236</v>
      </c>
    </row>
    <row r="272" spans="1:3" x14ac:dyDescent="0.25">
      <c r="A272" t="s">
        <v>1284</v>
      </c>
      <c r="B272" t="s">
        <v>4240</v>
      </c>
      <c r="C272">
        <v>0</v>
      </c>
    </row>
    <row r="273" spans="1:3" x14ac:dyDescent="0.25">
      <c r="A273" t="s">
        <v>1310</v>
      </c>
      <c r="B273" t="s">
        <v>4242</v>
      </c>
      <c r="C273">
        <v>35000</v>
      </c>
    </row>
    <row r="274" spans="1:3" x14ac:dyDescent="0.25">
      <c r="A274" t="s">
        <v>4243</v>
      </c>
      <c r="B274" t="s">
        <v>4246</v>
      </c>
      <c r="C274">
        <v>15000</v>
      </c>
    </row>
    <row r="275" spans="1:3" x14ac:dyDescent="0.25">
      <c r="A275" t="s">
        <v>4249</v>
      </c>
      <c r="B275" t="s">
        <v>4252</v>
      </c>
      <c r="C275">
        <v>106788.32</v>
      </c>
    </row>
    <row r="276" spans="1:3" x14ac:dyDescent="0.25">
      <c r="A276" t="s">
        <v>4254</v>
      </c>
      <c r="B276" t="s">
        <v>4257</v>
      </c>
      <c r="C276">
        <v>25000</v>
      </c>
    </row>
    <row r="277" spans="1:3" x14ac:dyDescent="0.25">
      <c r="A277" t="s">
        <v>4260</v>
      </c>
      <c r="B277" t="s">
        <v>4263</v>
      </c>
      <c r="C277">
        <v>100000</v>
      </c>
    </row>
    <row r="278" spans="1:3" x14ac:dyDescent="0.25">
      <c r="A278" t="s">
        <v>4264</v>
      </c>
      <c r="B278" t="s">
        <v>4267</v>
      </c>
      <c r="C278">
        <v>200000</v>
      </c>
    </row>
    <row r="279" spans="1:3" x14ac:dyDescent="0.25">
      <c r="A279" t="s">
        <v>4269</v>
      </c>
      <c r="B279" t="s">
        <v>4272</v>
      </c>
      <c r="C279">
        <v>254925</v>
      </c>
    </row>
    <row r="280" spans="1:3" x14ac:dyDescent="0.25">
      <c r="A280" t="s">
        <v>4275</v>
      </c>
      <c r="B280" t="s">
        <v>4278</v>
      </c>
      <c r="C280">
        <v>285985</v>
      </c>
    </row>
    <row r="281" spans="1:3" x14ac:dyDescent="0.25">
      <c r="A281" t="s">
        <v>4281</v>
      </c>
      <c r="B281" t="s">
        <v>4284</v>
      </c>
      <c r="C281">
        <v>200000</v>
      </c>
    </row>
    <row r="282" spans="1:3" x14ac:dyDescent="0.25">
      <c r="A282" t="s">
        <v>4286</v>
      </c>
      <c r="B282" t="s">
        <v>4289</v>
      </c>
      <c r="C282">
        <v>20000</v>
      </c>
    </row>
    <row r="283" spans="1:3" x14ac:dyDescent="0.25">
      <c r="A283" t="s">
        <v>4292</v>
      </c>
      <c r="B283" t="s">
        <v>4295</v>
      </c>
      <c r="C283">
        <v>2500</v>
      </c>
    </row>
    <row r="284" spans="1:3" x14ac:dyDescent="0.25">
      <c r="A284" t="s">
        <v>4298</v>
      </c>
      <c r="B284" t="s">
        <v>4301</v>
      </c>
      <c r="C284">
        <v>7500</v>
      </c>
    </row>
    <row r="285" spans="1:3" x14ac:dyDescent="0.25">
      <c r="A285" t="s">
        <v>4304</v>
      </c>
      <c r="B285" t="s">
        <v>4307</v>
      </c>
    </row>
    <row r="286" spans="1:3" x14ac:dyDescent="0.25">
      <c r="A286" t="s">
        <v>4309</v>
      </c>
      <c r="B286" t="s">
        <v>4311</v>
      </c>
      <c r="C286">
        <v>0</v>
      </c>
    </row>
    <row r="287" spans="1:3" x14ac:dyDescent="0.25">
      <c r="A287" t="s">
        <v>4313</v>
      </c>
      <c r="B287" t="s">
        <v>4315</v>
      </c>
      <c r="C287">
        <v>47841.84</v>
      </c>
    </row>
    <row r="288" spans="1:3" x14ac:dyDescent="0.25">
      <c r="A288" t="s">
        <v>4317</v>
      </c>
      <c r="B288" t="s">
        <v>4319</v>
      </c>
      <c r="C288">
        <v>3333</v>
      </c>
    </row>
    <row r="289" spans="1:3" x14ac:dyDescent="0.25">
      <c r="A289" t="s">
        <v>4322</v>
      </c>
      <c r="B289" t="s">
        <v>4324</v>
      </c>
      <c r="C289">
        <v>300000</v>
      </c>
    </row>
    <row r="290" spans="1:3" x14ac:dyDescent="0.25">
      <c r="A290" t="s">
        <v>4325</v>
      </c>
      <c r="B290" t="s">
        <v>4328</v>
      </c>
      <c r="C290">
        <v>15000</v>
      </c>
    </row>
    <row r="291" spans="1:3" x14ac:dyDescent="0.25">
      <c r="A291" t="s">
        <v>4330</v>
      </c>
      <c r="B291" t="s">
        <v>4333</v>
      </c>
      <c r="C291">
        <v>85000</v>
      </c>
    </row>
    <row r="292" spans="1:3" x14ac:dyDescent="0.25">
      <c r="A292" t="s">
        <v>4335</v>
      </c>
      <c r="B292" t="s">
        <v>4338</v>
      </c>
      <c r="C292">
        <v>35000</v>
      </c>
    </row>
    <row r="293" spans="1:3" x14ac:dyDescent="0.25">
      <c r="A293" t="s">
        <v>4340</v>
      </c>
      <c r="B293" t="s">
        <v>4343</v>
      </c>
      <c r="C293">
        <v>35000</v>
      </c>
    </row>
    <row r="294" spans="1:3" x14ac:dyDescent="0.25">
      <c r="A294" t="s">
        <v>4345</v>
      </c>
      <c r="B294" t="s">
        <v>4348</v>
      </c>
      <c r="C294">
        <v>40403</v>
      </c>
    </row>
    <row r="295" spans="1:3" x14ac:dyDescent="0.25">
      <c r="A295" t="s">
        <v>4351</v>
      </c>
      <c r="B295" t="s">
        <v>4354</v>
      </c>
      <c r="C295">
        <v>5000</v>
      </c>
    </row>
    <row r="296" spans="1:3" x14ac:dyDescent="0.25">
      <c r="A296" t="s">
        <v>4356</v>
      </c>
      <c r="B296" t="s">
        <v>4359</v>
      </c>
      <c r="C296">
        <v>42027</v>
      </c>
    </row>
    <row r="297" spans="1:3" x14ac:dyDescent="0.25">
      <c r="A297" t="s">
        <v>4362</v>
      </c>
      <c r="B297" t="s">
        <v>4365</v>
      </c>
      <c r="C297">
        <v>75000</v>
      </c>
    </row>
    <row r="298" spans="1:3" x14ac:dyDescent="0.25">
      <c r="A298" t="s">
        <v>4368</v>
      </c>
      <c r="B298" t="s">
        <v>4371</v>
      </c>
      <c r="C298">
        <v>2500</v>
      </c>
    </row>
    <row r="299" spans="1:3" x14ac:dyDescent="0.25">
      <c r="A299" t="s">
        <v>4373</v>
      </c>
      <c r="B299" t="s">
        <v>4375</v>
      </c>
      <c r="C299">
        <v>8000</v>
      </c>
    </row>
    <row r="300" spans="1:3" x14ac:dyDescent="0.25">
      <c r="A300" t="s">
        <v>4377</v>
      </c>
      <c r="B300" t="s">
        <v>4380</v>
      </c>
      <c r="C300">
        <v>0</v>
      </c>
    </row>
    <row r="301" spans="1:3" x14ac:dyDescent="0.25">
      <c r="A301" t="s">
        <v>4381</v>
      </c>
      <c r="B301" t="s">
        <v>4384</v>
      </c>
      <c r="C301">
        <v>2500</v>
      </c>
    </row>
    <row r="302" spans="1:3" x14ac:dyDescent="0.25">
      <c r="A302" t="s">
        <v>4386</v>
      </c>
      <c r="B302" t="s">
        <v>4389</v>
      </c>
      <c r="C302">
        <v>2500</v>
      </c>
    </row>
    <row r="303" spans="1:3" x14ac:dyDescent="0.25">
      <c r="A303" t="s">
        <v>4390</v>
      </c>
      <c r="B303" t="s">
        <v>4393</v>
      </c>
      <c r="C303">
        <v>1719.16</v>
      </c>
    </row>
    <row r="304" spans="1:3" x14ac:dyDescent="0.25">
      <c r="A304" t="s">
        <v>4396</v>
      </c>
      <c r="B304" t="s">
        <v>4399</v>
      </c>
      <c r="C304">
        <v>200000</v>
      </c>
    </row>
    <row r="305" spans="1:3" x14ac:dyDescent="0.25">
      <c r="A305" t="s">
        <v>786</v>
      </c>
      <c r="B305" t="s">
        <v>4403</v>
      </c>
      <c r="C305">
        <v>7500</v>
      </c>
    </row>
    <row r="306" spans="1:3" x14ac:dyDescent="0.25">
      <c r="A306" t="s">
        <v>788</v>
      </c>
      <c r="B306" t="s">
        <v>4405</v>
      </c>
    </row>
    <row r="307" spans="1:3" x14ac:dyDescent="0.25">
      <c r="A307" t="s">
        <v>4407</v>
      </c>
      <c r="B307" t="s">
        <v>4409</v>
      </c>
      <c r="C307">
        <v>50000</v>
      </c>
    </row>
    <row r="308" spans="1:3" x14ac:dyDescent="0.25">
      <c r="A308" t="s">
        <v>4411</v>
      </c>
      <c r="B308" t="s">
        <v>4414</v>
      </c>
      <c r="C308">
        <v>0</v>
      </c>
    </row>
    <row r="309" spans="1:3" x14ac:dyDescent="0.25">
      <c r="A309" t="s">
        <v>4415</v>
      </c>
      <c r="B309" t="s">
        <v>4418</v>
      </c>
      <c r="C309">
        <v>150000</v>
      </c>
    </row>
    <row r="310" spans="1:3" x14ac:dyDescent="0.25">
      <c r="A310" t="s">
        <v>4421</v>
      </c>
      <c r="B310" t="s">
        <v>4424</v>
      </c>
      <c r="C310">
        <v>1500</v>
      </c>
    </row>
    <row r="311" spans="1:3" x14ac:dyDescent="0.25">
      <c r="A311" t="s">
        <v>4426</v>
      </c>
      <c r="B311" t="s">
        <v>4424</v>
      </c>
      <c r="C311">
        <v>1500</v>
      </c>
    </row>
    <row r="312" spans="1:3" x14ac:dyDescent="0.25">
      <c r="A312" t="s">
        <v>4430</v>
      </c>
      <c r="B312" t="s">
        <v>4424</v>
      </c>
      <c r="C312">
        <v>1500</v>
      </c>
    </row>
    <row r="313" spans="1:3" x14ac:dyDescent="0.25">
      <c r="A313" t="s">
        <v>4433</v>
      </c>
      <c r="B313" t="s">
        <v>4424</v>
      </c>
      <c r="C313">
        <v>1500</v>
      </c>
    </row>
    <row r="314" spans="1:3" x14ac:dyDescent="0.25">
      <c r="A314" t="s">
        <v>4437</v>
      </c>
      <c r="B314" t="s">
        <v>4424</v>
      </c>
      <c r="C314">
        <v>1500</v>
      </c>
    </row>
    <row r="315" spans="1:3" x14ac:dyDescent="0.25">
      <c r="A315" t="s">
        <v>4440</v>
      </c>
      <c r="B315" t="s">
        <v>4424</v>
      </c>
      <c r="C315">
        <v>1500</v>
      </c>
    </row>
    <row r="316" spans="1:3" x14ac:dyDescent="0.25">
      <c r="A316" t="s">
        <v>4444</v>
      </c>
      <c r="B316" t="s">
        <v>4447</v>
      </c>
      <c r="C316">
        <v>7500</v>
      </c>
    </row>
    <row r="317" spans="1:3" x14ac:dyDescent="0.25">
      <c r="A317" t="s">
        <v>4449</v>
      </c>
      <c r="B317" t="s">
        <v>4452</v>
      </c>
      <c r="C317">
        <v>100000</v>
      </c>
    </row>
    <row r="318" spans="1:3" x14ac:dyDescent="0.25">
      <c r="A318" t="s">
        <v>4454</v>
      </c>
      <c r="B318" t="s">
        <v>4457</v>
      </c>
      <c r="C318">
        <v>2500</v>
      </c>
    </row>
    <row r="319" spans="1:3" x14ac:dyDescent="0.25">
      <c r="A319" t="s">
        <v>4458</v>
      </c>
      <c r="B319" t="s">
        <v>4461</v>
      </c>
      <c r="C319">
        <v>120000</v>
      </c>
    </row>
    <row r="320" spans="1:3" x14ac:dyDescent="0.25">
      <c r="A320" t="s">
        <v>4462</v>
      </c>
      <c r="B320" t="s">
        <v>4465</v>
      </c>
      <c r="C320">
        <v>40000</v>
      </c>
    </row>
    <row r="321" spans="1:3" x14ac:dyDescent="0.25">
      <c r="A321" t="s">
        <v>4468</v>
      </c>
      <c r="B321" t="s">
        <v>4471</v>
      </c>
      <c r="C321">
        <v>28809</v>
      </c>
    </row>
    <row r="322" spans="1:3" x14ac:dyDescent="0.25">
      <c r="A322" t="s">
        <v>4474</v>
      </c>
      <c r="B322" t="s">
        <v>4477</v>
      </c>
      <c r="C322">
        <v>20000</v>
      </c>
    </row>
    <row r="323" spans="1:3" x14ac:dyDescent="0.25">
      <c r="A323" t="s">
        <v>4479</v>
      </c>
      <c r="B323" t="s">
        <v>4482</v>
      </c>
      <c r="C323">
        <v>111732</v>
      </c>
    </row>
    <row r="324" spans="1:3" x14ac:dyDescent="0.25">
      <c r="A324" t="s">
        <v>4484</v>
      </c>
      <c r="B324" t="s">
        <v>4487</v>
      </c>
      <c r="C324">
        <v>7500</v>
      </c>
    </row>
    <row r="325" spans="1:3" x14ac:dyDescent="0.25">
      <c r="A325" t="s">
        <v>4490</v>
      </c>
      <c r="B325" t="s">
        <v>4493</v>
      </c>
      <c r="C325">
        <v>120000</v>
      </c>
    </row>
    <row r="326" spans="1:3" x14ac:dyDescent="0.25">
      <c r="A326" t="s">
        <v>4495</v>
      </c>
      <c r="B326" t="s">
        <v>4498</v>
      </c>
      <c r="C326">
        <v>0</v>
      </c>
    </row>
    <row r="327" spans="1:3" x14ac:dyDescent="0.25">
      <c r="A327" t="s">
        <v>4500</v>
      </c>
      <c r="B327" t="s">
        <v>4503</v>
      </c>
      <c r="C327">
        <v>300000</v>
      </c>
    </row>
    <row r="328" spans="1:3" x14ac:dyDescent="0.25">
      <c r="A328" t="s">
        <v>4505</v>
      </c>
      <c r="B328" t="s">
        <v>4508</v>
      </c>
      <c r="C328">
        <v>11948.74</v>
      </c>
    </row>
    <row r="329" spans="1:3" x14ac:dyDescent="0.25">
      <c r="A329" t="s">
        <v>4511</v>
      </c>
      <c r="B329" t="s">
        <v>4514</v>
      </c>
      <c r="C329">
        <v>3454.34</v>
      </c>
    </row>
    <row r="330" spans="1:3" x14ac:dyDescent="0.25">
      <c r="A330" t="s">
        <v>4517</v>
      </c>
      <c r="B330" t="s">
        <v>4514</v>
      </c>
      <c r="C330">
        <v>16968.3</v>
      </c>
    </row>
    <row r="331" spans="1:3" x14ac:dyDescent="0.25">
      <c r="A331" t="s">
        <v>4521</v>
      </c>
      <c r="B331" t="s">
        <v>4524</v>
      </c>
      <c r="C331">
        <v>0</v>
      </c>
    </row>
    <row r="332" spans="1:3" x14ac:dyDescent="0.25">
      <c r="A332" t="s">
        <v>4525</v>
      </c>
      <c r="B332" t="s">
        <v>4528</v>
      </c>
      <c r="C332">
        <v>0</v>
      </c>
    </row>
    <row r="333" spans="1:3" x14ac:dyDescent="0.25">
      <c r="A333" t="s">
        <v>4529</v>
      </c>
      <c r="B333" t="s">
        <v>4532</v>
      </c>
      <c r="C333">
        <v>0</v>
      </c>
    </row>
    <row r="334" spans="1:3" x14ac:dyDescent="0.25">
      <c r="A334" t="s">
        <v>4533</v>
      </c>
      <c r="B334" t="s">
        <v>4535</v>
      </c>
      <c r="C334">
        <v>36000</v>
      </c>
    </row>
    <row r="335" spans="1:3" x14ac:dyDescent="0.25">
      <c r="A335" t="s">
        <v>4537</v>
      </c>
      <c r="B335" t="s">
        <v>4540</v>
      </c>
      <c r="C335">
        <v>35000</v>
      </c>
    </row>
    <row r="336" spans="1:3" x14ac:dyDescent="0.25">
      <c r="A336" t="s">
        <v>4542</v>
      </c>
      <c r="B336" t="s">
        <v>4545</v>
      </c>
      <c r="C336">
        <v>0</v>
      </c>
    </row>
    <row r="337" spans="1:3" x14ac:dyDescent="0.25">
      <c r="A337" t="s">
        <v>4546</v>
      </c>
      <c r="B337" t="s">
        <v>4549</v>
      </c>
      <c r="C337">
        <v>50000</v>
      </c>
    </row>
    <row r="338" spans="1:3" x14ac:dyDescent="0.25">
      <c r="A338" t="s">
        <v>4551</v>
      </c>
      <c r="B338" t="s">
        <v>4554</v>
      </c>
      <c r="C338">
        <v>7500</v>
      </c>
    </row>
    <row r="339" spans="1:3" x14ac:dyDescent="0.25">
      <c r="A339" t="s">
        <v>4556</v>
      </c>
      <c r="B339" t="s">
        <v>4559</v>
      </c>
      <c r="C339">
        <v>0</v>
      </c>
    </row>
    <row r="340" spans="1:3" x14ac:dyDescent="0.25">
      <c r="A340" t="s">
        <v>4561</v>
      </c>
      <c r="B340" t="s">
        <v>4564</v>
      </c>
      <c r="C340">
        <v>35000</v>
      </c>
    </row>
    <row r="341" spans="1:3" x14ac:dyDescent="0.25">
      <c r="A341" t="s">
        <v>4566</v>
      </c>
      <c r="B341" t="s">
        <v>4569</v>
      </c>
      <c r="C341">
        <v>0</v>
      </c>
    </row>
    <row r="342" spans="1:3" x14ac:dyDescent="0.25">
      <c r="A342" t="s">
        <v>4570</v>
      </c>
      <c r="B342" t="s">
        <v>4573</v>
      </c>
      <c r="C342">
        <v>0</v>
      </c>
    </row>
    <row r="343" spans="1:3" x14ac:dyDescent="0.25">
      <c r="A343" t="s">
        <v>4575</v>
      </c>
      <c r="B343" t="s">
        <v>4578</v>
      </c>
      <c r="C343">
        <v>15000</v>
      </c>
    </row>
    <row r="344" spans="1:3" x14ac:dyDescent="0.25">
      <c r="A344" t="s">
        <v>720</v>
      </c>
      <c r="B344" t="s">
        <v>4580</v>
      </c>
      <c r="C344">
        <v>0</v>
      </c>
    </row>
    <row r="345" spans="1:3" x14ac:dyDescent="0.25">
      <c r="A345" t="s">
        <v>240</v>
      </c>
      <c r="B345" t="s">
        <v>4582</v>
      </c>
      <c r="C345">
        <v>0</v>
      </c>
    </row>
    <row r="346" spans="1:3" x14ac:dyDescent="0.25">
      <c r="A346" t="s">
        <v>4584</v>
      </c>
      <c r="B346" t="s">
        <v>3528</v>
      </c>
      <c r="C346">
        <v>75000</v>
      </c>
    </row>
    <row r="347" spans="1:3" x14ac:dyDescent="0.25">
      <c r="A347" t="s">
        <v>4588</v>
      </c>
      <c r="B347" t="s">
        <v>4591</v>
      </c>
      <c r="C347">
        <v>1580</v>
      </c>
    </row>
    <row r="348" spans="1:3" x14ac:dyDescent="0.25">
      <c r="A348" t="s">
        <v>4594</v>
      </c>
      <c r="B348" t="s">
        <v>4597</v>
      </c>
      <c r="C348">
        <v>50000</v>
      </c>
    </row>
    <row r="349" spans="1:3" x14ac:dyDescent="0.25">
      <c r="A349" t="s">
        <v>4599</v>
      </c>
      <c r="B349" t="s">
        <v>3371</v>
      </c>
      <c r="C349">
        <v>458</v>
      </c>
    </row>
    <row r="350" spans="1:3" x14ac:dyDescent="0.25">
      <c r="A350" t="s">
        <v>4603</v>
      </c>
      <c r="B350" t="s">
        <v>4606</v>
      </c>
    </row>
    <row r="351" spans="1:3" x14ac:dyDescent="0.25">
      <c r="A351" t="s">
        <v>4608</v>
      </c>
      <c r="B351" t="s">
        <v>4611</v>
      </c>
      <c r="C351">
        <v>6000</v>
      </c>
    </row>
    <row r="352" spans="1:3" x14ac:dyDescent="0.25">
      <c r="A352" t="s">
        <v>4613</v>
      </c>
      <c r="B352" t="s">
        <v>4616</v>
      </c>
      <c r="C352">
        <v>300000</v>
      </c>
    </row>
    <row r="353" spans="1:3" x14ac:dyDescent="0.25">
      <c r="A353" t="s">
        <v>4618</v>
      </c>
      <c r="B353" t="s">
        <v>4621</v>
      </c>
    </row>
    <row r="354" spans="1:3" x14ac:dyDescent="0.25">
      <c r="A354" t="s">
        <v>4622</v>
      </c>
      <c r="B354" t="s">
        <v>4625</v>
      </c>
      <c r="C354">
        <v>4430</v>
      </c>
    </row>
    <row r="355" spans="1:3" x14ac:dyDescent="0.25">
      <c r="A355" t="s">
        <v>4628</v>
      </c>
      <c r="B355" t="s">
        <v>4631</v>
      </c>
      <c r="C355">
        <v>9130</v>
      </c>
    </row>
    <row r="356" spans="1:3" x14ac:dyDescent="0.25">
      <c r="A356" t="s">
        <v>4633</v>
      </c>
      <c r="B356" t="s">
        <v>4636</v>
      </c>
      <c r="C356">
        <v>2220</v>
      </c>
    </row>
    <row r="357" spans="1:3" x14ac:dyDescent="0.25">
      <c r="A357" t="s">
        <v>4637</v>
      </c>
      <c r="B357" t="s">
        <v>4640</v>
      </c>
      <c r="C357">
        <v>2000</v>
      </c>
    </row>
    <row r="358" spans="1:3" x14ac:dyDescent="0.25">
      <c r="A358" t="s">
        <v>4643</v>
      </c>
      <c r="B358" t="s">
        <v>4646</v>
      </c>
    </row>
    <row r="359" spans="1:3" x14ac:dyDescent="0.25">
      <c r="A359" t="s">
        <v>4649</v>
      </c>
      <c r="B359" t="s">
        <v>4651</v>
      </c>
      <c r="C359">
        <v>2000</v>
      </c>
    </row>
    <row r="360" spans="1:3" x14ac:dyDescent="0.25">
      <c r="A360" t="s">
        <v>4653</v>
      </c>
      <c r="B360" t="s">
        <v>4656</v>
      </c>
      <c r="C360">
        <v>71011</v>
      </c>
    </row>
    <row r="361" spans="1:3" x14ac:dyDescent="0.25">
      <c r="A361" t="s">
        <v>4658</v>
      </c>
      <c r="B361" t="s">
        <v>4661</v>
      </c>
      <c r="C361">
        <v>0</v>
      </c>
    </row>
    <row r="362" spans="1:3" x14ac:dyDescent="0.25">
      <c r="A362" t="s">
        <v>4662</v>
      </c>
      <c r="B362" t="s">
        <v>4665</v>
      </c>
      <c r="C362">
        <v>200000</v>
      </c>
    </row>
    <row r="363" spans="1:3" x14ac:dyDescent="0.25">
      <c r="A363" t="s">
        <v>4667</v>
      </c>
      <c r="B363" t="s">
        <v>4670</v>
      </c>
      <c r="C363">
        <v>75000</v>
      </c>
    </row>
    <row r="364" spans="1:3" x14ac:dyDescent="0.25">
      <c r="A364" t="s">
        <v>4672</v>
      </c>
      <c r="B364" t="s">
        <v>4675</v>
      </c>
      <c r="C364">
        <v>465500</v>
      </c>
    </row>
    <row r="365" spans="1:3" x14ac:dyDescent="0.25">
      <c r="A365" t="s">
        <v>4677</v>
      </c>
      <c r="B365" t="s">
        <v>4679</v>
      </c>
      <c r="C365">
        <v>25000</v>
      </c>
    </row>
    <row r="366" spans="1:3" x14ac:dyDescent="0.25">
      <c r="A366" t="s">
        <v>4680</v>
      </c>
      <c r="B366" t="s">
        <v>4683</v>
      </c>
      <c r="C366">
        <v>20000</v>
      </c>
    </row>
    <row r="367" spans="1:3" x14ac:dyDescent="0.25">
      <c r="A367" t="s">
        <v>4685</v>
      </c>
      <c r="B367" t="s">
        <v>4688</v>
      </c>
      <c r="C367">
        <v>5000</v>
      </c>
    </row>
    <row r="368" spans="1:3" x14ac:dyDescent="0.25">
      <c r="A368" t="s">
        <v>4691</v>
      </c>
      <c r="B368" t="s">
        <v>4694</v>
      </c>
      <c r="C368">
        <v>1000</v>
      </c>
    </row>
    <row r="369" spans="1:3" x14ac:dyDescent="0.25">
      <c r="A369" t="s">
        <v>4695</v>
      </c>
      <c r="B369" t="s">
        <v>4698</v>
      </c>
      <c r="C369">
        <v>5000</v>
      </c>
    </row>
    <row r="370" spans="1:3" x14ac:dyDescent="0.25">
      <c r="A370" t="s">
        <v>4699</v>
      </c>
      <c r="B370" t="s">
        <v>4702</v>
      </c>
      <c r="C370">
        <v>7500</v>
      </c>
    </row>
    <row r="371" spans="1:3" x14ac:dyDescent="0.25">
      <c r="A371" t="s">
        <v>3019</v>
      </c>
      <c r="B371" t="s">
        <v>4706</v>
      </c>
      <c r="C371">
        <v>431250</v>
      </c>
    </row>
    <row r="372" spans="1:3" x14ac:dyDescent="0.25">
      <c r="A372" t="s">
        <v>3021</v>
      </c>
      <c r="B372" t="s">
        <v>4708</v>
      </c>
      <c r="C372">
        <v>0</v>
      </c>
    </row>
    <row r="373" spans="1:3" x14ac:dyDescent="0.25">
      <c r="A373" t="s">
        <v>4709</v>
      </c>
      <c r="B373" t="s">
        <v>4712</v>
      </c>
      <c r="C373">
        <v>76000</v>
      </c>
    </row>
    <row r="374" spans="1:3" x14ac:dyDescent="0.25">
      <c r="A374" t="s">
        <v>4714</v>
      </c>
      <c r="B374" t="s">
        <v>4717</v>
      </c>
    </row>
    <row r="375" spans="1:3" x14ac:dyDescent="0.25">
      <c r="A375" t="s">
        <v>4719</v>
      </c>
      <c r="B375" t="s">
        <v>4722</v>
      </c>
      <c r="C375">
        <v>5000</v>
      </c>
    </row>
    <row r="376" spans="1:3" x14ac:dyDescent="0.25">
      <c r="A376" t="s">
        <v>4723</v>
      </c>
      <c r="B376" t="s">
        <v>4726</v>
      </c>
    </row>
    <row r="377" spans="1:3" x14ac:dyDescent="0.25">
      <c r="A377" t="s">
        <v>4728</v>
      </c>
      <c r="B377" t="s">
        <v>4731</v>
      </c>
      <c r="C377">
        <v>38453</v>
      </c>
    </row>
    <row r="378" spans="1:3" x14ac:dyDescent="0.25">
      <c r="A378" t="s">
        <v>4734</v>
      </c>
      <c r="B378" t="s">
        <v>4737</v>
      </c>
      <c r="C378">
        <v>32860</v>
      </c>
    </row>
    <row r="379" spans="1:3" x14ac:dyDescent="0.25">
      <c r="A379" t="s">
        <v>4739</v>
      </c>
      <c r="B379" t="s">
        <v>4742</v>
      </c>
      <c r="C379">
        <v>42620</v>
      </c>
    </row>
    <row r="380" spans="1:3" x14ac:dyDescent="0.25">
      <c r="A380" t="s">
        <v>4745</v>
      </c>
      <c r="B380" t="s">
        <v>4748</v>
      </c>
      <c r="C380">
        <v>90000</v>
      </c>
    </row>
    <row r="381" spans="1:3" x14ac:dyDescent="0.25">
      <c r="A381" t="s">
        <v>4750</v>
      </c>
      <c r="B381" t="s">
        <v>4753</v>
      </c>
      <c r="C381">
        <v>40000</v>
      </c>
    </row>
    <row r="382" spans="1:3" x14ac:dyDescent="0.25">
      <c r="A382" t="s">
        <v>4755</v>
      </c>
      <c r="B382" t="s">
        <v>4758</v>
      </c>
      <c r="C382">
        <v>135000</v>
      </c>
    </row>
    <row r="383" spans="1:3" x14ac:dyDescent="0.25">
      <c r="A383" t="s">
        <v>4761</v>
      </c>
      <c r="B383" t="s">
        <v>4764</v>
      </c>
      <c r="C383">
        <v>510000</v>
      </c>
    </row>
    <row r="384" spans="1:3" x14ac:dyDescent="0.25">
      <c r="A384" t="s">
        <v>4767</v>
      </c>
      <c r="B384" t="s">
        <v>4770</v>
      </c>
      <c r="C384">
        <v>353122</v>
      </c>
    </row>
    <row r="385" spans="1:3" x14ac:dyDescent="0.25">
      <c r="A385" t="s">
        <v>4772</v>
      </c>
      <c r="B385" t="s">
        <v>4774</v>
      </c>
      <c r="C385">
        <v>0</v>
      </c>
    </row>
    <row r="386" spans="1:3" x14ac:dyDescent="0.25">
      <c r="A386" t="s">
        <v>4776</v>
      </c>
      <c r="B386" t="s">
        <v>4778</v>
      </c>
      <c r="C386">
        <v>300000</v>
      </c>
    </row>
    <row r="387" spans="1:3" x14ac:dyDescent="0.25">
      <c r="A387" t="s">
        <v>4781</v>
      </c>
      <c r="B387" t="s">
        <v>4784</v>
      </c>
      <c r="C387">
        <v>0</v>
      </c>
    </row>
    <row r="388" spans="1:3" x14ac:dyDescent="0.25">
      <c r="A388" t="s">
        <v>4785</v>
      </c>
      <c r="B388" t="s">
        <v>4788</v>
      </c>
      <c r="C388">
        <v>0</v>
      </c>
    </row>
    <row r="389" spans="1:3" x14ac:dyDescent="0.25">
      <c r="A389" t="s">
        <v>4789</v>
      </c>
      <c r="B389" t="s">
        <v>4792</v>
      </c>
      <c r="C389">
        <v>0</v>
      </c>
    </row>
    <row r="390" spans="1:3" x14ac:dyDescent="0.25">
      <c r="A390" t="s">
        <v>4793</v>
      </c>
      <c r="B390" t="s">
        <v>4096</v>
      </c>
      <c r="C390">
        <v>300000</v>
      </c>
    </row>
    <row r="391" spans="1:3" x14ac:dyDescent="0.25">
      <c r="A391" t="s">
        <v>4795</v>
      </c>
      <c r="B391" t="s">
        <v>4798</v>
      </c>
      <c r="C391">
        <v>75000</v>
      </c>
    </row>
    <row r="392" spans="1:3" x14ac:dyDescent="0.25">
      <c r="A392" t="s">
        <v>4800</v>
      </c>
      <c r="B392" t="s">
        <v>4803</v>
      </c>
      <c r="C392">
        <v>10000</v>
      </c>
    </row>
    <row r="393" spans="1:3" x14ac:dyDescent="0.25">
      <c r="A393" t="s">
        <v>4805</v>
      </c>
      <c r="B393" t="s">
        <v>4808</v>
      </c>
      <c r="C393">
        <v>10000</v>
      </c>
    </row>
    <row r="394" spans="1:3" x14ac:dyDescent="0.25">
      <c r="A394" t="s">
        <v>4810</v>
      </c>
      <c r="B394" t="s">
        <v>4812</v>
      </c>
      <c r="C394">
        <v>10000</v>
      </c>
    </row>
    <row r="395" spans="1:3" x14ac:dyDescent="0.25">
      <c r="A395" t="s">
        <v>4814</v>
      </c>
      <c r="B395" t="s">
        <v>4816</v>
      </c>
      <c r="C395">
        <v>10000</v>
      </c>
    </row>
    <row r="396" spans="1:3" x14ac:dyDescent="0.25">
      <c r="A396" t="s">
        <v>4818</v>
      </c>
      <c r="B396" t="s">
        <v>4820</v>
      </c>
      <c r="C396">
        <v>5000</v>
      </c>
    </row>
    <row r="397" spans="1:3" x14ac:dyDescent="0.25">
      <c r="A397" t="s">
        <v>4822</v>
      </c>
      <c r="B397" t="s">
        <v>4825</v>
      </c>
    </row>
    <row r="398" spans="1:3" x14ac:dyDescent="0.25">
      <c r="A398" t="s">
        <v>4827</v>
      </c>
      <c r="B398" t="s">
        <v>4830</v>
      </c>
      <c r="C398">
        <v>40000</v>
      </c>
    </row>
    <row r="399" spans="1:3" x14ac:dyDescent="0.25">
      <c r="A399" t="s">
        <v>4832</v>
      </c>
      <c r="B399" t="s">
        <v>4835</v>
      </c>
      <c r="C399">
        <v>500</v>
      </c>
    </row>
    <row r="400" spans="1:3" x14ac:dyDescent="0.25">
      <c r="A400" t="s">
        <v>4837</v>
      </c>
      <c r="B400" t="s">
        <v>4840</v>
      </c>
      <c r="C400">
        <v>7475</v>
      </c>
    </row>
    <row r="401" spans="1:3" x14ac:dyDescent="0.25">
      <c r="A401" t="s">
        <v>4842</v>
      </c>
      <c r="B401" t="s">
        <v>4844</v>
      </c>
    </row>
    <row r="402" spans="1:3" x14ac:dyDescent="0.25">
      <c r="A402" t="s">
        <v>4846</v>
      </c>
      <c r="B402" t="s">
        <v>4848</v>
      </c>
      <c r="C402">
        <v>24000</v>
      </c>
    </row>
    <row r="403" spans="1:3" x14ac:dyDescent="0.25">
      <c r="A403" t="s">
        <v>4849</v>
      </c>
      <c r="B403" t="s">
        <v>4852</v>
      </c>
      <c r="C403">
        <v>15000</v>
      </c>
    </row>
    <row r="404" spans="1:3" x14ac:dyDescent="0.25">
      <c r="A404" t="s">
        <v>4855</v>
      </c>
      <c r="B404" t="s">
        <v>4858</v>
      </c>
      <c r="C404">
        <v>150000</v>
      </c>
    </row>
    <row r="405" spans="1:3" x14ac:dyDescent="0.25">
      <c r="A405" t="s">
        <v>4860</v>
      </c>
      <c r="B405" t="s">
        <v>2153</v>
      </c>
      <c r="C405">
        <v>2000</v>
      </c>
    </row>
    <row r="406" spans="1:3" x14ac:dyDescent="0.25">
      <c r="A406" t="s">
        <v>4864</v>
      </c>
      <c r="B406" t="s">
        <v>4867</v>
      </c>
      <c r="C406">
        <v>15000</v>
      </c>
    </row>
    <row r="407" spans="1:3" x14ac:dyDescent="0.25">
      <c r="A407" t="s">
        <v>4869</v>
      </c>
      <c r="B407" t="s">
        <v>4872</v>
      </c>
      <c r="C407">
        <v>30000</v>
      </c>
    </row>
    <row r="408" spans="1:3" x14ac:dyDescent="0.25">
      <c r="A408" t="s">
        <v>4874</v>
      </c>
      <c r="B408" t="s">
        <v>4877</v>
      </c>
      <c r="C408">
        <v>30000</v>
      </c>
    </row>
    <row r="409" spans="1:3" x14ac:dyDescent="0.25">
      <c r="A409" t="s">
        <v>4878</v>
      </c>
      <c r="B409" t="s">
        <v>4881</v>
      </c>
      <c r="C409">
        <v>2500</v>
      </c>
    </row>
    <row r="410" spans="1:3" x14ac:dyDescent="0.25">
      <c r="A410" t="s">
        <v>4884</v>
      </c>
      <c r="B410" t="s">
        <v>4886</v>
      </c>
      <c r="C410">
        <v>48780</v>
      </c>
    </row>
    <row r="411" spans="1:3" x14ac:dyDescent="0.25">
      <c r="A411" t="s">
        <v>4889</v>
      </c>
      <c r="B411" t="s">
        <v>4892</v>
      </c>
    </row>
    <row r="412" spans="1:3" x14ac:dyDescent="0.25">
      <c r="A412" t="s">
        <v>4894</v>
      </c>
      <c r="B412" t="s">
        <v>4897</v>
      </c>
    </row>
    <row r="413" spans="1:3" x14ac:dyDescent="0.25">
      <c r="A413" t="s">
        <v>4899</v>
      </c>
      <c r="B413" t="s">
        <v>4902</v>
      </c>
      <c r="C413">
        <v>200000</v>
      </c>
    </row>
    <row r="414" spans="1:3" x14ac:dyDescent="0.25">
      <c r="A414" t="s">
        <v>4904</v>
      </c>
      <c r="B414" t="s">
        <v>4907</v>
      </c>
      <c r="C414">
        <v>40000</v>
      </c>
    </row>
    <row r="415" spans="1:3" x14ac:dyDescent="0.25">
      <c r="A415" t="s">
        <v>4909</v>
      </c>
      <c r="B415" t="s">
        <v>4912</v>
      </c>
    </row>
    <row r="416" spans="1:3" x14ac:dyDescent="0.25">
      <c r="A416" t="s">
        <v>4914</v>
      </c>
      <c r="B416" t="s">
        <v>4917</v>
      </c>
    </row>
    <row r="417" spans="1:3" x14ac:dyDescent="0.25">
      <c r="A417" t="s">
        <v>4920</v>
      </c>
      <c r="B417" t="s">
        <v>4471</v>
      </c>
      <c r="C417">
        <v>5880</v>
      </c>
    </row>
    <row r="418" spans="1:3" x14ac:dyDescent="0.25">
      <c r="A418" t="s">
        <v>4925</v>
      </c>
      <c r="B418" t="s">
        <v>4927</v>
      </c>
      <c r="C418">
        <v>165000</v>
      </c>
    </row>
    <row r="419" spans="1:3" x14ac:dyDescent="0.25">
      <c r="A419" t="s">
        <v>4929</v>
      </c>
      <c r="B419" t="s">
        <v>3923</v>
      </c>
      <c r="C419">
        <v>50000</v>
      </c>
    </row>
    <row r="420" spans="1:3" x14ac:dyDescent="0.25">
      <c r="A420" t="s">
        <v>4932</v>
      </c>
      <c r="B420" t="s">
        <v>3923</v>
      </c>
      <c r="C420">
        <v>30000</v>
      </c>
    </row>
    <row r="421" spans="1:3" x14ac:dyDescent="0.25">
      <c r="A421" t="s">
        <v>4935</v>
      </c>
      <c r="B421" t="s">
        <v>4927</v>
      </c>
      <c r="C421">
        <v>165000</v>
      </c>
    </row>
    <row r="422" spans="1:3" x14ac:dyDescent="0.25">
      <c r="A422" t="s">
        <v>4939</v>
      </c>
      <c r="B422" t="s">
        <v>3923</v>
      </c>
      <c r="C422">
        <v>5000</v>
      </c>
    </row>
    <row r="423" spans="1:3" x14ac:dyDescent="0.25">
      <c r="A423" t="s">
        <v>4942</v>
      </c>
      <c r="B423" t="s">
        <v>4944</v>
      </c>
      <c r="C423">
        <v>165000</v>
      </c>
    </row>
    <row r="424" spans="1:3" x14ac:dyDescent="0.25">
      <c r="A424" t="s">
        <v>4947</v>
      </c>
      <c r="B424" t="s">
        <v>4949</v>
      </c>
      <c r="C424">
        <v>80000</v>
      </c>
    </row>
    <row r="425" spans="1:3" x14ac:dyDescent="0.25">
      <c r="A425" t="s">
        <v>4952</v>
      </c>
      <c r="B425" t="s">
        <v>3923</v>
      </c>
      <c r="C425">
        <v>32000</v>
      </c>
    </row>
    <row r="426" spans="1:3" x14ac:dyDescent="0.25">
      <c r="A426" t="s">
        <v>4955</v>
      </c>
      <c r="B426" t="s">
        <v>3923</v>
      </c>
      <c r="C426">
        <v>5000</v>
      </c>
    </row>
    <row r="427" spans="1:3" x14ac:dyDescent="0.25">
      <c r="A427" t="s">
        <v>4958</v>
      </c>
      <c r="B427" t="s">
        <v>4960</v>
      </c>
      <c r="C427">
        <v>165000</v>
      </c>
    </row>
    <row r="428" spans="1:3" x14ac:dyDescent="0.25">
      <c r="A428" t="s">
        <v>4963</v>
      </c>
      <c r="B428" t="s">
        <v>3923</v>
      </c>
      <c r="C428">
        <v>30000</v>
      </c>
    </row>
    <row r="429" spans="1:3" x14ac:dyDescent="0.25">
      <c r="A429" t="s">
        <v>4966</v>
      </c>
      <c r="B429" t="s">
        <v>3923</v>
      </c>
      <c r="C429">
        <v>45000</v>
      </c>
    </row>
    <row r="430" spans="1:3" x14ac:dyDescent="0.25">
      <c r="A430" t="s">
        <v>4969</v>
      </c>
      <c r="B430" t="s">
        <v>4971</v>
      </c>
      <c r="C430">
        <v>18000</v>
      </c>
    </row>
    <row r="431" spans="1:3" x14ac:dyDescent="0.25">
      <c r="A431" t="s">
        <v>4974</v>
      </c>
      <c r="B431" t="s">
        <v>4976</v>
      </c>
      <c r="C431">
        <v>18000</v>
      </c>
    </row>
    <row r="432" spans="1:3" x14ac:dyDescent="0.25">
      <c r="A432" t="s">
        <v>4978</v>
      </c>
      <c r="B432" t="s">
        <v>4981</v>
      </c>
      <c r="C432">
        <v>0</v>
      </c>
    </row>
    <row r="433" spans="1:3" x14ac:dyDescent="0.25">
      <c r="A433" t="s">
        <v>4984</v>
      </c>
      <c r="B433" t="s">
        <v>4987</v>
      </c>
      <c r="C433">
        <v>140000</v>
      </c>
    </row>
    <row r="434" spans="1:3" x14ac:dyDescent="0.25">
      <c r="A434" t="s">
        <v>4989</v>
      </c>
      <c r="B434" t="s">
        <v>4992</v>
      </c>
      <c r="C434">
        <v>260000</v>
      </c>
    </row>
    <row r="435" spans="1:3" x14ac:dyDescent="0.25">
      <c r="A435" t="s">
        <v>4994</v>
      </c>
      <c r="B435" t="s">
        <v>4996</v>
      </c>
    </row>
    <row r="436" spans="1:3" x14ac:dyDescent="0.25">
      <c r="A436" t="s">
        <v>4998</v>
      </c>
      <c r="B436" t="s">
        <v>5000</v>
      </c>
    </row>
    <row r="437" spans="1:3" x14ac:dyDescent="0.25">
      <c r="A437" t="s">
        <v>5002</v>
      </c>
      <c r="B437" t="s">
        <v>5004</v>
      </c>
      <c r="C437">
        <v>4000</v>
      </c>
    </row>
    <row r="438" spans="1:3" x14ac:dyDescent="0.25">
      <c r="A438" t="s">
        <v>5006</v>
      </c>
      <c r="B438" t="s">
        <v>5008</v>
      </c>
      <c r="C438">
        <v>6500</v>
      </c>
    </row>
    <row r="439" spans="1:3" x14ac:dyDescent="0.25">
      <c r="A439" t="s">
        <v>5010</v>
      </c>
      <c r="B439" t="s">
        <v>5012</v>
      </c>
      <c r="C439">
        <v>2500</v>
      </c>
    </row>
    <row r="440" spans="1:3" x14ac:dyDescent="0.25">
      <c r="A440" t="s">
        <v>5014</v>
      </c>
      <c r="B440" t="s">
        <v>5016</v>
      </c>
      <c r="C440">
        <v>0</v>
      </c>
    </row>
    <row r="441" spans="1:3" x14ac:dyDescent="0.25">
      <c r="A441" t="s">
        <v>5014</v>
      </c>
      <c r="B441" t="s">
        <v>5018</v>
      </c>
      <c r="C441">
        <v>0</v>
      </c>
    </row>
    <row r="442" spans="1:3" x14ac:dyDescent="0.25">
      <c r="A442" t="s">
        <v>5020</v>
      </c>
      <c r="B442" t="s">
        <v>5018</v>
      </c>
      <c r="C442">
        <v>0</v>
      </c>
    </row>
    <row r="443" spans="1:3" x14ac:dyDescent="0.25">
      <c r="A443" t="s">
        <v>5021</v>
      </c>
      <c r="B443" t="s">
        <v>5023</v>
      </c>
      <c r="C443">
        <v>0</v>
      </c>
    </row>
    <row r="444" spans="1:3" x14ac:dyDescent="0.25">
      <c r="A444" t="s">
        <v>5024</v>
      </c>
      <c r="B444" t="s">
        <v>5026</v>
      </c>
    </row>
    <row r="445" spans="1:3" x14ac:dyDescent="0.25">
      <c r="A445" t="s">
        <v>5027</v>
      </c>
      <c r="B445" t="s">
        <v>5029</v>
      </c>
      <c r="C445">
        <v>9000</v>
      </c>
    </row>
    <row r="446" spans="1:3" x14ac:dyDescent="0.25">
      <c r="A446" t="s">
        <v>5031</v>
      </c>
      <c r="B446" t="s">
        <v>5033</v>
      </c>
    </row>
    <row r="447" spans="1:3" x14ac:dyDescent="0.25">
      <c r="A447" t="s">
        <v>5035</v>
      </c>
      <c r="B447" t="s">
        <v>5037</v>
      </c>
      <c r="C447">
        <v>0</v>
      </c>
    </row>
    <row r="448" spans="1:3" x14ac:dyDescent="0.25">
      <c r="A448" t="s">
        <v>5040</v>
      </c>
      <c r="B448" t="s">
        <v>5037</v>
      </c>
      <c r="C448">
        <v>0</v>
      </c>
    </row>
    <row r="449" spans="1:3" x14ac:dyDescent="0.25">
      <c r="A449" t="s">
        <v>5040</v>
      </c>
      <c r="B449" t="s">
        <v>5042</v>
      </c>
      <c r="C449">
        <v>0</v>
      </c>
    </row>
    <row r="450" spans="1:3" x14ac:dyDescent="0.25">
      <c r="A450" t="s">
        <v>5043</v>
      </c>
      <c r="B450" t="s">
        <v>5045</v>
      </c>
      <c r="C450">
        <v>0</v>
      </c>
    </row>
    <row r="451" spans="1:3" x14ac:dyDescent="0.25">
      <c r="A451" t="s">
        <v>5046</v>
      </c>
      <c r="B451" t="s">
        <v>5048</v>
      </c>
      <c r="C451">
        <v>6000</v>
      </c>
    </row>
    <row r="452" spans="1:3" x14ac:dyDescent="0.25">
      <c r="A452" t="s">
        <v>5050</v>
      </c>
      <c r="B452" t="s">
        <v>5052</v>
      </c>
      <c r="C452">
        <v>6099.39</v>
      </c>
    </row>
    <row r="453" spans="1:3" x14ac:dyDescent="0.25">
      <c r="A453" t="s">
        <v>5054</v>
      </c>
      <c r="B453" t="s">
        <v>5052</v>
      </c>
      <c r="C453">
        <v>6099.39</v>
      </c>
    </row>
    <row r="454" spans="1:3" x14ac:dyDescent="0.25">
      <c r="A454" t="s">
        <v>5055</v>
      </c>
      <c r="B454" t="s">
        <v>5052</v>
      </c>
      <c r="C454">
        <v>6101.22</v>
      </c>
    </row>
    <row r="455" spans="1:3" x14ac:dyDescent="0.25">
      <c r="A455" t="s">
        <v>5060</v>
      </c>
      <c r="B455" t="s">
        <v>5062</v>
      </c>
      <c r="C455">
        <v>0</v>
      </c>
    </row>
    <row r="456" spans="1:3" x14ac:dyDescent="0.25">
      <c r="A456" t="s">
        <v>5063</v>
      </c>
      <c r="B456" t="s">
        <v>5065</v>
      </c>
    </row>
    <row r="457" spans="1:3" x14ac:dyDescent="0.25">
      <c r="A457" t="s">
        <v>5069</v>
      </c>
      <c r="B457" t="s">
        <v>5071</v>
      </c>
      <c r="C457">
        <v>40000</v>
      </c>
    </row>
    <row r="458" spans="1:3" x14ac:dyDescent="0.25">
      <c r="A458" t="s">
        <v>5073</v>
      </c>
      <c r="B458" t="s">
        <v>5075</v>
      </c>
      <c r="C458">
        <v>40000</v>
      </c>
    </row>
    <row r="459" spans="1:3" x14ac:dyDescent="0.25">
      <c r="A459" t="s">
        <v>5077</v>
      </c>
      <c r="B459" t="s">
        <v>5079</v>
      </c>
      <c r="C459">
        <v>40000</v>
      </c>
    </row>
    <row r="460" spans="1:3" x14ac:dyDescent="0.25">
      <c r="A460" t="s">
        <v>5082</v>
      </c>
      <c r="B460" t="s">
        <v>5084</v>
      </c>
      <c r="C460">
        <v>40000</v>
      </c>
    </row>
    <row r="461" spans="1:3" x14ac:dyDescent="0.25">
      <c r="A461" t="s">
        <v>5087</v>
      </c>
      <c r="B461" t="s">
        <v>5089</v>
      </c>
      <c r="C461">
        <v>20000</v>
      </c>
    </row>
    <row r="462" spans="1:3" x14ac:dyDescent="0.25">
      <c r="A462" t="s">
        <v>5092</v>
      </c>
      <c r="B462" t="s">
        <v>5094</v>
      </c>
      <c r="C462">
        <v>1500</v>
      </c>
    </row>
    <row r="463" spans="1:3" x14ac:dyDescent="0.25">
      <c r="A463" t="s">
        <v>5096</v>
      </c>
      <c r="B463" t="s">
        <v>5098</v>
      </c>
      <c r="C463">
        <v>1500</v>
      </c>
    </row>
    <row r="464" spans="1:3" x14ac:dyDescent="0.25">
      <c r="A464" t="s">
        <v>5100</v>
      </c>
      <c r="B464" t="s">
        <v>5102</v>
      </c>
      <c r="C464">
        <v>1500</v>
      </c>
    </row>
    <row r="465" spans="1:3" x14ac:dyDescent="0.25">
      <c r="A465" t="s">
        <v>5104</v>
      </c>
      <c r="B465" t="s">
        <v>5106</v>
      </c>
      <c r="C465">
        <v>1500</v>
      </c>
    </row>
    <row r="466" spans="1:3" x14ac:dyDescent="0.25">
      <c r="A466" t="s">
        <v>5108</v>
      </c>
      <c r="B466" t="s">
        <v>5110</v>
      </c>
      <c r="C466">
        <v>1500</v>
      </c>
    </row>
    <row r="467" spans="1:3" x14ac:dyDescent="0.25">
      <c r="A467" t="s">
        <v>5112</v>
      </c>
      <c r="B467" t="s">
        <v>5114</v>
      </c>
    </row>
    <row r="468" spans="1:3" x14ac:dyDescent="0.25">
      <c r="A468" t="s">
        <v>5115</v>
      </c>
      <c r="B468" t="s">
        <v>5117</v>
      </c>
      <c r="C468">
        <v>0</v>
      </c>
    </row>
    <row r="469" spans="1:3" x14ac:dyDescent="0.25">
      <c r="A469" t="s">
        <v>5119</v>
      </c>
      <c r="B469" t="s">
        <v>5121</v>
      </c>
      <c r="C469">
        <v>400000</v>
      </c>
    </row>
    <row r="470" spans="1:3" x14ac:dyDescent="0.25">
      <c r="A470" t="s">
        <v>5123</v>
      </c>
      <c r="B470" t="s">
        <v>5125</v>
      </c>
      <c r="C470">
        <v>40000</v>
      </c>
    </row>
    <row r="471" spans="1:3" x14ac:dyDescent="0.25">
      <c r="A471" t="s">
        <v>5127</v>
      </c>
      <c r="B471" t="s">
        <v>5129</v>
      </c>
      <c r="C471">
        <v>4000</v>
      </c>
    </row>
    <row r="472" spans="1:3" x14ac:dyDescent="0.25">
      <c r="A472" t="s">
        <v>5131</v>
      </c>
      <c r="B472" t="s">
        <v>5133</v>
      </c>
      <c r="C472">
        <v>0</v>
      </c>
    </row>
    <row r="473" spans="1:3" x14ac:dyDescent="0.25">
      <c r="A473" t="s">
        <v>5135</v>
      </c>
      <c r="B473" t="s">
        <v>5137</v>
      </c>
      <c r="C473">
        <v>3000</v>
      </c>
    </row>
    <row r="474" spans="1:3" x14ac:dyDescent="0.25">
      <c r="A474" t="s">
        <v>5139</v>
      </c>
      <c r="B474" t="s">
        <v>5141</v>
      </c>
      <c r="C474">
        <v>4000</v>
      </c>
    </row>
    <row r="475" spans="1:3" x14ac:dyDescent="0.25">
      <c r="A475" t="s">
        <v>5142</v>
      </c>
      <c r="B475" t="s">
        <v>5144</v>
      </c>
    </row>
    <row r="476" spans="1:3" x14ac:dyDescent="0.25">
      <c r="A476" t="s">
        <v>5145</v>
      </c>
      <c r="B476" t="s">
        <v>5147</v>
      </c>
      <c r="C476">
        <v>70000</v>
      </c>
    </row>
    <row r="477" spans="1:3" x14ac:dyDescent="0.25">
      <c r="A477" t="s">
        <v>5150</v>
      </c>
      <c r="B477" t="s">
        <v>5147</v>
      </c>
      <c r="C477">
        <v>70000</v>
      </c>
    </row>
    <row r="478" spans="1:3" x14ac:dyDescent="0.25">
      <c r="A478" t="s">
        <v>5151</v>
      </c>
      <c r="B478" t="s">
        <v>5153</v>
      </c>
    </row>
    <row r="479" spans="1:3" x14ac:dyDescent="0.25">
      <c r="A479" t="s">
        <v>5155</v>
      </c>
      <c r="B479" t="s">
        <v>5157</v>
      </c>
      <c r="C479">
        <v>3000</v>
      </c>
    </row>
    <row r="480" spans="1:3" x14ac:dyDescent="0.25">
      <c r="A480" t="s">
        <v>5159</v>
      </c>
      <c r="B480" t="s">
        <v>5161</v>
      </c>
      <c r="C480">
        <v>1500</v>
      </c>
    </row>
    <row r="481" spans="1:3" x14ac:dyDescent="0.25">
      <c r="A481" t="s">
        <v>5163</v>
      </c>
      <c r="B481" t="s">
        <v>5165</v>
      </c>
      <c r="C481">
        <v>26000</v>
      </c>
    </row>
    <row r="482" spans="1:3" x14ac:dyDescent="0.25">
      <c r="A482" t="s">
        <v>5167</v>
      </c>
      <c r="B482" t="s">
        <v>5169</v>
      </c>
      <c r="C482">
        <v>0</v>
      </c>
    </row>
    <row r="483" spans="1:3" x14ac:dyDescent="0.25">
      <c r="A483" t="s">
        <v>5170</v>
      </c>
      <c r="B483" t="s">
        <v>5172</v>
      </c>
      <c r="C483">
        <v>110000</v>
      </c>
    </row>
    <row r="484" spans="1:3" x14ac:dyDescent="0.25">
      <c r="A484" t="s">
        <v>5174</v>
      </c>
      <c r="B484" t="s">
        <v>5176</v>
      </c>
      <c r="C484">
        <v>15000</v>
      </c>
    </row>
    <row r="485" spans="1:3" x14ac:dyDescent="0.25">
      <c r="A485" t="s">
        <v>5177</v>
      </c>
      <c r="B485" t="s">
        <v>5179</v>
      </c>
      <c r="C485">
        <v>5000</v>
      </c>
    </row>
    <row r="486" spans="1:3" x14ac:dyDescent="0.25">
      <c r="A486" t="s">
        <v>5181</v>
      </c>
      <c r="B486" t="s">
        <v>5183</v>
      </c>
      <c r="C486">
        <v>4000</v>
      </c>
    </row>
    <row r="487" spans="1:3" x14ac:dyDescent="0.25">
      <c r="A487" t="s">
        <v>5185</v>
      </c>
      <c r="B487" t="s">
        <v>5187</v>
      </c>
      <c r="C487">
        <v>35000</v>
      </c>
    </row>
    <row r="488" spans="1:3" x14ac:dyDescent="0.25">
      <c r="A488" t="s">
        <v>5189</v>
      </c>
      <c r="B488" t="s">
        <v>5191</v>
      </c>
    </row>
    <row r="489" spans="1:3" x14ac:dyDescent="0.25">
      <c r="A489" t="s">
        <v>5192</v>
      </c>
      <c r="B489" t="s">
        <v>5194</v>
      </c>
      <c r="C489">
        <v>40000</v>
      </c>
    </row>
    <row r="490" spans="1:3" x14ac:dyDescent="0.25">
      <c r="A490" t="s">
        <v>5197</v>
      </c>
      <c r="B490" t="s">
        <v>5199</v>
      </c>
      <c r="C490">
        <v>40000</v>
      </c>
    </row>
    <row r="491" spans="1:3" x14ac:dyDescent="0.25">
      <c r="A491" t="s">
        <v>5201</v>
      </c>
      <c r="B491" t="s">
        <v>5203</v>
      </c>
      <c r="C491">
        <v>2000</v>
      </c>
    </row>
    <row r="492" spans="1:3" x14ac:dyDescent="0.25">
      <c r="A492" t="s">
        <v>5205</v>
      </c>
      <c r="B492" t="s">
        <v>5207</v>
      </c>
    </row>
    <row r="493" spans="1:3" x14ac:dyDescent="0.25">
      <c r="A493" t="s">
        <v>5208</v>
      </c>
      <c r="B493" t="s">
        <v>5210</v>
      </c>
    </row>
    <row r="494" spans="1:3" x14ac:dyDescent="0.25">
      <c r="A494" t="s">
        <v>5212</v>
      </c>
      <c r="B494" t="s">
        <v>5214</v>
      </c>
      <c r="C494">
        <v>10000</v>
      </c>
    </row>
    <row r="495" spans="1:3" x14ac:dyDescent="0.25">
      <c r="A495" t="s">
        <v>5216</v>
      </c>
      <c r="B495" t="s">
        <v>5218</v>
      </c>
      <c r="C495">
        <v>120000</v>
      </c>
    </row>
    <row r="496" spans="1:3" x14ac:dyDescent="0.25">
      <c r="A496" t="s">
        <v>5221</v>
      </c>
      <c r="B496" t="s">
        <v>5223</v>
      </c>
      <c r="C496">
        <v>2000</v>
      </c>
    </row>
    <row r="497" spans="1:3" x14ac:dyDescent="0.25">
      <c r="A497" t="s">
        <v>5225</v>
      </c>
      <c r="B497" t="s">
        <v>5227</v>
      </c>
    </row>
    <row r="498" spans="1:3" x14ac:dyDescent="0.25">
      <c r="A498" t="s">
        <v>5229</v>
      </c>
      <c r="B498" t="s">
        <v>5231</v>
      </c>
      <c r="C498">
        <v>1500</v>
      </c>
    </row>
    <row r="499" spans="1:3" x14ac:dyDescent="0.25">
      <c r="A499" t="s">
        <v>5233</v>
      </c>
      <c r="B499" t="s">
        <v>5235</v>
      </c>
      <c r="C499">
        <v>1500</v>
      </c>
    </row>
    <row r="500" spans="1:3" x14ac:dyDescent="0.25">
      <c r="A500" t="s">
        <v>5238</v>
      </c>
      <c r="B500" t="s">
        <v>5240</v>
      </c>
      <c r="C500">
        <v>15000</v>
      </c>
    </row>
    <row r="501" spans="1:3" x14ac:dyDescent="0.25">
      <c r="A501" t="s">
        <v>5241</v>
      </c>
      <c r="B501" t="s">
        <v>5243</v>
      </c>
      <c r="C501">
        <v>0</v>
      </c>
    </row>
    <row r="502" spans="1:3" x14ac:dyDescent="0.25">
      <c r="A502" t="s">
        <v>5241</v>
      </c>
      <c r="B502" t="s">
        <v>5245</v>
      </c>
      <c r="C502">
        <v>0</v>
      </c>
    </row>
    <row r="503" spans="1:3" x14ac:dyDescent="0.25">
      <c r="A503" t="s">
        <v>5247</v>
      </c>
      <c r="B503" t="s">
        <v>5245</v>
      </c>
      <c r="C503">
        <v>0</v>
      </c>
    </row>
    <row r="504" spans="1:3" x14ac:dyDescent="0.25">
      <c r="A504" t="s">
        <v>5248</v>
      </c>
      <c r="B504" t="s">
        <v>5245</v>
      </c>
      <c r="C504">
        <v>0</v>
      </c>
    </row>
    <row r="505" spans="1:3" x14ac:dyDescent="0.25">
      <c r="A505" t="s">
        <v>5249</v>
      </c>
      <c r="B505" t="s">
        <v>5251</v>
      </c>
    </row>
    <row r="506" spans="1:3" x14ac:dyDescent="0.25">
      <c r="A506" t="s">
        <v>5253</v>
      </c>
      <c r="B506" t="s">
        <v>5255</v>
      </c>
      <c r="C506">
        <v>4000</v>
      </c>
    </row>
    <row r="507" spans="1:3" x14ac:dyDescent="0.25">
      <c r="A507" t="s">
        <v>5256</v>
      </c>
      <c r="B507" t="s">
        <v>5258</v>
      </c>
      <c r="C507">
        <v>10000</v>
      </c>
    </row>
    <row r="508" spans="1:3" x14ac:dyDescent="0.25">
      <c r="A508" t="s">
        <v>5260</v>
      </c>
      <c r="B508" t="s">
        <v>5262</v>
      </c>
      <c r="C508">
        <v>7500</v>
      </c>
    </row>
    <row r="509" spans="1:3" x14ac:dyDescent="0.25">
      <c r="A509" t="s">
        <v>5264</v>
      </c>
      <c r="B509" t="s">
        <v>5266</v>
      </c>
      <c r="C509">
        <v>1500</v>
      </c>
    </row>
    <row r="510" spans="1:3" x14ac:dyDescent="0.25">
      <c r="A510" t="s">
        <v>5268</v>
      </c>
      <c r="B510" t="s">
        <v>5266</v>
      </c>
      <c r="C510">
        <v>1500</v>
      </c>
    </row>
    <row r="511" spans="1:3" x14ac:dyDescent="0.25">
      <c r="A511" t="s">
        <v>5271</v>
      </c>
      <c r="B511" t="s">
        <v>5273</v>
      </c>
    </row>
    <row r="512" spans="1:3" x14ac:dyDescent="0.25">
      <c r="A512" t="s">
        <v>5275</v>
      </c>
      <c r="B512" t="s">
        <v>5277</v>
      </c>
      <c r="C512">
        <v>0</v>
      </c>
    </row>
    <row r="513" spans="1:3" x14ac:dyDescent="0.25">
      <c r="A513" t="s">
        <v>5279</v>
      </c>
      <c r="B513" t="s">
        <v>5281</v>
      </c>
    </row>
    <row r="514" spans="1:3" x14ac:dyDescent="0.25">
      <c r="A514" t="s">
        <v>5282</v>
      </c>
      <c r="B514" t="s">
        <v>5284</v>
      </c>
    </row>
    <row r="515" spans="1:3" x14ac:dyDescent="0.25">
      <c r="A515" t="s">
        <v>5286</v>
      </c>
      <c r="B515" t="s">
        <v>5288</v>
      </c>
    </row>
    <row r="516" spans="1:3" x14ac:dyDescent="0.25">
      <c r="A516" t="s">
        <v>5289</v>
      </c>
      <c r="B516" t="s">
        <v>5291</v>
      </c>
    </row>
    <row r="517" spans="1:3" x14ac:dyDescent="0.25">
      <c r="A517" t="s">
        <v>5293</v>
      </c>
      <c r="B517" t="s">
        <v>5295</v>
      </c>
    </row>
    <row r="518" spans="1:3" x14ac:dyDescent="0.25">
      <c r="A518" t="s">
        <v>5297</v>
      </c>
      <c r="B518" t="s">
        <v>5299</v>
      </c>
    </row>
    <row r="519" spans="1:3" x14ac:dyDescent="0.25">
      <c r="A519" t="s">
        <v>5301</v>
      </c>
      <c r="B519" t="s">
        <v>5303</v>
      </c>
    </row>
    <row r="520" spans="1:3" x14ac:dyDescent="0.25">
      <c r="A520" t="s">
        <v>5304</v>
      </c>
      <c r="B520" t="s">
        <v>5306</v>
      </c>
    </row>
    <row r="521" spans="1:3" x14ac:dyDescent="0.25">
      <c r="A521" t="s">
        <v>5308</v>
      </c>
      <c r="B521" t="s">
        <v>5310</v>
      </c>
    </row>
    <row r="522" spans="1:3" x14ac:dyDescent="0.25">
      <c r="A522" t="s">
        <v>5312</v>
      </c>
      <c r="B522" t="s">
        <v>5314</v>
      </c>
    </row>
    <row r="523" spans="1:3" x14ac:dyDescent="0.25">
      <c r="A523" t="s">
        <v>5316</v>
      </c>
      <c r="B523" t="s">
        <v>5318</v>
      </c>
    </row>
    <row r="524" spans="1:3" x14ac:dyDescent="0.25">
      <c r="A524" t="s">
        <v>5319</v>
      </c>
      <c r="B524" t="s">
        <v>5321</v>
      </c>
    </row>
    <row r="525" spans="1:3" x14ac:dyDescent="0.25">
      <c r="A525" t="s">
        <v>5323</v>
      </c>
      <c r="B525" t="s">
        <v>5325</v>
      </c>
    </row>
    <row r="526" spans="1:3" x14ac:dyDescent="0.25">
      <c r="A526" t="s">
        <v>5326</v>
      </c>
      <c r="B526" t="s">
        <v>5328</v>
      </c>
    </row>
    <row r="527" spans="1:3" x14ac:dyDescent="0.25">
      <c r="A527" t="s">
        <v>5330</v>
      </c>
      <c r="B527" t="s">
        <v>5332</v>
      </c>
      <c r="C527">
        <v>200000</v>
      </c>
    </row>
    <row r="528" spans="1:3" x14ac:dyDescent="0.25">
      <c r="A528" t="s">
        <v>5334</v>
      </c>
      <c r="B528" t="s">
        <v>5336</v>
      </c>
      <c r="C528">
        <v>100000</v>
      </c>
    </row>
    <row r="529" spans="1:3" x14ac:dyDescent="0.25">
      <c r="A529" t="s">
        <v>5338</v>
      </c>
      <c r="B529" t="s">
        <v>5340</v>
      </c>
      <c r="C529">
        <v>120000</v>
      </c>
    </row>
    <row r="530" spans="1:3" x14ac:dyDescent="0.25">
      <c r="A530" t="s">
        <v>5342</v>
      </c>
      <c r="B530" t="s">
        <v>5344</v>
      </c>
    </row>
    <row r="531" spans="1:3" x14ac:dyDescent="0.25">
      <c r="A531" t="s">
        <v>5349</v>
      </c>
      <c r="B531" t="s">
        <v>5351</v>
      </c>
      <c r="C531">
        <v>6390</v>
      </c>
    </row>
    <row r="532" spans="1:3" x14ac:dyDescent="0.25">
      <c r="A532" t="s">
        <v>5353</v>
      </c>
      <c r="B532" t="s">
        <v>5347</v>
      </c>
      <c r="C532">
        <v>5000</v>
      </c>
    </row>
    <row r="533" spans="1:3" x14ac:dyDescent="0.25">
      <c r="A533" t="s">
        <v>5359</v>
      </c>
      <c r="B533" t="s">
        <v>5357</v>
      </c>
    </row>
    <row r="534" spans="1:3" x14ac:dyDescent="0.25">
      <c r="A534" t="s">
        <v>5362</v>
      </c>
      <c r="B534" t="s">
        <v>5357</v>
      </c>
    </row>
    <row r="535" spans="1:3" x14ac:dyDescent="0.25">
      <c r="A535" t="s">
        <v>5365</v>
      </c>
      <c r="B535" t="s">
        <v>5367</v>
      </c>
      <c r="C535">
        <v>500</v>
      </c>
    </row>
    <row r="536" spans="1:3" x14ac:dyDescent="0.25">
      <c r="A536" t="s">
        <v>5369</v>
      </c>
      <c r="B536" t="s">
        <v>5371</v>
      </c>
      <c r="C536">
        <v>1500</v>
      </c>
    </row>
    <row r="537" spans="1:3" x14ac:dyDescent="0.25">
      <c r="A537" t="s">
        <v>5373</v>
      </c>
      <c r="B537" t="s">
        <v>5376</v>
      </c>
    </row>
    <row r="538" spans="1:3" x14ac:dyDescent="0.25">
      <c r="A538" t="s">
        <v>5377</v>
      </c>
      <c r="B538" t="s">
        <v>5380</v>
      </c>
    </row>
    <row r="539" spans="1:3" x14ac:dyDescent="0.25">
      <c r="A539" t="s">
        <v>5382</v>
      </c>
      <c r="B539" t="s">
        <v>5384</v>
      </c>
    </row>
    <row r="540" spans="1:3" x14ac:dyDescent="0.25">
      <c r="A540" t="s">
        <v>5386</v>
      </c>
      <c r="B540" t="s">
        <v>5389</v>
      </c>
      <c r="C540">
        <v>40000</v>
      </c>
    </row>
    <row r="541" spans="1:3" x14ac:dyDescent="0.25">
      <c r="A541" t="s">
        <v>5392</v>
      </c>
      <c r="B541" t="s">
        <v>4224</v>
      </c>
    </row>
    <row r="542" spans="1:3" x14ac:dyDescent="0.25">
      <c r="A542" t="s">
        <v>5396</v>
      </c>
      <c r="B542" t="s">
        <v>5399</v>
      </c>
      <c r="C542">
        <v>1</v>
      </c>
    </row>
    <row r="543" spans="1:3" x14ac:dyDescent="0.25">
      <c r="A543" t="s">
        <v>5150</v>
      </c>
      <c r="B543" t="s">
        <v>5405</v>
      </c>
      <c r="C543">
        <v>2000</v>
      </c>
    </row>
    <row r="544" spans="1:3" x14ac:dyDescent="0.25">
      <c r="A544" t="s">
        <v>5442</v>
      </c>
      <c r="B544" t="s">
        <v>5445</v>
      </c>
      <c r="C544">
        <v>0</v>
      </c>
    </row>
    <row r="545" spans="1:3" x14ac:dyDescent="0.25">
      <c r="A545" t="s">
        <v>4929</v>
      </c>
      <c r="B545" t="s">
        <v>5455</v>
      </c>
      <c r="C545">
        <v>192500</v>
      </c>
    </row>
    <row r="546" spans="1:3" x14ac:dyDescent="0.25">
      <c r="A546" t="s">
        <v>5488</v>
      </c>
      <c r="B546" t="s">
        <v>5491</v>
      </c>
      <c r="C546">
        <v>7000</v>
      </c>
    </row>
    <row r="547" spans="1:3" x14ac:dyDescent="0.25">
      <c r="A547" t="s">
        <v>5495</v>
      </c>
      <c r="B547" t="s">
        <v>5498</v>
      </c>
      <c r="C547">
        <v>6075</v>
      </c>
    </row>
    <row r="548" spans="1:3" x14ac:dyDescent="0.25">
      <c r="A548" t="s">
        <v>5501</v>
      </c>
      <c r="B548" t="s">
        <v>5498</v>
      </c>
      <c r="C548">
        <v>6075</v>
      </c>
    </row>
    <row r="549" spans="1:3" x14ac:dyDescent="0.25">
      <c r="A549" t="s">
        <v>5517</v>
      </c>
      <c r="B549" t="s">
        <v>5519</v>
      </c>
      <c r="C549">
        <v>94297.092000000004</v>
      </c>
    </row>
    <row r="550" spans="1:3" x14ac:dyDescent="0.25">
      <c r="A550" t="s">
        <v>5531</v>
      </c>
      <c r="B550" t="s">
        <v>5534</v>
      </c>
      <c r="C550">
        <v>232887</v>
      </c>
    </row>
    <row r="551" spans="1:3" x14ac:dyDescent="0.25">
      <c r="A551" t="s">
        <v>5536</v>
      </c>
      <c r="B551" t="s">
        <v>5539</v>
      </c>
      <c r="C551">
        <v>13000</v>
      </c>
    </row>
    <row r="552" spans="1:3" x14ac:dyDescent="0.25">
      <c r="A552" t="s">
        <v>5570</v>
      </c>
      <c r="B552" t="s">
        <v>5572</v>
      </c>
      <c r="C552">
        <v>2000</v>
      </c>
    </row>
    <row r="553" spans="1:3" x14ac:dyDescent="0.25">
      <c r="A553" t="s">
        <v>3710</v>
      </c>
      <c r="B553" t="s">
        <v>5582</v>
      </c>
      <c r="C553">
        <v>75000</v>
      </c>
    </row>
    <row r="554" spans="1:3" x14ac:dyDescent="0.25">
      <c r="A554" t="s">
        <v>5599</v>
      </c>
      <c r="B554" t="s">
        <v>5593</v>
      </c>
      <c r="C554">
        <v>74200</v>
      </c>
    </row>
    <row r="555" spans="1:3" x14ac:dyDescent="0.25">
      <c r="A555" t="s">
        <v>5607</v>
      </c>
      <c r="B555" t="s">
        <v>5604</v>
      </c>
      <c r="C555">
        <v>202300</v>
      </c>
    </row>
    <row r="556" spans="1:3" x14ac:dyDescent="0.25">
      <c r="A556" t="s">
        <v>5609</v>
      </c>
      <c r="B556" t="s">
        <v>5612</v>
      </c>
      <c r="C556">
        <v>45000</v>
      </c>
    </row>
    <row r="557" spans="1:3" x14ac:dyDescent="0.25">
      <c r="A557" t="s">
        <v>5618</v>
      </c>
      <c r="B557" t="s">
        <v>5621</v>
      </c>
    </row>
    <row r="558" spans="1:3" x14ac:dyDescent="0.25">
      <c r="A558" t="s">
        <v>5631</v>
      </c>
      <c r="B558" t="s">
        <v>5633</v>
      </c>
      <c r="C558">
        <v>3500</v>
      </c>
    </row>
    <row r="559" spans="1:3" x14ac:dyDescent="0.25">
      <c r="A559" t="s">
        <v>5353</v>
      </c>
      <c r="B559" t="s">
        <v>5636</v>
      </c>
      <c r="C559">
        <v>3500</v>
      </c>
    </row>
    <row r="560" spans="1:3" x14ac:dyDescent="0.25">
      <c r="A560" t="s">
        <v>5293</v>
      </c>
      <c r="B560" t="s">
        <v>5660</v>
      </c>
      <c r="C560">
        <v>500</v>
      </c>
    </row>
    <row r="561" spans="1:3" x14ac:dyDescent="0.25">
      <c r="A561" t="s">
        <v>5706</v>
      </c>
      <c r="B561" t="s">
        <v>5709</v>
      </c>
      <c r="C561">
        <v>30000</v>
      </c>
    </row>
    <row r="562" spans="1:3" x14ac:dyDescent="0.25">
      <c r="A562" t="s">
        <v>5712</v>
      </c>
      <c r="B562" t="s">
        <v>5715</v>
      </c>
      <c r="C562">
        <v>30000</v>
      </c>
    </row>
    <row r="563" spans="1:3" x14ac:dyDescent="0.25">
      <c r="A563" t="s">
        <v>3553</v>
      </c>
      <c r="B563" t="s">
        <v>5718</v>
      </c>
      <c r="C563">
        <v>112870</v>
      </c>
    </row>
    <row r="564" spans="1:3" x14ac:dyDescent="0.25">
      <c r="A564" t="s">
        <v>3548</v>
      </c>
      <c r="B564" t="s">
        <v>5722</v>
      </c>
      <c r="C564">
        <v>26923</v>
      </c>
    </row>
    <row r="565" spans="1:3" x14ac:dyDescent="0.25">
      <c r="A565" t="s">
        <v>5724</v>
      </c>
      <c r="B565" t="s">
        <v>5727</v>
      </c>
      <c r="C565">
        <v>300</v>
      </c>
    </row>
    <row r="566" spans="1:3" x14ac:dyDescent="0.25">
      <c r="A566" t="s">
        <v>4795</v>
      </c>
      <c r="B566" t="s">
        <v>5735</v>
      </c>
      <c r="C566">
        <v>1936.25</v>
      </c>
    </row>
    <row r="567" spans="1:3" x14ac:dyDescent="0.25">
      <c r="A567" t="s">
        <v>3466</v>
      </c>
      <c r="B567" t="s">
        <v>5738</v>
      </c>
      <c r="C567">
        <v>20169</v>
      </c>
    </row>
    <row r="568" spans="1:3" x14ac:dyDescent="0.25">
      <c r="A568" t="s">
        <v>5741</v>
      </c>
      <c r="B568" t="s">
        <v>5744</v>
      </c>
      <c r="C568">
        <v>1</v>
      </c>
    </row>
    <row r="569" spans="1:3" x14ac:dyDescent="0.25">
      <c r="A569" t="s">
        <v>3772</v>
      </c>
      <c r="B569" t="s">
        <v>2269</v>
      </c>
      <c r="C569">
        <v>62500</v>
      </c>
    </row>
    <row r="570" spans="1:3" x14ac:dyDescent="0.25">
      <c r="A570" t="s">
        <v>5783</v>
      </c>
      <c r="B570" t="s">
        <v>5785</v>
      </c>
    </row>
    <row r="571" spans="1:3" x14ac:dyDescent="0.25">
      <c r="A571" t="s">
        <v>5790</v>
      </c>
      <c r="B571" t="s">
        <v>5792</v>
      </c>
    </row>
    <row r="572" spans="1:3" x14ac:dyDescent="0.25">
      <c r="A572" t="s">
        <v>5867</v>
      </c>
      <c r="B572" t="s">
        <v>5869</v>
      </c>
      <c r="C572">
        <v>15111.39</v>
      </c>
    </row>
    <row r="573" spans="1:3" x14ac:dyDescent="0.25">
      <c r="A573" t="s">
        <v>4269</v>
      </c>
      <c r="B573" t="s">
        <v>5873</v>
      </c>
      <c r="C573">
        <v>500</v>
      </c>
    </row>
    <row r="574" spans="1:3" x14ac:dyDescent="0.25">
      <c r="A574" t="s">
        <v>5880</v>
      </c>
      <c r="B574" t="s">
        <v>5883</v>
      </c>
      <c r="C574">
        <v>20000</v>
      </c>
    </row>
    <row r="575" spans="1:3" x14ac:dyDescent="0.25">
      <c r="A575" t="s">
        <v>666</v>
      </c>
      <c r="B575" t="s">
        <v>5900</v>
      </c>
      <c r="C575">
        <v>32500</v>
      </c>
    </row>
    <row r="576" spans="1:3" x14ac:dyDescent="0.25">
      <c r="A576" t="s">
        <v>5903</v>
      </c>
      <c r="B576" t="s">
        <v>5900</v>
      </c>
      <c r="C576">
        <v>32500</v>
      </c>
    </row>
    <row r="577" spans="1:3" x14ac:dyDescent="0.25">
      <c r="A577" t="s">
        <v>5976</v>
      </c>
      <c r="B577" t="s">
        <v>5978</v>
      </c>
    </row>
    <row r="578" spans="1:3" x14ac:dyDescent="0.25">
      <c r="A578" t="s">
        <v>3367</v>
      </c>
      <c r="B578" t="s">
        <v>6082</v>
      </c>
    </row>
    <row r="579" spans="1:3" x14ac:dyDescent="0.25">
      <c r="A579" t="s">
        <v>6108</v>
      </c>
      <c r="B579" t="s">
        <v>6111</v>
      </c>
      <c r="C579">
        <v>50000</v>
      </c>
    </row>
    <row r="580" spans="1:3" x14ac:dyDescent="0.25">
      <c r="A580" t="s">
        <v>6113</v>
      </c>
      <c r="B580" t="s">
        <v>6116</v>
      </c>
      <c r="C580">
        <v>25000</v>
      </c>
    </row>
    <row r="581" spans="1:3" x14ac:dyDescent="0.25">
      <c r="A581" t="s">
        <v>6168</v>
      </c>
      <c r="B581" t="s">
        <v>6170</v>
      </c>
      <c r="C581">
        <v>40000</v>
      </c>
    </row>
    <row r="582" spans="1:3" x14ac:dyDescent="0.25">
      <c r="A582" t="s">
        <v>6244</v>
      </c>
      <c r="B582" t="s">
        <v>6247</v>
      </c>
      <c r="C582">
        <v>82500</v>
      </c>
    </row>
    <row r="583" spans="1:3" x14ac:dyDescent="0.25">
      <c r="A583" t="s">
        <v>6305</v>
      </c>
      <c r="B583" t="s">
        <v>6307</v>
      </c>
      <c r="C583">
        <v>2000</v>
      </c>
    </row>
    <row r="584" spans="1:3" x14ac:dyDescent="0.25">
      <c r="A584" t="s">
        <v>6322</v>
      </c>
      <c r="B584" t="s">
        <v>6325</v>
      </c>
    </row>
    <row r="585" spans="1:3" x14ac:dyDescent="0.25">
      <c r="A585" t="s">
        <v>6367</v>
      </c>
      <c r="B585" t="s">
        <v>6370</v>
      </c>
    </row>
    <row r="586" spans="1:3" x14ac:dyDescent="0.25">
      <c r="A586" t="s">
        <v>6434</v>
      </c>
      <c r="B586" t="s">
        <v>6437</v>
      </c>
    </row>
    <row r="587" spans="1:3" x14ac:dyDescent="0.25">
      <c r="A587" t="s">
        <v>6495</v>
      </c>
      <c r="B587" t="s">
        <v>6498</v>
      </c>
    </row>
    <row r="588" spans="1:3" x14ac:dyDescent="0.25">
      <c r="A588" t="s">
        <v>6534</v>
      </c>
      <c r="B588" t="s">
        <v>6531</v>
      </c>
      <c r="C588">
        <v>0</v>
      </c>
    </row>
    <row r="589" spans="1:3" x14ac:dyDescent="0.25">
      <c r="A589" t="s">
        <v>6608</v>
      </c>
      <c r="B589" t="s">
        <v>3541</v>
      </c>
      <c r="C589">
        <v>25000</v>
      </c>
    </row>
    <row r="590" spans="1:3" x14ac:dyDescent="0.25">
      <c r="A590" t="s">
        <v>6648</v>
      </c>
      <c r="B590" t="s">
        <v>6650</v>
      </c>
      <c r="C590">
        <v>500000</v>
      </c>
    </row>
    <row r="591" spans="1:3" x14ac:dyDescent="0.25">
      <c r="A591" t="s">
        <v>6658</v>
      </c>
      <c r="B591" t="s">
        <v>6661</v>
      </c>
      <c r="C591">
        <v>38765</v>
      </c>
    </row>
    <row r="592" spans="1:3" x14ac:dyDescent="0.25">
      <c r="A592" t="s">
        <v>6675</v>
      </c>
      <c r="B592" t="s">
        <v>6678</v>
      </c>
      <c r="C592">
        <v>5000</v>
      </c>
    </row>
    <row r="593" spans="1:3" x14ac:dyDescent="0.25">
      <c r="A593" t="s">
        <v>6683</v>
      </c>
      <c r="B593" t="s">
        <v>6686</v>
      </c>
      <c r="C593">
        <v>35800</v>
      </c>
    </row>
    <row r="594" spans="1:3" x14ac:dyDescent="0.25">
      <c r="A594" t="s">
        <v>6695</v>
      </c>
      <c r="B594" t="s">
        <v>6698</v>
      </c>
      <c r="C594">
        <v>2276</v>
      </c>
    </row>
    <row r="595" spans="1:3" x14ac:dyDescent="0.25">
      <c r="A595" t="s">
        <v>6708</v>
      </c>
      <c r="B595" t="s">
        <v>6711</v>
      </c>
      <c r="C595">
        <v>16000</v>
      </c>
    </row>
    <row r="596" spans="1:3" x14ac:dyDescent="0.25">
      <c r="A596" t="s">
        <v>6735</v>
      </c>
      <c r="B596" t="s">
        <v>6738</v>
      </c>
      <c r="C596">
        <v>45440</v>
      </c>
    </row>
    <row r="597" spans="1:3" x14ac:dyDescent="0.25">
      <c r="A597" t="s">
        <v>6741</v>
      </c>
      <c r="B597" t="s">
        <v>6744</v>
      </c>
      <c r="C597">
        <v>50000</v>
      </c>
    </row>
    <row r="598" spans="1:3" x14ac:dyDescent="0.25">
      <c r="A598" t="s">
        <v>6750</v>
      </c>
      <c r="B598" t="s">
        <v>6753</v>
      </c>
      <c r="C598">
        <v>400000</v>
      </c>
    </row>
    <row r="599" spans="1:3" x14ac:dyDescent="0.25">
      <c r="A599" t="s">
        <v>3690</v>
      </c>
      <c r="B599" t="s">
        <v>6773</v>
      </c>
    </row>
    <row r="600" spans="1:3" x14ac:dyDescent="0.25">
      <c r="A600" t="s">
        <v>6797</v>
      </c>
      <c r="B600" t="s">
        <v>6799</v>
      </c>
      <c r="C600">
        <v>150</v>
      </c>
    </row>
    <row r="601" spans="1:3" x14ac:dyDescent="0.25">
      <c r="A601" t="s">
        <v>6802</v>
      </c>
      <c r="B601" t="s">
        <v>6799</v>
      </c>
      <c r="C601">
        <v>150</v>
      </c>
    </row>
    <row r="602" spans="1:3" x14ac:dyDescent="0.25">
      <c r="A602" t="s">
        <v>6813</v>
      </c>
      <c r="B602" t="s">
        <v>6816</v>
      </c>
      <c r="C602">
        <v>40000</v>
      </c>
    </row>
    <row r="603" spans="1:3" x14ac:dyDescent="0.25">
      <c r="A603" t="s">
        <v>4603</v>
      </c>
      <c r="B603" t="s">
        <v>6825</v>
      </c>
      <c r="C603">
        <v>150000</v>
      </c>
    </row>
    <row r="604" spans="1:3" x14ac:dyDescent="0.25">
      <c r="A604" t="s">
        <v>6828</v>
      </c>
      <c r="B604" t="s">
        <v>6831</v>
      </c>
    </row>
    <row r="605" spans="1:3" x14ac:dyDescent="0.25">
      <c r="A605" t="s">
        <v>6832</v>
      </c>
      <c r="B605" t="s">
        <v>6835</v>
      </c>
      <c r="C605">
        <v>500</v>
      </c>
    </row>
    <row r="606" spans="1:3" x14ac:dyDescent="0.25">
      <c r="A606" t="s">
        <v>4974</v>
      </c>
      <c r="B606" t="s">
        <v>6839</v>
      </c>
      <c r="C606">
        <v>50000</v>
      </c>
    </row>
    <row r="607" spans="1:3" x14ac:dyDescent="0.25">
      <c r="A607" t="s">
        <v>6842</v>
      </c>
      <c r="B607" t="s">
        <v>6845</v>
      </c>
      <c r="C607">
        <v>150000</v>
      </c>
    </row>
    <row r="608" spans="1:3" x14ac:dyDescent="0.25">
      <c r="A608" t="s">
        <v>6842</v>
      </c>
      <c r="B608" t="s">
        <v>6849</v>
      </c>
      <c r="C608">
        <v>250000</v>
      </c>
    </row>
    <row r="609" spans="1:3" x14ac:dyDescent="0.25">
      <c r="A609" t="s">
        <v>6852</v>
      </c>
      <c r="B609" t="s">
        <v>6854</v>
      </c>
      <c r="C609">
        <v>200000</v>
      </c>
    </row>
    <row r="610" spans="1:3" x14ac:dyDescent="0.25">
      <c r="A610" t="s">
        <v>4860</v>
      </c>
      <c r="B610" t="s">
        <v>6858</v>
      </c>
      <c r="C610">
        <v>197566</v>
      </c>
    </row>
    <row r="611" spans="1:3" x14ac:dyDescent="0.25">
      <c r="A611" t="s">
        <v>4264</v>
      </c>
      <c r="B611" t="s">
        <v>5582</v>
      </c>
      <c r="C611">
        <v>75000</v>
      </c>
    </row>
    <row r="612" spans="1:3" x14ac:dyDescent="0.25">
      <c r="A612" t="s">
        <v>6863</v>
      </c>
      <c r="B612" t="s">
        <v>6866</v>
      </c>
      <c r="C612">
        <v>25000</v>
      </c>
    </row>
    <row r="613" spans="1:3" x14ac:dyDescent="0.25">
      <c r="A613" t="s">
        <v>6868</v>
      </c>
      <c r="B613" t="s">
        <v>6871</v>
      </c>
      <c r="C613">
        <v>50000</v>
      </c>
    </row>
    <row r="614" spans="1:3" x14ac:dyDescent="0.25">
      <c r="A614" t="s">
        <v>6873</v>
      </c>
      <c r="B614" t="s">
        <v>6876</v>
      </c>
      <c r="C614">
        <v>25000</v>
      </c>
    </row>
    <row r="615" spans="1:3" x14ac:dyDescent="0.25">
      <c r="A615" t="s">
        <v>4056</v>
      </c>
      <c r="B615" t="s">
        <v>6892</v>
      </c>
      <c r="C615">
        <v>75000</v>
      </c>
    </row>
    <row r="616" spans="1:3" x14ac:dyDescent="0.25">
      <c r="A616" t="s">
        <v>6916</v>
      </c>
      <c r="B616" t="s">
        <v>6919</v>
      </c>
    </row>
    <row r="617" spans="1:3" x14ac:dyDescent="0.25">
      <c r="A617" t="s">
        <v>4714</v>
      </c>
      <c r="B617" t="s">
        <v>6925</v>
      </c>
    </row>
    <row r="618" spans="1:3" x14ac:dyDescent="0.25">
      <c r="A618" t="s">
        <v>6932</v>
      </c>
      <c r="B618" t="s">
        <v>6935</v>
      </c>
    </row>
    <row r="619" spans="1:3" x14ac:dyDescent="0.25">
      <c r="A619" t="s">
        <v>5225</v>
      </c>
      <c r="B619" t="s">
        <v>6956</v>
      </c>
      <c r="C619">
        <v>1500</v>
      </c>
    </row>
    <row r="620" spans="1:3" x14ac:dyDescent="0.25">
      <c r="A620" t="s">
        <v>5279</v>
      </c>
      <c r="B620" t="s">
        <v>6960</v>
      </c>
      <c r="C620">
        <v>5000</v>
      </c>
    </row>
    <row r="621" spans="1:3" x14ac:dyDescent="0.25">
      <c r="A621" t="s">
        <v>6797</v>
      </c>
      <c r="B621" t="s">
        <v>6964</v>
      </c>
      <c r="C621">
        <v>5000</v>
      </c>
    </row>
    <row r="622" spans="1:3" x14ac:dyDescent="0.25">
      <c r="A622" t="s">
        <v>6981</v>
      </c>
      <c r="B622" t="s">
        <v>6983</v>
      </c>
      <c r="C622">
        <v>165000</v>
      </c>
    </row>
    <row r="623" spans="1:3" x14ac:dyDescent="0.25">
      <c r="A623" t="s">
        <v>7002</v>
      </c>
      <c r="B623" t="s">
        <v>7004</v>
      </c>
      <c r="C623">
        <v>250</v>
      </c>
    </row>
    <row r="624" spans="1:3" x14ac:dyDescent="0.25">
      <c r="A624" t="s">
        <v>7023</v>
      </c>
      <c r="B624" t="s">
        <v>7026</v>
      </c>
      <c r="C624">
        <v>1</v>
      </c>
    </row>
    <row r="625" spans="1:3" x14ac:dyDescent="0.25">
      <c r="A625" t="s">
        <v>4667</v>
      </c>
      <c r="B625" t="s">
        <v>7090</v>
      </c>
      <c r="C625">
        <v>6500</v>
      </c>
    </row>
    <row r="626" spans="1:3" x14ac:dyDescent="0.25">
      <c r="A626" t="s">
        <v>4107</v>
      </c>
      <c r="B626" t="s">
        <v>3762</v>
      </c>
      <c r="C626">
        <v>75000</v>
      </c>
    </row>
    <row r="627" spans="1:3" x14ac:dyDescent="0.25">
      <c r="A627" t="s">
        <v>3960</v>
      </c>
      <c r="B627" t="s">
        <v>3762</v>
      </c>
      <c r="C627">
        <v>75000</v>
      </c>
    </row>
    <row r="628" spans="1:3" x14ac:dyDescent="0.25">
      <c r="A628" t="s">
        <v>3934</v>
      </c>
      <c r="B628" t="s">
        <v>7098</v>
      </c>
      <c r="C628">
        <v>75000</v>
      </c>
    </row>
    <row r="629" spans="1:3" x14ac:dyDescent="0.25">
      <c r="A629" t="s">
        <v>3637</v>
      </c>
      <c r="B629" t="s">
        <v>7101</v>
      </c>
      <c r="C629">
        <v>150000</v>
      </c>
    </row>
    <row r="630" spans="1:3" x14ac:dyDescent="0.25">
      <c r="A630" t="s">
        <v>3466</v>
      </c>
      <c r="B630" t="s">
        <v>3762</v>
      </c>
      <c r="C630">
        <v>75000</v>
      </c>
    </row>
    <row r="631" spans="1:3" x14ac:dyDescent="0.25">
      <c r="A631" t="s">
        <v>3419</v>
      </c>
      <c r="B631" t="s">
        <v>7098</v>
      </c>
      <c r="C631">
        <v>75000</v>
      </c>
    </row>
    <row r="632" spans="1:3" x14ac:dyDescent="0.25">
      <c r="A632" t="s">
        <v>3401</v>
      </c>
      <c r="B632" t="s">
        <v>7108</v>
      </c>
      <c r="C632">
        <v>75000</v>
      </c>
    </row>
    <row r="633" spans="1:3" x14ac:dyDescent="0.25">
      <c r="A633" t="s">
        <v>3381</v>
      </c>
      <c r="B633" t="s">
        <v>7116</v>
      </c>
      <c r="C633">
        <v>75000</v>
      </c>
    </row>
    <row r="634" spans="1:3" x14ac:dyDescent="0.25">
      <c r="A634" t="s">
        <v>4529</v>
      </c>
      <c r="B634" t="s">
        <v>7123</v>
      </c>
    </row>
    <row r="635" spans="1:3" x14ac:dyDescent="0.25">
      <c r="A635" t="s">
        <v>7124</v>
      </c>
      <c r="B635" t="s">
        <v>7123</v>
      </c>
    </row>
    <row r="636" spans="1:3" x14ac:dyDescent="0.25">
      <c r="A636" t="s">
        <v>7174</v>
      </c>
      <c r="B636" t="s">
        <v>7171</v>
      </c>
      <c r="C636">
        <v>242000</v>
      </c>
    </row>
    <row r="637" spans="1:3" x14ac:dyDescent="0.25">
      <c r="A637" t="s">
        <v>4056</v>
      </c>
      <c r="B637" t="s">
        <v>5582</v>
      </c>
      <c r="C637">
        <v>75000</v>
      </c>
    </row>
    <row r="638" spans="1:3" x14ac:dyDescent="0.25">
      <c r="A638" t="s">
        <v>7255</v>
      </c>
      <c r="B638" t="s">
        <v>7258</v>
      </c>
    </row>
    <row r="639" spans="1:3" x14ac:dyDescent="0.25">
      <c r="A639" t="s">
        <v>3810</v>
      </c>
      <c r="B639" t="s">
        <v>7265</v>
      </c>
    </row>
    <row r="640" spans="1:3" x14ac:dyDescent="0.25">
      <c r="A640" t="s">
        <v>7269</v>
      </c>
      <c r="B640" t="s">
        <v>7272</v>
      </c>
      <c r="C640">
        <v>34000</v>
      </c>
    </row>
    <row r="641" spans="1:3" x14ac:dyDescent="0.25">
      <c r="A641" t="s">
        <v>7277</v>
      </c>
      <c r="B641" t="s">
        <v>7279</v>
      </c>
      <c r="C641">
        <v>7500</v>
      </c>
    </row>
    <row r="642" spans="1:3" x14ac:dyDescent="0.25">
      <c r="A642" t="s">
        <v>7282</v>
      </c>
      <c r="B642" t="s">
        <v>7285</v>
      </c>
      <c r="C642">
        <v>27680</v>
      </c>
    </row>
    <row r="643" spans="1:3" x14ac:dyDescent="0.25">
      <c r="A643" t="s">
        <v>4899</v>
      </c>
      <c r="B643" t="s">
        <v>3094</v>
      </c>
      <c r="C643">
        <v>75000</v>
      </c>
    </row>
    <row r="644" spans="1:3" x14ac:dyDescent="0.25">
      <c r="A644" t="s">
        <v>7310</v>
      </c>
      <c r="B644" t="s">
        <v>7313</v>
      </c>
      <c r="C644">
        <v>5000</v>
      </c>
    </row>
    <row r="645" spans="1:3" x14ac:dyDescent="0.25">
      <c r="A645" t="s">
        <v>5127</v>
      </c>
      <c r="B645" t="s">
        <v>7489</v>
      </c>
      <c r="C645">
        <v>33200</v>
      </c>
    </row>
    <row r="646" spans="1:3" x14ac:dyDescent="0.25">
      <c r="A646" t="s">
        <v>4745</v>
      </c>
      <c r="B646" t="s">
        <v>7512</v>
      </c>
      <c r="C646">
        <v>30000</v>
      </c>
    </row>
    <row r="647" spans="1:3" x14ac:dyDescent="0.25">
      <c r="A647" t="s">
        <v>7514</v>
      </c>
      <c r="B647" t="s">
        <v>7517</v>
      </c>
    </row>
    <row r="648" spans="1:3" x14ac:dyDescent="0.25">
      <c r="A648" t="s">
        <v>4772</v>
      </c>
      <c r="B648" t="s">
        <v>7538</v>
      </c>
    </row>
    <row r="649" spans="1:3" x14ac:dyDescent="0.25">
      <c r="A649" t="s">
        <v>4772</v>
      </c>
      <c r="B649" t="s">
        <v>7541</v>
      </c>
      <c r="C649">
        <v>75000</v>
      </c>
    </row>
    <row r="650" spans="1:3" x14ac:dyDescent="0.25">
      <c r="A650" t="s">
        <v>4734</v>
      </c>
      <c r="B650" t="s">
        <v>7544</v>
      </c>
      <c r="C650">
        <v>150000</v>
      </c>
    </row>
    <row r="651" spans="1:3" x14ac:dyDescent="0.25">
      <c r="A651" t="s">
        <v>7550</v>
      </c>
      <c r="B651" t="s">
        <v>7547</v>
      </c>
    </row>
    <row r="652" spans="1:3" x14ac:dyDescent="0.25">
      <c r="A652" t="s">
        <v>4793</v>
      </c>
      <c r="B652" t="s">
        <v>7558</v>
      </c>
    </row>
    <row r="653" spans="1:3" x14ac:dyDescent="0.25">
      <c r="A653" t="s">
        <v>3397</v>
      </c>
      <c r="B653" t="s">
        <v>7560</v>
      </c>
    </row>
    <row r="654" spans="1:3" x14ac:dyDescent="0.25">
      <c r="A654" t="s">
        <v>3397</v>
      </c>
      <c r="B654" t="s">
        <v>7563</v>
      </c>
    </row>
    <row r="655" spans="1:3" x14ac:dyDescent="0.25">
      <c r="A655" t="s">
        <v>7564</v>
      </c>
      <c r="B655" t="s">
        <v>7567</v>
      </c>
      <c r="C655">
        <v>221507</v>
      </c>
    </row>
    <row r="656" spans="1:3" x14ac:dyDescent="0.25">
      <c r="A656" t="s">
        <v>5256</v>
      </c>
      <c r="B656" t="s">
        <v>7580</v>
      </c>
      <c r="C656">
        <v>40200</v>
      </c>
    </row>
    <row r="657" spans="1:3" x14ac:dyDescent="0.25">
      <c r="A657" t="s">
        <v>7610</v>
      </c>
      <c r="B657" t="s">
        <v>7612</v>
      </c>
      <c r="C657">
        <v>1600</v>
      </c>
    </row>
    <row r="658" spans="1:3" x14ac:dyDescent="0.25">
      <c r="A658" t="s">
        <v>7615</v>
      </c>
      <c r="B658" t="s">
        <v>7617</v>
      </c>
      <c r="C658">
        <v>5000</v>
      </c>
    </row>
    <row r="659" spans="1:3" x14ac:dyDescent="0.25">
      <c r="A659" t="s">
        <v>7662</v>
      </c>
      <c r="B659" t="s">
        <v>7665</v>
      </c>
      <c r="C659">
        <v>250000</v>
      </c>
    </row>
    <row r="660" spans="1:3" x14ac:dyDescent="0.25">
      <c r="A660" t="s">
        <v>5396</v>
      </c>
      <c r="B660" t="s">
        <v>7668</v>
      </c>
    </row>
    <row r="661" spans="1:3" x14ac:dyDescent="0.25">
      <c r="A661" t="s">
        <v>7670</v>
      </c>
      <c r="B661" t="s">
        <v>7673</v>
      </c>
      <c r="C661">
        <v>1000</v>
      </c>
    </row>
    <row r="662" spans="1:3" x14ac:dyDescent="0.25">
      <c r="A662" t="s">
        <v>7670</v>
      </c>
      <c r="B662" t="s">
        <v>7676</v>
      </c>
      <c r="C662">
        <v>1250</v>
      </c>
    </row>
    <row r="663" spans="1:3" x14ac:dyDescent="0.25">
      <c r="A663" t="s">
        <v>7670</v>
      </c>
      <c r="B663" t="s">
        <v>7680</v>
      </c>
      <c r="C663">
        <v>75000</v>
      </c>
    </row>
    <row r="664" spans="1:3" x14ac:dyDescent="0.25">
      <c r="A664" t="s">
        <v>7670</v>
      </c>
      <c r="B664" t="s">
        <v>7682</v>
      </c>
      <c r="C664">
        <v>25000</v>
      </c>
    </row>
    <row r="665" spans="1:3" x14ac:dyDescent="0.25">
      <c r="A665" t="s">
        <v>7670</v>
      </c>
      <c r="B665" t="s">
        <v>7685</v>
      </c>
    </row>
    <row r="666" spans="1:3" x14ac:dyDescent="0.25">
      <c r="A666" t="s">
        <v>7670</v>
      </c>
      <c r="B666" t="s">
        <v>7687</v>
      </c>
    </row>
    <row r="667" spans="1:3" x14ac:dyDescent="0.25">
      <c r="A667" t="s">
        <v>7670</v>
      </c>
      <c r="B667" t="s">
        <v>7689</v>
      </c>
      <c r="C667">
        <v>110000</v>
      </c>
    </row>
    <row r="668" spans="1:3" x14ac:dyDescent="0.25">
      <c r="A668" t="s">
        <v>7670</v>
      </c>
      <c r="B668" t="s">
        <v>7692</v>
      </c>
    </row>
    <row r="669" spans="1:3" x14ac:dyDescent="0.25">
      <c r="A669" t="s">
        <v>7734</v>
      </c>
      <c r="B669" t="s">
        <v>7737</v>
      </c>
      <c r="C669">
        <v>2500</v>
      </c>
    </row>
    <row r="670" spans="1:3" x14ac:dyDescent="0.25">
      <c r="A670" t="s">
        <v>3424</v>
      </c>
      <c r="B670" t="s">
        <v>7759</v>
      </c>
      <c r="C670">
        <v>20000</v>
      </c>
    </row>
    <row r="671" spans="1:3" x14ac:dyDescent="0.25">
      <c r="A671" t="s">
        <v>5221</v>
      </c>
      <c r="B671" t="s">
        <v>7797</v>
      </c>
      <c r="C671">
        <v>1300</v>
      </c>
    </row>
    <row r="672" spans="1:3" x14ac:dyDescent="0.25">
      <c r="A672" t="s">
        <v>3257</v>
      </c>
      <c r="B672" t="s">
        <v>7807</v>
      </c>
    </row>
    <row r="673" spans="1:3" x14ac:dyDescent="0.25">
      <c r="A673" t="s">
        <v>4637</v>
      </c>
      <c r="B673" t="s">
        <v>7807</v>
      </c>
    </row>
    <row r="674" spans="1:3" x14ac:dyDescent="0.25">
      <c r="A674" t="s">
        <v>3349</v>
      </c>
      <c r="B674" t="s">
        <v>7903</v>
      </c>
    </row>
    <row r="675" spans="1:3" x14ac:dyDescent="0.25">
      <c r="A675" t="s">
        <v>7914</v>
      </c>
      <c r="B675" t="s">
        <v>7917</v>
      </c>
      <c r="C675">
        <v>10000</v>
      </c>
    </row>
    <row r="676" spans="1:3" x14ac:dyDescent="0.25">
      <c r="A676" t="s">
        <v>7914</v>
      </c>
      <c r="B676" t="s">
        <v>7919</v>
      </c>
      <c r="C676">
        <v>300000</v>
      </c>
    </row>
    <row r="677" spans="1:3" x14ac:dyDescent="0.25">
      <c r="A677" t="s">
        <v>7948</v>
      </c>
      <c r="B677" t="s">
        <v>5923</v>
      </c>
      <c r="C677">
        <v>165000</v>
      </c>
    </row>
    <row r="678" spans="1:3" x14ac:dyDescent="0.25">
      <c r="A678" t="s">
        <v>4197</v>
      </c>
      <c r="B678" t="s">
        <v>5923</v>
      </c>
      <c r="C678">
        <v>165000</v>
      </c>
    </row>
    <row r="679" spans="1:3" x14ac:dyDescent="0.25">
      <c r="A679" t="s">
        <v>3764</v>
      </c>
      <c r="B679" t="s">
        <v>5923</v>
      </c>
      <c r="C679">
        <v>165000</v>
      </c>
    </row>
    <row r="680" spans="1:3" x14ac:dyDescent="0.25">
      <c r="A680" t="s">
        <v>7989</v>
      </c>
      <c r="B680" t="s">
        <v>7991</v>
      </c>
      <c r="C680">
        <v>250</v>
      </c>
    </row>
    <row r="681" spans="1:3" x14ac:dyDescent="0.25">
      <c r="A681" t="s">
        <v>7994</v>
      </c>
      <c r="B681" t="s">
        <v>7996</v>
      </c>
      <c r="C681">
        <v>200</v>
      </c>
    </row>
    <row r="682" spans="1:3" x14ac:dyDescent="0.25">
      <c r="A682" t="s">
        <v>7998</v>
      </c>
      <c r="B682" t="s">
        <v>8000</v>
      </c>
      <c r="C682">
        <v>700</v>
      </c>
    </row>
    <row r="683" spans="1:3" x14ac:dyDescent="0.25">
      <c r="A683" t="s">
        <v>8002</v>
      </c>
      <c r="B683" t="s">
        <v>8004</v>
      </c>
      <c r="C683">
        <v>900</v>
      </c>
    </row>
    <row r="684" spans="1:3" x14ac:dyDescent="0.25">
      <c r="A684" t="s">
        <v>8006</v>
      </c>
      <c r="B684" t="s">
        <v>8008</v>
      </c>
      <c r="C684">
        <v>2100</v>
      </c>
    </row>
    <row r="685" spans="1:3" x14ac:dyDescent="0.25">
      <c r="A685" t="s">
        <v>8011</v>
      </c>
      <c r="B685" t="s">
        <v>8013</v>
      </c>
      <c r="C685">
        <v>1100</v>
      </c>
    </row>
    <row r="686" spans="1:3" x14ac:dyDescent="0.25">
      <c r="A686" t="s">
        <v>8015</v>
      </c>
      <c r="B686" t="s">
        <v>2119</v>
      </c>
      <c r="C686">
        <v>1</v>
      </c>
    </row>
    <row r="687" spans="1:3" x14ac:dyDescent="0.25">
      <c r="A687" t="s">
        <v>8019</v>
      </c>
      <c r="B687" t="s">
        <v>8021</v>
      </c>
      <c r="C687">
        <v>200</v>
      </c>
    </row>
    <row r="688" spans="1:3" x14ac:dyDescent="0.25">
      <c r="A688" t="s">
        <v>8023</v>
      </c>
      <c r="B688" t="s">
        <v>8025</v>
      </c>
      <c r="C688">
        <v>800</v>
      </c>
    </row>
    <row r="689" spans="1:3" x14ac:dyDescent="0.25">
      <c r="A689" t="s">
        <v>8027</v>
      </c>
      <c r="B689" t="s">
        <v>8029</v>
      </c>
      <c r="C689">
        <v>900</v>
      </c>
    </row>
    <row r="690" spans="1:3" x14ac:dyDescent="0.25">
      <c r="A690" t="s">
        <v>8031</v>
      </c>
      <c r="B690" t="s">
        <v>8033</v>
      </c>
      <c r="C690">
        <v>1300</v>
      </c>
    </row>
    <row r="691" spans="1:3" x14ac:dyDescent="0.25">
      <c r="A691" t="s">
        <v>8035</v>
      </c>
      <c r="B691" t="s">
        <v>8037</v>
      </c>
      <c r="C691">
        <v>1200</v>
      </c>
    </row>
    <row r="692" spans="1:3" x14ac:dyDescent="0.25">
      <c r="A692" t="s">
        <v>8039</v>
      </c>
      <c r="B692" t="s">
        <v>8041</v>
      </c>
      <c r="C692">
        <v>500</v>
      </c>
    </row>
    <row r="693" spans="1:3" x14ac:dyDescent="0.25">
      <c r="A693" t="s">
        <v>8043</v>
      </c>
      <c r="B693" t="s">
        <v>8045</v>
      </c>
      <c r="C693">
        <v>1500</v>
      </c>
    </row>
    <row r="694" spans="1:3" x14ac:dyDescent="0.25">
      <c r="A694" t="s">
        <v>8047</v>
      </c>
      <c r="B694" t="s">
        <v>8049</v>
      </c>
      <c r="C694">
        <v>3000</v>
      </c>
    </row>
    <row r="695" spans="1:3" x14ac:dyDescent="0.25">
      <c r="A695" t="s">
        <v>8053</v>
      </c>
      <c r="B695" t="s">
        <v>8055</v>
      </c>
      <c r="C695">
        <v>5000</v>
      </c>
    </row>
    <row r="696" spans="1:3" x14ac:dyDescent="0.25">
      <c r="A696" t="s">
        <v>8058</v>
      </c>
      <c r="B696" t="s">
        <v>8061</v>
      </c>
      <c r="C696">
        <v>1</v>
      </c>
    </row>
    <row r="697" spans="1:3" x14ac:dyDescent="0.25">
      <c r="A697" t="s">
        <v>8063</v>
      </c>
      <c r="B697" t="s">
        <v>8066</v>
      </c>
      <c r="C697">
        <v>1</v>
      </c>
    </row>
    <row r="698" spans="1:3" x14ac:dyDescent="0.25">
      <c r="A698" t="s">
        <v>8068</v>
      </c>
      <c r="B698" t="s">
        <v>8071</v>
      </c>
      <c r="C698">
        <v>1</v>
      </c>
    </row>
    <row r="699" spans="1:3" x14ac:dyDescent="0.25">
      <c r="A699" t="s">
        <v>8075</v>
      </c>
      <c r="B699" t="s">
        <v>8078</v>
      </c>
      <c r="C699">
        <v>1</v>
      </c>
    </row>
    <row r="700" spans="1:3" x14ac:dyDescent="0.25">
      <c r="A700" t="s">
        <v>8081</v>
      </c>
      <c r="B700" t="s">
        <v>8084</v>
      </c>
      <c r="C700">
        <v>6279.8</v>
      </c>
    </row>
    <row r="701" spans="1:3" x14ac:dyDescent="0.25">
      <c r="A701" t="s">
        <v>8086</v>
      </c>
      <c r="B701" t="s">
        <v>8089</v>
      </c>
      <c r="C701">
        <v>1</v>
      </c>
    </row>
    <row r="702" spans="1:3" x14ac:dyDescent="0.25">
      <c r="A702" t="s">
        <v>8091</v>
      </c>
      <c r="B702" t="s">
        <v>8094</v>
      </c>
      <c r="C702">
        <v>1</v>
      </c>
    </row>
    <row r="703" spans="1:3" x14ac:dyDescent="0.25">
      <c r="A703" t="s">
        <v>8097</v>
      </c>
      <c r="B703" t="s">
        <v>8100</v>
      </c>
      <c r="C703">
        <v>4000</v>
      </c>
    </row>
    <row r="704" spans="1:3" x14ac:dyDescent="0.25">
      <c r="A704" t="s">
        <v>8103</v>
      </c>
      <c r="B704" t="s">
        <v>8106</v>
      </c>
      <c r="C704">
        <v>1</v>
      </c>
    </row>
    <row r="705" spans="1:3" x14ac:dyDescent="0.25">
      <c r="A705" t="s">
        <v>8108</v>
      </c>
      <c r="B705" t="s">
        <v>8111</v>
      </c>
      <c r="C705">
        <v>1</v>
      </c>
    </row>
    <row r="706" spans="1:3" x14ac:dyDescent="0.25">
      <c r="A706" t="s">
        <v>8113</v>
      </c>
      <c r="B706" t="s">
        <v>8116</v>
      </c>
      <c r="C706">
        <v>1</v>
      </c>
    </row>
    <row r="707" spans="1:3" x14ac:dyDescent="0.25">
      <c r="A707" t="s">
        <v>8118</v>
      </c>
      <c r="B707" t="s">
        <v>8071</v>
      </c>
      <c r="C707">
        <v>1</v>
      </c>
    </row>
    <row r="708" spans="1:3" x14ac:dyDescent="0.25">
      <c r="A708" t="s">
        <v>8123</v>
      </c>
      <c r="B708" t="s">
        <v>8126</v>
      </c>
      <c r="C708">
        <v>1</v>
      </c>
    </row>
    <row r="709" spans="1:3" x14ac:dyDescent="0.25">
      <c r="A709" t="s">
        <v>8129</v>
      </c>
      <c r="B709" t="s">
        <v>8132</v>
      </c>
      <c r="C709">
        <v>1</v>
      </c>
    </row>
    <row r="710" spans="1:3" x14ac:dyDescent="0.25">
      <c r="A710" t="s">
        <v>8134</v>
      </c>
      <c r="B710" t="s">
        <v>8137</v>
      </c>
      <c r="C710">
        <v>1</v>
      </c>
    </row>
    <row r="711" spans="1:3" x14ac:dyDescent="0.25">
      <c r="A711" t="s">
        <v>8139</v>
      </c>
      <c r="B711" t="s">
        <v>8142</v>
      </c>
      <c r="C711">
        <v>1</v>
      </c>
    </row>
    <row r="712" spans="1:3" x14ac:dyDescent="0.25">
      <c r="A712" t="s">
        <v>8144</v>
      </c>
      <c r="B712" t="s">
        <v>8116</v>
      </c>
      <c r="C712">
        <v>1</v>
      </c>
    </row>
    <row r="713" spans="1:3" x14ac:dyDescent="0.25">
      <c r="A713" t="s">
        <v>8148</v>
      </c>
      <c r="B713" t="s">
        <v>8151</v>
      </c>
      <c r="C713">
        <v>1</v>
      </c>
    </row>
    <row r="714" spans="1:3" x14ac:dyDescent="0.25">
      <c r="A714" t="s">
        <v>8153</v>
      </c>
      <c r="B714" t="s">
        <v>8156</v>
      </c>
      <c r="C714">
        <v>1</v>
      </c>
    </row>
    <row r="715" spans="1:3" x14ac:dyDescent="0.25">
      <c r="A715" t="s">
        <v>8158</v>
      </c>
      <c r="B715" t="s">
        <v>8071</v>
      </c>
      <c r="C715">
        <v>1</v>
      </c>
    </row>
    <row r="716" spans="1:3" x14ac:dyDescent="0.25">
      <c r="A716" t="s">
        <v>8162</v>
      </c>
      <c r="B716" t="s">
        <v>8071</v>
      </c>
      <c r="C716">
        <v>5750.25</v>
      </c>
    </row>
    <row r="717" spans="1:3" x14ac:dyDescent="0.25">
      <c r="A717" t="s">
        <v>8167</v>
      </c>
      <c r="B717" t="s">
        <v>8170</v>
      </c>
      <c r="C717">
        <v>3500</v>
      </c>
    </row>
    <row r="718" spans="1:3" x14ac:dyDescent="0.25">
      <c r="A718" t="s">
        <v>8265</v>
      </c>
      <c r="B718" t="s">
        <v>8268</v>
      </c>
      <c r="C718">
        <v>10000</v>
      </c>
    </row>
    <row r="719" spans="1:3" x14ac:dyDescent="0.25">
      <c r="A719" t="s">
        <v>4529</v>
      </c>
      <c r="B719" t="s">
        <v>8547</v>
      </c>
    </row>
    <row r="720" spans="1:3" x14ac:dyDescent="0.25">
      <c r="A720" t="s">
        <v>3759</v>
      </c>
      <c r="B720" t="s">
        <v>8583</v>
      </c>
    </row>
    <row r="721" spans="1:3" x14ac:dyDescent="0.25">
      <c r="A721" t="s">
        <v>4561</v>
      </c>
      <c r="B721" t="s">
        <v>8592</v>
      </c>
      <c r="C721">
        <v>95000</v>
      </c>
    </row>
    <row r="722" spans="1:3" x14ac:dyDescent="0.25">
      <c r="A722" t="s">
        <v>8601</v>
      </c>
      <c r="B722" t="s">
        <v>8603</v>
      </c>
      <c r="C722">
        <v>3500</v>
      </c>
    </row>
    <row r="723" spans="1:3" x14ac:dyDescent="0.25">
      <c r="A723" t="s">
        <v>3124</v>
      </c>
      <c r="B723" t="s">
        <v>8606</v>
      </c>
    </row>
    <row r="724" spans="1:3" x14ac:dyDescent="0.25">
      <c r="A724" t="s">
        <v>8633</v>
      </c>
      <c r="B724" t="s">
        <v>8636</v>
      </c>
    </row>
    <row r="725" spans="1:3" x14ac:dyDescent="0.25">
      <c r="A725" t="s">
        <v>8637</v>
      </c>
      <c r="B725" t="s">
        <v>8640</v>
      </c>
      <c r="C725">
        <v>250000</v>
      </c>
    </row>
    <row r="726" spans="1:3" x14ac:dyDescent="0.25">
      <c r="A726" t="s">
        <v>8657</v>
      </c>
      <c r="B726" t="s">
        <v>8659</v>
      </c>
      <c r="C726">
        <v>35000</v>
      </c>
    </row>
    <row r="727" spans="1:3" x14ac:dyDescent="0.25">
      <c r="A727" t="s">
        <v>6108</v>
      </c>
      <c r="B727" t="s">
        <v>8662</v>
      </c>
    </row>
    <row r="728" spans="1:3" x14ac:dyDescent="0.25">
      <c r="A728" t="s">
        <v>5063</v>
      </c>
      <c r="B728" t="s">
        <v>8679</v>
      </c>
      <c r="C728">
        <v>3300</v>
      </c>
    </row>
    <row r="729" spans="1:3" x14ac:dyDescent="0.25">
      <c r="A729" t="s">
        <v>5135</v>
      </c>
      <c r="B729" t="s">
        <v>8683</v>
      </c>
      <c r="C729">
        <v>2000</v>
      </c>
    </row>
    <row r="730" spans="1:3" x14ac:dyDescent="0.25">
      <c r="A730" t="s">
        <v>8828</v>
      </c>
      <c r="B730" t="s">
        <v>8831</v>
      </c>
    </row>
    <row r="731" spans="1:3" x14ac:dyDescent="0.25">
      <c r="A731" t="s">
        <v>8835</v>
      </c>
      <c r="B731" t="s">
        <v>8834</v>
      </c>
    </row>
    <row r="732" spans="1:3" x14ac:dyDescent="0.25">
      <c r="A732" t="s">
        <v>3288</v>
      </c>
      <c r="B732" t="s">
        <v>8834</v>
      </c>
    </row>
    <row r="733" spans="1:3" x14ac:dyDescent="0.25">
      <c r="A733" t="s">
        <v>5282</v>
      </c>
      <c r="B733" t="s">
        <v>8838</v>
      </c>
      <c r="C733">
        <v>1000</v>
      </c>
    </row>
    <row r="734" spans="1:3" x14ac:dyDescent="0.25">
      <c r="A734" t="s">
        <v>4994</v>
      </c>
      <c r="B734" t="s">
        <v>8842</v>
      </c>
      <c r="C734">
        <v>28500</v>
      </c>
    </row>
    <row r="735" spans="1:3" x14ac:dyDescent="0.25">
      <c r="A735" t="s">
        <v>5181</v>
      </c>
      <c r="B735" t="s">
        <v>8846</v>
      </c>
      <c r="C735">
        <v>5000</v>
      </c>
    </row>
    <row r="736" spans="1:3" x14ac:dyDescent="0.25">
      <c r="A736" t="s">
        <v>8898</v>
      </c>
      <c r="B736" t="s">
        <v>8900</v>
      </c>
      <c r="C736">
        <v>250000</v>
      </c>
    </row>
    <row r="737" spans="1:3" x14ac:dyDescent="0.25">
      <c r="A737" t="s">
        <v>7277</v>
      </c>
      <c r="B737" t="s">
        <v>8903</v>
      </c>
      <c r="C737">
        <v>25000</v>
      </c>
    </row>
    <row r="738" spans="1:3" x14ac:dyDescent="0.25">
      <c r="A738" t="s">
        <v>5260</v>
      </c>
      <c r="B738" t="s">
        <v>8909</v>
      </c>
      <c r="C738">
        <v>35000</v>
      </c>
    </row>
    <row r="739" spans="1:3" x14ac:dyDescent="0.25">
      <c r="A739" t="s">
        <v>5192</v>
      </c>
      <c r="B739" t="s">
        <v>8913</v>
      </c>
      <c r="C739">
        <v>35000</v>
      </c>
    </row>
    <row r="740" spans="1:3" x14ac:dyDescent="0.25">
      <c r="A740" t="s">
        <v>5342</v>
      </c>
      <c r="B740" t="s">
        <v>8916</v>
      </c>
      <c r="C740">
        <v>50000</v>
      </c>
    </row>
    <row r="741" spans="1:3" x14ac:dyDescent="0.25">
      <c r="A741" t="s">
        <v>5362</v>
      </c>
      <c r="B741" t="s">
        <v>8923</v>
      </c>
      <c r="C741">
        <v>11000</v>
      </c>
    </row>
    <row r="742" spans="1:3" x14ac:dyDescent="0.25">
      <c r="A742" t="s">
        <v>5359</v>
      </c>
      <c r="B742" t="s">
        <v>8927</v>
      </c>
      <c r="C742">
        <v>5000</v>
      </c>
    </row>
    <row r="743" spans="1:3" x14ac:dyDescent="0.25">
      <c r="A743" t="s">
        <v>8934</v>
      </c>
      <c r="B743" t="s">
        <v>8937</v>
      </c>
    </row>
    <row r="744" spans="1:3" x14ac:dyDescent="0.25">
      <c r="A744" t="s">
        <v>8938</v>
      </c>
      <c r="B744" t="s">
        <v>8941</v>
      </c>
    </row>
    <row r="745" spans="1:3" x14ac:dyDescent="0.25">
      <c r="A745" t="s">
        <v>8942</v>
      </c>
      <c r="B745" t="s">
        <v>8941</v>
      </c>
    </row>
    <row r="746" spans="1:3" x14ac:dyDescent="0.25">
      <c r="A746" t="s">
        <v>8945</v>
      </c>
      <c r="B746" t="s">
        <v>145</v>
      </c>
      <c r="C746">
        <v>88115.67</v>
      </c>
    </row>
    <row r="747" spans="1:3" x14ac:dyDescent="0.25">
      <c r="A747" t="s">
        <v>9100</v>
      </c>
      <c r="B747" t="s">
        <v>9103</v>
      </c>
      <c r="C747">
        <v>1</v>
      </c>
    </row>
    <row r="748" spans="1:3" x14ac:dyDescent="0.25">
      <c r="A748" t="s">
        <v>9106</v>
      </c>
      <c r="B748" t="s">
        <v>9108</v>
      </c>
      <c r="C748">
        <v>1</v>
      </c>
    </row>
    <row r="749" spans="1:3" x14ac:dyDescent="0.25">
      <c r="A749" t="s">
        <v>3446</v>
      </c>
      <c r="B749" t="s">
        <v>9129</v>
      </c>
    </row>
    <row r="750" spans="1:3" x14ac:dyDescent="0.25">
      <c r="A750" t="s">
        <v>9140</v>
      </c>
      <c r="B750" t="s">
        <v>9143</v>
      </c>
      <c r="C750">
        <v>15000</v>
      </c>
    </row>
    <row r="751" spans="1:3" x14ac:dyDescent="0.25">
      <c r="A751" t="s">
        <v>3694</v>
      </c>
      <c r="B751" t="s">
        <v>9147</v>
      </c>
      <c r="C751">
        <v>230000</v>
      </c>
    </row>
    <row r="752" spans="1:3" x14ac:dyDescent="0.25">
      <c r="A752" t="s">
        <v>9177</v>
      </c>
      <c r="B752" t="s">
        <v>9175</v>
      </c>
    </row>
    <row r="753" spans="1:3" x14ac:dyDescent="0.25">
      <c r="A753" t="s">
        <v>9193</v>
      </c>
      <c r="B753" t="s">
        <v>9196</v>
      </c>
      <c r="C753">
        <v>10000</v>
      </c>
    </row>
    <row r="754" spans="1:3" x14ac:dyDescent="0.25">
      <c r="A754" t="s">
        <v>9199</v>
      </c>
      <c r="B754" t="s">
        <v>9202</v>
      </c>
      <c r="C754">
        <v>2000</v>
      </c>
    </row>
    <row r="755" spans="1:3" x14ac:dyDescent="0.25">
      <c r="A755" t="s">
        <v>7310</v>
      </c>
      <c r="B755" t="s">
        <v>9206</v>
      </c>
      <c r="C755">
        <v>150000</v>
      </c>
    </row>
    <row r="756" spans="1:3" x14ac:dyDescent="0.25">
      <c r="A756" t="s">
        <v>9208</v>
      </c>
      <c r="B756" t="s">
        <v>9211</v>
      </c>
      <c r="C756">
        <v>15000</v>
      </c>
    </row>
    <row r="757" spans="1:3" x14ac:dyDescent="0.25">
      <c r="A757" t="s">
        <v>3338</v>
      </c>
      <c r="B757" t="s">
        <v>9214</v>
      </c>
    </row>
    <row r="758" spans="1:3" x14ac:dyDescent="0.25">
      <c r="A758" t="s">
        <v>9222</v>
      </c>
      <c r="B758" t="s">
        <v>9225</v>
      </c>
      <c r="C758">
        <v>20000</v>
      </c>
    </row>
    <row r="759" spans="1:3" x14ac:dyDescent="0.25">
      <c r="A759" t="s">
        <v>9228</v>
      </c>
      <c r="B759" t="s">
        <v>9231</v>
      </c>
    </row>
    <row r="760" spans="1:3" x14ac:dyDescent="0.25">
      <c r="A760" t="s">
        <v>9233</v>
      </c>
      <c r="B760" t="s">
        <v>9236</v>
      </c>
    </row>
    <row r="761" spans="1:3" x14ac:dyDescent="0.25">
      <c r="A761" t="s">
        <v>9238</v>
      </c>
      <c r="B761" t="s">
        <v>9240</v>
      </c>
    </row>
    <row r="762" spans="1:3" x14ac:dyDescent="0.25">
      <c r="A762" t="s">
        <v>9242</v>
      </c>
      <c r="B762" t="s">
        <v>9245</v>
      </c>
      <c r="C762">
        <v>400000</v>
      </c>
    </row>
    <row r="763" spans="1:3" x14ac:dyDescent="0.25">
      <c r="A763" t="s">
        <v>5054</v>
      </c>
      <c r="B763" t="s">
        <v>9405</v>
      </c>
    </row>
    <row r="764" spans="1:3" x14ac:dyDescent="0.25">
      <c r="A764" t="s">
        <v>5253</v>
      </c>
      <c r="B764" t="s">
        <v>9433</v>
      </c>
      <c r="C764">
        <v>12500</v>
      </c>
    </row>
    <row r="765" spans="1:3" x14ac:dyDescent="0.25">
      <c r="A765" t="s">
        <v>5112</v>
      </c>
      <c r="B765" t="s">
        <v>9475</v>
      </c>
      <c r="C765">
        <v>24000</v>
      </c>
    </row>
    <row r="766" spans="1:3" x14ac:dyDescent="0.25">
      <c r="A766" t="s">
        <v>5319</v>
      </c>
      <c r="B766" t="s">
        <v>9478</v>
      </c>
      <c r="C766">
        <v>1700</v>
      </c>
    </row>
    <row r="767" spans="1:3" x14ac:dyDescent="0.25">
      <c r="A767" t="s">
        <v>3732</v>
      </c>
      <c r="B767" t="s">
        <v>9537</v>
      </c>
    </row>
    <row r="768" spans="1:3" x14ac:dyDescent="0.25">
      <c r="A768" t="s">
        <v>6534</v>
      </c>
      <c r="B768" t="s">
        <v>9549</v>
      </c>
    </row>
    <row r="769" spans="1:3" x14ac:dyDescent="0.25">
      <c r="A769" t="s">
        <v>4056</v>
      </c>
      <c r="B769" t="s">
        <v>9572</v>
      </c>
    </row>
    <row r="770" spans="1:3" x14ac:dyDescent="0.25">
      <c r="A770" t="s">
        <v>4056</v>
      </c>
      <c r="B770" t="s">
        <v>9669</v>
      </c>
    </row>
    <row r="771" spans="1:3" x14ac:dyDescent="0.25">
      <c r="A771" t="s">
        <v>7023</v>
      </c>
      <c r="B771" t="s">
        <v>9669</v>
      </c>
    </row>
    <row r="772" spans="1:3" x14ac:dyDescent="0.25">
      <c r="A772" t="s">
        <v>4060</v>
      </c>
      <c r="B772" t="s">
        <v>9676</v>
      </c>
    </row>
    <row r="773" spans="1:3" x14ac:dyDescent="0.25">
      <c r="A773" t="s">
        <v>9776</v>
      </c>
      <c r="B773" t="s">
        <v>9779</v>
      </c>
      <c r="C773">
        <v>150000</v>
      </c>
    </row>
    <row r="774" spans="1:3" x14ac:dyDescent="0.25">
      <c r="A774" t="s">
        <v>4260</v>
      </c>
      <c r="B774" t="s">
        <v>9896</v>
      </c>
    </row>
    <row r="775" spans="1:3" x14ac:dyDescent="0.25">
      <c r="A775" t="s">
        <v>4093</v>
      </c>
      <c r="B775" t="s">
        <v>9896</v>
      </c>
    </row>
    <row r="776" spans="1:3" x14ac:dyDescent="0.25">
      <c r="A776" t="s">
        <v>9898</v>
      </c>
      <c r="B776" t="s">
        <v>9901</v>
      </c>
    </row>
    <row r="777" spans="1:3" x14ac:dyDescent="0.25">
      <c r="A777" t="s">
        <v>5024</v>
      </c>
      <c r="B777" t="s">
        <v>9907</v>
      </c>
    </row>
    <row r="778" spans="1:3" x14ac:dyDescent="0.25">
      <c r="A778" t="s">
        <v>9911</v>
      </c>
      <c r="B778" t="s">
        <v>8052</v>
      </c>
      <c r="C778">
        <v>1</v>
      </c>
    </row>
    <row r="779" spans="1:3" x14ac:dyDescent="0.25">
      <c r="A779" t="s">
        <v>4056</v>
      </c>
      <c r="B779" t="s">
        <v>9926</v>
      </c>
    </row>
    <row r="780" spans="1:3" x14ac:dyDescent="0.25">
      <c r="A780" t="s">
        <v>4745</v>
      </c>
      <c r="B780" t="s">
        <v>9927</v>
      </c>
    </row>
  </sheetData>
  <pageMargins left="0.70866141732283472" right="0.70866141732283472" top="0.74803149606299213" bottom="0.74803149606299213" header="0.31496062992125984" footer="0.31496062992125984"/>
  <pageSetup paperSize="8" scale="68" fitToHeight="0" orientation="landscape" r:id="rId1"/>
  <headerFooter>
    <oddFooter>Pagina &amp;P van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bedragen KIM (budgettering &amp; pl</vt:lpstr>
      <vt:lpstr>bedragen KIM pivot</vt:lpstr>
      <vt:lpstr>bedragen BOD pivot</vt:lpstr>
      <vt:lpstr>export kabinetdashboard 1210202</vt:lpstr>
      <vt:lpstr>Alles samen</vt:lpstr>
      <vt:lpstr>2023-0038.2a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Iliaens, Liessa</dc:creator>
  <cp:lastModifiedBy>Van Tilborg Michaël</cp:lastModifiedBy>
  <cp:lastPrinted>2022-11-09T20:35:51Z</cp:lastPrinted>
  <dcterms:created xsi:type="dcterms:W3CDTF">2022-10-17T20:13:53Z</dcterms:created>
  <dcterms:modified xsi:type="dcterms:W3CDTF">2022-11-09T20:35:53Z</dcterms:modified>
</cp:coreProperties>
</file>